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drawings/drawing4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60" windowWidth="13305" windowHeight="7260" tabRatio="861"/>
  </bookViews>
  <sheets>
    <sheet name="CONTROL" sheetId="1" r:id="rId1"/>
    <sheet name="RAP-SOLID FUEL PRICES" sheetId="2" r:id="rId2"/>
    <sheet name="RAP-LIGHT OIL" sheetId="3" r:id="rId3"/>
    <sheet name="RAP-HEAVY OIL&amp;WTI" sheetId="4" r:id="rId4"/>
    <sheet name="RAP-NATURAL GAS PRICES" sheetId="5" r:id="rId5"/>
    <sheet name="RAP TEMPLATE-GAS AVAILABILITY" sheetId="6" r:id="rId6"/>
  </sheets>
  <externalReferences>
    <externalReference r:id="rId7"/>
    <externalReference r:id="rId8"/>
    <externalReference r:id="rId9"/>
    <externalReference r:id="rId10"/>
  </externalReferences>
  <definedNames>
    <definedName name="__123Graph_A" hidden="1">'[1]FPL MOST LIKELY GAS BACKUP 1'!#REF!</definedName>
    <definedName name="__123Graph_B" hidden="1">'[1]FPL MOST LIKELY GAS BACKUP 1'!#REF!</definedName>
    <definedName name="__123Graph_X" hidden="1">'[1]FPL MOST LIKELY GAS BACKUP 1'!#REF!</definedName>
    <definedName name="_1">#REF!</definedName>
    <definedName name="_1A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394GAS">#REF!</definedName>
    <definedName name="_9394OIL">#REF!</definedName>
    <definedName name="_C1">#REF!</definedName>
    <definedName name="_GIP1">#REF!</definedName>
    <definedName name="_SYP1">#REF!</definedName>
    <definedName name="C_">#REF!</definedName>
    <definedName name="CC1_">#REF!</definedName>
    <definedName name="COMPET">#REF!</definedName>
    <definedName name="CopyXC">#REF!</definedName>
    <definedName name="DatabaseNameCopy">#REF!</definedName>
    <definedName name="DatabaseNameDG">#REF!</definedName>
    <definedName name="DateColumn">[2]_Setup_!#REF!</definedName>
    <definedName name="DestColRowXC">#REF!</definedName>
    <definedName name="DestDBname">#REF!</definedName>
    <definedName name="DestHdrRowColXC">#REF!</definedName>
    <definedName name="DestLayoutXC">#REF!</definedName>
    <definedName name="DestRowColXC">#REF!</definedName>
    <definedName name="DestStudyName">#REF!</definedName>
    <definedName name="DestStudyNameCopy">#REF!</definedName>
    <definedName name="DestUserName">#REF!</definedName>
    <definedName name="DestWorksheetXC">#REF!</definedName>
    <definedName name="EffectiveDate">[2]_Setup_!#REF!</definedName>
    <definedName name="FIRM">#REF!</definedName>
    <definedName name="FIRM1">#REF!</definedName>
    <definedName name="GAS">#REF!</definedName>
    <definedName name="GASAVAIL">#REF!</definedName>
    <definedName name="GIP">#REF!</definedName>
    <definedName name="HeaderXC">#REF!</definedName>
    <definedName name="I5_">#REF!</definedName>
    <definedName name="I6_">#REF!</definedName>
    <definedName name="I7_">#REF!</definedName>
    <definedName name="ImportListDG">#REF!</definedName>
    <definedName name="INDEXDATA">'[3]Index-Data'!$A$2:$CG$68</definedName>
    <definedName name="INFLAT">#REF!</definedName>
    <definedName name="LayoutXC">#REF!</definedName>
    <definedName name="Messages">[4]_UnregulatedCurves_!#REF!</definedName>
    <definedName name="MessagesDG">#REF!</definedName>
    <definedName name="MessagesDW">[4]_UnregulatedCurves_!#REF!</definedName>
    <definedName name="MONTH">#REF!</definedName>
    <definedName name="MONTH1">#REF!</definedName>
    <definedName name="MONTHID">'[3]Misc-Data'!$A$2:$F$85</definedName>
    <definedName name="MONTHS2">#REF!</definedName>
    <definedName name="MONTHS3">#REF!</definedName>
    <definedName name="MONTHS4">#REF!</definedName>
    <definedName name="MONTHS5">#REF!</definedName>
    <definedName name="MONTHS6">#REF!</definedName>
    <definedName name="MONTHS7">#REF!</definedName>
    <definedName name="OIPBBL">#REF!</definedName>
    <definedName name="OIPBBL1">#REF!</definedName>
    <definedName name="PasswordCopy">#REF!</definedName>
    <definedName name="PasswordDG">#REF!</definedName>
    <definedName name="PHASEII">#REF!</definedName>
    <definedName name="PHASEII1">#REF!</definedName>
    <definedName name="PHASEIII">#REF!</definedName>
    <definedName name="PHASEIII1">#REF!</definedName>
    <definedName name="pipedes">'[3]Misc-Data'!$D$2:$F$69</definedName>
    <definedName name="_xlnm.Print_Area" localSheetId="5">'RAP TEMPLATE-GAS AVAILABILITY'!$A$12:$T$663</definedName>
    <definedName name="_xlnm.Print_Area" localSheetId="3">'RAP-HEAVY OIL&amp;WTI'!$A$12:$J$663</definedName>
    <definedName name="_xlnm.Print_Area" localSheetId="2">'RAP-LIGHT OIL'!$A$12:$L$665</definedName>
    <definedName name="_xlnm.Print_Area" localSheetId="4">'RAP-NATURAL GAS PRICES'!$A$13:$AC$664</definedName>
    <definedName name="_xlnm.Print_Area" localSheetId="1">'RAP-SOLID FUEL PRICES'!$A$14:$O$665</definedName>
    <definedName name="_xlnm.Print_Titles" localSheetId="5">'RAP TEMPLATE-GAS AVAILABILITY'!$1:$11</definedName>
    <definedName name="_xlnm.Print_Titles" localSheetId="3">'RAP-HEAVY OIL&amp;WTI'!$1:$11</definedName>
    <definedName name="_xlnm.Print_Titles" localSheetId="2">'RAP-LIGHT OIL'!$1:$11</definedName>
    <definedName name="_xlnm.Print_Titles" localSheetId="4">'RAP-NATURAL GAS PRICES'!$1:$12</definedName>
    <definedName name="_xlnm.Print_Titles" localSheetId="1">'RAP-SOLID FUEL PRICES'!$1:$13</definedName>
    <definedName name="RESULTS">#REF!</definedName>
    <definedName name="RESULTS1">#REF!</definedName>
    <definedName name="RESULTS2">#REF!</definedName>
    <definedName name="RESULTS3">#REF!</definedName>
    <definedName name="RESULTS4">#REF!</definedName>
    <definedName name="RESULTSA">#REF!</definedName>
    <definedName name="RowStart">[2]_Setup_!#REF!</definedName>
    <definedName name="SelectListCopy">#REF!</definedName>
    <definedName name="SFOR">#REF!</definedName>
    <definedName name="SFOR1">#REF!</definedName>
    <definedName name="SourceDBname">#REF!</definedName>
    <definedName name="SourceStudyName">#REF!</definedName>
    <definedName name="SourceStudyNameCopy">#REF!</definedName>
    <definedName name="SourceUserName">#REF!</definedName>
    <definedName name="SrcColRowXC">#REF!</definedName>
    <definedName name="SrcFileXC">#REF!</definedName>
    <definedName name="SrcStartRowColXC">#REF!</definedName>
    <definedName name="SrcWorksheetXC">#REF!</definedName>
    <definedName name="StatusCopy">#REF!</definedName>
    <definedName name="StatusDG">#REF!</definedName>
    <definedName name="StatusXC">#REF!</definedName>
    <definedName name="StudyNameDG">#REF!</definedName>
    <definedName name="SYP">#REF!</definedName>
    <definedName name="SYSGAS">#REF!</definedName>
    <definedName name="TITLES">#REF!</definedName>
    <definedName name="TOBBL">#REF!</definedName>
    <definedName name="TotalRowColXC">#REF!</definedName>
    <definedName name="TransferListDG">#REF!</definedName>
    <definedName name="TTG">#REF!</definedName>
    <definedName name="UserNameCopy">#REF!</definedName>
    <definedName name="UserNameDG">#REF!</definedName>
    <definedName name="VOLUMES">#REF!</definedName>
    <definedName name="VOLUMES1">#REF!</definedName>
    <definedName name="YEAR">#REF!</definedName>
    <definedName name="YEARS">#REF!</definedName>
  </definedNames>
  <calcPr calcId="145621" calcMode="manual"/>
</workbook>
</file>

<file path=xl/calcChain.xml><?xml version="1.0" encoding="utf-8"?>
<calcChain xmlns="http://schemas.openxmlformats.org/spreadsheetml/2006/main">
  <c r="F12" i="6" l="1"/>
  <c r="L12" i="6" s="1"/>
  <c r="Q12" i="6"/>
  <c r="S12" i="6" s="1"/>
  <c r="F13" i="6"/>
  <c r="L13" i="6" s="1"/>
  <c r="Q13" i="6"/>
  <c r="S13" i="6" s="1"/>
  <c r="F14" i="6"/>
  <c r="L14" i="6" s="1"/>
  <c r="Q14" i="6"/>
  <c r="S14" i="6" s="1"/>
  <c r="F15" i="6"/>
  <c r="L15" i="6" s="1"/>
  <c r="Q15" i="6"/>
  <c r="S15" i="6" s="1"/>
  <c r="F16" i="6"/>
  <c r="L16" i="6" s="1"/>
  <c r="Q16" i="6"/>
  <c r="S16" i="6" s="1"/>
  <c r="F17" i="6"/>
  <c r="L17" i="6" s="1"/>
  <c r="Q17" i="6"/>
  <c r="S17" i="6" s="1"/>
  <c r="F18" i="6"/>
  <c r="L18" i="6" s="1"/>
  <c r="Q18" i="6"/>
  <c r="S18" i="6" s="1"/>
  <c r="F19" i="6"/>
  <c r="L19" i="6" s="1"/>
  <c r="Q19" i="6"/>
  <c r="S19" i="6" s="1"/>
  <c r="F20" i="6"/>
  <c r="L20" i="6" s="1"/>
  <c r="Q20" i="6"/>
  <c r="S20" i="6" s="1"/>
  <c r="C24" i="6"/>
  <c r="D24" i="6"/>
  <c r="E24" i="6"/>
  <c r="F24" i="6"/>
  <c r="L24" i="6"/>
  <c r="N24" i="6"/>
  <c r="Q24" i="6"/>
  <c r="R24" i="6"/>
  <c r="S24" i="6"/>
  <c r="T24" i="6"/>
  <c r="C25" i="6"/>
  <c r="D25" i="6"/>
  <c r="E25" i="6"/>
  <c r="F25" i="6"/>
  <c r="L25" i="6"/>
  <c r="N25" i="6"/>
  <c r="Q25" i="6"/>
  <c r="R25" i="6"/>
  <c r="S25" i="6"/>
  <c r="T25" i="6"/>
  <c r="C26" i="6"/>
  <c r="D26" i="6"/>
  <c r="E26" i="6"/>
  <c r="F26" i="6"/>
  <c r="L26" i="6"/>
  <c r="N26" i="6"/>
  <c r="Q26" i="6"/>
  <c r="R26" i="6"/>
  <c r="S26" i="6"/>
  <c r="T26" i="6"/>
  <c r="C27" i="6"/>
  <c r="D27" i="6"/>
  <c r="E27" i="6"/>
  <c r="F27" i="6"/>
  <c r="L27" i="6"/>
  <c r="N27" i="6"/>
  <c r="P27" i="6"/>
  <c r="S27" i="6" s="1"/>
  <c r="R27" i="6"/>
  <c r="Q27" i="6" s="1"/>
  <c r="T27" i="6"/>
  <c r="C28" i="6"/>
  <c r="D28" i="6"/>
  <c r="L28" i="6" s="1"/>
  <c r="E28" i="6"/>
  <c r="F28" i="6"/>
  <c r="N28" i="6"/>
  <c r="P28" i="6"/>
  <c r="Q28" i="6"/>
  <c r="R28" i="6"/>
  <c r="S28" i="6"/>
  <c r="T28" i="6"/>
  <c r="C29" i="6"/>
  <c r="D29" i="6"/>
  <c r="E29" i="6"/>
  <c r="F29" i="6"/>
  <c r="L29" i="6"/>
  <c r="N29" i="6"/>
  <c r="P29" i="6"/>
  <c r="R29" i="6"/>
  <c r="Q29" i="6" s="1"/>
  <c r="T29" i="6"/>
  <c r="C30" i="6"/>
  <c r="D30" i="6"/>
  <c r="L30" i="6" s="1"/>
  <c r="E30" i="6"/>
  <c r="F30" i="6"/>
  <c r="N30" i="6"/>
  <c r="P30" i="6"/>
  <c r="Q30" i="6"/>
  <c r="R30" i="6"/>
  <c r="S30" i="6"/>
  <c r="T30" i="6"/>
  <c r="C31" i="6"/>
  <c r="D31" i="6"/>
  <c r="E31" i="6"/>
  <c r="F31" i="6"/>
  <c r="L31" i="6"/>
  <c r="N31" i="6"/>
  <c r="P31" i="6"/>
  <c r="S31" i="6" s="1"/>
  <c r="R31" i="6"/>
  <c r="Q31" i="6" s="1"/>
  <c r="T31" i="6"/>
  <c r="C32" i="6"/>
  <c r="D32" i="6"/>
  <c r="L32" i="6" s="1"/>
  <c r="E32" i="6"/>
  <c r="F32" i="6"/>
  <c r="N32" i="6"/>
  <c r="P32" i="6"/>
  <c r="Q32" i="6"/>
  <c r="R32" i="6"/>
  <c r="S32" i="6"/>
  <c r="T32" i="6"/>
  <c r="C33" i="6"/>
  <c r="D33" i="6"/>
  <c r="E33" i="6"/>
  <c r="F33" i="6"/>
  <c r="L33" i="6"/>
  <c r="N33" i="6"/>
  <c r="P33" i="6"/>
  <c r="R33" i="6"/>
  <c r="Q33" i="6" s="1"/>
  <c r="T33" i="6"/>
  <c r="C34" i="6"/>
  <c r="D34" i="6"/>
  <c r="L34" i="6" s="1"/>
  <c r="E34" i="6"/>
  <c r="F34" i="6"/>
  <c r="N34" i="6"/>
  <c r="R34" i="6"/>
  <c r="Q34" i="6" s="1"/>
  <c r="S34" i="6" s="1"/>
  <c r="T34" i="6"/>
  <c r="C35" i="6"/>
  <c r="D35" i="6"/>
  <c r="L35" i="6" s="1"/>
  <c r="E35" i="6"/>
  <c r="F35" i="6"/>
  <c r="N35" i="6"/>
  <c r="R35" i="6"/>
  <c r="Q35" i="6" s="1"/>
  <c r="S35" i="6" s="1"/>
  <c r="T35" i="6"/>
  <c r="C36" i="6"/>
  <c r="D36" i="6"/>
  <c r="L36" i="6" s="1"/>
  <c r="E36" i="6"/>
  <c r="F36" i="6"/>
  <c r="N36" i="6"/>
  <c r="R36" i="6"/>
  <c r="Q36" i="6" s="1"/>
  <c r="S36" i="6" s="1"/>
  <c r="T36" i="6"/>
  <c r="C37" i="6"/>
  <c r="D37" i="6"/>
  <c r="L37" i="6" s="1"/>
  <c r="E37" i="6"/>
  <c r="F37" i="6"/>
  <c r="N37" i="6"/>
  <c r="R37" i="6"/>
  <c r="Q37" i="6" s="1"/>
  <c r="S37" i="6" s="1"/>
  <c r="T37" i="6"/>
  <c r="C38" i="6"/>
  <c r="D38" i="6"/>
  <c r="L38" i="6" s="1"/>
  <c r="E38" i="6"/>
  <c r="F38" i="6"/>
  <c r="N38" i="6"/>
  <c r="R38" i="6"/>
  <c r="Q38" i="6" s="1"/>
  <c r="S38" i="6" s="1"/>
  <c r="T38" i="6"/>
  <c r="C39" i="6"/>
  <c r="D39" i="6"/>
  <c r="L39" i="6" s="1"/>
  <c r="E39" i="6"/>
  <c r="F39" i="6"/>
  <c r="N39" i="6"/>
  <c r="P39" i="6"/>
  <c r="Q39" i="6"/>
  <c r="R39" i="6"/>
  <c r="S39" i="6"/>
  <c r="T39" i="6"/>
  <c r="C40" i="6"/>
  <c r="D40" i="6"/>
  <c r="E40" i="6"/>
  <c r="F40" i="6"/>
  <c r="L40" i="6"/>
  <c r="N40" i="6"/>
  <c r="P40" i="6"/>
  <c r="R40" i="6"/>
  <c r="Q40" i="6" s="1"/>
  <c r="T40" i="6"/>
  <c r="C41" i="6"/>
  <c r="D41" i="6"/>
  <c r="L41" i="6" s="1"/>
  <c r="E41" i="6"/>
  <c r="F41" i="6"/>
  <c r="N41" i="6"/>
  <c r="P41" i="6"/>
  <c r="Q41" i="6"/>
  <c r="R41" i="6"/>
  <c r="S41" i="6"/>
  <c r="T41" i="6"/>
  <c r="C42" i="6"/>
  <c r="D42" i="6"/>
  <c r="E42" i="6"/>
  <c r="F42" i="6"/>
  <c r="L42" i="6"/>
  <c r="N42" i="6"/>
  <c r="P42" i="6"/>
  <c r="S42" i="6" s="1"/>
  <c r="R42" i="6"/>
  <c r="Q42" i="6" s="1"/>
  <c r="T42" i="6"/>
  <c r="C43" i="6"/>
  <c r="D43" i="6"/>
  <c r="L43" i="6" s="1"/>
  <c r="E43" i="6"/>
  <c r="F43" i="6"/>
  <c r="N43" i="6"/>
  <c r="P43" i="6"/>
  <c r="Q43" i="6"/>
  <c r="R43" i="6"/>
  <c r="S43" i="6"/>
  <c r="T43" i="6"/>
  <c r="C44" i="6"/>
  <c r="D44" i="6"/>
  <c r="E44" i="6"/>
  <c r="F44" i="6"/>
  <c r="L44" i="6"/>
  <c r="N44" i="6"/>
  <c r="P44" i="6"/>
  <c r="R44" i="6"/>
  <c r="Q44" i="6" s="1"/>
  <c r="T44" i="6"/>
  <c r="C45" i="6"/>
  <c r="D45" i="6"/>
  <c r="L45" i="6" s="1"/>
  <c r="E45" i="6"/>
  <c r="F45" i="6"/>
  <c r="N45" i="6"/>
  <c r="P45" i="6"/>
  <c r="Q45" i="6"/>
  <c r="R45" i="6"/>
  <c r="S45" i="6"/>
  <c r="T45" i="6"/>
  <c r="C46" i="6"/>
  <c r="D46" i="6"/>
  <c r="E46" i="6"/>
  <c r="F46" i="6"/>
  <c r="L46" i="6"/>
  <c r="N46" i="6"/>
  <c r="Q46" i="6"/>
  <c r="R46" i="6"/>
  <c r="S46" i="6"/>
  <c r="T46" i="6"/>
  <c r="C47" i="6"/>
  <c r="D47" i="6"/>
  <c r="E47" i="6"/>
  <c r="F47" i="6"/>
  <c r="L47" i="6"/>
  <c r="N47" i="6"/>
  <c r="Q47" i="6"/>
  <c r="R47" i="6"/>
  <c r="S47" i="6"/>
  <c r="T47" i="6"/>
  <c r="C48" i="6"/>
  <c r="D48" i="6"/>
  <c r="E48" i="6"/>
  <c r="F48" i="6"/>
  <c r="L48" i="6"/>
  <c r="N48" i="6"/>
  <c r="Q48" i="6"/>
  <c r="R48" i="6"/>
  <c r="S48" i="6"/>
  <c r="T48" i="6"/>
  <c r="C49" i="6"/>
  <c r="D49" i="6"/>
  <c r="E49" i="6"/>
  <c r="F49" i="6"/>
  <c r="L49" i="6"/>
  <c r="N49" i="6"/>
  <c r="Q49" i="6"/>
  <c r="R49" i="6"/>
  <c r="S49" i="6"/>
  <c r="T49" i="6"/>
  <c r="C50" i="6"/>
  <c r="D50" i="6"/>
  <c r="E50" i="6"/>
  <c r="F50" i="6"/>
  <c r="L50" i="6"/>
  <c r="N50" i="6"/>
  <c r="Q50" i="6"/>
  <c r="R50" i="6"/>
  <c r="S50" i="6"/>
  <c r="T50" i="6"/>
  <c r="C51" i="6"/>
  <c r="L51" i="6" s="1"/>
  <c r="D51" i="6"/>
  <c r="E51" i="6"/>
  <c r="F51" i="6"/>
  <c r="H51" i="6"/>
  <c r="N51" i="6"/>
  <c r="P51" i="6"/>
  <c r="Q51" i="6"/>
  <c r="R51" i="6"/>
  <c r="S51" i="6"/>
  <c r="T51" i="6"/>
  <c r="C52" i="6"/>
  <c r="L52" i="6" s="1"/>
  <c r="D52" i="6"/>
  <c r="E52" i="6"/>
  <c r="F52" i="6"/>
  <c r="H52" i="6"/>
  <c r="N52" i="6"/>
  <c r="P52" i="6"/>
  <c r="Q52" i="6"/>
  <c r="R52" i="6"/>
  <c r="S52" i="6"/>
  <c r="T52" i="6"/>
  <c r="C53" i="6"/>
  <c r="L53" i="6" s="1"/>
  <c r="D53" i="6"/>
  <c r="E53" i="6"/>
  <c r="F53" i="6"/>
  <c r="H53" i="6"/>
  <c r="N53" i="6"/>
  <c r="P53" i="6"/>
  <c r="Q53" i="6"/>
  <c r="R53" i="6"/>
  <c r="S53" i="6"/>
  <c r="T53" i="6"/>
  <c r="C54" i="6"/>
  <c r="L54" i="6" s="1"/>
  <c r="D54" i="6"/>
  <c r="E54" i="6"/>
  <c r="F54" i="6"/>
  <c r="H54" i="6"/>
  <c r="N54" i="6"/>
  <c r="P54" i="6"/>
  <c r="Q54" i="6"/>
  <c r="R54" i="6"/>
  <c r="S54" i="6"/>
  <c r="T54" i="6"/>
  <c r="C55" i="6"/>
  <c r="L55" i="6" s="1"/>
  <c r="D55" i="6"/>
  <c r="E55" i="6"/>
  <c r="F55" i="6"/>
  <c r="H55" i="6"/>
  <c r="N55" i="6"/>
  <c r="P55" i="6"/>
  <c r="Q55" i="6"/>
  <c r="R55" i="6"/>
  <c r="S55" i="6"/>
  <c r="T55" i="6"/>
  <c r="C56" i="6"/>
  <c r="L56" i="6" s="1"/>
  <c r="D56" i="6"/>
  <c r="E56" i="6"/>
  <c r="F56" i="6"/>
  <c r="H56" i="6"/>
  <c r="N56" i="6"/>
  <c r="P56" i="6"/>
  <c r="Q56" i="6"/>
  <c r="R56" i="6"/>
  <c r="S56" i="6"/>
  <c r="T56" i="6"/>
  <c r="C57" i="6"/>
  <c r="L57" i="6" s="1"/>
  <c r="D57" i="6"/>
  <c r="E57" i="6"/>
  <c r="F57" i="6"/>
  <c r="H57" i="6"/>
  <c r="N57" i="6"/>
  <c r="P57" i="6"/>
  <c r="Q57" i="6"/>
  <c r="R57" i="6"/>
  <c r="S57" i="6"/>
  <c r="T57" i="6"/>
  <c r="C58" i="6"/>
  <c r="D58" i="6"/>
  <c r="E58" i="6"/>
  <c r="F58" i="6"/>
  <c r="L58" i="6"/>
  <c r="N58" i="6"/>
  <c r="Q58" i="6"/>
  <c r="R58" i="6"/>
  <c r="S58" i="6"/>
  <c r="T58" i="6"/>
  <c r="C59" i="6"/>
  <c r="D59" i="6"/>
  <c r="E59" i="6"/>
  <c r="F59" i="6"/>
  <c r="L59" i="6"/>
  <c r="N59" i="6"/>
  <c r="Q59" i="6"/>
  <c r="R59" i="6"/>
  <c r="S59" i="6"/>
  <c r="T59" i="6"/>
  <c r="C60" i="6"/>
  <c r="D60" i="6"/>
  <c r="E60" i="6"/>
  <c r="F60" i="6"/>
  <c r="L60" i="6"/>
  <c r="N60" i="6"/>
  <c r="Q60" i="6"/>
  <c r="R60" i="6"/>
  <c r="S60" i="6"/>
  <c r="T60" i="6"/>
  <c r="C61" i="6"/>
  <c r="D61" i="6"/>
  <c r="E61" i="6"/>
  <c r="F61" i="6"/>
  <c r="L61" i="6"/>
  <c r="N61" i="6"/>
  <c r="Q61" i="6"/>
  <c r="R61" i="6"/>
  <c r="S61" i="6"/>
  <c r="T61" i="6"/>
  <c r="C62" i="6"/>
  <c r="D62" i="6"/>
  <c r="E62" i="6"/>
  <c r="F62" i="6"/>
  <c r="L62" i="6"/>
  <c r="N62" i="6"/>
  <c r="Q62" i="6"/>
  <c r="R62" i="6"/>
  <c r="S62" i="6"/>
  <c r="T62" i="6"/>
  <c r="C63" i="6"/>
  <c r="L63" i="6" s="1"/>
  <c r="D63" i="6"/>
  <c r="E63" i="6"/>
  <c r="F63" i="6"/>
  <c r="H63" i="6"/>
  <c r="N63" i="6"/>
  <c r="R63" i="6"/>
  <c r="Q63" i="6" s="1"/>
  <c r="S63" i="6" s="1"/>
  <c r="T63" i="6"/>
  <c r="C64" i="6"/>
  <c r="D64" i="6"/>
  <c r="L64" i="6" s="1"/>
  <c r="E64" i="6"/>
  <c r="F64" i="6"/>
  <c r="H64" i="6"/>
  <c r="I64" i="6"/>
  <c r="N64" i="6"/>
  <c r="R64" i="6"/>
  <c r="Q64" i="6" s="1"/>
  <c r="S64" i="6" s="1"/>
  <c r="T64" i="6"/>
  <c r="C65" i="6"/>
  <c r="D65" i="6"/>
  <c r="L65" i="6" s="1"/>
  <c r="E65" i="6"/>
  <c r="F65" i="6"/>
  <c r="H65" i="6"/>
  <c r="I65" i="6"/>
  <c r="N65" i="6"/>
  <c r="R65" i="6"/>
  <c r="Q65" i="6" s="1"/>
  <c r="S65" i="6" s="1"/>
  <c r="T65" i="6"/>
  <c r="C66" i="6"/>
  <c r="D66" i="6"/>
  <c r="L66" i="6" s="1"/>
  <c r="E66" i="6"/>
  <c r="F66" i="6"/>
  <c r="H66" i="6"/>
  <c r="I66" i="6"/>
  <c r="N66" i="6"/>
  <c r="R66" i="6"/>
  <c r="Q66" i="6" s="1"/>
  <c r="S66" i="6" s="1"/>
  <c r="T66" i="6"/>
  <c r="C67" i="6"/>
  <c r="D67" i="6"/>
  <c r="L67" i="6" s="1"/>
  <c r="E67" i="6"/>
  <c r="F67" i="6"/>
  <c r="H67" i="6"/>
  <c r="I67" i="6"/>
  <c r="N67" i="6"/>
  <c r="R67" i="6"/>
  <c r="Q67" i="6" s="1"/>
  <c r="S67" i="6" s="1"/>
  <c r="T67" i="6"/>
  <c r="C68" i="6"/>
  <c r="D68" i="6"/>
  <c r="L68" i="6" s="1"/>
  <c r="E68" i="6"/>
  <c r="F68" i="6"/>
  <c r="H68" i="6"/>
  <c r="I68" i="6"/>
  <c r="N68" i="6"/>
  <c r="R68" i="6"/>
  <c r="Q68" i="6" s="1"/>
  <c r="S68" i="6" s="1"/>
  <c r="T68" i="6"/>
  <c r="C69" i="6"/>
  <c r="D69" i="6"/>
  <c r="L69" i="6" s="1"/>
  <c r="E69" i="6"/>
  <c r="F69" i="6"/>
  <c r="H69" i="6"/>
  <c r="I69" i="6"/>
  <c r="N69" i="6"/>
  <c r="R69" i="6"/>
  <c r="Q69" i="6" s="1"/>
  <c r="S69" i="6" s="1"/>
  <c r="T69" i="6"/>
  <c r="C70" i="6"/>
  <c r="D70" i="6"/>
  <c r="E70" i="6"/>
  <c r="F70" i="6"/>
  <c r="I70" i="6"/>
  <c r="L70" i="6"/>
  <c r="N70" i="6"/>
  <c r="Q70" i="6"/>
  <c r="R70" i="6"/>
  <c r="S70" i="6"/>
  <c r="T70" i="6"/>
  <c r="C71" i="6"/>
  <c r="D71" i="6"/>
  <c r="E71" i="6"/>
  <c r="F71" i="6"/>
  <c r="I71" i="6"/>
  <c r="N71" i="6"/>
  <c r="R71" i="6"/>
  <c r="Q71" i="6" s="1"/>
  <c r="S71" i="6" s="1"/>
  <c r="T71" i="6"/>
  <c r="C72" i="6"/>
  <c r="L72" i="6" s="1"/>
  <c r="D72" i="6"/>
  <c r="E72" i="6"/>
  <c r="F72" i="6"/>
  <c r="I72" i="6"/>
  <c r="N72" i="6"/>
  <c r="R72" i="6"/>
  <c r="Q72" i="6" s="1"/>
  <c r="S72" i="6" s="1"/>
  <c r="T72" i="6"/>
  <c r="C73" i="6"/>
  <c r="D73" i="6"/>
  <c r="E73" i="6"/>
  <c r="F73" i="6"/>
  <c r="I73" i="6"/>
  <c r="L73" i="6"/>
  <c r="N73" i="6"/>
  <c r="Q73" i="6"/>
  <c r="R73" i="6"/>
  <c r="S73" i="6"/>
  <c r="T73" i="6"/>
  <c r="C74" i="6"/>
  <c r="L74" i="6" s="1"/>
  <c r="D74" i="6"/>
  <c r="E74" i="6"/>
  <c r="F74" i="6"/>
  <c r="I74" i="6"/>
  <c r="N74" i="6"/>
  <c r="R74" i="6"/>
  <c r="Q74" i="6" s="1"/>
  <c r="S74" i="6" s="1"/>
  <c r="T74" i="6"/>
  <c r="C75" i="6"/>
  <c r="D75" i="6"/>
  <c r="L75" i="6" s="1"/>
  <c r="E75" i="6"/>
  <c r="F75" i="6"/>
  <c r="H75" i="6"/>
  <c r="I75" i="6"/>
  <c r="N75" i="6"/>
  <c r="R75" i="6"/>
  <c r="Q75" i="6" s="1"/>
  <c r="S75" i="6" s="1"/>
  <c r="T75" i="6"/>
  <c r="C76" i="6"/>
  <c r="D76" i="6"/>
  <c r="L76" i="6" s="1"/>
  <c r="E76" i="6"/>
  <c r="F76" i="6"/>
  <c r="H76" i="6"/>
  <c r="I76" i="6"/>
  <c r="N76" i="6"/>
  <c r="R76" i="6"/>
  <c r="Q76" i="6" s="1"/>
  <c r="S76" i="6" s="1"/>
  <c r="T76" i="6"/>
  <c r="C77" i="6"/>
  <c r="D77" i="6"/>
  <c r="L77" i="6" s="1"/>
  <c r="E77" i="6"/>
  <c r="F77" i="6"/>
  <c r="H77" i="6"/>
  <c r="I77" i="6"/>
  <c r="N77" i="6"/>
  <c r="R77" i="6"/>
  <c r="Q77" i="6" s="1"/>
  <c r="S77" i="6" s="1"/>
  <c r="T77" i="6"/>
  <c r="C78" i="6"/>
  <c r="D78" i="6"/>
  <c r="L78" i="6" s="1"/>
  <c r="E78" i="6"/>
  <c r="F78" i="6"/>
  <c r="H78" i="6"/>
  <c r="I78" i="6"/>
  <c r="N78" i="6"/>
  <c r="R78" i="6"/>
  <c r="Q78" i="6" s="1"/>
  <c r="S78" i="6" s="1"/>
  <c r="T78" i="6"/>
  <c r="C79" i="6"/>
  <c r="D79" i="6"/>
  <c r="L79" i="6" s="1"/>
  <c r="E79" i="6"/>
  <c r="F79" i="6"/>
  <c r="H79" i="6"/>
  <c r="I79" i="6"/>
  <c r="N79" i="6"/>
  <c r="R79" i="6"/>
  <c r="Q79" i="6" s="1"/>
  <c r="S79" i="6" s="1"/>
  <c r="T79" i="6"/>
  <c r="C80" i="6"/>
  <c r="D80" i="6"/>
  <c r="L80" i="6" s="1"/>
  <c r="E80" i="6"/>
  <c r="F80" i="6"/>
  <c r="H80" i="6"/>
  <c r="I80" i="6"/>
  <c r="N80" i="6"/>
  <c r="R80" i="6"/>
  <c r="Q80" i="6" s="1"/>
  <c r="S80" i="6" s="1"/>
  <c r="T80" i="6"/>
  <c r="C81" i="6"/>
  <c r="D81" i="6"/>
  <c r="L81" i="6" s="1"/>
  <c r="E81" i="6"/>
  <c r="F81" i="6"/>
  <c r="H81" i="6"/>
  <c r="I81" i="6"/>
  <c r="N81" i="6"/>
  <c r="R81" i="6"/>
  <c r="Q81" i="6" s="1"/>
  <c r="S81" i="6" s="1"/>
  <c r="T81" i="6"/>
  <c r="C82" i="6"/>
  <c r="D82" i="6"/>
  <c r="E82" i="6"/>
  <c r="F82" i="6"/>
  <c r="I82" i="6"/>
  <c r="L82" i="6"/>
  <c r="N82" i="6"/>
  <c r="Q82" i="6"/>
  <c r="R82" i="6"/>
  <c r="S82" i="6"/>
  <c r="T82" i="6"/>
  <c r="C83" i="6"/>
  <c r="L83" i="6" s="1"/>
  <c r="D83" i="6"/>
  <c r="E83" i="6"/>
  <c r="F83" i="6"/>
  <c r="I83" i="6"/>
  <c r="N83" i="6"/>
  <c r="R83" i="6"/>
  <c r="Q83" i="6" s="1"/>
  <c r="S83" i="6" s="1"/>
  <c r="T83" i="6"/>
  <c r="C84" i="6"/>
  <c r="D84" i="6"/>
  <c r="E84" i="6"/>
  <c r="F84" i="6"/>
  <c r="I84" i="6"/>
  <c r="L84" i="6"/>
  <c r="N84" i="6"/>
  <c r="Q84" i="6"/>
  <c r="R84" i="6"/>
  <c r="S84" i="6"/>
  <c r="T84" i="6"/>
  <c r="C85" i="6"/>
  <c r="L85" i="6" s="1"/>
  <c r="D85" i="6"/>
  <c r="E85" i="6"/>
  <c r="F85" i="6"/>
  <c r="I85" i="6"/>
  <c r="N85" i="6"/>
  <c r="R85" i="6"/>
  <c r="Q85" i="6" s="1"/>
  <c r="S85" i="6" s="1"/>
  <c r="T85" i="6"/>
  <c r="C86" i="6"/>
  <c r="D86" i="6"/>
  <c r="E86" i="6"/>
  <c r="F86" i="6"/>
  <c r="I86" i="6"/>
  <c r="L86" i="6"/>
  <c r="N86" i="6"/>
  <c r="Q86" i="6"/>
  <c r="R86" i="6"/>
  <c r="S86" i="6"/>
  <c r="T86" i="6"/>
  <c r="C87" i="6"/>
  <c r="D87" i="6"/>
  <c r="E87" i="6"/>
  <c r="F87" i="6"/>
  <c r="H87" i="6"/>
  <c r="I87" i="6"/>
  <c r="L87" i="6"/>
  <c r="N87" i="6"/>
  <c r="Q87" i="6"/>
  <c r="R87" i="6"/>
  <c r="S87" i="6"/>
  <c r="T87" i="6"/>
  <c r="C88" i="6"/>
  <c r="D88" i="6"/>
  <c r="E88" i="6"/>
  <c r="F88" i="6"/>
  <c r="H88" i="6"/>
  <c r="I88" i="6"/>
  <c r="L88" i="6"/>
  <c r="N88" i="6"/>
  <c r="Q88" i="6"/>
  <c r="R88" i="6"/>
  <c r="S88" i="6"/>
  <c r="T88" i="6"/>
  <c r="C89" i="6"/>
  <c r="D89" i="6"/>
  <c r="E89" i="6"/>
  <c r="F89" i="6"/>
  <c r="H89" i="6"/>
  <c r="I89" i="6"/>
  <c r="L89" i="6"/>
  <c r="N89" i="6"/>
  <c r="Q89" i="6"/>
  <c r="R89" i="6"/>
  <c r="S89" i="6"/>
  <c r="T89" i="6"/>
  <c r="C90" i="6"/>
  <c r="D90" i="6"/>
  <c r="E90" i="6"/>
  <c r="F90" i="6"/>
  <c r="H90" i="6"/>
  <c r="I90" i="6"/>
  <c r="L90" i="6"/>
  <c r="N90" i="6"/>
  <c r="Q90" i="6"/>
  <c r="R90" i="6"/>
  <c r="S90" i="6"/>
  <c r="T90" i="6"/>
  <c r="C91" i="6"/>
  <c r="D91" i="6"/>
  <c r="E91" i="6"/>
  <c r="F91" i="6"/>
  <c r="H91" i="6"/>
  <c r="I91" i="6"/>
  <c r="L91" i="6"/>
  <c r="N91" i="6"/>
  <c r="Q91" i="6"/>
  <c r="R91" i="6"/>
  <c r="S91" i="6"/>
  <c r="T91" i="6"/>
  <c r="C92" i="6"/>
  <c r="D92" i="6"/>
  <c r="E92" i="6"/>
  <c r="F92" i="6"/>
  <c r="H92" i="6"/>
  <c r="I92" i="6"/>
  <c r="L92" i="6"/>
  <c r="N92" i="6"/>
  <c r="Q92" i="6"/>
  <c r="R92" i="6"/>
  <c r="S92" i="6"/>
  <c r="T92" i="6"/>
  <c r="C93" i="6"/>
  <c r="D93" i="6"/>
  <c r="E93" i="6"/>
  <c r="F93" i="6"/>
  <c r="H93" i="6"/>
  <c r="I93" i="6"/>
  <c r="L93" i="6"/>
  <c r="N93" i="6"/>
  <c r="Q93" i="6"/>
  <c r="R93" i="6"/>
  <c r="S93" i="6"/>
  <c r="T93" i="6"/>
  <c r="C94" i="6"/>
  <c r="L94" i="6" s="1"/>
  <c r="D94" i="6"/>
  <c r="E94" i="6"/>
  <c r="F94" i="6"/>
  <c r="I94" i="6"/>
  <c r="N94" i="6"/>
  <c r="R94" i="6"/>
  <c r="Q94" i="6" s="1"/>
  <c r="S94" i="6" s="1"/>
  <c r="T94" i="6"/>
  <c r="C95" i="6"/>
  <c r="D95" i="6"/>
  <c r="E95" i="6"/>
  <c r="F95" i="6"/>
  <c r="I95" i="6"/>
  <c r="L95" i="6"/>
  <c r="N95" i="6"/>
  <c r="Q95" i="6"/>
  <c r="R95" i="6"/>
  <c r="S95" i="6"/>
  <c r="T95" i="6"/>
  <c r="C96" i="6"/>
  <c r="L96" i="6" s="1"/>
  <c r="D96" i="6"/>
  <c r="E96" i="6"/>
  <c r="F96" i="6"/>
  <c r="I96" i="6"/>
  <c r="N96" i="6"/>
  <c r="R96" i="6"/>
  <c r="Q96" i="6" s="1"/>
  <c r="S96" i="6" s="1"/>
  <c r="T96" i="6"/>
  <c r="C97" i="6"/>
  <c r="D97" i="6"/>
  <c r="E97" i="6"/>
  <c r="F97" i="6"/>
  <c r="I97" i="6"/>
  <c r="L97" i="6"/>
  <c r="N97" i="6"/>
  <c r="Q97" i="6"/>
  <c r="R97" i="6"/>
  <c r="S97" i="6"/>
  <c r="T97" i="6"/>
  <c r="C98" i="6"/>
  <c r="L98" i="6" s="1"/>
  <c r="D98" i="6"/>
  <c r="E98" i="6"/>
  <c r="F98" i="6"/>
  <c r="I98" i="6"/>
  <c r="N98" i="6"/>
  <c r="R98" i="6"/>
  <c r="Q98" i="6" s="1"/>
  <c r="S98" i="6" s="1"/>
  <c r="T98" i="6"/>
  <c r="C99" i="6"/>
  <c r="D99" i="6"/>
  <c r="L99" i="6" s="1"/>
  <c r="E99" i="6"/>
  <c r="F99" i="6"/>
  <c r="H99" i="6"/>
  <c r="I99" i="6"/>
  <c r="N99" i="6"/>
  <c r="R99" i="6"/>
  <c r="Q99" i="6" s="1"/>
  <c r="S99" i="6" s="1"/>
  <c r="T99" i="6"/>
  <c r="C100" i="6"/>
  <c r="D100" i="6"/>
  <c r="L100" i="6" s="1"/>
  <c r="E100" i="6"/>
  <c r="F100" i="6"/>
  <c r="H100" i="6"/>
  <c r="I100" i="6"/>
  <c r="N100" i="6"/>
  <c r="R100" i="6"/>
  <c r="Q100" i="6" s="1"/>
  <c r="S100" i="6" s="1"/>
  <c r="T100" i="6"/>
  <c r="C101" i="6"/>
  <c r="D101" i="6"/>
  <c r="L101" i="6" s="1"/>
  <c r="E101" i="6"/>
  <c r="F101" i="6"/>
  <c r="H101" i="6"/>
  <c r="I101" i="6"/>
  <c r="N101" i="6"/>
  <c r="R101" i="6"/>
  <c r="Q101" i="6" s="1"/>
  <c r="S101" i="6" s="1"/>
  <c r="T101" i="6"/>
  <c r="C102" i="6"/>
  <c r="D102" i="6"/>
  <c r="L102" i="6" s="1"/>
  <c r="E102" i="6"/>
  <c r="F102" i="6"/>
  <c r="H102" i="6"/>
  <c r="I102" i="6"/>
  <c r="N102" i="6"/>
  <c r="R102" i="6"/>
  <c r="Q102" i="6" s="1"/>
  <c r="S102" i="6" s="1"/>
  <c r="T102" i="6"/>
  <c r="C103" i="6"/>
  <c r="D103" i="6"/>
  <c r="L103" i="6" s="1"/>
  <c r="E103" i="6"/>
  <c r="F103" i="6"/>
  <c r="H103" i="6"/>
  <c r="I103" i="6"/>
  <c r="N103" i="6"/>
  <c r="R103" i="6"/>
  <c r="Q103" i="6" s="1"/>
  <c r="S103" i="6" s="1"/>
  <c r="T103" i="6"/>
  <c r="C104" i="6"/>
  <c r="D104" i="6"/>
  <c r="L104" i="6" s="1"/>
  <c r="E104" i="6"/>
  <c r="F104" i="6"/>
  <c r="H104" i="6"/>
  <c r="I104" i="6"/>
  <c r="N104" i="6"/>
  <c r="R104" i="6"/>
  <c r="Q104" i="6" s="1"/>
  <c r="S104" i="6" s="1"/>
  <c r="T104" i="6"/>
  <c r="C105" i="6"/>
  <c r="D105" i="6"/>
  <c r="L105" i="6" s="1"/>
  <c r="E105" i="6"/>
  <c r="F105" i="6"/>
  <c r="H105" i="6"/>
  <c r="I105" i="6"/>
  <c r="N105" i="6"/>
  <c r="R105" i="6"/>
  <c r="Q105" i="6" s="1"/>
  <c r="S105" i="6" s="1"/>
  <c r="T105" i="6"/>
  <c r="C106" i="6"/>
  <c r="D106" i="6"/>
  <c r="E106" i="6"/>
  <c r="F106" i="6"/>
  <c r="I106" i="6"/>
  <c r="L106" i="6"/>
  <c r="N106" i="6"/>
  <c r="Q106" i="6"/>
  <c r="R106" i="6"/>
  <c r="S106" i="6"/>
  <c r="T106" i="6"/>
  <c r="C107" i="6"/>
  <c r="L107" i="6" s="1"/>
  <c r="D107" i="6"/>
  <c r="E107" i="6"/>
  <c r="F107" i="6"/>
  <c r="I107" i="6"/>
  <c r="N107" i="6"/>
  <c r="R107" i="6"/>
  <c r="Q107" i="6" s="1"/>
  <c r="S107" i="6" s="1"/>
  <c r="T107" i="6"/>
  <c r="C108" i="6"/>
  <c r="D108" i="6"/>
  <c r="E108" i="6"/>
  <c r="F108" i="6"/>
  <c r="I108" i="6"/>
  <c r="L108" i="6"/>
  <c r="N108" i="6"/>
  <c r="Q108" i="6"/>
  <c r="R108" i="6"/>
  <c r="S108" i="6"/>
  <c r="T108" i="6"/>
  <c r="C109" i="6"/>
  <c r="L109" i="6" s="1"/>
  <c r="D109" i="6"/>
  <c r="E109" i="6"/>
  <c r="F109" i="6"/>
  <c r="I109" i="6"/>
  <c r="N109" i="6"/>
  <c r="R109" i="6"/>
  <c r="Q109" i="6" s="1"/>
  <c r="S109" i="6" s="1"/>
  <c r="T109" i="6"/>
  <c r="C110" i="6"/>
  <c r="D110" i="6"/>
  <c r="E110" i="6"/>
  <c r="F110" i="6"/>
  <c r="I110" i="6"/>
  <c r="L110" i="6"/>
  <c r="N110" i="6"/>
  <c r="Q110" i="6"/>
  <c r="R110" i="6"/>
  <c r="S110" i="6"/>
  <c r="T110" i="6"/>
  <c r="C111" i="6"/>
  <c r="D111" i="6"/>
  <c r="E111" i="6"/>
  <c r="F111" i="6"/>
  <c r="H111" i="6"/>
  <c r="I111" i="6"/>
  <c r="L111" i="6"/>
  <c r="N111" i="6"/>
  <c r="Q111" i="6"/>
  <c r="R111" i="6"/>
  <c r="S111" i="6"/>
  <c r="T111" i="6"/>
  <c r="C112" i="6"/>
  <c r="D112" i="6"/>
  <c r="E112" i="6"/>
  <c r="F112" i="6"/>
  <c r="H112" i="6"/>
  <c r="I112" i="6"/>
  <c r="L112" i="6"/>
  <c r="N112" i="6"/>
  <c r="Q112" i="6"/>
  <c r="R112" i="6"/>
  <c r="S112" i="6"/>
  <c r="T112" i="6"/>
  <c r="C113" i="6"/>
  <c r="D113" i="6"/>
  <c r="E113" i="6"/>
  <c r="F113" i="6"/>
  <c r="H113" i="6"/>
  <c r="I113" i="6"/>
  <c r="L113" i="6"/>
  <c r="N113" i="6"/>
  <c r="Q113" i="6"/>
  <c r="R113" i="6"/>
  <c r="S113" i="6"/>
  <c r="T113" i="6"/>
  <c r="C114" i="6"/>
  <c r="D114" i="6"/>
  <c r="E114" i="6"/>
  <c r="F114" i="6"/>
  <c r="H114" i="6"/>
  <c r="I114" i="6"/>
  <c r="L114" i="6"/>
  <c r="N114" i="6"/>
  <c r="Q114" i="6"/>
  <c r="R114" i="6"/>
  <c r="S114" i="6"/>
  <c r="T114" i="6"/>
  <c r="C115" i="6"/>
  <c r="D115" i="6"/>
  <c r="E115" i="6"/>
  <c r="F115" i="6"/>
  <c r="H115" i="6"/>
  <c r="I115" i="6"/>
  <c r="L115" i="6"/>
  <c r="N115" i="6"/>
  <c r="Q115" i="6"/>
  <c r="R115" i="6"/>
  <c r="S115" i="6"/>
  <c r="T115" i="6"/>
  <c r="C116" i="6"/>
  <c r="D116" i="6"/>
  <c r="E116" i="6"/>
  <c r="F116" i="6"/>
  <c r="H116" i="6"/>
  <c r="I116" i="6"/>
  <c r="L116" i="6"/>
  <c r="N116" i="6"/>
  <c r="Q116" i="6"/>
  <c r="R116" i="6"/>
  <c r="S116" i="6"/>
  <c r="T116" i="6"/>
  <c r="C117" i="6"/>
  <c r="D117" i="6"/>
  <c r="E117" i="6"/>
  <c r="F117" i="6"/>
  <c r="H117" i="6"/>
  <c r="I117" i="6"/>
  <c r="L117" i="6"/>
  <c r="N117" i="6"/>
  <c r="Q117" i="6"/>
  <c r="R117" i="6"/>
  <c r="S117" i="6"/>
  <c r="T117" i="6"/>
  <c r="C118" i="6"/>
  <c r="L118" i="6" s="1"/>
  <c r="D118" i="6"/>
  <c r="E118" i="6"/>
  <c r="F118" i="6"/>
  <c r="I118" i="6"/>
  <c r="N118" i="6"/>
  <c r="R118" i="6"/>
  <c r="Q118" i="6" s="1"/>
  <c r="S118" i="6" s="1"/>
  <c r="T118" i="6"/>
  <c r="C119" i="6"/>
  <c r="D119" i="6"/>
  <c r="E119" i="6"/>
  <c r="F119" i="6"/>
  <c r="I119" i="6"/>
  <c r="L119" i="6"/>
  <c r="N119" i="6"/>
  <c r="Q119" i="6"/>
  <c r="R119" i="6"/>
  <c r="S119" i="6"/>
  <c r="T119" i="6"/>
  <c r="C120" i="6"/>
  <c r="L120" i="6" s="1"/>
  <c r="D120" i="6"/>
  <c r="E120" i="6"/>
  <c r="F120" i="6"/>
  <c r="I120" i="6"/>
  <c r="N120" i="6"/>
  <c r="R120" i="6"/>
  <c r="Q120" i="6" s="1"/>
  <c r="S120" i="6" s="1"/>
  <c r="T120" i="6"/>
  <c r="C121" i="6"/>
  <c r="D121" i="6"/>
  <c r="E121" i="6"/>
  <c r="F121" i="6"/>
  <c r="I121" i="6"/>
  <c r="L121" i="6"/>
  <c r="N121" i="6"/>
  <c r="Q121" i="6"/>
  <c r="R121" i="6"/>
  <c r="S121" i="6"/>
  <c r="T121" i="6"/>
  <c r="C122" i="6"/>
  <c r="L122" i="6" s="1"/>
  <c r="D122" i="6"/>
  <c r="E122" i="6"/>
  <c r="F122" i="6"/>
  <c r="I122" i="6"/>
  <c r="N122" i="6"/>
  <c r="R122" i="6"/>
  <c r="Q122" i="6" s="1"/>
  <c r="S122" i="6" s="1"/>
  <c r="T122" i="6"/>
  <c r="C123" i="6"/>
  <c r="D123" i="6"/>
  <c r="L123" i="6" s="1"/>
  <c r="E123" i="6"/>
  <c r="F123" i="6"/>
  <c r="H123" i="6"/>
  <c r="I123" i="6"/>
  <c r="N123" i="6"/>
  <c r="R123" i="6"/>
  <c r="Q123" i="6" s="1"/>
  <c r="S123" i="6" s="1"/>
  <c r="T123" i="6"/>
  <c r="C124" i="6"/>
  <c r="D124" i="6"/>
  <c r="L124" i="6" s="1"/>
  <c r="E124" i="6"/>
  <c r="F124" i="6"/>
  <c r="H124" i="6"/>
  <c r="I124" i="6"/>
  <c r="N124" i="6"/>
  <c r="R124" i="6"/>
  <c r="Q124" i="6" s="1"/>
  <c r="S124" i="6" s="1"/>
  <c r="T124" i="6"/>
  <c r="C125" i="6"/>
  <c r="D125" i="6"/>
  <c r="L125" i="6" s="1"/>
  <c r="E125" i="6"/>
  <c r="F125" i="6"/>
  <c r="H125" i="6"/>
  <c r="I125" i="6"/>
  <c r="N125" i="6"/>
  <c r="R125" i="6"/>
  <c r="Q125" i="6" s="1"/>
  <c r="S125" i="6" s="1"/>
  <c r="T125" i="6"/>
  <c r="C126" i="6"/>
  <c r="D126" i="6"/>
  <c r="L126" i="6" s="1"/>
  <c r="E126" i="6"/>
  <c r="F126" i="6"/>
  <c r="H126" i="6"/>
  <c r="I126" i="6"/>
  <c r="N126" i="6"/>
  <c r="R126" i="6"/>
  <c r="Q126" i="6" s="1"/>
  <c r="S126" i="6" s="1"/>
  <c r="T126" i="6"/>
  <c r="C127" i="6"/>
  <c r="D127" i="6"/>
  <c r="L127" i="6" s="1"/>
  <c r="E127" i="6"/>
  <c r="F127" i="6"/>
  <c r="H127" i="6"/>
  <c r="I127" i="6"/>
  <c r="N127" i="6"/>
  <c r="R127" i="6"/>
  <c r="Q127" i="6" s="1"/>
  <c r="S127" i="6" s="1"/>
  <c r="T127" i="6"/>
  <c r="C128" i="6"/>
  <c r="D128" i="6"/>
  <c r="L128" i="6" s="1"/>
  <c r="E128" i="6"/>
  <c r="F128" i="6"/>
  <c r="H128" i="6"/>
  <c r="I128" i="6"/>
  <c r="N128" i="6"/>
  <c r="R128" i="6"/>
  <c r="Q128" i="6" s="1"/>
  <c r="S128" i="6" s="1"/>
  <c r="T128" i="6"/>
  <c r="C129" i="6"/>
  <c r="D129" i="6"/>
  <c r="L129" i="6" s="1"/>
  <c r="E129" i="6"/>
  <c r="F129" i="6"/>
  <c r="H129" i="6"/>
  <c r="I129" i="6"/>
  <c r="N129" i="6"/>
  <c r="R129" i="6"/>
  <c r="Q129" i="6" s="1"/>
  <c r="S129" i="6" s="1"/>
  <c r="T129" i="6"/>
  <c r="C130" i="6"/>
  <c r="D130" i="6"/>
  <c r="E130" i="6"/>
  <c r="F130" i="6"/>
  <c r="I130" i="6"/>
  <c r="L130" i="6"/>
  <c r="N130" i="6"/>
  <c r="Q130" i="6"/>
  <c r="R130" i="6"/>
  <c r="S130" i="6"/>
  <c r="T130" i="6"/>
  <c r="C131" i="6"/>
  <c r="L131" i="6" s="1"/>
  <c r="D131" i="6"/>
  <c r="E131" i="6"/>
  <c r="F131" i="6"/>
  <c r="I131" i="6"/>
  <c r="N131" i="6"/>
  <c r="R131" i="6"/>
  <c r="Q131" i="6" s="1"/>
  <c r="S131" i="6" s="1"/>
  <c r="T131" i="6"/>
  <c r="C132" i="6"/>
  <c r="D132" i="6"/>
  <c r="E132" i="6"/>
  <c r="F132" i="6"/>
  <c r="I132" i="6"/>
  <c r="L132" i="6"/>
  <c r="N132" i="6"/>
  <c r="Q132" i="6"/>
  <c r="R132" i="6"/>
  <c r="S132" i="6"/>
  <c r="T132" i="6"/>
  <c r="C133" i="6"/>
  <c r="L133" i="6" s="1"/>
  <c r="D133" i="6"/>
  <c r="E133" i="6"/>
  <c r="F133" i="6"/>
  <c r="I133" i="6"/>
  <c r="N133" i="6"/>
  <c r="R133" i="6"/>
  <c r="Q133" i="6" s="1"/>
  <c r="S133" i="6" s="1"/>
  <c r="T133" i="6"/>
  <c r="C134" i="6"/>
  <c r="D134" i="6"/>
  <c r="E134" i="6"/>
  <c r="F134" i="6"/>
  <c r="I134" i="6"/>
  <c r="L134" i="6"/>
  <c r="N134" i="6"/>
  <c r="Q134" i="6"/>
  <c r="R134" i="6"/>
  <c r="S134" i="6"/>
  <c r="T134" i="6"/>
  <c r="C135" i="6"/>
  <c r="D135" i="6"/>
  <c r="E135" i="6"/>
  <c r="F135" i="6"/>
  <c r="H135" i="6"/>
  <c r="I135" i="6"/>
  <c r="L135" i="6"/>
  <c r="N135" i="6"/>
  <c r="Q135" i="6"/>
  <c r="R135" i="6"/>
  <c r="S135" i="6"/>
  <c r="T135" i="6"/>
  <c r="C136" i="6"/>
  <c r="D136" i="6"/>
  <c r="E136" i="6"/>
  <c r="F136" i="6"/>
  <c r="H136" i="6"/>
  <c r="I136" i="6"/>
  <c r="L136" i="6"/>
  <c r="N136" i="6"/>
  <c r="Q136" i="6"/>
  <c r="R136" i="6"/>
  <c r="S136" i="6"/>
  <c r="T136" i="6"/>
  <c r="C137" i="6"/>
  <c r="D137" i="6"/>
  <c r="E137" i="6"/>
  <c r="F137" i="6"/>
  <c r="H137" i="6"/>
  <c r="I137" i="6"/>
  <c r="L137" i="6"/>
  <c r="N137" i="6"/>
  <c r="Q137" i="6"/>
  <c r="R137" i="6"/>
  <c r="S137" i="6"/>
  <c r="T137" i="6"/>
  <c r="C138" i="6"/>
  <c r="D138" i="6"/>
  <c r="E138" i="6"/>
  <c r="F138" i="6"/>
  <c r="H138" i="6"/>
  <c r="I138" i="6"/>
  <c r="L138" i="6"/>
  <c r="N138" i="6"/>
  <c r="Q138" i="6"/>
  <c r="R138" i="6"/>
  <c r="S138" i="6"/>
  <c r="T138" i="6"/>
  <c r="C139" i="6"/>
  <c r="D139" i="6"/>
  <c r="E139" i="6"/>
  <c r="F139" i="6"/>
  <c r="H139" i="6"/>
  <c r="I139" i="6"/>
  <c r="L139" i="6"/>
  <c r="N139" i="6"/>
  <c r="Q139" i="6"/>
  <c r="R139" i="6"/>
  <c r="S139" i="6"/>
  <c r="T139" i="6"/>
  <c r="C140" i="6"/>
  <c r="D140" i="6"/>
  <c r="E140" i="6"/>
  <c r="F140" i="6"/>
  <c r="H140" i="6"/>
  <c r="I140" i="6"/>
  <c r="L140" i="6"/>
  <c r="N140" i="6"/>
  <c r="Q140" i="6"/>
  <c r="R140" i="6"/>
  <c r="S140" i="6"/>
  <c r="T140" i="6"/>
  <c r="C141" i="6"/>
  <c r="D141" i="6"/>
  <c r="E141" i="6"/>
  <c r="F141" i="6"/>
  <c r="H141" i="6"/>
  <c r="I141" i="6"/>
  <c r="L141" i="6"/>
  <c r="N141" i="6"/>
  <c r="Q141" i="6"/>
  <c r="R141" i="6"/>
  <c r="S141" i="6"/>
  <c r="T141" i="6"/>
  <c r="C142" i="6"/>
  <c r="L142" i="6" s="1"/>
  <c r="D142" i="6"/>
  <c r="E142" i="6"/>
  <c r="F142" i="6"/>
  <c r="I142" i="6"/>
  <c r="N142" i="6"/>
  <c r="R142" i="6"/>
  <c r="Q142" i="6" s="1"/>
  <c r="S142" i="6" s="1"/>
  <c r="T142" i="6"/>
  <c r="C143" i="6"/>
  <c r="D143" i="6"/>
  <c r="E143" i="6"/>
  <c r="F143" i="6"/>
  <c r="I143" i="6"/>
  <c r="L143" i="6"/>
  <c r="N143" i="6"/>
  <c r="Q143" i="6"/>
  <c r="R143" i="6"/>
  <c r="S143" i="6"/>
  <c r="T143" i="6"/>
  <c r="C144" i="6"/>
  <c r="L144" i="6" s="1"/>
  <c r="D144" i="6"/>
  <c r="E144" i="6"/>
  <c r="F144" i="6"/>
  <c r="I144" i="6"/>
  <c r="N144" i="6"/>
  <c r="R144" i="6"/>
  <c r="Q144" i="6" s="1"/>
  <c r="S144" i="6" s="1"/>
  <c r="T144" i="6"/>
  <c r="C145" i="6"/>
  <c r="D145" i="6"/>
  <c r="E145" i="6"/>
  <c r="F145" i="6"/>
  <c r="I145" i="6"/>
  <c r="L145" i="6"/>
  <c r="N145" i="6"/>
  <c r="Q145" i="6"/>
  <c r="R145" i="6"/>
  <c r="S145" i="6"/>
  <c r="T145" i="6"/>
  <c r="C146" i="6"/>
  <c r="L146" i="6" s="1"/>
  <c r="D146" i="6"/>
  <c r="E146" i="6"/>
  <c r="F146" i="6"/>
  <c r="I146" i="6"/>
  <c r="N146" i="6"/>
  <c r="R146" i="6"/>
  <c r="Q146" i="6" s="1"/>
  <c r="S146" i="6" s="1"/>
  <c r="T146" i="6"/>
  <c r="C147" i="6"/>
  <c r="D147" i="6"/>
  <c r="L147" i="6" s="1"/>
  <c r="E147" i="6"/>
  <c r="F147" i="6"/>
  <c r="H147" i="6"/>
  <c r="I147" i="6"/>
  <c r="N147" i="6"/>
  <c r="R147" i="6"/>
  <c r="Q147" i="6" s="1"/>
  <c r="S147" i="6" s="1"/>
  <c r="T147" i="6"/>
  <c r="C148" i="6"/>
  <c r="D148" i="6"/>
  <c r="L148" i="6" s="1"/>
  <c r="E148" i="6"/>
  <c r="F148" i="6"/>
  <c r="H148" i="6"/>
  <c r="I148" i="6"/>
  <c r="N148" i="6"/>
  <c r="R148" i="6"/>
  <c r="Q148" i="6" s="1"/>
  <c r="S148" i="6" s="1"/>
  <c r="T148" i="6"/>
  <c r="C149" i="6"/>
  <c r="D149" i="6"/>
  <c r="L149" i="6" s="1"/>
  <c r="E149" i="6"/>
  <c r="F149" i="6"/>
  <c r="H149" i="6"/>
  <c r="I149" i="6"/>
  <c r="N149" i="6"/>
  <c r="R149" i="6"/>
  <c r="Q149" i="6" s="1"/>
  <c r="S149" i="6" s="1"/>
  <c r="T149" i="6"/>
  <c r="C150" i="6"/>
  <c r="D150" i="6"/>
  <c r="L150" i="6" s="1"/>
  <c r="E150" i="6"/>
  <c r="F150" i="6"/>
  <c r="H150" i="6"/>
  <c r="I150" i="6"/>
  <c r="N150" i="6"/>
  <c r="R150" i="6"/>
  <c r="Q150" i="6" s="1"/>
  <c r="S150" i="6" s="1"/>
  <c r="T150" i="6"/>
  <c r="C151" i="6"/>
  <c r="D151" i="6"/>
  <c r="L151" i="6" s="1"/>
  <c r="E151" i="6"/>
  <c r="F151" i="6"/>
  <c r="H151" i="6"/>
  <c r="I151" i="6"/>
  <c r="N151" i="6"/>
  <c r="R151" i="6"/>
  <c r="Q151" i="6" s="1"/>
  <c r="S151" i="6" s="1"/>
  <c r="T151" i="6"/>
  <c r="C152" i="6"/>
  <c r="D152" i="6"/>
  <c r="L152" i="6" s="1"/>
  <c r="E152" i="6"/>
  <c r="F152" i="6"/>
  <c r="H152" i="6"/>
  <c r="I152" i="6"/>
  <c r="N152" i="6"/>
  <c r="R152" i="6"/>
  <c r="Q152" i="6" s="1"/>
  <c r="S152" i="6" s="1"/>
  <c r="T152" i="6"/>
  <c r="C153" i="6"/>
  <c r="D153" i="6"/>
  <c r="L153" i="6" s="1"/>
  <c r="E153" i="6"/>
  <c r="F153" i="6"/>
  <c r="H153" i="6"/>
  <c r="I153" i="6"/>
  <c r="N153" i="6"/>
  <c r="R153" i="6"/>
  <c r="Q153" i="6" s="1"/>
  <c r="S153" i="6" s="1"/>
  <c r="T153" i="6"/>
  <c r="C154" i="6"/>
  <c r="D154" i="6"/>
  <c r="E154" i="6"/>
  <c r="F154" i="6"/>
  <c r="I154" i="6"/>
  <c r="L154" i="6"/>
  <c r="N154" i="6"/>
  <c r="Q154" i="6"/>
  <c r="R154" i="6"/>
  <c r="S154" i="6"/>
  <c r="T154" i="6"/>
  <c r="C155" i="6"/>
  <c r="L155" i="6" s="1"/>
  <c r="D155" i="6"/>
  <c r="E155" i="6"/>
  <c r="F155" i="6"/>
  <c r="I155" i="6"/>
  <c r="N155" i="6"/>
  <c r="R155" i="6"/>
  <c r="Q155" i="6" s="1"/>
  <c r="S155" i="6" s="1"/>
  <c r="T155" i="6"/>
  <c r="C156" i="6"/>
  <c r="D156" i="6"/>
  <c r="E156" i="6"/>
  <c r="F156" i="6"/>
  <c r="I156" i="6"/>
  <c r="L156" i="6"/>
  <c r="N156" i="6"/>
  <c r="Q156" i="6"/>
  <c r="R156" i="6"/>
  <c r="S156" i="6"/>
  <c r="T156" i="6"/>
  <c r="C157" i="6"/>
  <c r="L157" i="6" s="1"/>
  <c r="D157" i="6"/>
  <c r="E157" i="6"/>
  <c r="F157" i="6"/>
  <c r="I157" i="6"/>
  <c r="N157" i="6"/>
  <c r="R157" i="6"/>
  <c r="Q157" i="6" s="1"/>
  <c r="S157" i="6" s="1"/>
  <c r="T157" i="6"/>
  <c r="C158" i="6"/>
  <c r="D158" i="6"/>
  <c r="E158" i="6"/>
  <c r="F158" i="6"/>
  <c r="I158" i="6"/>
  <c r="L158" i="6"/>
  <c r="N158" i="6"/>
  <c r="Q158" i="6"/>
  <c r="R158" i="6"/>
  <c r="S158" i="6"/>
  <c r="T158" i="6"/>
  <c r="C159" i="6"/>
  <c r="D159" i="6"/>
  <c r="E159" i="6"/>
  <c r="F159" i="6"/>
  <c r="H159" i="6"/>
  <c r="I159" i="6"/>
  <c r="L159" i="6"/>
  <c r="N159" i="6"/>
  <c r="Q159" i="6"/>
  <c r="R159" i="6"/>
  <c r="S159" i="6"/>
  <c r="T159" i="6"/>
  <c r="C160" i="6"/>
  <c r="D160" i="6"/>
  <c r="E160" i="6"/>
  <c r="F160" i="6"/>
  <c r="H160" i="6"/>
  <c r="I160" i="6"/>
  <c r="L160" i="6"/>
  <c r="N160" i="6"/>
  <c r="Q160" i="6"/>
  <c r="R160" i="6"/>
  <c r="S160" i="6"/>
  <c r="T160" i="6"/>
  <c r="C161" i="6"/>
  <c r="D161" i="6"/>
  <c r="E161" i="6"/>
  <c r="F161" i="6"/>
  <c r="H161" i="6"/>
  <c r="I161" i="6"/>
  <c r="L161" i="6"/>
  <c r="N161" i="6"/>
  <c r="Q161" i="6"/>
  <c r="R161" i="6"/>
  <c r="S161" i="6"/>
  <c r="T161" i="6"/>
  <c r="C162" i="6"/>
  <c r="D162" i="6"/>
  <c r="E162" i="6"/>
  <c r="F162" i="6"/>
  <c r="H162" i="6"/>
  <c r="I162" i="6"/>
  <c r="L162" i="6"/>
  <c r="N162" i="6"/>
  <c r="Q162" i="6"/>
  <c r="R162" i="6"/>
  <c r="S162" i="6"/>
  <c r="T162" i="6"/>
  <c r="C163" i="6"/>
  <c r="D163" i="6"/>
  <c r="E163" i="6"/>
  <c r="F163" i="6"/>
  <c r="H163" i="6"/>
  <c r="I163" i="6"/>
  <c r="L163" i="6"/>
  <c r="N163" i="6"/>
  <c r="Q163" i="6"/>
  <c r="R163" i="6"/>
  <c r="S163" i="6"/>
  <c r="T163" i="6"/>
  <c r="C164" i="6"/>
  <c r="D164" i="6"/>
  <c r="E164" i="6"/>
  <c r="F164" i="6"/>
  <c r="H164" i="6"/>
  <c r="I164" i="6"/>
  <c r="L164" i="6"/>
  <c r="N164" i="6"/>
  <c r="Q164" i="6"/>
  <c r="R164" i="6"/>
  <c r="S164" i="6"/>
  <c r="T164" i="6"/>
  <c r="C165" i="6"/>
  <c r="D165" i="6"/>
  <c r="E165" i="6"/>
  <c r="F165" i="6"/>
  <c r="H165" i="6"/>
  <c r="I165" i="6"/>
  <c r="L165" i="6"/>
  <c r="N165" i="6"/>
  <c r="Q165" i="6"/>
  <c r="R165" i="6"/>
  <c r="S165" i="6"/>
  <c r="T165" i="6"/>
  <c r="C166" i="6"/>
  <c r="L166" i="6" s="1"/>
  <c r="D166" i="6"/>
  <c r="E166" i="6"/>
  <c r="F166" i="6"/>
  <c r="I166" i="6"/>
  <c r="N166" i="6"/>
  <c r="R166" i="6"/>
  <c r="Q166" i="6" s="1"/>
  <c r="S166" i="6" s="1"/>
  <c r="T166" i="6"/>
  <c r="C167" i="6"/>
  <c r="D167" i="6"/>
  <c r="E167" i="6"/>
  <c r="F167" i="6"/>
  <c r="I167" i="6"/>
  <c r="L167" i="6"/>
  <c r="N167" i="6"/>
  <c r="Q167" i="6"/>
  <c r="R167" i="6"/>
  <c r="S167" i="6"/>
  <c r="T167" i="6"/>
  <c r="C168" i="6"/>
  <c r="L168" i="6" s="1"/>
  <c r="D168" i="6"/>
  <c r="E168" i="6"/>
  <c r="F168" i="6"/>
  <c r="I168" i="6"/>
  <c r="N168" i="6"/>
  <c r="R168" i="6"/>
  <c r="Q168" i="6" s="1"/>
  <c r="S168" i="6" s="1"/>
  <c r="T168" i="6"/>
  <c r="C169" i="6"/>
  <c r="D169" i="6"/>
  <c r="E169" i="6"/>
  <c r="F169" i="6"/>
  <c r="I169" i="6"/>
  <c r="L169" i="6"/>
  <c r="N169" i="6"/>
  <c r="Q169" i="6"/>
  <c r="R169" i="6"/>
  <c r="S169" i="6"/>
  <c r="T169" i="6"/>
  <c r="C170" i="6"/>
  <c r="L170" i="6" s="1"/>
  <c r="D170" i="6"/>
  <c r="E170" i="6"/>
  <c r="F170" i="6"/>
  <c r="I170" i="6"/>
  <c r="N170" i="6"/>
  <c r="R170" i="6"/>
  <c r="Q170" i="6" s="1"/>
  <c r="S170" i="6" s="1"/>
  <c r="T170" i="6"/>
  <c r="C171" i="6"/>
  <c r="D171" i="6"/>
  <c r="L171" i="6" s="1"/>
  <c r="E171" i="6"/>
  <c r="F171" i="6"/>
  <c r="H171" i="6"/>
  <c r="I171" i="6"/>
  <c r="N171" i="6"/>
  <c r="R171" i="6"/>
  <c r="Q171" i="6" s="1"/>
  <c r="S171" i="6" s="1"/>
  <c r="T171" i="6"/>
  <c r="C172" i="6"/>
  <c r="D172" i="6"/>
  <c r="L172" i="6" s="1"/>
  <c r="E172" i="6"/>
  <c r="F172" i="6"/>
  <c r="H172" i="6"/>
  <c r="I172" i="6"/>
  <c r="N172" i="6"/>
  <c r="R172" i="6"/>
  <c r="Q172" i="6" s="1"/>
  <c r="S172" i="6" s="1"/>
  <c r="T172" i="6"/>
  <c r="C173" i="6"/>
  <c r="D173" i="6"/>
  <c r="E173" i="6"/>
  <c r="F173" i="6"/>
  <c r="H173" i="6"/>
  <c r="I173" i="6"/>
  <c r="N173" i="6"/>
  <c r="R173" i="6"/>
  <c r="Q173" i="6" s="1"/>
  <c r="S173" i="6" s="1"/>
  <c r="T173" i="6"/>
  <c r="C174" i="6"/>
  <c r="D174" i="6"/>
  <c r="E174" i="6"/>
  <c r="F174" i="6"/>
  <c r="H174" i="6"/>
  <c r="I174" i="6"/>
  <c r="N174" i="6"/>
  <c r="R174" i="6"/>
  <c r="Q174" i="6" s="1"/>
  <c r="S174" i="6" s="1"/>
  <c r="T174" i="6"/>
  <c r="C175" i="6"/>
  <c r="D175" i="6"/>
  <c r="E175" i="6"/>
  <c r="F175" i="6"/>
  <c r="H175" i="6"/>
  <c r="I175" i="6"/>
  <c r="N175" i="6"/>
  <c r="R175" i="6"/>
  <c r="Q175" i="6" s="1"/>
  <c r="S175" i="6" s="1"/>
  <c r="T175" i="6"/>
  <c r="C176" i="6"/>
  <c r="D176" i="6"/>
  <c r="E176" i="6"/>
  <c r="F176" i="6"/>
  <c r="H176" i="6"/>
  <c r="I176" i="6"/>
  <c r="N176" i="6"/>
  <c r="R176" i="6"/>
  <c r="Q176" i="6" s="1"/>
  <c r="S176" i="6" s="1"/>
  <c r="T176" i="6"/>
  <c r="C177" i="6"/>
  <c r="D177" i="6"/>
  <c r="L177" i="6" s="1"/>
  <c r="E177" i="6"/>
  <c r="F177" i="6"/>
  <c r="H177" i="6"/>
  <c r="I177" i="6"/>
  <c r="N177" i="6"/>
  <c r="R177" i="6"/>
  <c r="Q177" i="6" s="1"/>
  <c r="S177" i="6" s="1"/>
  <c r="T177" i="6"/>
  <c r="C178" i="6"/>
  <c r="D178" i="6"/>
  <c r="E178" i="6"/>
  <c r="F178" i="6"/>
  <c r="I178" i="6"/>
  <c r="L178" i="6"/>
  <c r="N178" i="6"/>
  <c r="Q178" i="6"/>
  <c r="R178" i="6"/>
  <c r="S178" i="6"/>
  <c r="T178" i="6"/>
  <c r="C179" i="6"/>
  <c r="L179" i="6" s="1"/>
  <c r="D179" i="6"/>
  <c r="E179" i="6"/>
  <c r="F179" i="6"/>
  <c r="I179" i="6"/>
  <c r="N179" i="6"/>
  <c r="R179" i="6"/>
  <c r="Q179" i="6" s="1"/>
  <c r="S179" i="6" s="1"/>
  <c r="T179" i="6"/>
  <c r="C180" i="6"/>
  <c r="D180" i="6"/>
  <c r="E180" i="6"/>
  <c r="F180" i="6"/>
  <c r="I180" i="6"/>
  <c r="L180" i="6"/>
  <c r="N180" i="6"/>
  <c r="Q180" i="6"/>
  <c r="R180" i="6"/>
  <c r="S180" i="6"/>
  <c r="T180" i="6"/>
  <c r="C181" i="6"/>
  <c r="L181" i="6" s="1"/>
  <c r="D181" i="6"/>
  <c r="E181" i="6"/>
  <c r="F181" i="6"/>
  <c r="I181" i="6"/>
  <c r="N181" i="6"/>
  <c r="R181" i="6"/>
  <c r="Q181" i="6" s="1"/>
  <c r="S181" i="6" s="1"/>
  <c r="T181" i="6"/>
  <c r="C182" i="6"/>
  <c r="D182" i="6"/>
  <c r="E182" i="6"/>
  <c r="F182" i="6"/>
  <c r="I182" i="6"/>
  <c r="L182" i="6"/>
  <c r="N182" i="6"/>
  <c r="Q182" i="6"/>
  <c r="R182" i="6"/>
  <c r="S182" i="6"/>
  <c r="T182" i="6"/>
  <c r="C183" i="6"/>
  <c r="D183" i="6"/>
  <c r="E183" i="6"/>
  <c r="F183" i="6"/>
  <c r="H183" i="6"/>
  <c r="I183" i="6"/>
  <c r="L183" i="6"/>
  <c r="N183" i="6"/>
  <c r="Q183" i="6"/>
  <c r="R183" i="6"/>
  <c r="S183" i="6"/>
  <c r="T183" i="6"/>
  <c r="C184" i="6"/>
  <c r="D184" i="6"/>
  <c r="E184" i="6"/>
  <c r="F184" i="6"/>
  <c r="H184" i="6"/>
  <c r="I184" i="6"/>
  <c r="L184" i="6"/>
  <c r="N184" i="6"/>
  <c r="Q184" i="6"/>
  <c r="R184" i="6"/>
  <c r="S184" i="6"/>
  <c r="T184" i="6"/>
  <c r="C185" i="6"/>
  <c r="D185" i="6"/>
  <c r="E185" i="6"/>
  <c r="F185" i="6"/>
  <c r="H185" i="6"/>
  <c r="I185" i="6"/>
  <c r="L185" i="6"/>
  <c r="N185" i="6"/>
  <c r="Q185" i="6"/>
  <c r="R185" i="6"/>
  <c r="S185" i="6"/>
  <c r="T185" i="6"/>
  <c r="C186" i="6"/>
  <c r="D186" i="6"/>
  <c r="E186" i="6"/>
  <c r="F186" i="6"/>
  <c r="H186" i="6"/>
  <c r="I186" i="6"/>
  <c r="L186" i="6"/>
  <c r="N186" i="6"/>
  <c r="Q186" i="6"/>
  <c r="R186" i="6"/>
  <c r="S186" i="6"/>
  <c r="T186" i="6"/>
  <c r="C187" i="6"/>
  <c r="D187" i="6"/>
  <c r="E187" i="6"/>
  <c r="F187" i="6"/>
  <c r="H187" i="6"/>
  <c r="I187" i="6"/>
  <c r="L187" i="6"/>
  <c r="N187" i="6"/>
  <c r="Q187" i="6"/>
  <c r="R187" i="6"/>
  <c r="S187" i="6"/>
  <c r="T187" i="6"/>
  <c r="C188" i="6"/>
  <c r="D188" i="6"/>
  <c r="E188" i="6"/>
  <c r="F188" i="6"/>
  <c r="H188" i="6"/>
  <c r="I188" i="6"/>
  <c r="L188" i="6"/>
  <c r="N188" i="6"/>
  <c r="Q188" i="6"/>
  <c r="R188" i="6"/>
  <c r="S188" i="6"/>
  <c r="T188" i="6"/>
  <c r="C189" i="6"/>
  <c r="D189" i="6"/>
  <c r="E189" i="6"/>
  <c r="F189" i="6"/>
  <c r="H189" i="6"/>
  <c r="I189" i="6"/>
  <c r="L189" i="6"/>
  <c r="N189" i="6"/>
  <c r="Q189" i="6"/>
  <c r="R189" i="6"/>
  <c r="S189" i="6"/>
  <c r="T189" i="6"/>
  <c r="C190" i="6"/>
  <c r="L190" i="6" s="1"/>
  <c r="D190" i="6"/>
  <c r="E190" i="6"/>
  <c r="F190" i="6"/>
  <c r="I190" i="6"/>
  <c r="N190" i="6"/>
  <c r="R190" i="6"/>
  <c r="Q190" i="6" s="1"/>
  <c r="S190" i="6" s="1"/>
  <c r="T190" i="6"/>
  <c r="C191" i="6"/>
  <c r="D191" i="6"/>
  <c r="E191" i="6"/>
  <c r="F191" i="6"/>
  <c r="I191" i="6"/>
  <c r="L191" i="6"/>
  <c r="N191" i="6"/>
  <c r="Q191" i="6"/>
  <c r="R191" i="6"/>
  <c r="S191" i="6"/>
  <c r="T191" i="6"/>
  <c r="C192" i="6"/>
  <c r="L192" i="6" s="1"/>
  <c r="D192" i="6"/>
  <c r="E192" i="6"/>
  <c r="F192" i="6"/>
  <c r="I192" i="6"/>
  <c r="N192" i="6"/>
  <c r="R192" i="6"/>
  <c r="Q192" i="6" s="1"/>
  <c r="S192" i="6" s="1"/>
  <c r="T192" i="6"/>
  <c r="C193" i="6"/>
  <c r="D193" i="6"/>
  <c r="E193" i="6"/>
  <c r="F193" i="6"/>
  <c r="I193" i="6"/>
  <c r="L193" i="6"/>
  <c r="N193" i="6"/>
  <c r="Q193" i="6"/>
  <c r="R193" i="6"/>
  <c r="S193" i="6"/>
  <c r="T193" i="6"/>
  <c r="C194" i="6"/>
  <c r="L194" i="6" s="1"/>
  <c r="D194" i="6"/>
  <c r="E194" i="6"/>
  <c r="F194" i="6"/>
  <c r="I194" i="6"/>
  <c r="N194" i="6"/>
  <c r="R194" i="6"/>
  <c r="Q194" i="6" s="1"/>
  <c r="S194" i="6" s="1"/>
  <c r="T194" i="6"/>
  <c r="C195" i="6"/>
  <c r="D195" i="6"/>
  <c r="L195" i="6" s="1"/>
  <c r="E195" i="6"/>
  <c r="F195" i="6"/>
  <c r="H195" i="6"/>
  <c r="I195" i="6"/>
  <c r="N195" i="6"/>
  <c r="R195" i="6"/>
  <c r="Q195" i="6" s="1"/>
  <c r="S195" i="6" s="1"/>
  <c r="T195" i="6"/>
  <c r="C196" i="6"/>
  <c r="D196" i="6"/>
  <c r="L196" i="6" s="1"/>
  <c r="E196" i="6"/>
  <c r="F196" i="6"/>
  <c r="H196" i="6"/>
  <c r="I196" i="6"/>
  <c r="N196" i="6"/>
  <c r="R196" i="6"/>
  <c r="Q196" i="6" s="1"/>
  <c r="S196" i="6" s="1"/>
  <c r="T196" i="6"/>
  <c r="C197" i="6"/>
  <c r="D197" i="6"/>
  <c r="L197" i="6" s="1"/>
  <c r="E197" i="6"/>
  <c r="F197" i="6"/>
  <c r="H197" i="6"/>
  <c r="I197" i="6"/>
  <c r="N197" i="6"/>
  <c r="R197" i="6"/>
  <c r="Q197" i="6" s="1"/>
  <c r="S197" i="6" s="1"/>
  <c r="T197" i="6"/>
  <c r="C198" i="6"/>
  <c r="D198" i="6"/>
  <c r="L198" i="6" s="1"/>
  <c r="E198" i="6"/>
  <c r="F198" i="6"/>
  <c r="H198" i="6"/>
  <c r="I198" i="6"/>
  <c r="N198" i="6"/>
  <c r="R198" i="6"/>
  <c r="Q198" i="6" s="1"/>
  <c r="S198" i="6" s="1"/>
  <c r="T198" i="6"/>
  <c r="C199" i="6"/>
  <c r="D199" i="6"/>
  <c r="L199" i="6" s="1"/>
  <c r="E199" i="6"/>
  <c r="F199" i="6"/>
  <c r="H199" i="6"/>
  <c r="I199" i="6"/>
  <c r="N199" i="6"/>
  <c r="R199" i="6"/>
  <c r="Q199" i="6" s="1"/>
  <c r="S199" i="6" s="1"/>
  <c r="T199" i="6"/>
  <c r="C200" i="6"/>
  <c r="D200" i="6"/>
  <c r="L200" i="6" s="1"/>
  <c r="E200" i="6"/>
  <c r="F200" i="6"/>
  <c r="H200" i="6"/>
  <c r="I200" i="6"/>
  <c r="N200" i="6"/>
  <c r="R200" i="6"/>
  <c r="Q200" i="6" s="1"/>
  <c r="S200" i="6" s="1"/>
  <c r="T200" i="6"/>
  <c r="C201" i="6"/>
  <c r="D201" i="6"/>
  <c r="L201" i="6" s="1"/>
  <c r="E201" i="6"/>
  <c r="F201" i="6"/>
  <c r="H201" i="6"/>
  <c r="I201" i="6"/>
  <c r="N201" i="6"/>
  <c r="R201" i="6"/>
  <c r="Q201" i="6" s="1"/>
  <c r="S201" i="6" s="1"/>
  <c r="T201" i="6"/>
  <c r="C202" i="6"/>
  <c r="D202" i="6"/>
  <c r="E202" i="6"/>
  <c r="F202" i="6"/>
  <c r="I202" i="6"/>
  <c r="L202" i="6"/>
  <c r="N202" i="6"/>
  <c r="Q202" i="6"/>
  <c r="R202" i="6"/>
  <c r="S202" i="6"/>
  <c r="T202" i="6"/>
  <c r="C203" i="6"/>
  <c r="L203" i="6" s="1"/>
  <c r="D203" i="6"/>
  <c r="E203" i="6"/>
  <c r="F203" i="6"/>
  <c r="I203" i="6"/>
  <c r="N203" i="6"/>
  <c r="R203" i="6"/>
  <c r="Q203" i="6" s="1"/>
  <c r="S203" i="6" s="1"/>
  <c r="T203" i="6"/>
  <c r="C204" i="6"/>
  <c r="D204" i="6"/>
  <c r="E204" i="6"/>
  <c r="F204" i="6"/>
  <c r="I204" i="6"/>
  <c r="L204" i="6"/>
  <c r="N204" i="6"/>
  <c r="Q204" i="6"/>
  <c r="R204" i="6"/>
  <c r="S204" i="6"/>
  <c r="T204" i="6"/>
  <c r="C205" i="6"/>
  <c r="L205" i="6" s="1"/>
  <c r="D205" i="6"/>
  <c r="E205" i="6"/>
  <c r="F205" i="6"/>
  <c r="I205" i="6"/>
  <c r="N205" i="6"/>
  <c r="R205" i="6"/>
  <c r="Q205" i="6" s="1"/>
  <c r="S205" i="6" s="1"/>
  <c r="T205" i="6"/>
  <c r="C206" i="6"/>
  <c r="D206" i="6"/>
  <c r="E206" i="6"/>
  <c r="F206" i="6"/>
  <c r="I206" i="6"/>
  <c r="L206" i="6"/>
  <c r="N206" i="6"/>
  <c r="Q206" i="6"/>
  <c r="R206" i="6"/>
  <c r="S206" i="6"/>
  <c r="T206" i="6"/>
  <c r="C207" i="6"/>
  <c r="D207" i="6"/>
  <c r="E207" i="6"/>
  <c r="F207" i="6"/>
  <c r="H207" i="6"/>
  <c r="I207" i="6"/>
  <c r="L207" i="6"/>
  <c r="N207" i="6"/>
  <c r="Q207" i="6"/>
  <c r="R207" i="6"/>
  <c r="S207" i="6"/>
  <c r="T207" i="6"/>
  <c r="C208" i="6"/>
  <c r="D208" i="6"/>
  <c r="E208" i="6"/>
  <c r="F208" i="6"/>
  <c r="H208" i="6"/>
  <c r="I208" i="6"/>
  <c r="L208" i="6"/>
  <c r="N208" i="6"/>
  <c r="Q208" i="6"/>
  <c r="R208" i="6"/>
  <c r="S208" i="6"/>
  <c r="T208" i="6"/>
  <c r="C209" i="6"/>
  <c r="D209" i="6"/>
  <c r="E209" i="6"/>
  <c r="F209" i="6"/>
  <c r="H209" i="6"/>
  <c r="I209" i="6"/>
  <c r="L209" i="6"/>
  <c r="N209" i="6"/>
  <c r="Q209" i="6"/>
  <c r="R209" i="6"/>
  <c r="S209" i="6"/>
  <c r="T209" i="6"/>
  <c r="C210" i="6"/>
  <c r="D210" i="6"/>
  <c r="E210" i="6"/>
  <c r="F210" i="6"/>
  <c r="H210" i="6"/>
  <c r="I210" i="6"/>
  <c r="L210" i="6"/>
  <c r="N210" i="6"/>
  <c r="Q210" i="6"/>
  <c r="R210" i="6"/>
  <c r="S210" i="6"/>
  <c r="T210" i="6"/>
  <c r="C211" i="6"/>
  <c r="D211" i="6"/>
  <c r="E211" i="6"/>
  <c r="F211" i="6"/>
  <c r="H211" i="6"/>
  <c r="I211" i="6"/>
  <c r="L211" i="6"/>
  <c r="N211" i="6"/>
  <c r="Q211" i="6"/>
  <c r="R211" i="6"/>
  <c r="S211" i="6"/>
  <c r="T211" i="6"/>
  <c r="C212" i="6"/>
  <c r="D212" i="6"/>
  <c r="E212" i="6"/>
  <c r="F212" i="6"/>
  <c r="H212" i="6"/>
  <c r="I212" i="6"/>
  <c r="L212" i="6"/>
  <c r="N212" i="6"/>
  <c r="Q212" i="6"/>
  <c r="R212" i="6"/>
  <c r="S212" i="6"/>
  <c r="T212" i="6"/>
  <c r="C213" i="6"/>
  <c r="D213" i="6"/>
  <c r="E213" i="6"/>
  <c r="F213" i="6"/>
  <c r="H213" i="6"/>
  <c r="I213" i="6"/>
  <c r="L213" i="6"/>
  <c r="N213" i="6"/>
  <c r="Q213" i="6"/>
  <c r="R213" i="6"/>
  <c r="S213" i="6"/>
  <c r="T213" i="6"/>
  <c r="C214" i="6"/>
  <c r="L214" i="6" s="1"/>
  <c r="D214" i="6"/>
  <c r="E214" i="6"/>
  <c r="F214" i="6"/>
  <c r="I214" i="6"/>
  <c r="N214" i="6"/>
  <c r="R214" i="6"/>
  <c r="Q214" i="6" s="1"/>
  <c r="S214" i="6" s="1"/>
  <c r="T214" i="6"/>
  <c r="C215" i="6"/>
  <c r="D215" i="6"/>
  <c r="E215" i="6"/>
  <c r="F215" i="6"/>
  <c r="I215" i="6"/>
  <c r="L215" i="6"/>
  <c r="N215" i="6"/>
  <c r="Q215" i="6"/>
  <c r="R215" i="6"/>
  <c r="S215" i="6"/>
  <c r="T215" i="6"/>
  <c r="C216" i="6"/>
  <c r="L216" i="6" s="1"/>
  <c r="D216" i="6"/>
  <c r="E216" i="6"/>
  <c r="F216" i="6"/>
  <c r="I216" i="6"/>
  <c r="N216" i="6"/>
  <c r="R216" i="6"/>
  <c r="Q216" i="6" s="1"/>
  <c r="S216" i="6" s="1"/>
  <c r="T216" i="6"/>
  <c r="C217" i="6"/>
  <c r="D217" i="6"/>
  <c r="E217" i="6"/>
  <c r="F217" i="6"/>
  <c r="I217" i="6"/>
  <c r="L217" i="6"/>
  <c r="N217" i="6"/>
  <c r="Q217" i="6"/>
  <c r="R217" i="6"/>
  <c r="S217" i="6"/>
  <c r="T217" i="6"/>
  <c r="C218" i="6"/>
  <c r="L218" i="6" s="1"/>
  <c r="D218" i="6"/>
  <c r="E218" i="6"/>
  <c r="F218" i="6"/>
  <c r="I218" i="6"/>
  <c r="N218" i="6"/>
  <c r="R218" i="6"/>
  <c r="Q218" i="6" s="1"/>
  <c r="S218" i="6" s="1"/>
  <c r="T218" i="6"/>
  <c r="C219" i="6"/>
  <c r="D219" i="6"/>
  <c r="L219" i="6" s="1"/>
  <c r="E219" i="6"/>
  <c r="F219" i="6"/>
  <c r="H219" i="6"/>
  <c r="I219" i="6"/>
  <c r="N219" i="6"/>
  <c r="R219" i="6"/>
  <c r="Q219" i="6" s="1"/>
  <c r="S219" i="6" s="1"/>
  <c r="T219" i="6"/>
  <c r="C220" i="6"/>
  <c r="D220" i="6"/>
  <c r="L220" i="6" s="1"/>
  <c r="E220" i="6"/>
  <c r="F220" i="6"/>
  <c r="H220" i="6"/>
  <c r="I220" i="6"/>
  <c r="N220" i="6"/>
  <c r="R220" i="6"/>
  <c r="Q220" i="6" s="1"/>
  <c r="S220" i="6" s="1"/>
  <c r="T220" i="6"/>
  <c r="C221" i="6"/>
  <c r="D221" i="6"/>
  <c r="L221" i="6" s="1"/>
  <c r="E221" i="6"/>
  <c r="F221" i="6"/>
  <c r="H221" i="6"/>
  <c r="I221" i="6"/>
  <c r="N221" i="6"/>
  <c r="R221" i="6"/>
  <c r="Q221" i="6" s="1"/>
  <c r="S221" i="6" s="1"/>
  <c r="T221" i="6"/>
  <c r="C222" i="6"/>
  <c r="D222" i="6"/>
  <c r="L222" i="6" s="1"/>
  <c r="E222" i="6"/>
  <c r="F222" i="6"/>
  <c r="H222" i="6"/>
  <c r="I222" i="6"/>
  <c r="N222" i="6"/>
  <c r="R222" i="6"/>
  <c r="Q222" i="6" s="1"/>
  <c r="S222" i="6" s="1"/>
  <c r="T222" i="6"/>
  <c r="C223" i="6"/>
  <c r="D223" i="6"/>
  <c r="L223" i="6" s="1"/>
  <c r="E223" i="6"/>
  <c r="F223" i="6"/>
  <c r="H223" i="6"/>
  <c r="I223" i="6"/>
  <c r="N223" i="6"/>
  <c r="R223" i="6"/>
  <c r="Q223" i="6" s="1"/>
  <c r="S223" i="6" s="1"/>
  <c r="T223" i="6"/>
  <c r="C224" i="6"/>
  <c r="D224" i="6"/>
  <c r="L224" i="6" s="1"/>
  <c r="E224" i="6"/>
  <c r="F224" i="6"/>
  <c r="H224" i="6"/>
  <c r="I224" i="6"/>
  <c r="N224" i="6"/>
  <c r="R224" i="6"/>
  <c r="Q224" i="6" s="1"/>
  <c r="S224" i="6" s="1"/>
  <c r="T224" i="6"/>
  <c r="C225" i="6"/>
  <c r="D225" i="6"/>
  <c r="L225" i="6" s="1"/>
  <c r="E225" i="6"/>
  <c r="F225" i="6"/>
  <c r="H225" i="6"/>
  <c r="I225" i="6"/>
  <c r="N225" i="6"/>
  <c r="R225" i="6"/>
  <c r="Q225" i="6" s="1"/>
  <c r="S225" i="6" s="1"/>
  <c r="T225" i="6"/>
  <c r="C226" i="6"/>
  <c r="D226" i="6"/>
  <c r="E226" i="6"/>
  <c r="F226" i="6"/>
  <c r="I226" i="6"/>
  <c r="L226" i="6"/>
  <c r="N226" i="6"/>
  <c r="Q226" i="6"/>
  <c r="R226" i="6"/>
  <c r="S226" i="6"/>
  <c r="T226" i="6"/>
  <c r="C227" i="6"/>
  <c r="L227" i="6" s="1"/>
  <c r="D227" i="6"/>
  <c r="E227" i="6"/>
  <c r="F227" i="6"/>
  <c r="I227" i="6"/>
  <c r="N227" i="6"/>
  <c r="R227" i="6"/>
  <c r="Q227" i="6" s="1"/>
  <c r="S227" i="6" s="1"/>
  <c r="T227" i="6"/>
  <c r="C228" i="6"/>
  <c r="D228" i="6"/>
  <c r="E228" i="6"/>
  <c r="F228" i="6"/>
  <c r="I228" i="6"/>
  <c r="L228" i="6"/>
  <c r="N228" i="6"/>
  <c r="Q228" i="6"/>
  <c r="R228" i="6"/>
  <c r="S228" i="6"/>
  <c r="T228" i="6"/>
  <c r="C229" i="6"/>
  <c r="L229" i="6" s="1"/>
  <c r="D229" i="6"/>
  <c r="E229" i="6"/>
  <c r="F229" i="6"/>
  <c r="I229" i="6"/>
  <c r="N229" i="6"/>
  <c r="R229" i="6"/>
  <c r="Q229" i="6" s="1"/>
  <c r="S229" i="6" s="1"/>
  <c r="T229" i="6"/>
  <c r="C230" i="6"/>
  <c r="D230" i="6"/>
  <c r="E230" i="6"/>
  <c r="F230" i="6"/>
  <c r="I230" i="6"/>
  <c r="L230" i="6"/>
  <c r="N230" i="6"/>
  <c r="Q230" i="6"/>
  <c r="R230" i="6"/>
  <c r="S230" i="6"/>
  <c r="T230" i="6"/>
  <c r="C231" i="6"/>
  <c r="D231" i="6"/>
  <c r="E231" i="6"/>
  <c r="F231" i="6"/>
  <c r="H231" i="6"/>
  <c r="I231" i="6"/>
  <c r="L231" i="6"/>
  <c r="N231" i="6"/>
  <c r="Q231" i="6"/>
  <c r="R231" i="6"/>
  <c r="S231" i="6"/>
  <c r="T231" i="6"/>
  <c r="C232" i="6"/>
  <c r="D232" i="6"/>
  <c r="E232" i="6"/>
  <c r="F232" i="6"/>
  <c r="H232" i="6"/>
  <c r="I232" i="6"/>
  <c r="L232" i="6"/>
  <c r="N232" i="6"/>
  <c r="Q232" i="6"/>
  <c r="R232" i="6"/>
  <c r="S232" i="6"/>
  <c r="T232" i="6"/>
  <c r="C233" i="6"/>
  <c r="D233" i="6"/>
  <c r="E233" i="6"/>
  <c r="F233" i="6"/>
  <c r="H233" i="6"/>
  <c r="I233" i="6"/>
  <c r="L233" i="6"/>
  <c r="N233" i="6"/>
  <c r="Q233" i="6"/>
  <c r="R233" i="6"/>
  <c r="S233" i="6"/>
  <c r="T233" i="6"/>
  <c r="C234" i="6"/>
  <c r="D234" i="6"/>
  <c r="E234" i="6"/>
  <c r="F234" i="6"/>
  <c r="H234" i="6"/>
  <c r="I234" i="6"/>
  <c r="L234" i="6"/>
  <c r="N234" i="6"/>
  <c r="Q234" i="6"/>
  <c r="R234" i="6"/>
  <c r="S234" i="6"/>
  <c r="T234" i="6"/>
  <c r="C235" i="6"/>
  <c r="D235" i="6"/>
  <c r="E235" i="6"/>
  <c r="F235" i="6"/>
  <c r="H235" i="6"/>
  <c r="I235" i="6"/>
  <c r="L235" i="6"/>
  <c r="N235" i="6"/>
  <c r="Q235" i="6"/>
  <c r="R235" i="6"/>
  <c r="S235" i="6"/>
  <c r="T235" i="6"/>
  <c r="C236" i="6"/>
  <c r="D236" i="6"/>
  <c r="E236" i="6"/>
  <c r="F236" i="6"/>
  <c r="H236" i="6"/>
  <c r="I236" i="6"/>
  <c r="L236" i="6"/>
  <c r="N236" i="6"/>
  <c r="Q236" i="6"/>
  <c r="R236" i="6"/>
  <c r="S236" i="6"/>
  <c r="T236" i="6"/>
  <c r="C237" i="6"/>
  <c r="D237" i="6"/>
  <c r="E237" i="6"/>
  <c r="F237" i="6"/>
  <c r="H237" i="6"/>
  <c r="I237" i="6"/>
  <c r="L237" i="6"/>
  <c r="N237" i="6"/>
  <c r="Q237" i="6"/>
  <c r="R237" i="6"/>
  <c r="S237" i="6"/>
  <c r="T237" i="6"/>
  <c r="C238" i="6"/>
  <c r="L238" i="6" s="1"/>
  <c r="D238" i="6"/>
  <c r="E238" i="6"/>
  <c r="F238" i="6"/>
  <c r="I238" i="6"/>
  <c r="N238" i="6"/>
  <c r="R238" i="6"/>
  <c r="Q238" i="6" s="1"/>
  <c r="S238" i="6" s="1"/>
  <c r="T238" i="6"/>
  <c r="C239" i="6"/>
  <c r="D239" i="6"/>
  <c r="E239" i="6"/>
  <c r="F239" i="6"/>
  <c r="I239" i="6"/>
  <c r="L239" i="6"/>
  <c r="N239" i="6"/>
  <c r="Q239" i="6"/>
  <c r="R239" i="6"/>
  <c r="S239" i="6"/>
  <c r="T239" i="6"/>
  <c r="C240" i="6"/>
  <c r="L240" i="6" s="1"/>
  <c r="D240" i="6"/>
  <c r="E240" i="6"/>
  <c r="F240" i="6"/>
  <c r="I240" i="6"/>
  <c r="N240" i="6"/>
  <c r="R240" i="6"/>
  <c r="Q240" i="6" s="1"/>
  <c r="S240" i="6" s="1"/>
  <c r="T240" i="6"/>
  <c r="C241" i="6"/>
  <c r="D241" i="6"/>
  <c r="E241" i="6"/>
  <c r="F241" i="6"/>
  <c r="I241" i="6"/>
  <c r="L241" i="6"/>
  <c r="N241" i="6"/>
  <c r="Q241" i="6"/>
  <c r="R241" i="6"/>
  <c r="S241" i="6"/>
  <c r="T241" i="6"/>
  <c r="C242" i="6"/>
  <c r="L242" i="6" s="1"/>
  <c r="D242" i="6"/>
  <c r="E242" i="6"/>
  <c r="F242" i="6"/>
  <c r="I242" i="6"/>
  <c r="N242" i="6"/>
  <c r="R242" i="6"/>
  <c r="Q242" i="6" s="1"/>
  <c r="S242" i="6" s="1"/>
  <c r="T242" i="6"/>
  <c r="C243" i="6"/>
  <c r="D243" i="6"/>
  <c r="L243" i="6" s="1"/>
  <c r="E243" i="6"/>
  <c r="F243" i="6"/>
  <c r="H243" i="6"/>
  <c r="I243" i="6"/>
  <c r="N243" i="6"/>
  <c r="R243" i="6"/>
  <c r="Q243" i="6" s="1"/>
  <c r="S243" i="6" s="1"/>
  <c r="T243" i="6"/>
  <c r="C244" i="6"/>
  <c r="D244" i="6"/>
  <c r="L244" i="6" s="1"/>
  <c r="E244" i="6"/>
  <c r="F244" i="6"/>
  <c r="H244" i="6"/>
  <c r="I244" i="6"/>
  <c r="N244" i="6"/>
  <c r="R244" i="6"/>
  <c r="Q244" i="6" s="1"/>
  <c r="S244" i="6" s="1"/>
  <c r="T244" i="6"/>
  <c r="C245" i="6"/>
  <c r="D245" i="6"/>
  <c r="L245" i="6" s="1"/>
  <c r="E245" i="6"/>
  <c r="F245" i="6"/>
  <c r="H245" i="6"/>
  <c r="I245" i="6"/>
  <c r="N245" i="6"/>
  <c r="R245" i="6"/>
  <c r="Q245" i="6" s="1"/>
  <c r="S245" i="6" s="1"/>
  <c r="T245" i="6"/>
  <c r="C246" i="6"/>
  <c r="D246" i="6"/>
  <c r="L246" i="6" s="1"/>
  <c r="E246" i="6"/>
  <c r="F246" i="6"/>
  <c r="H246" i="6"/>
  <c r="I246" i="6"/>
  <c r="N246" i="6"/>
  <c r="R246" i="6"/>
  <c r="Q246" i="6" s="1"/>
  <c r="S246" i="6" s="1"/>
  <c r="T246" i="6"/>
  <c r="C247" i="6"/>
  <c r="D247" i="6"/>
  <c r="L247" i="6" s="1"/>
  <c r="E247" i="6"/>
  <c r="F247" i="6"/>
  <c r="H247" i="6"/>
  <c r="I247" i="6"/>
  <c r="N247" i="6"/>
  <c r="R247" i="6"/>
  <c r="Q247" i="6" s="1"/>
  <c r="S247" i="6" s="1"/>
  <c r="T247" i="6"/>
  <c r="C248" i="6"/>
  <c r="D248" i="6"/>
  <c r="L248" i="6" s="1"/>
  <c r="E248" i="6"/>
  <c r="F248" i="6"/>
  <c r="H248" i="6"/>
  <c r="I248" i="6"/>
  <c r="N248" i="6"/>
  <c r="R248" i="6"/>
  <c r="Q248" i="6" s="1"/>
  <c r="S248" i="6" s="1"/>
  <c r="T248" i="6"/>
  <c r="C249" i="6"/>
  <c r="D249" i="6"/>
  <c r="L249" i="6" s="1"/>
  <c r="E249" i="6"/>
  <c r="F249" i="6"/>
  <c r="H249" i="6"/>
  <c r="I249" i="6"/>
  <c r="N249" i="6"/>
  <c r="R249" i="6"/>
  <c r="Q249" i="6" s="1"/>
  <c r="S249" i="6" s="1"/>
  <c r="T249" i="6"/>
  <c r="C250" i="6"/>
  <c r="D250" i="6"/>
  <c r="E250" i="6"/>
  <c r="F250" i="6"/>
  <c r="I250" i="6"/>
  <c r="L250" i="6"/>
  <c r="N250" i="6"/>
  <c r="Q250" i="6"/>
  <c r="R250" i="6"/>
  <c r="S250" i="6"/>
  <c r="T250" i="6"/>
  <c r="C251" i="6"/>
  <c r="L251" i="6" s="1"/>
  <c r="D251" i="6"/>
  <c r="E251" i="6"/>
  <c r="F251" i="6"/>
  <c r="I251" i="6"/>
  <c r="N251" i="6"/>
  <c r="R251" i="6"/>
  <c r="Q251" i="6" s="1"/>
  <c r="S251" i="6" s="1"/>
  <c r="T251" i="6"/>
  <c r="C252" i="6"/>
  <c r="D252" i="6"/>
  <c r="E252" i="6"/>
  <c r="F252" i="6"/>
  <c r="I252" i="6"/>
  <c r="L252" i="6"/>
  <c r="N252" i="6"/>
  <c r="Q252" i="6"/>
  <c r="R252" i="6"/>
  <c r="S252" i="6"/>
  <c r="T252" i="6"/>
  <c r="C253" i="6"/>
  <c r="L253" i="6" s="1"/>
  <c r="D253" i="6"/>
  <c r="E253" i="6"/>
  <c r="F253" i="6"/>
  <c r="I253" i="6"/>
  <c r="N253" i="6"/>
  <c r="R253" i="6"/>
  <c r="Q253" i="6" s="1"/>
  <c r="S253" i="6" s="1"/>
  <c r="T253" i="6"/>
  <c r="C254" i="6"/>
  <c r="D254" i="6"/>
  <c r="E254" i="6"/>
  <c r="F254" i="6"/>
  <c r="I254" i="6"/>
  <c r="L254" i="6"/>
  <c r="N254" i="6"/>
  <c r="Q254" i="6"/>
  <c r="R254" i="6"/>
  <c r="S254" i="6"/>
  <c r="T254" i="6"/>
  <c r="C255" i="6"/>
  <c r="D255" i="6"/>
  <c r="E255" i="6"/>
  <c r="F255" i="6"/>
  <c r="H255" i="6"/>
  <c r="I255" i="6"/>
  <c r="L255" i="6"/>
  <c r="N255" i="6"/>
  <c r="Q255" i="6"/>
  <c r="R255" i="6"/>
  <c r="S255" i="6"/>
  <c r="T255" i="6"/>
  <c r="C256" i="6"/>
  <c r="D256" i="6"/>
  <c r="E256" i="6"/>
  <c r="F256" i="6"/>
  <c r="H256" i="6"/>
  <c r="I256" i="6"/>
  <c r="L256" i="6"/>
  <c r="N256" i="6"/>
  <c r="Q256" i="6"/>
  <c r="R256" i="6"/>
  <c r="S256" i="6"/>
  <c r="T256" i="6"/>
  <c r="C257" i="6"/>
  <c r="D257" i="6"/>
  <c r="E257" i="6"/>
  <c r="F257" i="6"/>
  <c r="H257" i="6"/>
  <c r="I257" i="6"/>
  <c r="L257" i="6"/>
  <c r="N257" i="6"/>
  <c r="Q257" i="6"/>
  <c r="R257" i="6"/>
  <c r="S257" i="6"/>
  <c r="T257" i="6"/>
  <c r="C258" i="6"/>
  <c r="D258" i="6"/>
  <c r="E258" i="6"/>
  <c r="F258" i="6"/>
  <c r="H258" i="6"/>
  <c r="I258" i="6"/>
  <c r="L258" i="6"/>
  <c r="N258" i="6"/>
  <c r="Q258" i="6"/>
  <c r="R258" i="6"/>
  <c r="S258" i="6"/>
  <c r="T258" i="6"/>
  <c r="C259" i="6"/>
  <c r="D259" i="6"/>
  <c r="E259" i="6"/>
  <c r="F259" i="6"/>
  <c r="H259" i="6"/>
  <c r="I259" i="6"/>
  <c r="L259" i="6"/>
  <c r="N259" i="6"/>
  <c r="Q259" i="6"/>
  <c r="R259" i="6"/>
  <c r="S259" i="6"/>
  <c r="T259" i="6"/>
  <c r="C260" i="6"/>
  <c r="D260" i="6"/>
  <c r="E260" i="6"/>
  <c r="F260" i="6"/>
  <c r="H260" i="6"/>
  <c r="I260" i="6"/>
  <c r="L260" i="6"/>
  <c r="N260" i="6"/>
  <c r="Q260" i="6"/>
  <c r="R260" i="6"/>
  <c r="S260" i="6"/>
  <c r="T260" i="6"/>
  <c r="C261" i="6"/>
  <c r="D261" i="6"/>
  <c r="E261" i="6"/>
  <c r="F261" i="6"/>
  <c r="H261" i="6"/>
  <c r="I261" i="6"/>
  <c r="L261" i="6"/>
  <c r="N261" i="6"/>
  <c r="Q261" i="6"/>
  <c r="R261" i="6"/>
  <c r="S261" i="6"/>
  <c r="T261" i="6"/>
  <c r="C262" i="6"/>
  <c r="L262" i="6" s="1"/>
  <c r="D262" i="6"/>
  <c r="E262" i="6"/>
  <c r="F262" i="6"/>
  <c r="I262" i="6"/>
  <c r="N262" i="6"/>
  <c r="R262" i="6"/>
  <c r="Q262" i="6" s="1"/>
  <c r="S262" i="6" s="1"/>
  <c r="T262" i="6"/>
  <c r="C263" i="6"/>
  <c r="D263" i="6"/>
  <c r="E263" i="6"/>
  <c r="F263" i="6"/>
  <c r="I263" i="6"/>
  <c r="L263" i="6"/>
  <c r="N263" i="6"/>
  <c r="Q263" i="6"/>
  <c r="R263" i="6"/>
  <c r="S263" i="6"/>
  <c r="T263" i="6"/>
  <c r="C264" i="6"/>
  <c r="L264" i="6" s="1"/>
  <c r="D264" i="6"/>
  <c r="E264" i="6"/>
  <c r="F264" i="6"/>
  <c r="I264" i="6"/>
  <c r="N264" i="6"/>
  <c r="R264" i="6"/>
  <c r="Q264" i="6" s="1"/>
  <c r="S264" i="6" s="1"/>
  <c r="T264" i="6"/>
  <c r="C265" i="6"/>
  <c r="D265" i="6"/>
  <c r="E265" i="6"/>
  <c r="F265" i="6"/>
  <c r="I265" i="6"/>
  <c r="L265" i="6"/>
  <c r="N265" i="6"/>
  <c r="Q265" i="6"/>
  <c r="R265" i="6"/>
  <c r="S265" i="6"/>
  <c r="T265" i="6"/>
  <c r="C266" i="6"/>
  <c r="L266" i="6" s="1"/>
  <c r="D266" i="6"/>
  <c r="E266" i="6"/>
  <c r="F266" i="6"/>
  <c r="I266" i="6"/>
  <c r="N266" i="6"/>
  <c r="R266" i="6"/>
  <c r="Q266" i="6" s="1"/>
  <c r="S266" i="6" s="1"/>
  <c r="T266" i="6"/>
  <c r="C267" i="6"/>
  <c r="D267" i="6"/>
  <c r="L267" i="6" s="1"/>
  <c r="E267" i="6"/>
  <c r="F267" i="6"/>
  <c r="H267" i="6"/>
  <c r="I267" i="6"/>
  <c r="N267" i="6"/>
  <c r="R267" i="6"/>
  <c r="Q267" i="6" s="1"/>
  <c r="S267" i="6" s="1"/>
  <c r="T267" i="6"/>
  <c r="C268" i="6"/>
  <c r="D268" i="6"/>
  <c r="L268" i="6" s="1"/>
  <c r="E268" i="6"/>
  <c r="F268" i="6"/>
  <c r="H268" i="6"/>
  <c r="I268" i="6"/>
  <c r="N268" i="6"/>
  <c r="R268" i="6"/>
  <c r="Q268" i="6" s="1"/>
  <c r="S268" i="6" s="1"/>
  <c r="T268" i="6"/>
  <c r="C269" i="6"/>
  <c r="D269" i="6"/>
  <c r="L269" i="6" s="1"/>
  <c r="E269" i="6"/>
  <c r="F269" i="6"/>
  <c r="H269" i="6"/>
  <c r="I269" i="6"/>
  <c r="N269" i="6"/>
  <c r="R269" i="6"/>
  <c r="Q269" i="6" s="1"/>
  <c r="S269" i="6" s="1"/>
  <c r="T269" i="6"/>
  <c r="C270" i="6"/>
  <c r="D270" i="6"/>
  <c r="L270" i="6" s="1"/>
  <c r="E270" i="6"/>
  <c r="F270" i="6"/>
  <c r="H270" i="6"/>
  <c r="I270" i="6"/>
  <c r="N270" i="6"/>
  <c r="R270" i="6"/>
  <c r="Q270" i="6" s="1"/>
  <c r="S270" i="6" s="1"/>
  <c r="T270" i="6"/>
  <c r="C271" i="6"/>
  <c r="D271" i="6"/>
  <c r="L271" i="6" s="1"/>
  <c r="E271" i="6"/>
  <c r="F271" i="6"/>
  <c r="H271" i="6"/>
  <c r="I271" i="6"/>
  <c r="N271" i="6"/>
  <c r="R271" i="6"/>
  <c r="Q271" i="6" s="1"/>
  <c r="S271" i="6" s="1"/>
  <c r="T271" i="6"/>
  <c r="C272" i="6"/>
  <c r="D272" i="6"/>
  <c r="L272" i="6" s="1"/>
  <c r="E272" i="6"/>
  <c r="F272" i="6"/>
  <c r="H272" i="6"/>
  <c r="I272" i="6"/>
  <c r="N272" i="6"/>
  <c r="R272" i="6"/>
  <c r="Q272" i="6" s="1"/>
  <c r="S272" i="6" s="1"/>
  <c r="T272" i="6"/>
  <c r="C273" i="6"/>
  <c r="D273" i="6"/>
  <c r="L273" i="6" s="1"/>
  <c r="E273" i="6"/>
  <c r="F273" i="6"/>
  <c r="H273" i="6"/>
  <c r="I273" i="6"/>
  <c r="N273" i="6"/>
  <c r="R273" i="6"/>
  <c r="Q273" i="6" s="1"/>
  <c r="S273" i="6" s="1"/>
  <c r="T273" i="6"/>
  <c r="C274" i="6"/>
  <c r="D274" i="6"/>
  <c r="E274" i="6"/>
  <c r="F274" i="6"/>
  <c r="I274" i="6"/>
  <c r="L274" i="6"/>
  <c r="N274" i="6"/>
  <c r="Q274" i="6"/>
  <c r="R274" i="6"/>
  <c r="S274" i="6"/>
  <c r="T274" i="6"/>
  <c r="C275" i="6"/>
  <c r="L275" i="6" s="1"/>
  <c r="D275" i="6"/>
  <c r="E275" i="6"/>
  <c r="F275" i="6"/>
  <c r="I275" i="6"/>
  <c r="N275" i="6"/>
  <c r="R275" i="6"/>
  <c r="Q275" i="6" s="1"/>
  <c r="S275" i="6" s="1"/>
  <c r="T275" i="6"/>
  <c r="C276" i="6"/>
  <c r="D276" i="6"/>
  <c r="E276" i="6"/>
  <c r="F276" i="6"/>
  <c r="I276" i="6"/>
  <c r="L276" i="6"/>
  <c r="N276" i="6"/>
  <c r="Q276" i="6"/>
  <c r="R276" i="6"/>
  <c r="S276" i="6"/>
  <c r="T276" i="6"/>
  <c r="C277" i="6"/>
  <c r="L277" i="6" s="1"/>
  <c r="D277" i="6"/>
  <c r="E277" i="6"/>
  <c r="F277" i="6"/>
  <c r="I277" i="6"/>
  <c r="N277" i="6"/>
  <c r="R277" i="6"/>
  <c r="Q277" i="6" s="1"/>
  <c r="S277" i="6" s="1"/>
  <c r="T277" i="6"/>
  <c r="C278" i="6"/>
  <c r="D278" i="6"/>
  <c r="E278" i="6"/>
  <c r="F278" i="6"/>
  <c r="I278" i="6"/>
  <c r="L278" i="6"/>
  <c r="N278" i="6"/>
  <c r="Q278" i="6"/>
  <c r="R278" i="6"/>
  <c r="S278" i="6"/>
  <c r="T278" i="6"/>
  <c r="C279" i="6"/>
  <c r="D279" i="6"/>
  <c r="E279" i="6"/>
  <c r="F279" i="6"/>
  <c r="H279" i="6"/>
  <c r="I279" i="6"/>
  <c r="L279" i="6"/>
  <c r="N279" i="6"/>
  <c r="Q279" i="6"/>
  <c r="R279" i="6"/>
  <c r="S279" i="6"/>
  <c r="T279" i="6"/>
  <c r="C280" i="6"/>
  <c r="D280" i="6"/>
  <c r="E280" i="6"/>
  <c r="F280" i="6"/>
  <c r="H280" i="6"/>
  <c r="I280" i="6"/>
  <c r="L280" i="6"/>
  <c r="N280" i="6"/>
  <c r="Q280" i="6"/>
  <c r="R280" i="6"/>
  <c r="S280" i="6"/>
  <c r="T280" i="6"/>
  <c r="C281" i="6"/>
  <c r="D281" i="6"/>
  <c r="E281" i="6"/>
  <c r="F281" i="6"/>
  <c r="H281" i="6"/>
  <c r="I281" i="6"/>
  <c r="L281" i="6"/>
  <c r="N281" i="6"/>
  <c r="Q281" i="6"/>
  <c r="R281" i="6"/>
  <c r="S281" i="6"/>
  <c r="T281" i="6"/>
  <c r="C282" i="6"/>
  <c r="D282" i="6"/>
  <c r="E282" i="6"/>
  <c r="F282" i="6"/>
  <c r="H282" i="6"/>
  <c r="I282" i="6"/>
  <c r="L282" i="6"/>
  <c r="N282" i="6"/>
  <c r="Q282" i="6"/>
  <c r="R282" i="6"/>
  <c r="S282" i="6"/>
  <c r="T282" i="6"/>
  <c r="C283" i="6"/>
  <c r="D283" i="6"/>
  <c r="E283" i="6"/>
  <c r="F283" i="6"/>
  <c r="H283" i="6"/>
  <c r="I283" i="6"/>
  <c r="L283" i="6"/>
  <c r="N283" i="6"/>
  <c r="Q283" i="6"/>
  <c r="R283" i="6"/>
  <c r="S283" i="6"/>
  <c r="T283" i="6"/>
  <c r="C284" i="6"/>
  <c r="D284" i="6"/>
  <c r="E284" i="6"/>
  <c r="F284" i="6"/>
  <c r="H284" i="6"/>
  <c r="I284" i="6"/>
  <c r="L284" i="6"/>
  <c r="N284" i="6"/>
  <c r="Q284" i="6"/>
  <c r="R284" i="6"/>
  <c r="S284" i="6"/>
  <c r="T284" i="6"/>
  <c r="C285" i="6"/>
  <c r="D285" i="6"/>
  <c r="E285" i="6"/>
  <c r="F285" i="6"/>
  <c r="H285" i="6"/>
  <c r="I285" i="6"/>
  <c r="L285" i="6"/>
  <c r="N285" i="6"/>
  <c r="Q285" i="6"/>
  <c r="R285" i="6"/>
  <c r="S285" i="6"/>
  <c r="T285" i="6"/>
  <c r="C286" i="6"/>
  <c r="L286" i="6" s="1"/>
  <c r="D286" i="6"/>
  <c r="E286" i="6"/>
  <c r="F286" i="6"/>
  <c r="I286" i="6"/>
  <c r="N286" i="6"/>
  <c r="R286" i="6"/>
  <c r="Q286" i="6" s="1"/>
  <c r="S286" i="6" s="1"/>
  <c r="T286" i="6"/>
  <c r="C287" i="6"/>
  <c r="D287" i="6"/>
  <c r="E287" i="6"/>
  <c r="F287" i="6"/>
  <c r="I287" i="6"/>
  <c r="L287" i="6"/>
  <c r="N287" i="6"/>
  <c r="Q287" i="6"/>
  <c r="R287" i="6"/>
  <c r="S287" i="6"/>
  <c r="T287" i="6"/>
  <c r="C288" i="6"/>
  <c r="L288" i="6" s="1"/>
  <c r="D288" i="6"/>
  <c r="E288" i="6"/>
  <c r="F288" i="6"/>
  <c r="I288" i="6"/>
  <c r="N288" i="6"/>
  <c r="R288" i="6"/>
  <c r="Q288" i="6" s="1"/>
  <c r="S288" i="6" s="1"/>
  <c r="T288" i="6"/>
  <c r="C289" i="6"/>
  <c r="D289" i="6"/>
  <c r="E289" i="6"/>
  <c r="F289" i="6"/>
  <c r="I289" i="6"/>
  <c r="L289" i="6"/>
  <c r="N289" i="6"/>
  <c r="Q289" i="6"/>
  <c r="R289" i="6"/>
  <c r="S289" i="6"/>
  <c r="T289" i="6"/>
  <c r="C290" i="6"/>
  <c r="L290" i="6" s="1"/>
  <c r="D290" i="6"/>
  <c r="E290" i="6"/>
  <c r="F290" i="6"/>
  <c r="I290" i="6"/>
  <c r="N290" i="6"/>
  <c r="R290" i="6"/>
  <c r="Q290" i="6" s="1"/>
  <c r="S290" i="6" s="1"/>
  <c r="T290" i="6"/>
  <c r="C291" i="6"/>
  <c r="D291" i="6"/>
  <c r="L291" i="6" s="1"/>
  <c r="E291" i="6"/>
  <c r="F291" i="6"/>
  <c r="H291" i="6"/>
  <c r="I291" i="6"/>
  <c r="N291" i="6"/>
  <c r="R291" i="6"/>
  <c r="Q291" i="6" s="1"/>
  <c r="S291" i="6" s="1"/>
  <c r="T291" i="6"/>
  <c r="C292" i="6"/>
  <c r="D292" i="6"/>
  <c r="L292" i="6" s="1"/>
  <c r="E292" i="6"/>
  <c r="F292" i="6"/>
  <c r="H292" i="6"/>
  <c r="I292" i="6"/>
  <c r="N292" i="6"/>
  <c r="R292" i="6"/>
  <c r="Q292" i="6" s="1"/>
  <c r="S292" i="6" s="1"/>
  <c r="T292" i="6"/>
  <c r="C293" i="6"/>
  <c r="D293" i="6"/>
  <c r="L293" i="6" s="1"/>
  <c r="E293" i="6"/>
  <c r="F293" i="6"/>
  <c r="H293" i="6"/>
  <c r="I293" i="6"/>
  <c r="N293" i="6"/>
  <c r="R293" i="6"/>
  <c r="Q293" i="6" s="1"/>
  <c r="S293" i="6" s="1"/>
  <c r="T293" i="6"/>
  <c r="C294" i="6"/>
  <c r="D294" i="6"/>
  <c r="L294" i="6" s="1"/>
  <c r="E294" i="6"/>
  <c r="F294" i="6"/>
  <c r="H294" i="6"/>
  <c r="I294" i="6"/>
  <c r="N294" i="6"/>
  <c r="R294" i="6"/>
  <c r="Q294" i="6" s="1"/>
  <c r="S294" i="6" s="1"/>
  <c r="T294" i="6"/>
  <c r="C295" i="6"/>
  <c r="D295" i="6"/>
  <c r="L295" i="6" s="1"/>
  <c r="E295" i="6"/>
  <c r="F295" i="6"/>
  <c r="H295" i="6"/>
  <c r="I295" i="6"/>
  <c r="N295" i="6"/>
  <c r="R295" i="6"/>
  <c r="Q295" i="6" s="1"/>
  <c r="S295" i="6" s="1"/>
  <c r="T295" i="6"/>
  <c r="C296" i="6"/>
  <c r="D296" i="6"/>
  <c r="L296" i="6" s="1"/>
  <c r="E296" i="6"/>
  <c r="F296" i="6"/>
  <c r="H296" i="6"/>
  <c r="I296" i="6"/>
  <c r="N296" i="6"/>
  <c r="R296" i="6"/>
  <c r="Q296" i="6" s="1"/>
  <c r="S296" i="6" s="1"/>
  <c r="T296" i="6"/>
  <c r="C297" i="6"/>
  <c r="D297" i="6"/>
  <c r="L297" i="6" s="1"/>
  <c r="E297" i="6"/>
  <c r="F297" i="6"/>
  <c r="H297" i="6"/>
  <c r="I297" i="6"/>
  <c r="N297" i="6"/>
  <c r="R297" i="6"/>
  <c r="Q297" i="6" s="1"/>
  <c r="S297" i="6" s="1"/>
  <c r="T297" i="6"/>
  <c r="C298" i="6"/>
  <c r="D298" i="6"/>
  <c r="E298" i="6"/>
  <c r="F298" i="6"/>
  <c r="I298" i="6"/>
  <c r="L298" i="6"/>
  <c r="N298" i="6"/>
  <c r="Q298" i="6"/>
  <c r="R298" i="6"/>
  <c r="S298" i="6"/>
  <c r="T298" i="6"/>
  <c r="C299" i="6"/>
  <c r="L299" i="6" s="1"/>
  <c r="D299" i="6"/>
  <c r="E299" i="6"/>
  <c r="F299" i="6"/>
  <c r="I299" i="6"/>
  <c r="N299" i="6"/>
  <c r="R299" i="6"/>
  <c r="Q299" i="6" s="1"/>
  <c r="S299" i="6" s="1"/>
  <c r="T299" i="6"/>
  <c r="C300" i="6"/>
  <c r="D300" i="6"/>
  <c r="E300" i="6"/>
  <c r="F300" i="6"/>
  <c r="I300" i="6"/>
  <c r="L300" i="6"/>
  <c r="N300" i="6"/>
  <c r="Q300" i="6"/>
  <c r="R300" i="6"/>
  <c r="S300" i="6"/>
  <c r="T300" i="6"/>
  <c r="C301" i="6"/>
  <c r="L301" i="6" s="1"/>
  <c r="D301" i="6"/>
  <c r="E301" i="6"/>
  <c r="F301" i="6"/>
  <c r="I301" i="6"/>
  <c r="N301" i="6"/>
  <c r="R301" i="6"/>
  <c r="Q301" i="6" s="1"/>
  <c r="S301" i="6" s="1"/>
  <c r="T301" i="6"/>
  <c r="C302" i="6"/>
  <c r="D302" i="6"/>
  <c r="E302" i="6"/>
  <c r="F302" i="6"/>
  <c r="I302" i="6"/>
  <c r="L302" i="6"/>
  <c r="N302" i="6"/>
  <c r="Q302" i="6"/>
  <c r="R302" i="6"/>
  <c r="S302" i="6"/>
  <c r="T302" i="6"/>
  <c r="C303" i="6"/>
  <c r="D303" i="6"/>
  <c r="E303" i="6"/>
  <c r="F303" i="6"/>
  <c r="H303" i="6"/>
  <c r="I303" i="6"/>
  <c r="L303" i="6"/>
  <c r="N303" i="6"/>
  <c r="Q303" i="6"/>
  <c r="R303" i="6"/>
  <c r="S303" i="6"/>
  <c r="T303" i="6"/>
  <c r="C304" i="6"/>
  <c r="D304" i="6"/>
  <c r="E304" i="6"/>
  <c r="F304" i="6"/>
  <c r="H304" i="6"/>
  <c r="I304" i="6"/>
  <c r="L304" i="6"/>
  <c r="N304" i="6"/>
  <c r="Q304" i="6"/>
  <c r="R304" i="6"/>
  <c r="S304" i="6"/>
  <c r="T304" i="6"/>
  <c r="C305" i="6"/>
  <c r="D305" i="6"/>
  <c r="E305" i="6"/>
  <c r="F305" i="6"/>
  <c r="H305" i="6"/>
  <c r="I305" i="6"/>
  <c r="L305" i="6"/>
  <c r="N305" i="6"/>
  <c r="Q305" i="6"/>
  <c r="R305" i="6"/>
  <c r="S305" i="6"/>
  <c r="T305" i="6"/>
  <c r="C306" i="6"/>
  <c r="D306" i="6"/>
  <c r="E306" i="6"/>
  <c r="F306" i="6"/>
  <c r="H306" i="6"/>
  <c r="I306" i="6"/>
  <c r="L306" i="6"/>
  <c r="N306" i="6"/>
  <c r="Q306" i="6"/>
  <c r="R306" i="6"/>
  <c r="S306" i="6"/>
  <c r="T306" i="6"/>
  <c r="C307" i="6"/>
  <c r="D307" i="6"/>
  <c r="E307" i="6"/>
  <c r="F307" i="6"/>
  <c r="H307" i="6"/>
  <c r="I307" i="6"/>
  <c r="L307" i="6"/>
  <c r="N307" i="6"/>
  <c r="Q307" i="6"/>
  <c r="R307" i="6"/>
  <c r="S307" i="6"/>
  <c r="T307" i="6"/>
  <c r="C308" i="6"/>
  <c r="D308" i="6"/>
  <c r="E308" i="6"/>
  <c r="F308" i="6"/>
  <c r="H308" i="6"/>
  <c r="I308" i="6"/>
  <c r="L308" i="6"/>
  <c r="N308" i="6"/>
  <c r="Q308" i="6"/>
  <c r="R308" i="6"/>
  <c r="S308" i="6"/>
  <c r="T308" i="6"/>
  <c r="C309" i="6"/>
  <c r="D309" i="6"/>
  <c r="E309" i="6"/>
  <c r="F309" i="6"/>
  <c r="H309" i="6"/>
  <c r="I309" i="6"/>
  <c r="L309" i="6"/>
  <c r="N309" i="6"/>
  <c r="Q309" i="6"/>
  <c r="R309" i="6"/>
  <c r="S309" i="6"/>
  <c r="T309" i="6"/>
  <c r="C310" i="6"/>
  <c r="L310" i="6" s="1"/>
  <c r="D310" i="6"/>
  <c r="E310" i="6"/>
  <c r="F310" i="6"/>
  <c r="I310" i="6"/>
  <c r="N310" i="6"/>
  <c r="R310" i="6"/>
  <c r="Q310" i="6" s="1"/>
  <c r="S310" i="6" s="1"/>
  <c r="T310" i="6"/>
  <c r="C311" i="6"/>
  <c r="D311" i="6"/>
  <c r="E311" i="6"/>
  <c r="F311" i="6"/>
  <c r="I311" i="6"/>
  <c r="L311" i="6"/>
  <c r="N311" i="6"/>
  <c r="Q311" i="6"/>
  <c r="R311" i="6"/>
  <c r="S311" i="6"/>
  <c r="T311" i="6"/>
  <c r="C312" i="6"/>
  <c r="L312" i="6" s="1"/>
  <c r="D312" i="6"/>
  <c r="E312" i="6"/>
  <c r="F312" i="6"/>
  <c r="I312" i="6"/>
  <c r="N312" i="6"/>
  <c r="R312" i="6"/>
  <c r="Q312" i="6" s="1"/>
  <c r="S312" i="6" s="1"/>
  <c r="T312" i="6"/>
  <c r="C313" i="6"/>
  <c r="D313" i="6"/>
  <c r="E313" i="6"/>
  <c r="F313" i="6"/>
  <c r="I313" i="6"/>
  <c r="L313" i="6"/>
  <c r="N313" i="6"/>
  <c r="Q313" i="6"/>
  <c r="R313" i="6"/>
  <c r="S313" i="6"/>
  <c r="T313" i="6"/>
  <c r="C314" i="6"/>
  <c r="L314" i="6" s="1"/>
  <c r="D314" i="6"/>
  <c r="E314" i="6"/>
  <c r="F314" i="6"/>
  <c r="I314" i="6"/>
  <c r="N314" i="6"/>
  <c r="R314" i="6"/>
  <c r="Q314" i="6" s="1"/>
  <c r="S314" i="6" s="1"/>
  <c r="T314" i="6"/>
  <c r="C315" i="6"/>
  <c r="D315" i="6"/>
  <c r="L315" i="6" s="1"/>
  <c r="E315" i="6"/>
  <c r="F315" i="6"/>
  <c r="H315" i="6"/>
  <c r="I315" i="6"/>
  <c r="N315" i="6"/>
  <c r="R315" i="6"/>
  <c r="Q315" i="6" s="1"/>
  <c r="S315" i="6" s="1"/>
  <c r="T315" i="6"/>
  <c r="C316" i="6"/>
  <c r="D316" i="6"/>
  <c r="L316" i="6" s="1"/>
  <c r="E316" i="6"/>
  <c r="F316" i="6"/>
  <c r="H316" i="6"/>
  <c r="I316" i="6"/>
  <c r="N316" i="6"/>
  <c r="R316" i="6"/>
  <c r="Q316" i="6" s="1"/>
  <c r="S316" i="6" s="1"/>
  <c r="T316" i="6"/>
  <c r="C317" i="6"/>
  <c r="D317" i="6"/>
  <c r="L317" i="6" s="1"/>
  <c r="E317" i="6"/>
  <c r="F317" i="6"/>
  <c r="H317" i="6"/>
  <c r="I317" i="6"/>
  <c r="N317" i="6"/>
  <c r="R317" i="6"/>
  <c r="Q317" i="6" s="1"/>
  <c r="S317" i="6" s="1"/>
  <c r="T317" i="6"/>
  <c r="C318" i="6"/>
  <c r="D318" i="6"/>
  <c r="L318" i="6" s="1"/>
  <c r="E318" i="6"/>
  <c r="F318" i="6"/>
  <c r="H318" i="6"/>
  <c r="I318" i="6"/>
  <c r="N318" i="6"/>
  <c r="R318" i="6"/>
  <c r="Q318" i="6" s="1"/>
  <c r="S318" i="6" s="1"/>
  <c r="T318" i="6"/>
  <c r="C319" i="6"/>
  <c r="D319" i="6"/>
  <c r="L319" i="6" s="1"/>
  <c r="E319" i="6"/>
  <c r="F319" i="6"/>
  <c r="H319" i="6"/>
  <c r="I319" i="6"/>
  <c r="N319" i="6"/>
  <c r="R319" i="6"/>
  <c r="Q319" i="6" s="1"/>
  <c r="S319" i="6" s="1"/>
  <c r="T319" i="6"/>
  <c r="C320" i="6"/>
  <c r="D320" i="6"/>
  <c r="L320" i="6" s="1"/>
  <c r="E320" i="6"/>
  <c r="F320" i="6"/>
  <c r="H320" i="6"/>
  <c r="I320" i="6"/>
  <c r="N320" i="6"/>
  <c r="R320" i="6"/>
  <c r="Q320" i="6" s="1"/>
  <c r="S320" i="6" s="1"/>
  <c r="T320" i="6"/>
  <c r="C321" i="6"/>
  <c r="D321" i="6"/>
  <c r="L321" i="6" s="1"/>
  <c r="E321" i="6"/>
  <c r="F321" i="6"/>
  <c r="H321" i="6"/>
  <c r="I321" i="6"/>
  <c r="N321" i="6"/>
  <c r="R321" i="6"/>
  <c r="Q321" i="6" s="1"/>
  <c r="S321" i="6" s="1"/>
  <c r="T321" i="6"/>
  <c r="C322" i="6"/>
  <c r="D322" i="6"/>
  <c r="E322" i="6"/>
  <c r="F322" i="6"/>
  <c r="I322" i="6"/>
  <c r="L322" i="6"/>
  <c r="N322" i="6"/>
  <c r="Q322" i="6"/>
  <c r="R322" i="6"/>
  <c r="S322" i="6"/>
  <c r="T322" i="6"/>
  <c r="C323" i="6"/>
  <c r="L323" i="6" s="1"/>
  <c r="D323" i="6"/>
  <c r="E323" i="6"/>
  <c r="F323" i="6"/>
  <c r="I323" i="6"/>
  <c r="N323" i="6"/>
  <c r="R323" i="6"/>
  <c r="Q323" i="6" s="1"/>
  <c r="S323" i="6" s="1"/>
  <c r="T323" i="6"/>
  <c r="C324" i="6"/>
  <c r="D324" i="6"/>
  <c r="E324" i="6"/>
  <c r="F324" i="6"/>
  <c r="I324" i="6"/>
  <c r="L324" i="6"/>
  <c r="N324" i="6"/>
  <c r="Q324" i="6"/>
  <c r="R324" i="6"/>
  <c r="S324" i="6"/>
  <c r="T324" i="6"/>
  <c r="C325" i="6"/>
  <c r="L325" i="6" s="1"/>
  <c r="D325" i="6"/>
  <c r="E325" i="6"/>
  <c r="F325" i="6"/>
  <c r="I325" i="6"/>
  <c r="N325" i="6"/>
  <c r="R325" i="6"/>
  <c r="Q325" i="6" s="1"/>
  <c r="S325" i="6" s="1"/>
  <c r="T325" i="6"/>
  <c r="C326" i="6"/>
  <c r="D326" i="6"/>
  <c r="E326" i="6"/>
  <c r="F326" i="6"/>
  <c r="I326" i="6"/>
  <c r="L326" i="6"/>
  <c r="N326" i="6"/>
  <c r="Q326" i="6"/>
  <c r="R326" i="6"/>
  <c r="S326" i="6"/>
  <c r="T326" i="6"/>
  <c r="C327" i="6"/>
  <c r="D327" i="6"/>
  <c r="E327" i="6"/>
  <c r="F327" i="6"/>
  <c r="H327" i="6"/>
  <c r="I327" i="6"/>
  <c r="L327" i="6"/>
  <c r="N327" i="6"/>
  <c r="Q327" i="6"/>
  <c r="R327" i="6"/>
  <c r="S327" i="6"/>
  <c r="T327" i="6"/>
  <c r="C328" i="6"/>
  <c r="D328" i="6"/>
  <c r="E328" i="6"/>
  <c r="F328" i="6"/>
  <c r="H328" i="6"/>
  <c r="I328" i="6"/>
  <c r="L328" i="6"/>
  <c r="N328" i="6"/>
  <c r="Q328" i="6"/>
  <c r="R328" i="6"/>
  <c r="S328" i="6"/>
  <c r="T328" i="6"/>
  <c r="C329" i="6"/>
  <c r="D329" i="6"/>
  <c r="E329" i="6"/>
  <c r="F329" i="6"/>
  <c r="H329" i="6"/>
  <c r="I329" i="6"/>
  <c r="L329" i="6"/>
  <c r="N329" i="6"/>
  <c r="Q329" i="6"/>
  <c r="R329" i="6"/>
  <c r="S329" i="6"/>
  <c r="T329" i="6"/>
  <c r="C330" i="6"/>
  <c r="D330" i="6"/>
  <c r="E330" i="6"/>
  <c r="F330" i="6"/>
  <c r="H330" i="6"/>
  <c r="I330" i="6"/>
  <c r="L330" i="6"/>
  <c r="N330" i="6"/>
  <c r="Q330" i="6"/>
  <c r="R330" i="6"/>
  <c r="S330" i="6"/>
  <c r="T330" i="6"/>
  <c r="C331" i="6"/>
  <c r="D331" i="6"/>
  <c r="E331" i="6"/>
  <c r="F331" i="6"/>
  <c r="H331" i="6"/>
  <c r="I331" i="6"/>
  <c r="L331" i="6"/>
  <c r="N331" i="6"/>
  <c r="Q331" i="6"/>
  <c r="R331" i="6"/>
  <c r="S331" i="6"/>
  <c r="T331" i="6"/>
  <c r="C332" i="6"/>
  <c r="D332" i="6"/>
  <c r="E332" i="6"/>
  <c r="F332" i="6"/>
  <c r="H332" i="6"/>
  <c r="I332" i="6"/>
  <c r="L332" i="6"/>
  <c r="N332" i="6"/>
  <c r="Q332" i="6"/>
  <c r="R332" i="6"/>
  <c r="S332" i="6"/>
  <c r="T332" i="6"/>
  <c r="C333" i="6"/>
  <c r="D333" i="6"/>
  <c r="E333" i="6"/>
  <c r="F333" i="6"/>
  <c r="H333" i="6"/>
  <c r="I333" i="6"/>
  <c r="L333" i="6"/>
  <c r="N333" i="6"/>
  <c r="Q333" i="6"/>
  <c r="R333" i="6"/>
  <c r="S333" i="6"/>
  <c r="T333" i="6"/>
  <c r="C334" i="6"/>
  <c r="L334" i="6" s="1"/>
  <c r="D334" i="6"/>
  <c r="E334" i="6"/>
  <c r="F334" i="6"/>
  <c r="I334" i="6"/>
  <c r="N334" i="6"/>
  <c r="R334" i="6"/>
  <c r="Q334" i="6" s="1"/>
  <c r="S334" i="6" s="1"/>
  <c r="T334" i="6"/>
  <c r="C335" i="6"/>
  <c r="D335" i="6"/>
  <c r="E335" i="6"/>
  <c r="F335" i="6"/>
  <c r="I335" i="6"/>
  <c r="L335" i="6"/>
  <c r="N335" i="6"/>
  <c r="Q335" i="6"/>
  <c r="R335" i="6"/>
  <c r="S335" i="6"/>
  <c r="T335" i="6"/>
  <c r="C336" i="6"/>
  <c r="L336" i="6" s="1"/>
  <c r="D336" i="6"/>
  <c r="E336" i="6"/>
  <c r="F336" i="6"/>
  <c r="I336" i="6"/>
  <c r="N336" i="6"/>
  <c r="R336" i="6"/>
  <c r="Q336" i="6" s="1"/>
  <c r="S336" i="6" s="1"/>
  <c r="T336" i="6"/>
  <c r="C337" i="6"/>
  <c r="D337" i="6"/>
  <c r="E337" i="6"/>
  <c r="F337" i="6"/>
  <c r="I337" i="6"/>
  <c r="L337" i="6"/>
  <c r="N337" i="6"/>
  <c r="Q337" i="6"/>
  <c r="R337" i="6"/>
  <c r="S337" i="6"/>
  <c r="T337" i="6"/>
  <c r="C338" i="6"/>
  <c r="L338" i="6" s="1"/>
  <c r="D338" i="6"/>
  <c r="E338" i="6"/>
  <c r="F338" i="6"/>
  <c r="I338" i="6"/>
  <c r="N338" i="6"/>
  <c r="R338" i="6"/>
  <c r="Q338" i="6" s="1"/>
  <c r="S338" i="6" s="1"/>
  <c r="T338" i="6"/>
  <c r="C339" i="6"/>
  <c r="D339" i="6"/>
  <c r="L339" i="6" s="1"/>
  <c r="E339" i="6"/>
  <c r="F339" i="6"/>
  <c r="H339" i="6"/>
  <c r="I339" i="6"/>
  <c r="N339" i="6"/>
  <c r="R339" i="6"/>
  <c r="Q339" i="6" s="1"/>
  <c r="S339" i="6" s="1"/>
  <c r="T339" i="6"/>
  <c r="C340" i="6"/>
  <c r="D340" i="6"/>
  <c r="L340" i="6" s="1"/>
  <c r="E340" i="6"/>
  <c r="F340" i="6"/>
  <c r="H340" i="6"/>
  <c r="I340" i="6"/>
  <c r="N340" i="6"/>
  <c r="R340" i="6"/>
  <c r="Q340" i="6" s="1"/>
  <c r="S340" i="6" s="1"/>
  <c r="T340" i="6"/>
  <c r="C341" i="6"/>
  <c r="D341" i="6"/>
  <c r="L341" i="6" s="1"/>
  <c r="E341" i="6"/>
  <c r="F341" i="6"/>
  <c r="H341" i="6"/>
  <c r="I341" i="6"/>
  <c r="N341" i="6"/>
  <c r="R341" i="6"/>
  <c r="Q341" i="6" s="1"/>
  <c r="S341" i="6" s="1"/>
  <c r="T341" i="6"/>
  <c r="C342" i="6"/>
  <c r="D342" i="6"/>
  <c r="L342" i="6" s="1"/>
  <c r="E342" i="6"/>
  <c r="F342" i="6"/>
  <c r="H342" i="6"/>
  <c r="I342" i="6"/>
  <c r="N342" i="6"/>
  <c r="R342" i="6"/>
  <c r="Q342" i="6" s="1"/>
  <c r="S342" i="6" s="1"/>
  <c r="T342" i="6"/>
  <c r="C343" i="6"/>
  <c r="D343" i="6"/>
  <c r="L343" i="6" s="1"/>
  <c r="E343" i="6"/>
  <c r="F343" i="6"/>
  <c r="H343" i="6"/>
  <c r="I343" i="6"/>
  <c r="N343" i="6"/>
  <c r="R343" i="6"/>
  <c r="Q343" i="6" s="1"/>
  <c r="S343" i="6" s="1"/>
  <c r="T343" i="6"/>
  <c r="C344" i="6"/>
  <c r="D344" i="6"/>
  <c r="L344" i="6" s="1"/>
  <c r="E344" i="6"/>
  <c r="F344" i="6"/>
  <c r="H344" i="6"/>
  <c r="I344" i="6"/>
  <c r="N344" i="6"/>
  <c r="R344" i="6"/>
  <c r="Q344" i="6" s="1"/>
  <c r="S344" i="6" s="1"/>
  <c r="T344" i="6"/>
  <c r="C345" i="6"/>
  <c r="D345" i="6"/>
  <c r="L345" i="6" s="1"/>
  <c r="E345" i="6"/>
  <c r="F345" i="6"/>
  <c r="H345" i="6"/>
  <c r="I345" i="6"/>
  <c r="N345" i="6"/>
  <c r="R345" i="6"/>
  <c r="Q345" i="6" s="1"/>
  <c r="S345" i="6" s="1"/>
  <c r="T345" i="6"/>
  <c r="C346" i="6"/>
  <c r="D346" i="6"/>
  <c r="E346" i="6"/>
  <c r="F346" i="6"/>
  <c r="I346" i="6"/>
  <c r="L346" i="6"/>
  <c r="N346" i="6"/>
  <c r="Q346" i="6"/>
  <c r="R346" i="6"/>
  <c r="S346" i="6"/>
  <c r="T346" i="6"/>
  <c r="C347" i="6"/>
  <c r="L347" i="6" s="1"/>
  <c r="D347" i="6"/>
  <c r="E347" i="6"/>
  <c r="F347" i="6"/>
  <c r="I347" i="6"/>
  <c r="N347" i="6"/>
  <c r="R347" i="6"/>
  <c r="Q347" i="6" s="1"/>
  <c r="S347" i="6" s="1"/>
  <c r="T347" i="6"/>
  <c r="C348" i="6"/>
  <c r="D348" i="6"/>
  <c r="E348" i="6"/>
  <c r="F348" i="6"/>
  <c r="I348" i="6"/>
  <c r="L348" i="6"/>
  <c r="N348" i="6"/>
  <c r="Q348" i="6"/>
  <c r="R348" i="6"/>
  <c r="S348" i="6"/>
  <c r="T348" i="6"/>
  <c r="C349" i="6"/>
  <c r="L349" i="6" s="1"/>
  <c r="D349" i="6"/>
  <c r="E349" i="6"/>
  <c r="F349" i="6"/>
  <c r="I349" i="6"/>
  <c r="N349" i="6"/>
  <c r="R349" i="6"/>
  <c r="Q349" i="6" s="1"/>
  <c r="S349" i="6" s="1"/>
  <c r="T349" i="6"/>
  <c r="C350" i="6"/>
  <c r="D350" i="6"/>
  <c r="E350" i="6"/>
  <c r="F350" i="6"/>
  <c r="I350" i="6"/>
  <c r="L350" i="6"/>
  <c r="N350" i="6"/>
  <c r="Q350" i="6"/>
  <c r="R350" i="6"/>
  <c r="S350" i="6"/>
  <c r="T350" i="6"/>
  <c r="C351" i="6"/>
  <c r="D351" i="6"/>
  <c r="E351" i="6"/>
  <c r="F351" i="6"/>
  <c r="H351" i="6"/>
  <c r="I351" i="6"/>
  <c r="L351" i="6"/>
  <c r="N351" i="6"/>
  <c r="Q351" i="6"/>
  <c r="R351" i="6"/>
  <c r="S351" i="6"/>
  <c r="T351" i="6"/>
  <c r="C352" i="6"/>
  <c r="D352" i="6"/>
  <c r="E352" i="6"/>
  <c r="F352" i="6"/>
  <c r="H352" i="6"/>
  <c r="I352" i="6"/>
  <c r="L352" i="6"/>
  <c r="N352" i="6"/>
  <c r="Q352" i="6"/>
  <c r="R352" i="6"/>
  <c r="S352" i="6"/>
  <c r="T352" i="6"/>
  <c r="C353" i="6"/>
  <c r="D353" i="6"/>
  <c r="E353" i="6"/>
  <c r="F353" i="6"/>
  <c r="H353" i="6"/>
  <c r="I353" i="6"/>
  <c r="L353" i="6"/>
  <c r="N353" i="6"/>
  <c r="Q353" i="6"/>
  <c r="R353" i="6"/>
  <c r="S353" i="6"/>
  <c r="T353" i="6"/>
  <c r="C354" i="6"/>
  <c r="D354" i="6"/>
  <c r="E354" i="6"/>
  <c r="F354" i="6"/>
  <c r="H354" i="6"/>
  <c r="I354" i="6"/>
  <c r="L354" i="6"/>
  <c r="N354" i="6"/>
  <c r="Q354" i="6"/>
  <c r="R354" i="6"/>
  <c r="S354" i="6"/>
  <c r="T354" i="6"/>
  <c r="C355" i="6"/>
  <c r="D355" i="6"/>
  <c r="E355" i="6"/>
  <c r="F355" i="6"/>
  <c r="H355" i="6"/>
  <c r="I355" i="6"/>
  <c r="L355" i="6"/>
  <c r="N355" i="6"/>
  <c r="Q355" i="6"/>
  <c r="R355" i="6"/>
  <c r="S355" i="6"/>
  <c r="T355" i="6"/>
  <c r="C356" i="6"/>
  <c r="D356" i="6"/>
  <c r="E356" i="6"/>
  <c r="F356" i="6"/>
  <c r="H356" i="6"/>
  <c r="I356" i="6"/>
  <c r="L356" i="6"/>
  <c r="N356" i="6"/>
  <c r="Q356" i="6"/>
  <c r="R356" i="6"/>
  <c r="S356" i="6"/>
  <c r="T356" i="6"/>
  <c r="C357" i="6"/>
  <c r="D357" i="6"/>
  <c r="E357" i="6"/>
  <c r="F357" i="6"/>
  <c r="H357" i="6"/>
  <c r="I357" i="6"/>
  <c r="L357" i="6"/>
  <c r="N357" i="6"/>
  <c r="Q357" i="6"/>
  <c r="R357" i="6"/>
  <c r="S357" i="6"/>
  <c r="T357" i="6"/>
  <c r="C358" i="6"/>
  <c r="L358" i="6" s="1"/>
  <c r="D358" i="6"/>
  <c r="E358" i="6"/>
  <c r="F358" i="6"/>
  <c r="I358" i="6"/>
  <c r="N358" i="6"/>
  <c r="R358" i="6"/>
  <c r="Q358" i="6" s="1"/>
  <c r="S358" i="6" s="1"/>
  <c r="T358" i="6"/>
  <c r="C359" i="6"/>
  <c r="D359" i="6"/>
  <c r="E359" i="6"/>
  <c r="F359" i="6"/>
  <c r="I359" i="6"/>
  <c r="L359" i="6"/>
  <c r="N359" i="6"/>
  <c r="Q359" i="6"/>
  <c r="R359" i="6"/>
  <c r="S359" i="6"/>
  <c r="T359" i="6"/>
  <c r="C360" i="6"/>
  <c r="L360" i="6" s="1"/>
  <c r="D360" i="6"/>
  <c r="E360" i="6"/>
  <c r="F360" i="6"/>
  <c r="I360" i="6"/>
  <c r="N360" i="6"/>
  <c r="R360" i="6"/>
  <c r="Q360" i="6" s="1"/>
  <c r="S360" i="6" s="1"/>
  <c r="T360" i="6"/>
  <c r="C361" i="6"/>
  <c r="D361" i="6"/>
  <c r="E361" i="6"/>
  <c r="F361" i="6"/>
  <c r="I361" i="6"/>
  <c r="L361" i="6"/>
  <c r="N361" i="6"/>
  <c r="Q361" i="6"/>
  <c r="R361" i="6"/>
  <c r="S361" i="6"/>
  <c r="T361" i="6"/>
  <c r="C362" i="6"/>
  <c r="L362" i="6" s="1"/>
  <c r="D362" i="6"/>
  <c r="E362" i="6"/>
  <c r="F362" i="6"/>
  <c r="I362" i="6"/>
  <c r="N362" i="6"/>
  <c r="R362" i="6"/>
  <c r="Q362" i="6" s="1"/>
  <c r="S362" i="6" s="1"/>
  <c r="T362" i="6"/>
  <c r="C363" i="6"/>
  <c r="D363" i="6"/>
  <c r="L363" i="6" s="1"/>
  <c r="E363" i="6"/>
  <c r="F363" i="6"/>
  <c r="H363" i="6"/>
  <c r="I363" i="6"/>
  <c r="N363" i="6"/>
  <c r="R363" i="6"/>
  <c r="Q363" i="6" s="1"/>
  <c r="S363" i="6" s="1"/>
  <c r="T363" i="6"/>
  <c r="C364" i="6"/>
  <c r="D364" i="6"/>
  <c r="L364" i="6" s="1"/>
  <c r="E364" i="6"/>
  <c r="F364" i="6"/>
  <c r="H364" i="6"/>
  <c r="I364" i="6"/>
  <c r="N364" i="6"/>
  <c r="R364" i="6"/>
  <c r="Q364" i="6" s="1"/>
  <c r="S364" i="6" s="1"/>
  <c r="T364" i="6"/>
  <c r="C365" i="6"/>
  <c r="D365" i="6"/>
  <c r="L365" i="6" s="1"/>
  <c r="E365" i="6"/>
  <c r="F365" i="6"/>
  <c r="H365" i="6"/>
  <c r="I365" i="6"/>
  <c r="N365" i="6"/>
  <c r="R365" i="6"/>
  <c r="Q365" i="6" s="1"/>
  <c r="S365" i="6" s="1"/>
  <c r="T365" i="6"/>
  <c r="C366" i="6"/>
  <c r="D366" i="6"/>
  <c r="L366" i="6" s="1"/>
  <c r="E366" i="6"/>
  <c r="F366" i="6"/>
  <c r="H366" i="6"/>
  <c r="I366" i="6"/>
  <c r="N366" i="6"/>
  <c r="R366" i="6"/>
  <c r="Q366" i="6" s="1"/>
  <c r="S366" i="6" s="1"/>
  <c r="T366" i="6"/>
  <c r="C367" i="6"/>
  <c r="D367" i="6"/>
  <c r="L367" i="6" s="1"/>
  <c r="E367" i="6"/>
  <c r="F367" i="6"/>
  <c r="H367" i="6"/>
  <c r="I367" i="6"/>
  <c r="N367" i="6"/>
  <c r="R367" i="6"/>
  <c r="Q367" i="6" s="1"/>
  <c r="S367" i="6" s="1"/>
  <c r="T367" i="6"/>
  <c r="C368" i="6"/>
  <c r="D368" i="6"/>
  <c r="L368" i="6" s="1"/>
  <c r="E368" i="6"/>
  <c r="F368" i="6"/>
  <c r="H368" i="6"/>
  <c r="I368" i="6"/>
  <c r="N368" i="6"/>
  <c r="R368" i="6"/>
  <c r="Q368" i="6" s="1"/>
  <c r="S368" i="6" s="1"/>
  <c r="T368" i="6"/>
  <c r="C369" i="6"/>
  <c r="D369" i="6"/>
  <c r="L369" i="6" s="1"/>
  <c r="E369" i="6"/>
  <c r="F369" i="6"/>
  <c r="H369" i="6"/>
  <c r="I369" i="6"/>
  <c r="N369" i="6"/>
  <c r="R369" i="6"/>
  <c r="Q369" i="6" s="1"/>
  <c r="S369" i="6" s="1"/>
  <c r="T369" i="6"/>
  <c r="C370" i="6"/>
  <c r="D370" i="6"/>
  <c r="E370" i="6"/>
  <c r="F370" i="6"/>
  <c r="I370" i="6"/>
  <c r="L370" i="6"/>
  <c r="N370" i="6"/>
  <c r="Q370" i="6"/>
  <c r="R370" i="6"/>
  <c r="S370" i="6"/>
  <c r="T370" i="6"/>
  <c r="C371" i="6"/>
  <c r="L371" i="6" s="1"/>
  <c r="D371" i="6"/>
  <c r="E371" i="6"/>
  <c r="F371" i="6"/>
  <c r="I371" i="6"/>
  <c r="N371" i="6"/>
  <c r="R371" i="6"/>
  <c r="Q371" i="6" s="1"/>
  <c r="S371" i="6" s="1"/>
  <c r="T371" i="6"/>
  <c r="C372" i="6"/>
  <c r="D372" i="6"/>
  <c r="E372" i="6"/>
  <c r="F372" i="6"/>
  <c r="I372" i="6"/>
  <c r="L372" i="6"/>
  <c r="N372" i="6"/>
  <c r="Q372" i="6"/>
  <c r="R372" i="6"/>
  <c r="S372" i="6"/>
  <c r="T372" i="6"/>
  <c r="C373" i="6"/>
  <c r="L373" i="6" s="1"/>
  <c r="D373" i="6"/>
  <c r="E373" i="6"/>
  <c r="F373" i="6"/>
  <c r="I373" i="6"/>
  <c r="N373" i="6"/>
  <c r="R373" i="6"/>
  <c r="Q373" i="6" s="1"/>
  <c r="S373" i="6" s="1"/>
  <c r="T373" i="6"/>
  <c r="C374" i="6"/>
  <c r="D374" i="6"/>
  <c r="E374" i="6"/>
  <c r="F374" i="6"/>
  <c r="I374" i="6"/>
  <c r="L374" i="6"/>
  <c r="N374" i="6"/>
  <c r="Q374" i="6"/>
  <c r="R374" i="6"/>
  <c r="S374" i="6"/>
  <c r="T374" i="6"/>
  <c r="C375" i="6"/>
  <c r="D375" i="6"/>
  <c r="E375" i="6"/>
  <c r="F375" i="6"/>
  <c r="H375" i="6"/>
  <c r="I375" i="6"/>
  <c r="L375" i="6"/>
  <c r="N375" i="6"/>
  <c r="Q375" i="6"/>
  <c r="R375" i="6"/>
  <c r="S375" i="6"/>
  <c r="T375" i="6"/>
  <c r="C376" i="6"/>
  <c r="D376" i="6"/>
  <c r="E376" i="6"/>
  <c r="F376" i="6"/>
  <c r="H376" i="6"/>
  <c r="I376" i="6"/>
  <c r="L376" i="6"/>
  <c r="N376" i="6"/>
  <c r="Q376" i="6"/>
  <c r="R376" i="6"/>
  <c r="S376" i="6"/>
  <c r="T376" i="6"/>
  <c r="C377" i="6"/>
  <c r="D377" i="6"/>
  <c r="E377" i="6"/>
  <c r="F377" i="6"/>
  <c r="H377" i="6"/>
  <c r="I377" i="6"/>
  <c r="L377" i="6"/>
  <c r="N377" i="6"/>
  <c r="Q377" i="6"/>
  <c r="R377" i="6"/>
  <c r="S377" i="6"/>
  <c r="T377" i="6"/>
  <c r="C378" i="6"/>
  <c r="D378" i="6"/>
  <c r="E378" i="6"/>
  <c r="F378" i="6"/>
  <c r="H378" i="6"/>
  <c r="I378" i="6"/>
  <c r="L378" i="6"/>
  <c r="N378" i="6"/>
  <c r="Q378" i="6"/>
  <c r="R378" i="6"/>
  <c r="S378" i="6"/>
  <c r="T378" i="6"/>
  <c r="C379" i="6"/>
  <c r="D379" i="6"/>
  <c r="E379" i="6"/>
  <c r="F379" i="6"/>
  <c r="H379" i="6"/>
  <c r="I379" i="6"/>
  <c r="L379" i="6"/>
  <c r="N379" i="6"/>
  <c r="Q379" i="6"/>
  <c r="R379" i="6"/>
  <c r="S379" i="6"/>
  <c r="T379" i="6"/>
  <c r="C380" i="6"/>
  <c r="D380" i="6"/>
  <c r="E380" i="6"/>
  <c r="F380" i="6"/>
  <c r="H380" i="6"/>
  <c r="I380" i="6"/>
  <c r="L380" i="6"/>
  <c r="N380" i="6"/>
  <c r="Q380" i="6"/>
  <c r="R380" i="6"/>
  <c r="S380" i="6"/>
  <c r="T380" i="6"/>
  <c r="C381" i="6"/>
  <c r="D381" i="6"/>
  <c r="E381" i="6"/>
  <c r="F381" i="6"/>
  <c r="H381" i="6"/>
  <c r="I381" i="6"/>
  <c r="L381" i="6"/>
  <c r="N381" i="6"/>
  <c r="Q381" i="6"/>
  <c r="R381" i="6"/>
  <c r="S381" i="6"/>
  <c r="T381" i="6"/>
  <c r="C382" i="6"/>
  <c r="L382" i="6" s="1"/>
  <c r="D382" i="6"/>
  <c r="E382" i="6"/>
  <c r="F382" i="6"/>
  <c r="I382" i="6"/>
  <c r="N382" i="6"/>
  <c r="R382" i="6"/>
  <c r="Q382" i="6" s="1"/>
  <c r="S382" i="6" s="1"/>
  <c r="T382" i="6"/>
  <c r="C383" i="6"/>
  <c r="D383" i="6"/>
  <c r="E383" i="6"/>
  <c r="F383" i="6"/>
  <c r="I383" i="6"/>
  <c r="L383" i="6"/>
  <c r="N383" i="6"/>
  <c r="Q383" i="6"/>
  <c r="R383" i="6"/>
  <c r="S383" i="6"/>
  <c r="T383" i="6"/>
  <c r="C384" i="6"/>
  <c r="L384" i="6" s="1"/>
  <c r="D384" i="6"/>
  <c r="E384" i="6"/>
  <c r="F384" i="6"/>
  <c r="I384" i="6"/>
  <c r="N384" i="6"/>
  <c r="R384" i="6"/>
  <c r="Q384" i="6" s="1"/>
  <c r="S384" i="6" s="1"/>
  <c r="T384" i="6"/>
  <c r="C385" i="6"/>
  <c r="D385" i="6"/>
  <c r="E385" i="6"/>
  <c r="F385" i="6"/>
  <c r="I385" i="6"/>
  <c r="L385" i="6"/>
  <c r="N385" i="6"/>
  <c r="Q385" i="6"/>
  <c r="R385" i="6"/>
  <c r="S385" i="6"/>
  <c r="T385" i="6"/>
  <c r="C386" i="6"/>
  <c r="L386" i="6" s="1"/>
  <c r="D386" i="6"/>
  <c r="E386" i="6"/>
  <c r="F386" i="6"/>
  <c r="I386" i="6"/>
  <c r="N386" i="6"/>
  <c r="R386" i="6"/>
  <c r="Q386" i="6" s="1"/>
  <c r="S386" i="6" s="1"/>
  <c r="T386" i="6"/>
  <c r="C387" i="6"/>
  <c r="D387" i="6"/>
  <c r="L387" i="6" s="1"/>
  <c r="E387" i="6"/>
  <c r="F387" i="6"/>
  <c r="H387" i="6"/>
  <c r="I387" i="6"/>
  <c r="N387" i="6"/>
  <c r="R387" i="6"/>
  <c r="Q387" i="6" s="1"/>
  <c r="S387" i="6" s="1"/>
  <c r="T387" i="6"/>
  <c r="C388" i="6"/>
  <c r="D388" i="6"/>
  <c r="L388" i="6" s="1"/>
  <c r="E388" i="6"/>
  <c r="F388" i="6"/>
  <c r="H388" i="6"/>
  <c r="I388" i="6"/>
  <c r="N388" i="6"/>
  <c r="R388" i="6"/>
  <c r="Q388" i="6" s="1"/>
  <c r="S388" i="6" s="1"/>
  <c r="T388" i="6"/>
  <c r="C389" i="6"/>
  <c r="D389" i="6"/>
  <c r="L389" i="6" s="1"/>
  <c r="E389" i="6"/>
  <c r="F389" i="6"/>
  <c r="H389" i="6"/>
  <c r="I389" i="6"/>
  <c r="N389" i="6"/>
  <c r="R389" i="6"/>
  <c r="Q389" i="6" s="1"/>
  <c r="S389" i="6" s="1"/>
  <c r="T389" i="6"/>
  <c r="C390" i="6"/>
  <c r="D390" i="6"/>
  <c r="L390" i="6" s="1"/>
  <c r="E390" i="6"/>
  <c r="F390" i="6"/>
  <c r="H390" i="6"/>
  <c r="I390" i="6"/>
  <c r="N390" i="6"/>
  <c r="R390" i="6"/>
  <c r="Q390" i="6" s="1"/>
  <c r="S390" i="6" s="1"/>
  <c r="T390" i="6"/>
  <c r="C391" i="6"/>
  <c r="D391" i="6"/>
  <c r="L391" i="6" s="1"/>
  <c r="E391" i="6"/>
  <c r="F391" i="6"/>
  <c r="H391" i="6"/>
  <c r="I391" i="6"/>
  <c r="N391" i="6"/>
  <c r="R391" i="6"/>
  <c r="Q391" i="6" s="1"/>
  <c r="S391" i="6" s="1"/>
  <c r="T391" i="6"/>
  <c r="C392" i="6"/>
  <c r="D392" i="6"/>
  <c r="E392" i="6"/>
  <c r="F392" i="6"/>
  <c r="H392" i="6"/>
  <c r="I392" i="6"/>
  <c r="N392" i="6"/>
  <c r="R392" i="6"/>
  <c r="Q392" i="6" s="1"/>
  <c r="S392" i="6" s="1"/>
  <c r="T392" i="6"/>
  <c r="C393" i="6"/>
  <c r="D393" i="6"/>
  <c r="E393" i="6"/>
  <c r="F393" i="6"/>
  <c r="H393" i="6"/>
  <c r="I393" i="6"/>
  <c r="N393" i="6"/>
  <c r="R393" i="6"/>
  <c r="Q393" i="6" s="1"/>
  <c r="S393" i="6" s="1"/>
  <c r="T393" i="6"/>
  <c r="C394" i="6"/>
  <c r="D394" i="6"/>
  <c r="E394" i="6"/>
  <c r="F394" i="6"/>
  <c r="I394" i="6"/>
  <c r="L394" i="6"/>
  <c r="N394" i="6"/>
  <c r="Q394" i="6"/>
  <c r="R394" i="6"/>
  <c r="S394" i="6"/>
  <c r="T394" i="6"/>
  <c r="C395" i="6"/>
  <c r="D395" i="6"/>
  <c r="E395" i="6"/>
  <c r="F395" i="6"/>
  <c r="I395" i="6"/>
  <c r="N395" i="6"/>
  <c r="R395" i="6"/>
  <c r="Q395" i="6" s="1"/>
  <c r="S395" i="6" s="1"/>
  <c r="T395" i="6"/>
  <c r="C396" i="6"/>
  <c r="D396" i="6"/>
  <c r="E396" i="6"/>
  <c r="F396" i="6"/>
  <c r="I396" i="6"/>
  <c r="L396" i="6"/>
  <c r="N396" i="6"/>
  <c r="Q396" i="6"/>
  <c r="R396" i="6"/>
  <c r="S396" i="6"/>
  <c r="T396" i="6"/>
  <c r="C397" i="6"/>
  <c r="D397" i="6"/>
  <c r="E397" i="6"/>
  <c r="F397" i="6"/>
  <c r="I397" i="6"/>
  <c r="N397" i="6"/>
  <c r="R397" i="6"/>
  <c r="Q397" i="6" s="1"/>
  <c r="S397" i="6" s="1"/>
  <c r="T397" i="6"/>
  <c r="C398" i="6"/>
  <c r="D398" i="6"/>
  <c r="E398" i="6"/>
  <c r="F398" i="6"/>
  <c r="I398" i="6"/>
  <c r="L398" i="6"/>
  <c r="N398" i="6"/>
  <c r="Q398" i="6"/>
  <c r="R398" i="6"/>
  <c r="S398" i="6"/>
  <c r="T398" i="6"/>
  <c r="C399" i="6"/>
  <c r="D399" i="6"/>
  <c r="E399" i="6"/>
  <c r="F399" i="6"/>
  <c r="H399" i="6"/>
  <c r="I399" i="6"/>
  <c r="L399" i="6"/>
  <c r="N399" i="6"/>
  <c r="Q399" i="6"/>
  <c r="R399" i="6"/>
  <c r="S399" i="6"/>
  <c r="T399" i="6"/>
  <c r="C400" i="6"/>
  <c r="D400" i="6"/>
  <c r="E400" i="6"/>
  <c r="F400" i="6"/>
  <c r="H400" i="6"/>
  <c r="I400" i="6"/>
  <c r="L400" i="6"/>
  <c r="N400" i="6"/>
  <c r="Q400" i="6"/>
  <c r="R400" i="6"/>
  <c r="S400" i="6"/>
  <c r="T400" i="6"/>
  <c r="C401" i="6"/>
  <c r="D401" i="6"/>
  <c r="E401" i="6"/>
  <c r="F401" i="6"/>
  <c r="H401" i="6"/>
  <c r="I401" i="6"/>
  <c r="L401" i="6"/>
  <c r="N401" i="6"/>
  <c r="Q401" i="6"/>
  <c r="R401" i="6"/>
  <c r="S401" i="6"/>
  <c r="T401" i="6"/>
  <c r="C402" i="6"/>
  <c r="D402" i="6"/>
  <c r="E402" i="6"/>
  <c r="F402" i="6"/>
  <c r="H402" i="6"/>
  <c r="I402" i="6"/>
  <c r="L402" i="6"/>
  <c r="N402" i="6"/>
  <c r="Q402" i="6"/>
  <c r="R402" i="6"/>
  <c r="S402" i="6"/>
  <c r="T402" i="6"/>
  <c r="C403" i="6"/>
  <c r="D403" i="6"/>
  <c r="E403" i="6"/>
  <c r="F403" i="6"/>
  <c r="H403" i="6"/>
  <c r="I403" i="6"/>
  <c r="L403" i="6"/>
  <c r="N403" i="6"/>
  <c r="Q403" i="6"/>
  <c r="R403" i="6"/>
  <c r="S403" i="6"/>
  <c r="T403" i="6"/>
  <c r="C404" i="6"/>
  <c r="D404" i="6"/>
  <c r="E404" i="6"/>
  <c r="F404" i="6"/>
  <c r="H404" i="6"/>
  <c r="I404" i="6"/>
  <c r="L404" i="6"/>
  <c r="N404" i="6"/>
  <c r="Q404" i="6"/>
  <c r="R404" i="6"/>
  <c r="S404" i="6"/>
  <c r="T404" i="6"/>
  <c r="C405" i="6"/>
  <c r="D405" i="6"/>
  <c r="E405" i="6"/>
  <c r="F405" i="6"/>
  <c r="H405" i="6"/>
  <c r="I405" i="6"/>
  <c r="L405" i="6"/>
  <c r="N405" i="6"/>
  <c r="Q405" i="6"/>
  <c r="R405" i="6"/>
  <c r="S405" i="6"/>
  <c r="T405" i="6"/>
  <c r="C406" i="6"/>
  <c r="D406" i="6"/>
  <c r="E406" i="6"/>
  <c r="F406" i="6"/>
  <c r="I406" i="6"/>
  <c r="N406" i="6"/>
  <c r="R406" i="6"/>
  <c r="Q406" i="6" s="1"/>
  <c r="S406" i="6" s="1"/>
  <c r="T406" i="6"/>
  <c r="C407" i="6"/>
  <c r="D407" i="6"/>
  <c r="E407" i="6"/>
  <c r="F407" i="6"/>
  <c r="I407" i="6"/>
  <c r="L407" i="6"/>
  <c r="N407" i="6"/>
  <c r="Q407" i="6"/>
  <c r="R407" i="6"/>
  <c r="S407" i="6"/>
  <c r="T407" i="6"/>
  <c r="C408" i="6"/>
  <c r="D408" i="6"/>
  <c r="E408" i="6"/>
  <c r="F408" i="6"/>
  <c r="I408" i="6"/>
  <c r="N408" i="6"/>
  <c r="Q408" i="6"/>
  <c r="R408" i="6"/>
  <c r="S408" i="6"/>
  <c r="T408" i="6"/>
  <c r="C409" i="6"/>
  <c r="L409" i="6" s="1"/>
  <c r="D409" i="6"/>
  <c r="E409" i="6"/>
  <c r="F409" i="6"/>
  <c r="I409" i="6"/>
  <c r="N409" i="6"/>
  <c r="R409" i="6"/>
  <c r="Q409" i="6" s="1"/>
  <c r="S409" i="6" s="1"/>
  <c r="T409" i="6"/>
  <c r="C410" i="6"/>
  <c r="D410" i="6"/>
  <c r="E410" i="6"/>
  <c r="F410" i="6"/>
  <c r="I410" i="6"/>
  <c r="L410" i="6"/>
  <c r="N410" i="6"/>
  <c r="Q410" i="6"/>
  <c r="R410" i="6"/>
  <c r="S410" i="6"/>
  <c r="T410" i="6"/>
  <c r="C411" i="6"/>
  <c r="D411" i="6"/>
  <c r="E411" i="6"/>
  <c r="F411" i="6"/>
  <c r="H411" i="6"/>
  <c r="I411" i="6"/>
  <c r="L411" i="6"/>
  <c r="N411" i="6"/>
  <c r="Q411" i="6"/>
  <c r="R411" i="6"/>
  <c r="S411" i="6"/>
  <c r="T411" i="6"/>
  <c r="C412" i="6"/>
  <c r="D412" i="6"/>
  <c r="E412" i="6"/>
  <c r="F412" i="6"/>
  <c r="H412" i="6"/>
  <c r="I412" i="6"/>
  <c r="L412" i="6"/>
  <c r="N412" i="6"/>
  <c r="Q412" i="6"/>
  <c r="R412" i="6"/>
  <c r="S412" i="6"/>
  <c r="T412" i="6"/>
  <c r="C413" i="6"/>
  <c r="D413" i="6"/>
  <c r="E413" i="6"/>
  <c r="F413" i="6"/>
  <c r="H413" i="6"/>
  <c r="I413" i="6"/>
  <c r="L413" i="6"/>
  <c r="N413" i="6"/>
  <c r="Q413" i="6"/>
  <c r="R413" i="6"/>
  <c r="S413" i="6"/>
  <c r="T413" i="6"/>
  <c r="C414" i="6"/>
  <c r="D414" i="6"/>
  <c r="E414" i="6"/>
  <c r="F414" i="6"/>
  <c r="H414" i="6"/>
  <c r="I414" i="6"/>
  <c r="L414" i="6"/>
  <c r="N414" i="6"/>
  <c r="Q414" i="6"/>
  <c r="R414" i="6"/>
  <c r="S414" i="6"/>
  <c r="T414" i="6"/>
  <c r="C415" i="6"/>
  <c r="D415" i="6"/>
  <c r="E415" i="6"/>
  <c r="F415" i="6"/>
  <c r="H415" i="6"/>
  <c r="I415" i="6"/>
  <c r="L415" i="6"/>
  <c r="N415" i="6"/>
  <c r="Q415" i="6"/>
  <c r="R415" i="6"/>
  <c r="S415" i="6"/>
  <c r="T415" i="6"/>
  <c r="C416" i="6"/>
  <c r="D416" i="6"/>
  <c r="E416" i="6"/>
  <c r="F416" i="6"/>
  <c r="H416" i="6"/>
  <c r="I416" i="6"/>
  <c r="L416" i="6"/>
  <c r="N416" i="6"/>
  <c r="Q416" i="6"/>
  <c r="R416" i="6"/>
  <c r="S416" i="6"/>
  <c r="T416" i="6"/>
  <c r="C417" i="6"/>
  <c r="D417" i="6"/>
  <c r="E417" i="6"/>
  <c r="F417" i="6"/>
  <c r="H417" i="6"/>
  <c r="I417" i="6"/>
  <c r="L417" i="6"/>
  <c r="N417" i="6"/>
  <c r="Q417" i="6"/>
  <c r="R417" i="6"/>
  <c r="S417" i="6"/>
  <c r="T417" i="6"/>
  <c r="C418" i="6"/>
  <c r="L418" i="6" s="1"/>
  <c r="D418" i="6"/>
  <c r="E418" i="6"/>
  <c r="F418" i="6"/>
  <c r="I418" i="6"/>
  <c r="N418" i="6"/>
  <c r="R418" i="6"/>
  <c r="Q418" i="6" s="1"/>
  <c r="S418" i="6" s="1"/>
  <c r="T418" i="6"/>
  <c r="C419" i="6"/>
  <c r="D419" i="6"/>
  <c r="E419" i="6"/>
  <c r="F419" i="6"/>
  <c r="I419" i="6"/>
  <c r="L419" i="6"/>
  <c r="N419" i="6"/>
  <c r="Q419" i="6"/>
  <c r="R419" i="6"/>
  <c r="S419" i="6"/>
  <c r="T419" i="6"/>
  <c r="C420" i="6"/>
  <c r="L420" i="6" s="1"/>
  <c r="D420" i="6"/>
  <c r="E420" i="6"/>
  <c r="F420" i="6"/>
  <c r="I420" i="6"/>
  <c r="N420" i="6"/>
  <c r="R420" i="6"/>
  <c r="Q420" i="6" s="1"/>
  <c r="S420" i="6" s="1"/>
  <c r="T420" i="6"/>
  <c r="C421" i="6"/>
  <c r="D421" i="6"/>
  <c r="E421" i="6"/>
  <c r="F421" i="6"/>
  <c r="I421" i="6"/>
  <c r="L421" i="6"/>
  <c r="N421" i="6"/>
  <c r="Q421" i="6"/>
  <c r="R421" i="6"/>
  <c r="S421" i="6"/>
  <c r="T421" i="6"/>
  <c r="C422" i="6"/>
  <c r="L422" i="6" s="1"/>
  <c r="D422" i="6"/>
  <c r="E422" i="6"/>
  <c r="F422" i="6"/>
  <c r="I422" i="6"/>
  <c r="N422" i="6"/>
  <c r="R422" i="6"/>
  <c r="Q422" i="6" s="1"/>
  <c r="S422" i="6" s="1"/>
  <c r="T422" i="6"/>
  <c r="C423" i="6"/>
  <c r="D423" i="6"/>
  <c r="L423" i="6" s="1"/>
  <c r="E423" i="6"/>
  <c r="F423" i="6"/>
  <c r="H423" i="6"/>
  <c r="I423" i="6"/>
  <c r="N423" i="6"/>
  <c r="R423" i="6"/>
  <c r="Q423" i="6" s="1"/>
  <c r="S423" i="6" s="1"/>
  <c r="T423" i="6"/>
  <c r="C424" i="6"/>
  <c r="D424" i="6"/>
  <c r="L424" i="6" s="1"/>
  <c r="E424" i="6"/>
  <c r="F424" i="6"/>
  <c r="H424" i="6"/>
  <c r="I424" i="6"/>
  <c r="N424" i="6"/>
  <c r="R424" i="6"/>
  <c r="Q424" i="6" s="1"/>
  <c r="S424" i="6" s="1"/>
  <c r="T424" i="6"/>
  <c r="C425" i="6"/>
  <c r="D425" i="6"/>
  <c r="L425" i="6" s="1"/>
  <c r="E425" i="6"/>
  <c r="F425" i="6"/>
  <c r="H425" i="6"/>
  <c r="I425" i="6"/>
  <c r="N425" i="6"/>
  <c r="R425" i="6"/>
  <c r="Q425" i="6" s="1"/>
  <c r="S425" i="6" s="1"/>
  <c r="T425" i="6"/>
  <c r="C426" i="6"/>
  <c r="D426" i="6"/>
  <c r="L426" i="6" s="1"/>
  <c r="E426" i="6"/>
  <c r="F426" i="6"/>
  <c r="H426" i="6"/>
  <c r="I426" i="6"/>
  <c r="N426" i="6"/>
  <c r="R426" i="6"/>
  <c r="Q426" i="6" s="1"/>
  <c r="S426" i="6" s="1"/>
  <c r="T426" i="6"/>
  <c r="C427" i="6"/>
  <c r="D427" i="6"/>
  <c r="L427" i="6" s="1"/>
  <c r="E427" i="6"/>
  <c r="F427" i="6"/>
  <c r="H427" i="6"/>
  <c r="I427" i="6"/>
  <c r="N427" i="6"/>
  <c r="R427" i="6"/>
  <c r="Q427" i="6" s="1"/>
  <c r="S427" i="6" s="1"/>
  <c r="T427" i="6"/>
  <c r="C428" i="6"/>
  <c r="D428" i="6"/>
  <c r="L428" i="6" s="1"/>
  <c r="E428" i="6"/>
  <c r="F428" i="6"/>
  <c r="H428" i="6"/>
  <c r="I428" i="6"/>
  <c r="N428" i="6"/>
  <c r="R428" i="6"/>
  <c r="Q428" i="6" s="1"/>
  <c r="S428" i="6" s="1"/>
  <c r="T428" i="6"/>
  <c r="C429" i="6"/>
  <c r="D429" i="6"/>
  <c r="L429" i="6" s="1"/>
  <c r="E429" i="6"/>
  <c r="F429" i="6"/>
  <c r="H429" i="6"/>
  <c r="I429" i="6"/>
  <c r="N429" i="6"/>
  <c r="R429" i="6"/>
  <c r="Q429" i="6" s="1"/>
  <c r="S429" i="6" s="1"/>
  <c r="T429" i="6"/>
  <c r="C430" i="6"/>
  <c r="D430" i="6"/>
  <c r="E430" i="6"/>
  <c r="F430" i="6"/>
  <c r="I430" i="6"/>
  <c r="L430" i="6"/>
  <c r="N430" i="6"/>
  <c r="Q430" i="6"/>
  <c r="R430" i="6"/>
  <c r="S430" i="6"/>
  <c r="T430" i="6"/>
  <c r="C431" i="6"/>
  <c r="L431" i="6" s="1"/>
  <c r="D431" i="6"/>
  <c r="E431" i="6"/>
  <c r="F431" i="6"/>
  <c r="I431" i="6"/>
  <c r="N431" i="6"/>
  <c r="R431" i="6"/>
  <c r="Q431" i="6" s="1"/>
  <c r="S431" i="6" s="1"/>
  <c r="T431" i="6"/>
  <c r="C432" i="6"/>
  <c r="D432" i="6"/>
  <c r="E432" i="6"/>
  <c r="F432" i="6"/>
  <c r="I432" i="6"/>
  <c r="L432" i="6"/>
  <c r="N432" i="6"/>
  <c r="Q432" i="6"/>
  <c r="R432" i="6"/>
  <c r="S432" i="6"/>
  <c r="T432" i="6"/>
  <c r="C433" i="6"/>
  <c r="L433" i="6" s="1"/>
  <c r="D433" i="6"/>
  <c r="E433" i="6"/>
  <c r="F433" i="6"/>
  <c r="I433" i="6"/>
  <c r="N433" i="6"/>
  <c r="R433" i="6"/>
  <c r="Q433" i="6" s="1"/>
  <c r="S433" i="6" s="1"/>
  <c r="T433" i="6"/>
  <c r="C434" i="6"/>
  <c r="D434" i="6"/>
  <c r="E434" i="6"/>
  <c r="F434" i="6"/>
  <c r="I434" i="6"/>
  <c r="L434" i="6"/>
  <c r="N434" i="6"/>
  <c r="Q434" i="6"/>
  <c r="R434" i="6"/>
  <c r="S434" i="6"/>
  <c r="T434" i="6"/>
  <c r="C435" i="6"/>
  <c r="D435" i="6"/>
  <c r="E435" i="6"/>
  <c r="F435" i="6"/>
  <c r="H435" i="6"/>
  <c r="I435" i="6"/>
  <c r="L435" i="6"/>
  <c r="N435" i="6"/>
  <c r="Q435" i="6"/>
  <c r="R435" i="6"/>
  <c r="S435" i="6"/>
  <c r="T435" i="6"/>
  <c r="C436" i="6"/>
  <c r="D436" i="6"/>
  <c r="E436" i="6"/>
  <c r="F436" i="6"/>
  <c r="H436" i="6"/>
  <c r="I436" i="6"/>
  <c r="L436" i="6"/>
  <c r="N436" i="6"/>
  <c r="Q436" i="6"/>
  <c r="R436" i="6"/>
  <c r="S436" i="6"/>
  <c r="T436" i="6"/>
  <c r="C437" i="6"/>
  <c r="D437" i="6"/>
  <c r="E437" i="6"/>
  <c r="F437" i="6"/>
  <c r="H437" i="6"/>
  <c r="I437" i="6"/>
  <c r="L437" i="6"/>
  <c r="N437" i="6"/>
  <c r="Q437" i="6"/>
  <c r="R437" i="6"/>
  <c r="S437" i="6"/>
  <c r="T437" i="6"/>
  <c r="C438" i="6"/>
  <c r="D438" i="6"/>
  <c r="E438" i="6"/>
  <c r="F438" i="6"/>
  <c r="H438" i="6"/>
  <c r="I438" i="6"/>
  <c r="L438" i="6"/>
  <c r="N438" i="6"/>
  <c r="Q438" i="6"/>
  <c r="R438" i="6"/>
  <c r="S438" i="6"/>
  <c r="T438" i="6"/>
  <c r="C439" i="6"/>
  <c r="D439" i="6"/>
  <c r="E439" i="6"/>
  <c r="F439" i="6"/>
  <c r="H439" i="6"/>
  <c r="I439" i="6"/>
  <c r="L439" i="6"/>
  <c r="N439" i="6"/>
  <c r="Q439" i="6"/>
  <c r="R439" i="6"/>
  <c r="S439" i="6"/>
  <c r="T439" i="6"/>
  <c r="C440" i="6"/>
  <c r="D440" i="6"/>
  <c r="E440" i="6"/>
  <c r="F440" i="6"/>
  <c r="H440" i="6"/>
  <c r="I440" i="6"/>
  <c r="L440" i="6"/>
  <c r="N440" i="6"/>
  <c r="Q440" i="6"/>
  <c r="R440" i="6"/>
  <c r="S440" i="6"/>
  <c r="T440" i="6"/>
  <c r="C441" i="6"/>
  <c r="D441" i="6"/>
  <c r="E441" i="6"/>
  <c r="F441" i="6"/>
  <c r="H441" i="6"/>
  <c r="I441" i="6"/>
  <c r="L441" i="6"/>
  <c r="N441" i="6"/>
  <c r="Q441" i="6"/>
  <c r="R441" i="6"/>
  <c r="S441" i="6"/>
  <c r="T441" i="6"/>
  <c r="C442" i="6"/>
  <c r="L442" i="6" s="1"/>
  <c r="D442" i="6"/>
  <c r="E442" i="6"/>
  <c r="F442" i="6"/>
  <c r="I442" i="6"/>
  <c r="N442" i="6"/>
  <c r="R442" i="6"/>
  <c r="Q442" i="6" s="1"/>
  <c r="S442" i="6" s="1"/>
  <c r="T442" i="6"/>
  <c r="C443" i="6"/>
  <c r="D443" i="6"/>
  <c r="E443" i="6"/>
  <c r="F443" i="6"/>
  <c r="I443" i="6"/>
  <c r="L443" i="6"/>
  <c r="N443" i="6"/>
  <c r="Q443" i="6"/>
  <c r="R443" i="6"/>
  <c r="S443" i="6"/>
  <c r="T443" i="6"/>
  <c r="C444" i="6"/>
  <c r="L444" i="6" s="1"/>
  <c r="D444" i="6"/>
  <c r="E444" i="6"/>
  <c r="F444" i="6"/>
  <c r="I444" i="6"/>
  <c r="N444" i="6"/>
  <c r="R444" i="6"/>
  <c r="Q444" i="6" s="1"/>
  <c r="S444" i="6" s="1"/>
  <c r="T444" i="6"/>
  <c r="C445" i="6"/>
  <c r="D445" i="6"/>
  <c r="E445" i="6"/>
  <c r="F445" i="6"/>
  <c r="I445" i="6"/>
  <c r="L445" i="6"/>
  <c r="N445" i="6"/>
  <c r="Q445" i="6"/>
  <c r="R445" i="6"/>
  <c r="S445" i="6"/>
  <c r="T445" i="6"/>
  <c r="C446" i="6"/>
  <c r="L446" i="6" s="1"/>
  <c r="D446" i="6"/>
  <c r="E446" i="6"/>
  <c r="F446" i="6"/>
  <c r="I446" i="6"/>
  <c r="N446" i="6"/>
  <c r="R446" i="6"/>
  <c r="Q446" i="6" s="1"/>
  <c r="S446" i="6" s="1"/>
  <c r="T446" i="6"/>
  <c r="C447" i="6"/>
  <c r="D447" i="6"/>
  <c r="L447" i="6" s="1"/>
  <c r="E447" i="6"/>
  <c r="F447" i="6"/>
  <c r="H447" i="6"/>
  <c r="I447" i="6"/>
  <c r="N447" i="6"/>
  <c r="R447" i="6"/>
  <c r="Q447" i="6" s="1"/>
  <c r="S447" i="6" s="1"/>
  <c r="T447" i="6"/>
  <c r="C448" i="6"/>
  <c r="D448" i="6"/>
  <c r="L448" i="6" s="1"/>
  <c r="E448" i="6"/>
  <c r="F448" i="6"/>
  <c r="H448" i="6"/>
  <c r="I448" i="6"/>
  <c r="N448" i="6"/>
  <c r="R448" i="6"/>
  <c r="Q448" i="6" s="1"/>
  <c r="S448" i="6" s="1"/>
  <c r="T448" i="6"/>
  <c r="C449" i="6"/>
  <c r="D449" i="6"/>
  <c r="L449" i="6" s="1"/>
  <c r="E449" i="6"/>
  <c r="F449" i="6"/>
  <c r="H449" i="6"/>
  <c r="I449" i="6"/>
  <c r="N449" i="6"/>
  <c r="R449" i="6"/>
  <c r="Q449" i="6" s="1"/>
  <c r="S449" i="6" s="1"/>
  <c r="T449" i="6"/>
  <c r="C450" i="6"/>
  <c r="D450" i="6"/>
  <c r="L450" i="6" s="1"/>
  <c r="E450" i="6"/>
  <c r="F450" i="6"/>
  <c r="H450" i="6"/>
  <c r="I450" i="6"/>
  <c r="N450" i="6"/>
  <c r="R450" i="6"/>
  <c r="Q450" i="6" s="1"/>
  <c r="S450" i="6" s="1"/>
  <c r="T450" i="6"/>
  <c r="C451" i="6"/>
  <c r="D451" i="6"/>
  <c r="L451" i="6" s="1"/>
  <c r="E451" i="6"/>
  <c r="F451" i="6"/>
  <c r="H451" i="6"/>
  <c r="I451" i="6"/>
  <c r="N451" i="6"/>
  <c r="R451" i="6"/>
  <c r="Q451" i="6" s="1"/>
  <c r="S451" i="6" s="1"/>
  <c r="T451" i="6"/>
  <c r="C452" i="6"/>
  <c r="D452" i="6"/>
  <c r="L452" i="6" s="1"/>
  <c r="E452" i="6"/>
  <c r="F452" i="6"/>
  <c r="H452" i="6"/>
  <c r="I452" i="6"/>
  <c r="N452" i="6"/>
  <c r="R452" i="6"/>
  <c r="Q452" i="6" s="1"/>
  <c r="S452" i="6" s="1"/>
  <c r="T452" i="6"/>
  <c r="C453" i="6"/>
  <c r="D453" i="6"/>
  <c r="L453" i="6" s="1"/>
  <c r="E453" i="6"/>
  <c r="F453" i="6"/>
  <c r="H453" i="6"/>
  <c r="I453" i="6"/>
  <c r="N453" i="6"/>
  <c r="R453" i="6"/>
  <c r="Q453" i="6" s="1"/>
  <c r="S453" i="6" s="1"/>
  <c r="T453" i="6"/>
  <c r="C454" i="6"/>
  <c r="D454" i="6"/>
  <c r="E454" i="6"/>
  <c r="F454" i="6"/>
  <c r="I454" i="6"/>
  <c r="L454" i="6"/>
  <c r="N454" i="6"/>
  <c r="Q454" i="6"/>
  <c r="R454" i="6"/>
  <c r="S454" i="6"/>
  <c r="T454" i="6"/>
  <c r="C455" i="6"/>
  <c r="L455" i="6" s="1"/>
  <c r="D455" i="6"/>
  <c r="E455" i="6"/>
  <c r="F455" i="6"/>
  <c r="I455" i="6"/>
  <c r="N455" i="6"/>
  <c r="R455" i="6"/>
  <c r="Q455" i="6" s="1"/>
  <c r="S455" i="6" s="1"/>
  <c r="T455" i="6"/>
  <c r="C456" i="6"/>
  <c r="D456" i="6"/>
  <c r="E456" i="6"/>
  <c r="F456" i="6"/>
  <c r="I456" i="6"/>
  <c r="L456" i="6"/>
  <c r="N456" i="6"/>
  <c r="Q456" i="6"/>
  <c r="R456" i="6"/>
  <c r="S456" i="6"/>
  <c r="T456" i="6"/>
  <c r="C457" i="6"/>
  <c r="L457" i="6" s="1"/>
  <c r="D457" i="6"/>
  <c r="E457" i="6"/>
  <c r="F457" i="6"/>
  <c r="I457" i="6"/>
  <c r="N457" i="6"/>
  <c r="R457" i="6"/>
  <c r="Q457" i="6" s="1"/>
  <c r="S457" i="6" s="1"/>
  <c r="T457" i="6"/>
  <c r="C458" i="6"/>
  <c r="D458" i="6"/>
  <c r="E458" i="6"/>
  <c r="F458" i="6"/>
  <c r="I458" i="6"/>
  <c r="L458" i="6"/>
  <c r="N458" i="6"/>
  <c r="Q458" i="6"/>
  <c r="R458" i="6"/>
  <c r="S458" i="6"/>
  <c r="T458" i="6"/>
  <c r="C459" i="6"/>
  <c r="D459" i="6"/>
  <c r="E459" i="6"/>
  <c r="F459" i="6"/>
  <c r="H459" i="6"/>
  <c r="I459" i="6"/>
  <c r="L459" i="6"/>
  <c r="N459" i="6"/>
  <c r="Q459" i="6"/>
  <c r="R459" i="6"/>
  <c r="S459" i="6"/>
  <c r="T459" i="6"/>
  <c r="C460" i="6"/>
  <c r="D460" i="6"/>
  <c r="E460" i="6"/>
  <c r="F460" i="6"/>
  <c r="H460" i="6"/>
  <c r="I460" i="6"/>
  <c r="L460" i="6"/>
  <c r="N460" i="6"/>
  <c r="Q460" i="6"/>
  <c r="R460" i="6"/>
  <c r="S460" i="6"/>
  <c r="T460" i="6"/>
  <c r="C461" i="6"/>
  <c r="D461" i="6"/>
  <c r="E461" i="6"/>
  <c r="F461" i="6"/>
  <c r="H461" i="6"/>
  <c r="I461" i="6"/>
  <c r="L461" i="6"/>
  <c r="N461" i="6"/>
  <c r="Q461" i="6"/>
  <c r="R461" i="6"/>
  <c r="S461" i="6"/>
  <c r="T461" i="6"/>
  <c r="C462" i="6"/>
  <c r="D462" i="6"/>
  <c r="E462" i="6"/>
  <c r="F462" i="6"/>
  <c r="H462" i="6"/>
  <c r="I462" i="6"/>
  <c r="L462" i="6"/>
  <c r="N462" i="6"/>
  <c r="Q462" i="6"/>
  <c r="R462" i="6"/>
  <c r="S462" i="6"/>
  <c r="T462" i="6"/>
  <c r="C463" i="6"/>
  <c r="D463" i="6"/>
  <c r="E463" i="6"/>
  <c r="F463" i="6"/>
  <c r="H463" i="6"/>
  <c r="I463" i="6"/>
  <c r="L463" i="6"/>
  <c r="N463" i="6"/>
  <c r="Q463" i="6"/>
  <c r="R463" i="6"/>
  <c r="S463" i="6"/>
  <c r="T463" i="6"/>
  <c r="C464" i="6"/>
  <c r="D464" i="6"/>
  <c r="E464" i="6"/>
  <c r="F464" i="6"/>
  <c r="H464" i="6"/>
  <c r="I464" i="6"/>
  <c r="L464" i="6"/>
  <c r="N464" i="6"/>
  <c r="Q464" i="6"/>
  <c r="R464" i="6"/>
  <c r="S464" i="6"/>
  <c r="T464" i="6"/>
  <c r="C465" i="6"/>
  <c r="D465" i="6"/>
  <c r="E465" i="6"/>
  <c r="F465" i="6"/>
  <c r="H465" i="6"/>
  <c r="I465" i="6"/>
  <c r="L465" i="6"/>
  <c r="N465" i="6"/>
  <c r="Q465" i="6"/>
  <c r="R465" i="6"/>
  <c r="S465" i="6"/>
  <c r="T465" i="6"/>
  <c r="C466" i="6"/>
  <c r="L466" i="6" s="1"/>
  <c r="D466" i="6"/>
  <c r="E466" i="6"/>
  <c r="F466" i="6"/>
  <c r="I466" i="6"/>
  <c r="N466" i="6"/>
  <c r="R466" i="6"/>
  <c r="Q466" i="6" s="1"/>
  <c r="S466" i="6" s="1"/>
  <c r="T466" i="6"/>
  <c r="C467" i="6"/>
  <c r="D467" i="6"/>
  <c r="E467" i="6"/>
  <c r="F467" i="6"/>
  <c r="I467" i="6"/>
  <c r="L467" i="6"/>
  <c r="N467" i="6"/>
  <c r="Q467" i="6"/>
  <c r="R467" i="6"/>
  <c r="S467" i="6"/>
  <c r="T467" i="6"/>
  <c r="C468" i="6"/>
  <c r="L468" i="6" s="1"/>
  <c r="D468" i="6"/>
  <c r="E468" i="6"/>
  <c r="F468" i="6"/>
  <c r="I468" i="6"/>
  <c r="N468" i="6"/>
  <c r="R468" i="6"/>
  <c r="Q468" i="6" s="1"/>
  <c r="S468" i="6" s="1"/>
  <c r="T468" i="6"/>
  <c r="C469" i="6"/>
  <c r="D469" i="6"/>
  <c r="E469" i="6"/>
  <c r="F469" i="6"/>
  <c r="I469" i="6"/>
  <c r="L469" i="6"/>
  <c r="N469" i="6"/>
  <c r="Q469" i="6"/>
  <c r="R469" i="6"/>
  <c r="S469" i="6"/>
  <c r="T469" i="6"/>
  <c r="C470" i="6"/>
  <c r="L470" i="6" s="1"/>
  <c r="D470" i="6"/>
  <c r="E470" i="6"/>
  <c r="F470" i="6"/>
  <c r="I470" i="6"/>
  <c r="N470" i="6"/>
  <c r="R470" i="6"/>
  <c r="Q470" i="6" s="1"/>
  <c r="S470" i="6" s="1"/>
  <c r="T470" i="6"/>
  <c r="C471" i="6"/>
  <c r="D471" i="6"/>
  <c r="L471" i="6" s="1"/>
  <c r="E471" i="6"/>
  <c r="F471" i="6"/>
  <c r="H471" i="6"/>
  <c r="I471" i="6"/>
  <c r="N471" i="6"/>
  <c r="R471" i="6"/>
  <c r="Q471" i="6" s="1"/>
  <c r="S471" i="6" s="1"/>
  <c r="T471" i="6"/>
  <c r="C472" i="6"/>
  <c r="D472" i="6"/>
  <c r="L472" i="6" s="1"/>
  <c r="E472" i="6"/>
  <c r="F472" i="6"/>
  <c r="H472" i="6"/>
  <c r="I472" i="6"/>
  <c r="N472" i="6"/>
  <c r="R472" i="6"/>
  <c r="Q472" i="6" s="1"/>
  <c r="S472" i="6" s="1"/>
  <c r="T472" i="6"/>
  <c r="C473" i="6"/>
  <c r="D473" i="6"/>
  <c r="L473" i="6" s="1"/>
  <c r="E473" i="6"/>
  <c r="F473" i="6"/>
  <c r="H473" i="6"/>
  <c r="I473" i="6"/>
  <c r="N473" i="6"/>
  <c r="R473" i="6"/>
  <c r="Q473" i="6" s="1"/>
  <c r="S473" i="6" s="1"/>
  <c r="T473" i="6"/>
  <c r="C474" i="6"/>
  <c r="D474" i="6"/>
  <c r="L474" i="6" s="1"/>
  <c r="E474" i="6"/>
  <c r="F474" i="6"/>
  <c r="H474" i="6"/>
  <c r="I474" i="6"/>
  <c r="N474" i="6"/>
  <c r="R474" i="6"/>
  <c r="Q474" i="6" s="1"/>
  <c r="S474" i="6" s="1"/>
  <c r="T474" i="6"/>
  <c r="C475" i="6"/>
  <c r="D475" i="6"/>
  <c r="L475" i="6" s="1"/>
  <c r="E475" i="6"/>
  <c r="F475" i="6"/>
  <c r="H475" i="6"/>
  <c r="I475" i="6"/>
  <c r="N475" i="6"/>
  <c r="R475" i="6"/>
  <c r="Q475" i="6" s="1"/>
  <c r="S475" i="6" s="1"/>
  <c r="T475" i="6"/>
  <c r="C476" i="6"/>
  <c r="D476" i="6"/>
  <c r="L476" i="6" s="1"/>
  <c r="E476" i="6"/>
  <c r="F476" i="6"/>
  <c r="H476" i="6"/>
  <c r="I476" i="6"/>
  <c r="N476" i="6"/>
  <c r="R476" i="6"/>
  <c r="Q476" i="6" s="1"/>
  <c r="S476" i="6" s="1"/>
  <c r="T476" i="6"/>
  <c r="C477" i="6"/>
  <c r="D477" i="6"/>
  <c r="L477" i="6" s="1"/>
  <c r="E477" i="6"/>
  <c r="F477" i="6"/>
  <c r="H477" i="6"/>
  <c r="I477" i="6"/>
  <c r="N477" i="6"/>
  <c r="R477" i="6"/>
  <c r="Q477" i="6" s="1"/>
  <c r="S477" i="6" s="1"/>
  <c r="T477" i="6"/>
  <c r="C478" i="6"/>
  <c r="D478" i="6"/>
  <c r="E478" i="6"/>
  <c r="F478" i="6"/>
  <c r="I478" i="6"/>
  <c r="L478" i="6"/>
  <c r="N478" i="6"/>
  <c r="Q478" i="6"/>
  <c r="R478" i="6"/>
  <c r="S478" i="6"/>
  <c r="T478" i="6"/>
  <c r="C479" i="6"/>
  <c r="L479" i="6" s="1"/>
  <c r="D479" i="6"/>
  <c r="E479" i="6"/>
  <c r="F479" i="6"/>
  <c r="I479" i="6"/>
  <c r="N479" i="6"/>
  <c r="R479" i="6"/>
  <c r="Q479" i="6" s="1"/>
  <c r="S479" i="6" s="1"/>
  <c r="T479" i="6"/>
  <c r="C480" i="6"/>
  <c r="D480" i="6"/>
  <c r="E480" i="6"/>
  <c r="F480" i="6"/>
  <c r="I480" i="6"/>
  <c r="L480" i="6"/>
  <c r="N480" i="6"/>
  <c r="Q480" i="6"/>
  <c r="R480" i="6"/>
  <c r="S480" i="6"/>
  <c r="T480" i="6"/>
  <c r="C481" i="6"/>
  <c r="L481" i="6" s="1"/>
  <c r="D481" i="6"/>
  <c r="E481" i="6"/>
  <c r="F481" i="6"/>
  <c r="I481" i="6"/>
  <c r="N481" i="6"/>
  <c r="R481" i="6"/>
  <c r="Q481" i="6" s="1"/>
  <c r="S481" i="6" s="1"/>
  <c r="T481" i="6"/>
  <c r="C482" i="6"/>
  <c r="D482" i="6"/>
  <c r="E482" i="6"/>
  <c r="F482" i="6"/>
  <c r="I482" i="6"/>
  <c r="L482" i="6"/>
  <c r="N482" i="6"/>
  <c r="Q482" i="6"/>
  <c r="R482" i="6"/>
  <c r="S482" i="6"/>
  <c r="T482" i="6"/>
  <c r="C483" i="6"/>
  <c r="D483" i="6"/>
  <c r="E483" i="6"/>
  <c r="F483" i="6"/>
  <c r="H483" i="6"/>
  <c r="I483" i="6"/>
  <c r="L483" i="6"/>
  <c r="N483" i="6"/>
  <c r="Q483" i="6"/>
  <c r="R483" i="6"/>
  <c r="S483" i="6"/>
  <c r="T483" i="6"/>
  <c r="C484" i="6"/>
  <c r="D484" i="6"/>
  <c r="E484" i="6"/>
  <c r="F484" i="6"/>
  <c r="H484" i="6"/>
  <c r="I484" i="6"/>
  <c r="L484" i="6"/>
  <c r="N484" i="6"/>
  <c r="Q484" i="6"/>
  <c r="R484" i="6"/>
  <c r="S484" i="6"/>
  <c r="T484" i="6"/>
  <c r="C485" i="6"/>
  <c r="D485" i="6"/>
  <c r="E485" i="6"/>
  <c r="F485" i="6"/>
  <c r="H485" i="6"/>
  <c r="I485" i="6"/>
  <c r="L485" i="6"/>
  <c r="N485" i="6"/>
  <c r="Q485" i="6"/>
  <c r="R485" i="6"/>
  <c r="S485" i="6"/>
  <c r="T485" i="6"/>
  <c r="C486" i="6"/>
  <c r="D486" i="6"/>
  <c r="E486" i="6"/>
  <c r="F486" i="6"/>
  <c r="H486" i="6"/>
  <c r="I486" i="6"/>
  <c r="L486" i="6"/>
  <c r="N486" i="6"/>
  <c r="Q486" i="6"/>
  <c r="R486" i="6"/>
  <c r="S486" i="6"/>
  <c r="T486" i="6"/>
  <c r="C487" i="6"/>
  <c r="D487" i="6"/>
  <c r="E487" i="6"/>
  <c r="F487" i="6"/>
  <c r="H487" i="6"/>
  <c r="I487" i="6"/>
  <c r="L487" i="6"/>
  <c r="N487" i="6"/>
  <c r="Q487" i="6"/>
  <c r="R487" i="6"/>
  <c r="S487" i="6"/>
  <c r="T487" i="6"/>
  <c r="C488" i="6"/>
  <c r="D488" i="6"/>
  <c r="E488" i="6"/>
  <c r="F488" i="6"/>
  <c r="H488" i="6"/>
  <c r="I488" i="6"/>
  <c r="L488" i="6"/>
  <c r="N488" i="6"/>
  <c r="Q488" i="6"/>
  <c r="R488" i="6"/>
  <c r="S488" i="6"/>
  <c r="T488" i="6"/>
  <c r="C489" i="6"/>
  <c r="D489" i="6"/>
  <c r="E489" i="6"/>
  <c r="F489" i="6"/>
  <c r="H489" i="6"/>
  <c r="I489" i="6"/>
  <c r="L489" i="6"/>
  <c r="N489" i="6"/>
  <c r="Q489" i="6"/>
  <c r="R489" i="6"/>
  <c r="S489" i="6"/>
  <c r="T489" i="6"/>
  <c r="C490" i="6"/>
  <c r="L490" i="6" s="1"/>
  <c r="D490" i="6"/>
  <c r="E490" i="6"/>
  <c r="F490" i="6"/>
  <c r="I490" i="6"/>
  <c r="N490" i="6"/>
  <c r="R490" i="6"/>
  <c r="Q490" i="6" s="1"/>
  <c r="S490" i="6" s="1"/>
  <c r="T490" i="6"/>
  <c r="C491" i="6"/>
  <c r="D491" i="6"/>
  <c r="E491" i="6"/>
  <c r="F491" i="6"/>
  <c r="I491" i="6"/>
  <c r="L491" i="6"/>
  <c r="N491" i="6"/>
  <c r="Q491" i="6"/>
  <c r="R491" i="6"/>
  <c r="S491" i="6"/>
  <c r="T491" i="6"/>
  <c r="C492" i="6"/>
  <c r="L492" i="6" s="1"/>
  <c r="D492" i="6"/>
  <c r="E492" i="6"/>
  <c r="F492" i="6"/>
  <c r="I492" i="6"/>
  <c r="N492" i="6"/>
  <c r="R492" i="6"/>
  <c r="Q492" i="6" s="1"/>
  <c r="S492" i="6" s="1"/>
  <c r="T492" i="6"/>
  <c r="C493" i="6"/>
  <c r="D493" i="6"/>
  <c r="E493" i="6"/>
  <c r="F493" i="6"/>
  <c r="I493" i="6"/>
  <c r="L493" i="6"/>
  <c r="N493" i="6"/>
  <c r="Q493" i="6"/>
  <c r="R493" i="6"/>
  <c r="S493" i="6"/>
  <c r="T493" i="6"/>
  <c r="C494" i="6"/>
  <c r="L494" i="6" s="1"/>
  <c r="D494" i="6"/>
  <c r="E494" i="6"/>
  <c r="F494" i="6"/>
  <c r="I494" i="6"/>
  <c r="N494" i="6"/>
  <c r="R494" i="6"/>
  <c r="Q494" i="6" s="1"/>
  <c r="S494" i="6" s="1"/>
  <c r="T494" i="6"/>
  <c r="C495" i="6"/>
  <c r="D495" i="6"/>
  <c r="L495" i="6" s="1"/>
  <c r="E495" i="6"/>
  <c r="F495" i="6"/>
  <c r="H495" i="6"/>
  <c r="I495" i="6"/>
  <c r="N495" i="6"/>
  <c r="R495" i="6"/>
  <c r="Q495" i="6" s="1"/>
  <c r="S495" i="6" s="1"/>
  <c r="T495" i="6"/>
  <c r="C496" i="6"/>
  <c r="D496" i="6"/>
  <c r="L496" i="6" s="1"/>
  <c r="E496" i="6"/>
  <c r="F496" i="6"/>
  <c r="H496" i="6"/>
  <c r="I496" i="6"/>
  <c r="N496" i="6"/>
  <c r="R496" i="6"/>
  <c r="Q496" i="6" s="1"/>
  <c r="S496" i="6" s="1"/>
  <c r="T496" i="6"/>
  <c r="C497" i="6"/>
  <c r="D497" i="6"/>
  <c r="L497" i="6" s="1"/>
  <c r="E497" i="6"/>
  <c r="F497" i="6"/>
  <c r="H497" i="6"/>
  <c r="I497" i="6"/>
  <c r="N497" i="6"/>
  <c r="R497" i="6"/>
  <c r="Q497" i="6" s="1"/>
  <c r="S497" i="6" s="1"/>
  <c r="T497" i="6"/>
  <c r="C498" i="6"/>
  <c r="D498" i="6"/>
  <c r="L498" i="6" s="1"/>
  <c r="E498" i="6"/>
  <c r="F498" i="6"/>
  <c r="H498" i="6"/>
  <c r="I498" i="6"/>
  <c r="N498" i="6"/>
  <c r="R498" i="6"/>
  <c r="Q498" i="6" s="1"/>
  <c r="S498" i="6" s="1"/>
  <c r="T498" i="6"/>
  <c r="C499" i="6"/>
  <c r="D499" i="6"/>
  <c r="L499" i="6" s="1"/>
  <c r="E499" i="6"/>
  <c r="F499" i="6"/>
  <c r="H499" i="6"/>
  <c r="I499" i="6"/>
  <c r="N499" i="6"/>
  <c r="R499" i="6"/>
  <c r="Q499" i="6" s="1"/>
  <c r="S499" i="6" s="1"/>
  <c r="T499" i="6"/>
  <c r="C500" i="6"/>
  <c r="D500" i="6"/>
  <c r="L500" i="6" s="1"/>
  <c r="E500" i="6"/>
  <c r="F500" i="6"/>
  <c r="H500" i="6"/>
  <c r="I500" i="6"/>
  <c r="N500" i="6"/>
  <c r="R500" i="6"/>
  <c r="Q500" i="6" s="1"/>
  <c r="S500" i="6" s="1"/>
  <c r="T500" i="6"/>
  <c r="C501" i="6"/>
  <c r="D501" i="6"/>
  <c r="L501" i="6" s="1"/>
  <c r="E501" i="6"/>
  <c r="F501" i="6"/>
  <c r="H501" i="6"/>
  <c r="I501" i="6"/>
  <c r="N501" i="6"/>
  <c r="R501" i="6"/>
  <c r="Q501" i="6" s="1"/>
  <c r="S501" i="6" s="1"/>
  <c r="T501" i="6"/>
  <c r="C502" i="6"/>
  <c r="D502" i="6"/>
  <c r="E502" i="6"/>
  <c r="F502" i="6"/>
  <c r="I502" i="6"/>
  <c r="L502" i="6"/>
  <c r="N502" i="6"/>
  <c r="Q502" i="6"/>
  <c r="R502" i="6"/>
  <c r="S502" i="6"/>
  <c r="T502" i="6"/>
  <c r="C503" i="6"/>
  <c r="L503" i="6" s="1"/>
  <c r="D503" i="6"/>
  <c r="E503" i="6"/>
  <c r="F503" i="6"/>
  <c r="I503" i="6"/>
  <c r="N503" i="6"/>
  <c r="R503" i="6"/>
  <c r="Q503" i="6" s="1"/>
  <c r="S503" i="6" s="1"/>
  <c r="T503" i="6"/>
  <c r="C504" i="6"/>
  <c r="D504" i="6"/>
  <c r="E504" i="6"/>
  <c r="F504" i="6"/>
  <c r="I504" i="6"/>
  <c r="L504" i="6"/>
  <c r="N504" i="6"/>
  <c r="Q504" i="6"/>
  <c r="R504" i="6"/>
  <c r="S504" i="6"/>
  <c r="T504" i="6"/>
  <c r="C505" i="6"/>
  <c r="L505" i="6" s="1"/>
  <c r="D505" i="6"/>
  <c r="E505" i="6"/>
  <c r="F505" i="6"/>
  <c r="I505" i="6"/>
  <c r="N505" i="6"/>
  <c r="R505" i="6"/>
  <c r="Q505" i="6" s="1"/>
  <c r="S505" i="6" s="1"/>
  <c r="T505" i="6"/>
  <c r="C506" i="6"/>
  <c r="D506" i="6"/>
  <c r="E506" i="6"/>
  <c r="F506" i="6"/>
  <c r="I506" i="6"/>
  <c r="L506" i="6"/>
  <c r="N506" i="6"/>
  <c r="Q506" i="6"/>
  <c r="R506" i="6"/>
  <c r="S506" i="6"/>
  <c r="T506" i="6"/>
  <c r="C507" i="6"/>
  <c r="D507" i="6"/>
  <c r="E507" i="6"/>
  <c r="F507" i="6"/>
  <c r="H507" i="6"/>
  <c r="I507" i="6"/>
  <c r="L507" i="6"/>
  <c r="N507" i="6"/>
  <c r="Q507" i="6"/>
  <c r="R507" i="6"/>
  <c r="S507" i="6"/>
  <c r="T507" i="6"/>
  <c r="C508" i="6"/>
  <c r="D508" i="6"/>
  <c r="E508" i="6"/>
  <c r="F508" i="6"/>
  <c r="H508" i="6"/>
  <c r="I508" i="6"/>
  <c r="L508" i="6"/>
  <c r="N508" i="6"/>
  <c r="Q508" i="6"/>
  <c r="R508" i="6"/>
  <c r="S508" i="6"/>
  <c r="T508" i="6"/>
  <c r="C509" i="6"/>
  <c r="D509" i="6"/>
  <c r="E509" i="6"/>
  <c r="F509" i="6"/>
  <c r="H509" i="6"/>
  <c r="I509" i="6"/>
  <c r="L509" i="6"/>
  <c r="N509" i="6"/>
  <c r="Q509" i="6"/>
  <c r="R509" i="6"/>
  <c r="S509" i="6"/>
  <c r="T509" i="6"/>
  <c r="C510" i="6"/>
  <c r="D510" i="6"/>
  <c r="E510" i="6"/>
  <c r="F510" i="6"/>
  <c r="H510" i="6"/>
  <c r="I510" i="6"/>
  <c r="L510" i="6"/>
  <c r="N510" i="6"/>
  <c r="Q510" i="6"/>
  <c r="R510" i="6"/>
  <c r="S510" i="6"/>
  <c r="T510" i="6"/>
  <c r="C511" i="6"/>
  <c r="D511" i="6"/>
  <c r="E511" i="6"/>
  <c r="F511" i="6"/>
  <c r="H511" i="6"/>
  <c r="I511" i="6"/>
  <c r="L511" i="6"/>
  <c r="N511" i="6"/>
  <c r="Q511" i="6"/>
  <c r="R511" i="6"/>
  <c r="S511" i="6"/>
  <c r="T511" i="6"/>
  <c r="C512" i="6"/>
  <c r="D512" i="6"/>
  <c r="E512" i="6"/>
  <c r="F512" i="6"/>
  <c r="H512" i="6"/>
  <c r="I512" i="6"/>
  <c r="L512" i="6"/>
  <c r="N512" i="6"/>
  <c r="Q512" i="6"/>
  <c r="R512" i="6"/>
  <c r="S512" i="6"/>
  <c r="T512" i="6"/>
  <c r="C513" i="6"/>
  <c r="D513" i="6"/>
  <c r="E513" i="6"/>
  <c r="F513" i="6"/>
  <c r="H513" i="6"/>
  <c r="I513" i="6"/>
  <c r="L513" i="6"/>
  <c r="N513" i="6"/>
  <c r="Q513" i="6"/>
  <c r="R513" i="6"/>
  <c r="S513" i="6"/>
  <c r="T513" i="6"/>
  <c r="C514" i="6"/>
  <c r="L514" i="6" s="1"/>
  <c r="D514" i="6"/>
  <c r="E514" i="6"/>
  <c r="F514" i="6"/>
  <c r="I514" i="6"/>
  <c r="N514" i="6"/>
  <c r="R514" i="6"/>
  <c r="Q514" i="6" s="1"/>
  <c r="S514" i="6" s="1"/>
  <c r="T514" i="6"/>
  <c r="C515" i="6"/>
  <c r="D515" i="6"/>
  <c r="E515" i="6"/>
  <c r="F515" i="6"/>
  <c r="I515" i="6"/>
  <c r="L515" i="6"/>
  <c r="N515" i="6"/>
  <c r="Q515" i="6"/>
  <c r="R515" i="6"/>
  <c r="S515" i="6"/>
  <c r="T515" i="6"/>
  <c r="C516" i="6"/>
  <c r="L516" i="6" s="1"/>
  <c r="D516" i="6"/>
  <c r="E516" i="6"/>
  <c r="F516" i="6"/>
  <c r="I516" i="6"/>
  <c r="N516" i="6"/>
  <c r="R516" i="6"/>
  <c r="Q516" i="6" s="1"/>
  <c r="S516" i="6" s="1"/>
  <c r="T516" i="6"/>
  <c r="C517" i="6"/>
  <c r="D517" i="6"/>
  <c r="E517" i="6"/>
  <c r="F517" i="6"/>
  <c r="I517" i="6"/>
  <c r="L517" i="6"/>
  <c r="N517" i="6"/>
  <c r="Q517" i="6"/>
  <c r="R517" i="6"/>
  <c r="S517" i="6"/>
  <c r="T517" i="6"/>
  <c r="C518" i="6"/>
  <c r="L518" i="6" s="1"/>
  <c r="D518" i="6"/>
  <c r="E518" i="6"/>
  <c r="F518" i="6"/>
  <c r="I518" i="6"/>
  <c r="N518" i="6"/>
  <c r="R518" i="6"/>
  <c r="Q518" i="6" s="1"/>
  <c r="S518" i="6" s="1"/>
  <c r="T518" i="6"/>
  <c r="C519" i="6"/>
  <c r="D519" i="6"/>
  <c r="L519" i="6" s="1"/>
  <c r="E519" i="6"/>
  <c r="F519" i="6"/>
  <c r="H519" i="6"/>
  <c r="I519" i="6"/>
  <c r="N519" i="6"/>
  <c r="R519" i="6"/>
  <c r="Q519" i="6" s="1"/>
  <c r="S519" i="6" s="1"/>
  <c r="T519" i="6"/>
  <c r="C520" i="6"/>
  <c r="D520" i="6"/>
  <c r="L520" i="6" s="1"/>
  <c r="E520" i="6"/>
  <c r="F520" i="6"/>
  <c r="H520" i="6"/>
  <c r="I520" i="6"/>
  <c r="N520" i="6"/>
  <c r="R520" i="6"/>
  <c r="Q520" i="6" s="1"/>
  <c r="S520" i="6" s="1"/>
  <c r="T520" i="6"/>
  <c r="C521" i="6"/>
  <c r="D521" i="6"/>
  <c r="L521" i="6" s="1"/>
  <c r="E521" i="6"/>
  <c r="F521" i="6"/>
  <c r="H521" i="6"/>
  <c r="I521" i="6"/>
  <c r="N521" i="6"/>
  <c r="R521" i="6"/>
  <c r="Q521" i="6" s="1"/>
  <c r="S521" i="6" s="1"/>
  <c r="T521" i="6"/>
  <c r="C522" i="6"/>
  <c r="D522" i="6"/>
  <c r="L522" i="6" s="1"/>
  <c r="E522" i="6"/>
  <c r="F522" i="6"/>
  <c r="H522" i="6"/>
  <c r="I522" i="6"/>
  <c r="N522" i="6"/>
  <c r="R522" i="6"/>
  <c r="Q522" i="6" s="1"/>
  <c r="S522" i="6" s="1"/>
  <c r="T522" i="6"/>
  <c r="C523" i="6"/>
  <c r="D523" i="6"/>
  <c r="L523" i="6" s="1"/>
  <c r="E523" i="6"/>
  <c r="F523" i="6"/>
  <c r="H523" i="6"/>
  <c r="I523" i="6"/>
  <c r="N523" i="6"/>
  <c r="R523" i="6"/>
  <c r="Q523" i="6" s="1"/>
  <c r="S523" i="6" s="1"/>
  <c r="T523" i="6"/>
  <c r="C524" i="6"/>
  <c r="D524" i="6"/>
  <c r="L524" i="6" s="1"/>
  <c r="E524" i="6"/>
  <c r="F524" i="6"/>
  <c r="H524" i="6"/>
  <c r="I524" i="6"/>
  <c r="N524" i="6"/>
  <c r="R524" i="6"/>
  <c r="Q524" i="6" s="1"/>
  <c r="S524" i="6" s="1"/>
  <c r="T524" i="6"/>
  <c r="C525" i="6"/>
  <c r="D525" i="6"/>
  <c r="L525" i="6" s="1"/>
  <c r="E525" i="6"/>
  <c r="F525" i="6"/>
  <c r="H525" i="6"/>
  <c r="I525" i="6"/>
  <c r="N525" i="6"/>
  <c r="R525" i="6"/>
  <c r="Q525" i="6" s="1"/>
  <c r="S525" i="6" s="1"/>
  <c r="T525" i="6"/>
  <c r="C526" i="6"/>
  <c r="D526" i="6"/>
  <c r="E526" i="6"/>
  <c r="F526" i="6"/>
  <c r="I526" i="6"/>
  <c r="L526" i="6"/>
  <c r="N526" i="6"/>
  <c r="Q526" i="6"/>
  <c r="R526" i="6"/>
  <c r="S526" i="6"/>
  <c r="T526" i="6"/>
  <c r="C527" i="6"/>
  <c r="L527" i="6" s="1"/>
  <c r="D527" i="6"/>
  <c r="E527" i="6"/>
  <c r="F527" i="6"/>
  <c r="I527" i="6"/>
  <c r="N527" i="6"/>
  <c r="R527" i="6"/>
  <c r="Q527" i="6" s="1"/>
  <c r="S527" i="6" s="1"/>
  <c r="T527" i="6"/>
  <c r="C528" i="6"/>
  <c r="D528" i="6"/>
  <c r="E528" i="6"/>
  <c r="F528" i="6"/>
  <c r="I528" i="6"/>
  <c r="L528" i="6"/>
  <c r="N528" i="6"/>
  <c r="Q528" i="6"/>
  <c r="R528" i="6"/>
  <c r="S528" i="6"/>
  <c r="T528" i="6"/>
  <c r="C529" i="6"/>
  <c r="L529" i="6" s="1"/>
  <c r="D529" i="6"/>
  <c r="E529" i="6"/>
  <c r="F529" i="6"/>
  <c r="I529" i="6"/>
  <c r="N529" i="6"/>
  <c r="R529" i="6"/>
  <c r="Q529" i="6" s="1"/>
  <c r="S529" i="6" s="1"/>
  <c r="T529" i="6"/>
  <c r="C530" i="6"/>
  <c r="D530" i="6"/>
  <c r="E530" i="6"/>
  <c r="F530" i="6"/>
  <c r="I530" i="6"/>
  <c r="L530" i="6"/>
  <c r="N530" i="6"/>
  <c r="Q530" i="6"/>
  <c r="R530" i="6"/>
  <c r="S530" i="6"/>
  <c r="T530" i="6"/>
  <c r="C531" i="6"/>
  <c r="D531" i="6"/>
  <c r="E531" i="6"/>
  <c r="F531" i="6"/>
  <c r="H531" i="6"/>
  <c r="I531" i="6"/>
  <c r="L531" i="6"/>
  <c r="N531" i="6"/>
  <c r="Q531" i="6"/>
  <c r="R531" i="6"/>
  <c r="S531" i="6"/>
  <c r="T531" i="6"/>
  <c r="C532" i="6"/>
  <c r="D532" i="6"/>
  <c r="E532" i="6"/>
  <c r="F532" i="6"/>
  <c r="H532" i="6"/>
  <c r="I532" i="6"/>
  <c r="L532" i="6"/>
  <c r="N532" i="6"/>
  <c r="Q532" i="6"/>
  <c r="R532" i="6"/>
  <c r="S532" i="6"/>
  <c r="T532" i="6"/>
  <c r="C533" i="6"/>
  <c r="D533" i="6"/>
  <c r="E533" i="6"/>
  <c r="F533" i="6"/>
  <c r="H533" i="6"/>
  <c r="I533" i="6"/>
  <c r="L533" i="6"/>
  <c r="N533" i="6"/>
  <c r="Q533" i="6"/>
  <c r="R533" i="6"/>
  <c r="S533" i="6"/>
  <c r="T533" i="6"/>
  <c r="C534" i="6"/>
  <c r="D534" i="6"/>
  <c r="E534" i="6"/>
  <c r="F534" i="6"/>
  <c r="H534" i="6"/>
  <c r="I534" i="6"/>
  <c r="L534" i="6"/>
  <c r="N534" i="6"/>
  <c r="Q534" i="6"/>
  <c r="R534" i="6"/>
  <c r="S534" i="6"/>
  <c r="T534" i="6"/>
  <c r="C535" i="6"/>
  <c r="D535" i="6"/>
  <c r="E535" i="6"/>
  <c r="F535" i="6"/>
  <c r="H535" i="6"/>
  <c r="I535" i="6"/>
  <c r="L535" i="6"/>
  <c r="N535" i="6"/>
  <c r="Q535" i="6"/>
  <c r="R535" i="6"/>
  <c r="S535" i="6"/>
  <c r="T535" i="6"/>
  <c r="C536" i="6"/>
  <c r="D536" i="6"/>
  <c r="E536" i="6"/>
  <c r="F536" i="6"/>
  <c r="H536" i="6"/>
  <c r="I536" i="6"/>
  <c r="L536" i="6"/>
  <c r="N536" i="6"/>
  <c r="Q536" i="6"/>
  <c r="R536" i="6"/>
  <c r="S536" i="6"/>
  <c r="T536" i="6"/>
  <c r="C537" i="6"/>
  <c r="D537" i="6"/>
  <c r="E537" i="6"/>
  <c r="F537" i="6"/>
  <c r="H537" i="6"/>
  <c r="I537" i="6"/>
  <c r="L537" i="6"/>
  <c r="N537" i="6"/>
  <c r="Q537" i="6"/>
  <c r="R537" i="6"/>
  <c r="S537" i="6"/>
  <c r="T537" i="6"/>
  <c r="C538" i="6"/>
  <c r="L538" i="6" s="1"/>
  <c r="D538" i="6"/>
  <c r="E538" i="6"/>
  <c r="F538" i="6"/>
  <c r="I538" i="6"/>
  <c r="N538" i="6"/>
  <c r="R538" i="6"/>
  <c r="Q538" i="6" s="1"/>
  <c r="S538" i="6" s="1"/>
  <c r="T538" i="6"/>
  <c r="C539" i="6"/>
  <c r="D539" i="6"/>
  <c r="E539" i="6"/>
  <c r="F539" i="6"/>
  <c r="I539" i="6"/>
  <c r="L539" i="6"/>
  <c r="N539" i="6"/>
  <c r="Q539" i="6"/>
  <c r="R539" i="6"/>
  <c r="S539" i="6"/>
  <c r="T539" i="6"/>
  <c r="C540" i="6"/>
  <c r="L540" i="6" s="1"/>
  <c r="D540" i="6"/>
  <c r="E540" i="6"/>
  <c r="F540" i="6"/>
  <c r="I540" i="6"/>
  <c r="N540" i="6"/>
  <c r="R540" i="6"/>
  <c r="Q540" i="6" s="1"/>
  <c r="S540" i="6" s="1"/>
  <c r="T540" i="6"/>
  <c r="C541" i="6"/>
  <c r="D541" i="6"/>
  <c r="E541" i="6"/>
  <c r="F541" i="6"/>
  <c r="I541" i="6"/>
  <c r="L541" i="6"/>
  <c r="N541" i="6"/>
  <c r="Q541" i="6"/>
  <c r="R541" i="6"/>
  <c r="S541" i="6"/>
  <c r="T541" i="6"/>
  <c r="C542" i="6"/>
  <c r="L542" i="6" s="1"/>
  <c r="D542" i="6"/>
  <c r="E542" i="6"/>
  <c r="F542" i="6"/>
  <c r="I542" i="6"/>
  <c r="N542" i="6"/>
  <c r="R542" i="6"/>
  <c r="Q542" i="6" s="1"/>
  <c r="S542" i="6" s="1"/>
  <c r="T542" i="6"/>
  <c r="C543" i="6"/>
  <c r="D543" i="6"/>
  <c r="L543" i="6" s="1"/>
  <c r="E543" i="6"/>
  <c r="F543" i="6"/>
  <c r="H543" i="6"/>
  <c r="I543" i="6"/>
  <c r="N543" i="6"/>
  <c r="R543" i="6"/>
  <c r="Q543" i="6" s="1"/>
  <c r="S543" i="6" s="1"/>
  <c r="T543" i="6"/>
  <c r="C544" i="6"/>
  <c r="D544" i="6"/>
  <c r="L544" i="6" s="1"/>
  <c r="E544" i="6"/>
  <c r="F544" i="6"/>
  <c r="H544" i="6"/>
  <c r="I544" i="6"/>
  <c r="N544" i="6"/>
  <c r="R544" i="6"/>
  <c r="Q544" i="6" s="1"/>
  <c r="S544" i="6" s="1"/>
  <c r="T544" i="6"/>
  <c r="C545" i="6"/>
  <c r="D545" i="6"/>
  <c r="L545" i="6" s="1"/>
  <c r="E545" i="6"/>
  <c r="F545" i="6"/>
  <c r="H545" i="6"/>
  <c r="I545" i="6"/>
  <c r="N545" i="6"/>
  <c r="R545" i="6"/>
  <c r="Q545" i="6" s="1"/>
  <c r="S545" i="6" s="1"/>
  <c r="T545" i="6"/>
  <c r="C546" i="6"/>
  <c r="D546" i="6"/>
  <c r="L546" i="6" s="1"/>
  <c r="E546" i="6"/>
  <c r="F546" i="6"/>
  <c r="H546" i="6"/>
  <c r="I546" i="6"/>
  <c r="N546" i="6"/>
  <c r="R546" i="6"/>
  <c r="Q546" i="6" s="1"/>
  <c r="S546" i="6" s="1"/>
  <c r="T546" i="6"/>
  <c r="C547" i="6"/>
  <c r="D547" i="6"/>
  <c r="L547" i="6" s="1"/>
  <c r="E547" i="6"/>
  <c r="F547" i="6"/>
  <c r="H547" i="6"/>
  <c r="I547" i="6"/>
  <c r="N547" i="6"/>
  <c r="R547" i="6"/>
  <c r="Q547" i="6" s="1"/>
  <c r="S547" i="6" s="1"/>
  <c r="T547" i="6"/>
  <c r="C548" i="6"/>
  <c r="D548" i="6"/>
  <c r="E548" i="6"/>
  <c r="F548" i="6"/>
  <c r="H548" i="6"/>
  <c r="I548" i="6"/>
  <c r="L548" i="6" s="1"/>
  <c r="N548" i="6"/>
  <c r="R548" i="6"/>
  <c r="Q548" i="6" s="1"/>
  <c r="S548" i="6" s="1"/>
  <c r="T548" i="6"/>
  <c r="C549" i="6"/>
  <c r="D549" i="6"/>
  <c r="E549" i="6"/>
  <c r="F549" i="6"/>
  <c r="H549" i="6"/>
  <c r="I549" i="6"/>
  <c r="L549" i="6"/>
  <c r="N549" i="6"/>
  <c r="Q549" i="6"/>
  <c r="R549" i="6"/>
  <c r="S549" i="6"/>
  <c r="T549" i="6"/>
  <c r="C550" i="6"/>
  <c r="L550" i="6" s="1"/>
  <c r="D550" i="6"/>
  <c r="E550" i="6"/>
  <c r="F550" i="6"/>
  <c r="I550" i="6"/>
  <c r="N550" i="6"/>
  <c r="R550" i="6"/>
  <c r="Q550" i="6" s="1"/>
  <c r="S550" i="6" s="1"/>
  <c r="T550" i="6"/>
  <c r="C551" i="6"/>
  <c r="D551" i="6"/>
  <c r="E551" i="6"/>
  <c r="F551" i="6"/>
  <c r="I551" i="6"/>
  <c r="L551" i="6"/>
  <c r="N551" i="6"/>
  <c r="Q551" i="6"/>
  <c r="R551" i="6"/>
  <c r="S551" i="6"/>
  <c r="T551" i="6"/>
  <c r="C552" i="6"/>
  <c r="L552" i="6" s="1"/>
  <c r="D552" i="6"/>
  <c r="E552" i="6"/>
  <c r="F552" i="6"/>
  <c r="I552" i="6"/>
  <c r="N552" i="6"/>
  <c r="R552" i="6"/>
  <c r="Q552" i="6" s="1"/>
  <c r="S552" i="6" s="1"/>
  <c r="T552" i="6"/>
  <c r="C553" i="6"/>
  <c r="D553" i="6"/>
  <c r="E553" i="6"/>
  <c r="F553" i="6"/>
  <c r="I553" i="6"/>
  <c r="L553" i="6"/>
  <c r="N553" i="6"/>
  <c r="Q553" i="6"/>
  <c r="R553" i="6"/>
  <c r="S553" i="6"/>
  <c r="T553" i="6"/>
  <c r="C554" i="6"/>
  <c r="L554" i="6" s="1"/>
  <c r="D554" i="6"/>
  <c r="E554" i="6"/>
  <c r="F554" i="6"/>
  <c r="I554" i="6"/>
  <c r="N554" i="6"/>
  <c r="R554" i="6"/>
  <c r="Q554" i="6" s="1"/>
  <c r="S554" i="6" s="1"/>
  <c r="T554" i="6"/>
  <c r="C555" i="6"/>
  <c r="D555" i="6"/>
  <c r="L555" i="6" s="1"/>
  <c r="E555" i="6"/>
  <c r="F555" i="6"/>
  <c r="H555" i="6"/>
  <c r="I555" i="6"/>
  <c r="N555" i="6"/>
  <c r="R555" i="6"/>
  <c r="Q555" i="6" s="1"/>
  <c r="S555" i="6" s="1"/>
  <c r="T555" i="6"/>
  <c r="C556" i="6"/>
  <c r="D556" i="6"/>
  <c r="L556" i="6" s="1"/>
  <c r="E556" i="6"/>
  <c r="F556" i="6"/>
  <c r="H556" i="6"/>
  <c r="I556" i="6"/>
  <c r="N556" i="6"/>
  <c r="R556" i="6"/>
  <c r="Q556" i="6" s="1"/>
  <c r="S556" i="6" s="1"/>
  <c r="T556" i="6"/>
  <c r="C557" i="6"/>
  <c r="D557" i="6"/>
  <c r="L557" i="6" s="1"/>
  <c r="E557" i="6"/>
  <c r="F557" i="6"/>
  <c r="H557" i="6"/>
  <c r="I557" i="6"/>
  <c r="N557" i="6"/>
  <c r="R557" i="6"/>
  <c r="Q557" i="6" s="1"/>
  <c r="S557" i="6" s="1"/>
  <c r="T557" i="6"/>
  <c r="C558" i="6"/>
  <c r="D558" i="6"/>
  <c r="L558" i="6" s="1"/>
  <c r="E558" i="6"/>
  <c r="F558" i="6"/>
  <c r="H558" i="6"/>
  <c r="I558" i="6"/>
  <c r="N558" i="6"/>
  <c r="R558" i="6"/>
  <c r="Q558" i="6" s="1"/>
  <c r="S558" i="6" s="1"/>
  <c r="T558" i="6"/>
  <c r="C559" i="6"/>
  <c r="D559" i="6"/>
  <c r="E559" i="6"/>
  <c r="F559" i="6"/>
  <c r="L559" i="6" s="1"/>
  <c r="H559" i="6"/>
  <c r="I559" i="6"/>
  <c r="N559" i="6"/>
  <c r="R559" i="6"/>
  <c r="Q559" i="6" s="1"/>
  <c r="S559" i="6" s="1"/>
  <c r="T559" i="6"/>
  <c r="C560" i="6"/>
  <c r="D560" i="6"/>
  <c r="E560" i="6"/>
  <c r="F560" i="6"/>
  <c r="H560" i="6"/>
  <c r="I560" i="6"/>
  <c r="L560" i="6"/>
  <c r="N560" i="6"/>
  <c r="Q560" i="6"/>
  <c r="R560" i="6"/>
  <c r="S560" i="6"/>
  <c r="T560" i="6"/>
  <c r="C561" i="6"/>
  <c r="D561" i="6"/>
  <c r="E561" i="6"/>
  <c r="F561" i="6"/>
  <c r="H561" i="6"/>
  <c r="I561" i="6"/>
  <c r="L561" i="6"/>
  <c r="N561" i="6"/>
  <c r="Q561" i="6"/>
  <c r="R561" i="6"/>
  <c r="S561" i="6"/>
  <c r="T561" i="6"/>
  <c r="C562" i="6"/>
  <c r="L562" i="6" s="1"/>
  <c r="D562" i="6"/>
  <c r="E562" i="6"/>
  <c r="F562" i="6"/>
  <c r="I562" i="6"/>
  <c r="N562" i="6"/>
  <c r="R562" i="6"/>
  <c r="Q562" i="6" s="1"/>
  <c r="S562" i="6" s="1"/>
  <c r="T562" i="6"/>
  <c r="C563" i="6"/>
  <c r="D563" i="6"/>
  <c r="E563" i="6"/>
  <c r="F563" i="6"/>
  <c r="I563" i="6"/>
  <c r="L563" i="6"/>
  <c r="N563" i="6"/>
  <c r="Q563" i="6"/>
  <c r="R563" i="6"/>
  <c r="S563" i="6"/>
  <c r="T563" i="6"/>
  <c r="C564" i="6"/>
  <c r="L564" i="6" s="1"/>
  <c r="D564" i="6"/>
  <c r="E564" i="6"/>
  <c r="F564" i="6"/>
  <c r="I564" i="6"/>
  <c r="N564" i="6"/>
  <c r="R564" i="6"/>
  <c r="Q564" i="6" s="1"/>
  <c r="S564" i="6" s="1"/>
  <c r="T564" i="6"/>
  <c r="C565" i="6"/>
  <c r="D565" i="6"/>
  <c r="E565" i="6"/>
  <c r="F565" i="6"/>
  <c r="I565" i="6"/>
  <c r="L565" i="6"/>
  <c r="N565" i="6"/>
  <c r="Q565" i="6"/>
  <c r="R565" i="6"/>
  <c r="S565" i="6"/>
  <c r="T565" i="6"/>
  <c r="C566" i="6"/>
  <c r="L566" i="6" s="1"/>
  <c r="D566" i="6"/>
  <c r="E566" i="6"/>
  <c r="F566" i="6"/>
  <c r="I566" i="6"/>
  <c r="N566" i="6"/>
  <c r="R566" i="6"/>
  <c r="Q566" i="6" s="1"/>
  <c r="S566" i="6" s="1"/>
  <c r="T566" i="6"/>
  <c r="C567" i="6"/>
  <c r="D567" i="6"/>
  <c r="L567" i="6" s="1"/>
  <c r="E567" i="6"/>
  <c r="F567" i="6"/>
  <c r="H567" i="6"/>
  <c r="I567" i="6"/>
  <c r="N567" i="6"/>
  <c r="R567" i="6"/>
  <c r="Q567" i="6" s="1"/>
  <c r="S567" i="6" s="1"/>
  <c r="T567" i="6"/>
  <c r="C568" i="6"/>
  <c r="D568" i="6"/>
  <c r="E568" i="6"/>
  <c r="F568" i="6"/>
  <c r="H568" i="6"/>
  <c r="I568" i="6"/>
  <c r="L568" i="6"/>
  <c r="N568" i="6"/>
  <c r="Q568" i="6"/>
  <c r="R568" i="6"/>
  <c r="S568" i="6"/>
  <c r="T568" i="6"/>
  <c r="C569" i="6"/>
  <c r="D569" i="6"/>
  <c r="E569" i="6"/>
  <c r="F569" i="6"/>
  <c r="H569" i="6"/>
  <c r="I569" i="6"/>
  <c r="L569" i="6"/>
  <c r="N569" i="6"/>
  <c r="Q569" i="6"/>
  <c r="R569" i="6"/>
  <c r="S569" i="6"/>
  <c r="T569" i="6"/>
  <c r="C570" i="6"/>
  <c r="D570" i="6"/>
  <c r="E570" i="6"/>
  <c r="F570" i="6"/>
  <c r="H570" i="6"/>
  <c r="I570" i="6"/>
  <c r="L570" i="6"/>
  <c r="N570" i="6"/>
  <c r="Q570" i="6"/>
  <c r="R570" i="6"/>
  <c r="S570" i="6"/>
  <c r="T570" i="6"/>
  <c r="C571" i="6"/>
  <c r="D571" i="6"/>
  <c r="E571" i="6"/>
  <c r="F571" i="6"/>
  <c r="H571" i="6"/>
  <c r="I571" i="6"/>
  <c r="L571" i="6"/>
  <c r="N571" i="6"/>
  <c r="Q571" i="6"/>
  <c r="R571" i="6"/>
  <c r="S571" i="6"/>
  <c r="T571" i="6"/>
  <c r="C572" i="6"/>
  <c r="D572" i="6"/>
  <c r="E572" i="6"/>
  <c r="F572" i="6"/>
  <c r="H572" i="6"/>
  <c r="I572" i="6"/>
  <c r="L572" i="6"/>
  <c r="N572" i="6"/>
  <c r="Q572" i="6"/>
  <c r="R572" i="6"/>
  <c r="S572" i="6"/>
  <c r="T572" i="6"/>
  <c r="C573" i="6"/>
  <c r="D573" i="6"/>
  <c r="E573" i="6"/>
  <c r="F573" i="6"/>
  <c r="H573" i="6"/>
  <c r="I573" i="6"/>
  <c r="L573" i="6"/>
  <c r="N573" i="6"/>
  <c r="Q573" i="6"/>
  <c r="R573" i="6"/>
  <c r="S573" i="6"/>
  <c r="T573" i="6"/>
  <c r="C574" i="6"/>
  <c r="L574" i="6" s="1"/>
  <c r="D574" i="6"/>
  <c r="E574" i="6"/>
  <c r="F574" i="6"/>
  <c r="I574" i="6"/>
  <c r="N574" i="6"/>
  <c r="R574" i="6"/>
  <c r="Q574" i="6" s="1"/>
  <c r="S574" i="6" s="1"/>
  <c r="T574" i="6"/>
  <c r="C575" i="6"/>
  <c r="D575" i="6"/>
  <c r="E575" i="6"/>
  <c r="F575" i="6"/>
  <c r="I575" i="6"/>
  <c r="L575" i="6"/>
  <c r="N575" i="6"/>
  <c r="Q575" i="6"/>
  <c r="R575" i="6"/>
  <c r="S575" i="6"/>
  <c r="T575" i="6"/>
  <c r="C576" i="6"/>
  <c r="L576" i="6" s="1"/>
  <c r="D576" i="6"/>
  <c r="E576" i="6"/>
  <c r="F576" i="6"/>
  <c r="I576" i="6"/>
  <c r="N576" i="6"/>
  <c r="R576" i="6"/>
  <c r="Q576" i="6" s="1"/>
  <c r="S576" i="6" s="1"/>
  <c r="T576" i="6"/>
  <c r="C577" i="6"/>
  <c r="D577" i="6"/>
  <c r="E577" i="6"/>
  <c r="F577" i="6"/>
  <c r="I577" i="6"/>
  <c r="L577" i="6"/>
  <c r="N577" i="6"/>
  <c r="Q577" i="6"/>
  <c r="R577" i="6"/>
  <c r="S577" i="6"/>
  <c r="T577" i="6"/>
  <c r="C578" i="6"/>
  <c r="L578" i="6" s="1"/>
  <c r="D578" i="6"/>
  <c r="E578" i="6"/>
  <c r="F578" i="6"/>
  <c r="I578" i="6"/>
  <c r="N578" i="6"/>
  <c r="R578" i="6"/>
  <c r="Q578" i="6" s="1"/>
  <c r="S578" i="6" s="1"/>
  <c r="T578" i="6"/>
  <c r="C579" i="6"/>
  <c r="D579" i="6"/>
  <c r="L579" i="6" s="1"/>
  <c r="E579" i="6"/>
  <c r="F579" i="6"/>
  <c r="H579" i="6"/>
  <c r="I579" i="6"/>
  <c r="N579" i="6"/>
  <c r="R579" i="6"/>
  <c r="Q579" i="6" s="1"/>
  <c r="S579" i="6" s="1"/>
  <c r="T579" i="6"/>
  <c r="C580" i="6"/>
  <c r="D580" i="6"/>
  <c r="L580" i="6" s="1"/>
  <c r="E580" i="6"/>
  <c r="F580" i="6"/>
  <c r="H580" i="6"/>
  <c r="I580" i="6"/>
  <c r="N580" i="6"/>
  <c r="R580" i="6"/>
  <c r="Q580" i="6" s="1"/>
  <c r="S580" i="6" s="1"/>
  <c r="T580" i="6"/>
  <c r="C581" i="6"/>
  <c r="D581" i="6"/>
  <c r="L581" i="6" s="1"/>
  <c r="E581" i="6"/>
  <c r="F581" i="6"/>
  <c r="H581" i="6"/>
  <c r="I581" i="6"/>
  <c r="N581" i="6"/>
  <c r="R581" i="6"/>
  <c r="Q581" i="6" s="1"/>
  <c r="S581" i="6" s="1"/>
  <c r="T581" i="6"/>
  <c r="C582" i="6"/>
  <c r="D582" i="6"/>
  <c r="L582" i="6" s="1"/>
  <c r="E582" i="6"/>
  <c r="F582" i="6"/>
  <c r="H582" i="6"/>
  <c r="I582" i="6"/>
  <c r="N582" i="6"/>
  <c r="R582" i="6"/>
  <c r="Q582" i="6" s="1"/>
  <c r="S582" i="6" s="1"/>
  <c r="T582" i="6"/>
  <c r="C583" i="6"/>
  <c r="D583" i="6"/>
  <c r="L583" i="6" s="1"/>
  <c r="E583" i="6"/>
  <c r="F583" i="6"/>
  <c r="H583" i="6"/>
  <c r="I583" i="6"/>
  <c r="N583" i="6"/>
  <c r="R583" i="6"/>
  <c r="Q583" i="6" s="1"/>
  <c r="S583" i="6" s="1"/>
  <c r="T583" i="6"/>
  <c r="C584" i="6"/>
  <c r="D584" i="6"/>
  <c r="L584" i="6" s="1"/>
  <c r="E584" i="6"/>
  <c r="F584" i="6"/>
  <c r="H584" i="6"/>
  <c r="I584" i="6"/>
  <c r="N584" i="6"/>
  <c r="R584" i="6"/>
  <c r="Q584" i="6" s="1"/>
  <c r="S584" i="6" s="1"/>
  <c r="T584" i="6"/>
  <c r="C585" i="6"/>
  <c r="D585" i="6"/>
  <c r="L585" i="6" s="1"/>
  <c r="E585" i="6"/>
  <c r="F585" i="6"/>
  <c r="H585" i="6"/>
  <c r="I585" i="6"/>
  <c r="N585" i="6"/>
  <c r="R585" i="6"/>
  <c r="Q585" i="6" s="1"/>
  <c r="S585" i="6" s="1"/>
  <c r="T585" i="6"/>
  <c r="C586" i="6"/>
  <c r="D586" i="6"/>
  <c r="E586" i="6"/>
  <c r="F586" i="6"/>
  <c r="I586" i="6"/>
  <c r="L586" i="6"/>
  <c r="N586" i="6"/>
  <c r="Q586" i="6"/>
  <c r="R586" i="6"/>
  <c r="S586" i="6"/>
  <c r="T586" i="6"/>
  <c r="C587" i="6"/>
  <c r="L587" i="6" s="1"/>
  <c r="D587" i="6"/>
  <c r="E587" i="6"/>
  <c r="F587" i="6"/>
  <c r="I587" i="6"/>
  <c r="N587" i="6"/>
  <c r="R587" i="6"/>
  <c r="Q587" i="6" s="1"/>
  <c r="S587" i="6" s="1"/>
  <c r="T587" i="6"/>
  <c r="C588" i="6"/>
  <c r="D588" i="6"/>
  <c r="E588" i="6"/>
  <c r="F588" i="6"/>
  <c r="I588" i="6"/>
  <c r="L588" i="6"/>
  <c r="N588" i="6"/>
  <c r="Q588" i="6"/>
  <c r="R588" i="6"/>
  <c r="S588" i="6"/>
  <c r="T588" i="6"/>
  <c r="C589" i="6"/>
  <c r="L589" i="6" s="1"/>
  <c r="D589" i="6"/>
  <c r="E589" i="6"/>
  <c r="F589" i="6"/>
  <c r="I589" i="6"/>
  <c r="N589" i="6"/>
  <c r="R589" i="6"/>
  <c r="Q589" i="6" s="1"/>
  <c r="S589" i="6" s="1"/>
  <c r="T589" i="6"/>
  <c r="C590" i="6"/>
  <c r="D590" i="6"/>
  <c r="E590" i="6"/>
  <c r="F590" i="6"/>
  <c r="I590" i="6"/>
  <c r="L590" i="6"/>
  <c r="N590" i="6"/>
  <c r="Q590" i="6"/>
  <c r="R590" i="6"/>
  <c r="S590" i="6"/>
  <c r="T590" i="6"/>
  <c r="C591" i="6"/>
  <c r="D591" i="6"/>
  <c r="E591" i="6"/>
  <c r="F591" i="6"/>
  <c r="H591" i="6"/>
  <c r="I591" i="6"/>
  <c r="L591" i="6"/>
  <c r="N591" i="6"/>
  <c r="Q591" i="6"/>
  <c r="R591" i="6"/>
  <c r="S591" i="6"/>
  <c r="T591" i="6"/>
  <c r="C592" i="6"/>
  <c r="D592" i="6"/>
  <c r="E592" i="6"/>
  <c r="F592" i="6"/>
  <c r="H592" i="6"/>
  <c r="I592" i="6"/>
  <c r="L592" i="6"/>
  <c r="N592" i="6"/>
  <c r="Q592" i="6"/>
  <c r="R592" i="6"/>
  <c r="S592" i="6"/>
  <c r="T592" i="6"/>
  <c r="C593" i="6"/>
  <c r="D593" i="6"/>
  <c r="E593" i="6"/>
  <c r="F593" i="6"/>
  <c r="H593" i="6"/>
  <c r="I593" i="6"/>
  <c r="L593" i="6"/>
  <c r="N593" i="6"/>
  <c r="Q593" i="6"/>
  <c r="R593" i="6"/>
  <c r="S593" i="6"/>
  <c r="T593" i="6"/>
  <c r="C594" i="6"/>
  <c r="D594" i="6"/>
  <c r="E594" i="6"/>
  <c r="F594" i="6"/>
  <c r="H594" i="6"/>
  <c r="I594" i="6"/>
  <c r="L594" i="6"/>
  <c r="N594" i="6"/>
  <c r="Q594" i="6"/>
  <c r="R594" i="6"/>
  <c r="S594" i="6"/>
  <c r="T594" i="6"/>
  <c r="C595" i="6"/>
  <c r="D595" i="6"/>
  <c r="E595" i="6"/>
  <c r="F595" i="6"/>
  <c r="H595" i="6"/>
  <c r="I595" i="6"/>
  <c r="L595" i="6"/>
  <c r="N595" i="6"/>
  <c r="Q595" i="6"/>
  <c r="R595" i="6"/>
  <c r="S595" i="6"/>
  <c r="T595" i="6"/>
  <c r="C596" i="6"/>
  <c r="D596" i="6"/>
  <c r="E596" i="6"/>
  <c r="F596" i="6"/>
  <c r="H596" i="6"/>
  <c r="I596" i="6"/>
  <c r="L596" i="6"/>
  <c r="N596" i="6"/>
  <c r="Q596" i="6"/>
  <c r="R596" i="6"/>
  <c r="S596" i="6"/>
  <c r="T596" i="6"/>
  <c r="C597" i="6"/>
  <c r="D597" i="6"/>
  <c r="E597" i="6"/>
  <c r="F597" i="6"/>
  <c r="H597" i="6"/>
  <c r="I597" i="6"/>
  <c r="L597" i="6"/>
  <c r="N597" i="6"/>
  <c r="Q597" i="6"/>
  <c r="R597" i="6"/>
  <c r="S597" i="6"/>
  <c r="T597" i="6"/>
  <c r="C598" i="6"/>
  <c r="L598" i="6" s="1"/>
  <c r="D598" i="6"/>
  <c r="E598" i="6"/>
  <c r="F598" i="6"/>
  <c r="I598" i="6"/>
  <c r="N598" i="6"/>
  <c r="R598" i="6"/>
  <c r="Q598" i="6" s="1"/>
  <c r="S598" i="6" s="1"/>
  <c r="T598" i="6"/>
  <c r="C599" i="6"/>
  <c r="D599" i="6"/>
  <c r="E599" i="6"/>
  <c r="F599" i="6"/>
  <c r="I599" i="6"/>
  <c r="L599" i="6"/>
  <c r="N599" i="6"/>
  <c r="Q599" i="6"/>
  <c r="R599" i="6"/>
  <c r="S599" i="6"/>
  <c r="T599" i="6"/>
  <c r="C600" i="6"/>
  <c r="L600" i="6" s="1"/>
  <c r="D600" i="6"/>
  <c r="E600" i="6"/>
  <c r="F600" i="6"/>
  <c r="I600" i="6"/>
  <c r="N600" i="6"/>
  <c r="R600" i="6"/>
  <c r="Q600" i="6" s="1"/>
  <c r="S600" i="6" s="1"/>
  <c r="T600" i="6"/>
  <c r="C601" i="6"/>
  <c r="D601" i="6"/>
  <c r="E601" i="6"/>
  <c r="F601" i="6"/>
  <c r="I601" i="6"/>
  <c r="L601" i="6"/>
  <c r="N601" i="6"/>
  <c r="Q601" i="6"/>
  <c r="R601" i="6"/>
  <c r="S601" i="6"/>
  <c r="T601" i="6"/>
  <c r="C602" i="6"/>
  <c r="L602" i="6" s="1"/>
  <c r="D602" i="6"/>
  <c r="E602" i="6"/>
  <c r="F602" i="6"/>
  <c r="I602" i="6"/>
  <c r="N602" i="6"/>
  <c r="R602" i="6"/>
  <c r="Q602" i="6" s="1"/>
  <c r="S602" i="6" s="1"/>
  <c r="T602" i="6"/>
  <c r="C603" i="6"/>
  <c r="D603" i="6"/>
  <c r="L603" i="6" s="1"/>
  <c r="E603" i="6"/>
  <c r="F603" i="6"/>
  <c r="H603" i="6"/>
  <c r="I603" i="6"/>
  <c r="N603" i="6"/>
  <c r="R603" i="6"/>
  <c r="Q603" i="6" s="1"/>
  <c r="S603" i="6" s="1"/>
  <c r="T603" i="6"/>
  <c r="C604" i="6"/>
  <c r="D604" i="6"/>
  <c r="L604" i="6" s="1"/>
  <c r="E604" i="6"/>
  <c r="F604" i="6"/>
  <c r="H604" i="6"/>
  <c r="I604" i="6"/>
  <c r="N604" i="6"/>
  <c r="R604" i="6"/>
  <c r="Q604" i="6" s="1"/>
  <c r="S604" i="6" s="1"/>
  <c r="T604" i="6"/>
  <c r="C605" i="6"/>
  <c r="D605" i="6"/>
  <c r="E605" i="6"/>
  <c r="F605" i="6"/>
  <c r="H605" i="6"/>
  <c r="I605" i="6"/>
  <c r="N605" i="6"/>
  <c r="R605" i="6"/>
  <c r="Q605" i="6" s="1"/>
  <c r="S605" i="6" s="1"/>
  <c r="T605" i="6"/>
  <c r="C606" i="6"/>
  <c r="D606" i="6"/>
  <c r="E606" i="6"/>
  <c r="F606" i="6"/>
  <c r="H606" i="6"/>
  <c r="I606" i="6"/>
  <c r="N606" i="6"/>
  <c r="R606" i="6"/>
  <c r="Q606" i="6" s="1"/>
  <c r="S606" i="6" s="1"/>
  <c r="T606" i="6"/>
  <c r="C607" i="6"/>
  <c r="D607" i="6"/>
  <c r="E607" i="6"/>
  <c r="F607" i="6"/>
  <c r="H607" i="6"/>
  <c r="I607" i="6"/>
  <c r="N607" i="6"/>
  <c r="Q607" i="6"/>
  <c r="R607" i="6"/>
  <c r="S607" i="6"/>
  <c r="T607" i="6"/>
  <c r="C608" i="6"/>
  <c r="D608" i="6"/>
  <c r="E608" i="6"/>
  <c r="F608" i="6"/>
  <c r="H608" i="6"/>
  <c r="I608" i="6"/>
  <c r="L608" i="6"/>
  <c r="N608" i="6"/>
  <c r="Q608" i="6"/>
  <c r="R608" i="6"/>
  <c r="S608" i="6"/>
  <c r="T608" i="6"/>
  <c r="C609" i="6"/>
  <c r="D609" i="6"/>
  <c r="E609" i="6"/>
  <c r="F609" i="6"/>
  <c r="H609" i="6"/>
  <c r="I609" i="6"/>
  <c r="L609" i="6"/>
  <c r="N609" i="6"/>
  <c r="Q609" i="6"/>
  <c r="R609" i="6"/>
  <c r="S609" i="6"/>
  <c r="T609" i="6"/>
  <c r="C610" i="6"/>
  <c r="L610" i="6" s="1"/>
  <c r="D610" i="6"/>
  <c r="E610" i="6"/>
  <c r="F610" i="6"/>
  <c r="I610" i="6"/>
  <c r="N610" i="6"/>
  <c r="R610" i="6"/>
  <c r="Q610" i="6" s="1"/>
  <c r="S610" i="6" s="1"/>
  <c r="T610" i="6"/>
  <c r="C611" i="6"/>
  <c r="D611" i="6"/>
  <c r="E611" i="6"/>
  <c r="F611" i="6"/>
  <c r="I611" i="6"/>
  <c r="L611" i="6"/>
  <c r="N611" i="6"/>
  <c r="Q611" i="6"/>
  <c r="R611" i="6"/>
  <c r="S611" i="6"/>
  <c r="T611" i="6"/>
  <c r="C613" i="6"/>
  <c r="D613" i="6"/>
  <c r="E613" i="6"/>
  <c r="F613" i="6"/>
  <c r="G613" i="6"/>
  <c r="H613" i="6"/>
  <c r="I613" i="6"/>
  <c r="J613" i="6"/>
  <c r="K613" i="6"/>
  <c r="L613" i="6"/>
  <c r="N613" i="6"/>
  <c r="O613" i="6"/>
  <c r="P613" i="6"/>
  <c r="Q613" i="6"/>
  <c r="R613" i="6"/>
  <c r="S613" i="6"/>
  <c r="T613" i="6"/>
  <c r="C614" i="6"/>
  <c r="D614" i="6"/>
  <c r="E614" i="6"/>
  <c r="F614" i="6"/>
  <c r="G614" i="6"/>
  <c r="H614" i="6"/>
  <c r="I614" i="6"/>
  <c r="J614" i="6"/>
  <c r="K614" i="6"/>
  <c r="L614" i="6"/>
  <c r="N614" i="6"/>
  <c r="O614" i="6"/>
  <c r="P614" i="6"/>
  <c r="Q614" i="6"/>
  <c r="R614" i="6"/>
  <c r="T614" i="6"/>
  <c r="C615" i="6"/>
  <c r="D615" i="6"/>
  <c r="E615" i="6"/>
  <c r="F615" i="6"/>
  <c r="G615" i="6"/>
  <c r="H615" i="6"/>
  <c r="I615" i="6"/>
  <c r="J615" i="6"/>
  <c r="K615" i="6"/>
  <c r="L615" i="6"/>
  <c r="N615" i="6"/>
  <c r="O615" i="6"/>
  <c r="P615" i="6"/>
  <c r="Q615" i="6"/>
  <c r="R615" i="6"/>
  <c r="T615" i="6"/>
  <c r="C616" i="6"/>
  <c r="D616" i="6"/>
  <c r="E616" i="6"/>
  <c r="F616" i="6"/>
  <c r="G616" i="6"/>
  <c r="H616" i="6"/>
  <c r="I616" i="6"/>
  <c r="J616" i="6"/>
  <c r="K616" i="6"/>
  <c r="L616" i="6"/>
  <c r="N616" i="6"/>
  <c r="O616" i="6"/>
  <c r="P616" i="6"/>
  <c r="Q616" i="6"/>
  <c r="R616" i="6"/>
  <c r="S616" i="6"/>
  <c r="T616" i="6"/>
  <c r="C617" i="6"/>
  <c r="D617" i="6"/>
  <c r="E617" i="6"/>
  <c r="F617" i="6"/>
  <c r="G617" i="6"/>
  <c r="H617" i="6"/>
  <c r="I617" i="6"/>
  <c r="J617" i="6"/>
  <c r="K617" i="6"/>
  <c r="N617" i="6"/>
  <c r="O617" i="6"/>
  <c r="P617" i="6"/>
  <c r="Q617" i="6"/>
  <c r="R617" i="6"/>
  <c r="S617" i="6"/>
  <c r="T617" i="6"/>
  <c r="C618" i="6"/>
  <c r="D618" i="6"/>
  <c r="E618" i="6"/>
  <c r="F618" i="6"/>
  <c r="G618" i="6"/>
  <c r="H618" i="6"/>
  <c r="I618" i="6"/>
  <c r="J618" i="6"/>
  <c r="K618" i="6"/>
  <c r="L618" i="6"/>
  <c r="N618" i="6"/>
  <c r="O618" i="6"/>
  <c r="P618" i="6"/>
  <c r="Q618" i="6"/>
  <c r="R618" i="6"/>
  <c r="S618" i="6"/>
  <c r="T618" i="6"/>
  <c r="C619" i="6"/>
  <c r="D619" i="6"/>
  <c r="E619" i="6"/>
  <c r="F619" i="6"/>
  <c r="G619" i="6"/>
  <c r="H619" i="6"/>
  <c r="I619" i="6"/>
  <c r="J619" i="6"/>
  <c r="K619" i="6"/>
  <c r="L619" i="6"/>
  <c r="N619" i="6"/>
  <c r="O619" i="6"/>
  <c r="P619" i="6"/>
  <c r="Q619" i="6"/>
  <c r="R619" i="6"/>
  <c r="S619" i="6"/>
  <c r="T619" i="6"/>
  <c r="C620" i="6"/>
  <c r="D620" i="6"/>
  <c r="E620" i="6"/>
  <c r="F620" i="6"/>
  <c r="G620" i="6"/>
  <c r="H620" i="6"/>
  <c r="I620" i="6"/>
  <c r="J620" i="6"/>
  <c r="K620" i="6"/>
  <c r="L620" i="6"/>
  <c r="N620" i="6"/>
  <c r="O620" i="6"/>
  <c r="P620" i="6"/>
  <c r="Q620" i="6"/>
  <c r="R620" i="6"/>
  <c r="S620" i="6"/>
  <c r="T620" i="6"/>
  <c r="C621" i="6"/>
  <c r="D621" i="6"/>
  <c r="E621" i="6"/>
  <c r="F621" i="6"/>
  <c r="G621" i="6"/>
  <c r="H621" i="6"/>
  <c r="I621" i="6"/>
  <c r="J621" i="6"/>
  <c r="K621" i="6"/>
  <c r="L621" i="6"/>
  <c r="N621" i="6"/>
  <c r="O621" i="6"/>
  <c r="P621" i="6"/>
  <c r="Q621" i="6"/>
  <c r="R621" i="6"/>
  <c r="S621" i="6"/>
  <c r="T621" i="6"/>
  <c r="C622" i="6"/>
  <c r="D622" i="6"/>
  <c r="E622" i="6"/>
  <c r="F622" i="6"/>
  <c r="G622" i="6"/>
  <c r="H622" i="6"/>
  <c r="I622" i="6"/>
  <c r="J622" i="6"/>
  <c r="K622" i="6"/>
  <c r="L622" i="6"/>
  <c r="N622" i="6"/>
  <c r="O622" i="6"/>
  <c r="P622" i="6"/>
  <c r="Q622" i="6"/>
  <c r="R622" i="6"/>
  <c r="S622" i="6"/>
  <c r="T622" i="6"/>
  <c r="C623" i="6"/>
  <c r="D623" i="6"/>
  <c r="E623" i="6"/>
  <c r="F623" i="6"/>
  <c r="G623" i="6"/>
  <c r="H623" i="6"/>
  <c r="I623" i="6"/>
  <c r="J623" i="6"/>
  <c r="K623" i="6"/>
  <c r="L623" i="6"/>
  <c r="N623" i="6"/>
  <c r="O623" i="6"/>
  <c r="P623" i="6"/>
  <c r="Q623" i="6"/>
  <c r="R623" i="6"/>
  <c r="S623" i="6"/>
  <c r="T623" i="6"/>
  <c r="C624" i="6"/>
  <c r="D624" i="6"/>
  <c r="E624" i="6"/>
  <c r="F624" i="6"/>
  <c r="G624" i="6"/>
  <c r="H624" i="6"/>
  <c r="I624" i="6"/>
  <c r="J624" i="6"/>
  <c r="K624" i="6"/>
  <c r="L624" i="6"/>
  <c r="N624" i="6"/>
  <c r="O624" i="6"/>
  <c r="P624" i="6"/>
  <c r="Q624" i="6"/>
  <c r="R624" i="6"/>
  <c r="S624" i="6"/>
  <c r="T624" i="6"/>
  <c r="C625" i="6"/>
  <c r="D625" i="6"/>
  <c r="E625" i="6"/>
  <c r="F625" i="6"/>
  <c r="G625" i="6"/>
  <c r="H625" i="6"/>
  <c r="I625" i="6"/>
  <c r="J625" i="6"/>
  <c r="K625" i="6"/>
  <c r="L625" i="6"/>
  <c r="N625" i="6"/>
  <c r="O625" i="6"/>
  <c r="P625" i="6"/>
  <c r="Q625" i="6"/>
  <c r="R625" i="6"/>
  <c r="S625" i="6"/>
  <c r="T625" i="6"/>
  <c r="C626" i="6"/>
  <c r="D626" i="6"/>
  <c r="E626" i="6"/>
  <c r="F626" i="6"/>
  <c r="G626" i="6"/>
  <c r="H626" i="6"/>
  <c r="I626" i="6"/>
  <c r="J626" i="6"/>
  <c r="K626" i="6"/>
  <c r="N626" i="6"/>
  <c r="O626" i="6"/>
  <c r="P626" i="6"/>
  <c r="Q626" i="6"/>
  <c r="R626" i="6"/>
  <c r="S626" i="6"/>
  <c r="T626" i="6"/>
  <c r="C627" i="6"/>
  <c r="D627" i="6"/>
  <c r="E627" i="6"/>
  <c r="F627" i="6"/>
  <c r="G627" i="6"/>
  <c r="H627" i="6"/>
  <c r="I627" i="6"/>
  <c r="J627" i="6"/>
  <c r="K627" i="6"/>
  <c r="L627" i="6"/>
  <c r="N627" i="6"/>
  <c r="O627" i="6"/>
  <c r="P627" i="6"/>
  <c r="Q627" i="6"/>
  <c r="R627" i="6"/>
  <c r="S627" i="6"/>
  <c r="T627" i="6"/>
  <c r="C628" i="6"/>
  <c r="D628" i="6"/>
  <c r="E628" i="6"/>
  <c r="F628" i="6"/>
  <c r="G628" i="6"/>
  <c r="H628" i="6"/>
  <c r="I628" i="6"/>
  <c r="J628" i="6"/>
  <c r="K628" i="6"/>
  <c r="L628" i="6"/>
  <c r="N628" i="6"/>
  <c r="O628" i="6"/>
  <c r="P628" i="6"/>
  <c r="Q628" i="6"/>
  <c r="R628" i="6"/>
  <c r="S628" i="6"/>
  <c r="T628" i="6"/>
  <c r="C629" i="6"/>
  <c r="D629" i="6"/>
  <c r="E629" i="6"/>
  <c r="F629" i="6"/>
  <c r="G629" i="6"/>
  <c r="H629" i="6"/>
  <c r="I629" i="6"/>
  <c r="J629" i="6"/>
  <c r="K629" i="6"/>
  <c r="L629" i="6"/>
  <c r="N629" i="6"/>
  <c r="O629" i="6"/>
  <c r="P629" i="6"/>
  <c r="Q629" i="6"/>
  <c r="R629" i="6"/>
  <c r="S629" i="6"/>
  <c r="T629" i="6"/>
  <c r="C630" i="6"/>
  <c r="D630" i="6"/>
  <c r="E630" i="6"/>
  <c r="F630" i="6"/>
  <c r="G630" i="6"/>
  <c r="H630" i="6"/>
  <c r="I630" i="6"/>
  <c r="J630" i="6"/>
  <c r="K630" i="6"/>
  <c r="L630" i="6"/>
  <c r="N630" i="6"/>
  <c r="O630" i="6"/>
  <c r="P630" i="6"/>
  <c r="Q630" i="6"/>
  <c r="R630" i="6"/>
  <c r="S630" i="6"/>
  <c r="T630" i="6"/>
  <c r="C631" i="6"/>
  <c r="D631" i="6"/>
  <c r="E631" i="6"/>
  <c r="F631" i="6"/>
  <c r="G631" i="6"/>
  <c r="H631" i="6"/>
  <c r="I631" i="6"/>
  <c r="J631" i="6"/>
  <c r="K631" i="6"/>
  <c r="L631" i="6"/>
  <c r="N631" i="6"/>
  <c r="O631" i="6"/>
  <c r="P631" i="6"/>
  <c r="Q631" i="6"/>
  <c r="R631" i="6"/>
  <c r="S631" i="6"/>
  <c r="T631" i="6"/>
  <c r="C632" i="6"/>
  <c r="D632" i="6"/>
  <c r="E632" i="6"/>
  <c r="F632" i="6"/>
  <c r="G632" i="6"/>
  <c r="H632" i="6"/>
  <c r="I632" i="6"/>
  <c r="J632" i="6"/>
  <c r="K632" i="6"/>
  <c r="L632" i="6"/>
  <c r="N632" i="6"/>
  <c r="O632" i="6"/>
  <c r="P632" i="6"/>
  <c r="Q632" i="6"/>
  <c r="R632" i="6"/>
  <c r="S632" i="6"/>
  <c r="T632" i="6"/>
  <c r="C633" i="6"/>
  <c r="D633" i="6"/>
  <c r="E633" i="6"/>
  <c r="F633" i="6"/>
  <c r="G633" i="6"/>
  <c r="H633" i="6"/>
  <c r="I633" i="6"/>
  <c r="J633" i="6"/>
  <c r="K633" i="6"/>
  <c r="L633" i="6"/>
  <c r="N633" i="6"/>
  <c r="O633" i="6"/>
  <c r="P633" i="6"/>
  <c r="Q633" i="6"/>
  <c r="R633" i="6"/>
  <c r="S633" i="6"/>
  <c r="T633" i="6"/>
  <c r="C634" i="6"/>
  <c r="D634" i="6"/>
  <c r="E634" i="6"/>
  <c r="F634" i="6"/>
  <c r="G634" i="6"/>
  <c r="H634" i="6"/>
  <c r="I634" i="6"/>
  <c r="J634" i="6"/>
  <c r="K634" i="6"/>
  <c r="L634" i="6"/>
  <c r="N634" i="6"/>
  <c r="O634" i="6"/>
  <c r="P634" i="6"/>
  <c r="Q634" i="6"/>
  <c r="R634" i="6"/>
  <c r="S634" i="6"/>
  <c r="T634" i="6"/>
  <c r="C635" i="6"/>
  <c r="D635" i="6"/>
  <c r="E635" i="6"/>
  <c r="F635" i="6"/>
  <c r="G635" i="6"/>
  <c r="H635" i="6"/>
  <c r="I635" i="6"/>
  <c r="J635" i="6"/>
  <c r="K635" i="6"/>
  <c r="L635" i="6"/>
  <c r="N635" i="6"/>
  <c r="O635" i="6"/>
  <c r="P635" i="6"/>
  <c r="Q635" i="6"/>
  <c r="R635" i="6"/>
  <c r="S635" i="6"/>
  <c r="T635" i="6"/>
  <c r="C636" i="6"/>
  <c r="D636" i="6"/>
  <c r="E636" i="6"/>
  <c r="F636" i="6"/>
  <c r="G636" i="6"/>
  <c r="H636" i="6"/>
  <c r="I636" i="6"/>
  <c r="J636" i="6"/>
  <c r="K636" i="6"/>
  <c r="L636" i="6"/>
  <c r="N636" i="6"/>
  <c r="O636" i="6"/>
  <c r="P636" i="6"/>
  <c r="Q636" i="6"/>
  <c r="R636" i="6"/>
  <c r="S636" i="6"/>
  <c r="T636" i="6"/>
  <c r="C637" i="6"/>
  <c r="D637" i="6"/>
  <c r="E637" i="6"/>
  <c r="F637" i="6"/>
  <c r="G637" i="6"/>
  <c r="H637" i="6"/>
  <c r="I637" i="6"/>
  <c r="J637" i="6"/>
  <c r="K637" i="6"/>
  <c r="L637" i="6"/>
  <c r="N637" i="6"/>
  <c r="O637" i="6"/>
  <c r="P637" i="6"/>
  <c r="Q637" i="6"/>
  <c r="R637" i="6"/>
  <c r="S637" i="6"/>
  <c r="T637" i="6"/>
  <c r="C638" i="6"/>
  <c r="D638" i="6"/>
  <c r="E638" i="6"/>
  <c r="F638" i="6"/>
  <c r="G638" i="6"/>
  <c r="H638" i="6"/>
  <c r="I638" i="6"/>
  <c r="J638" i="6"/>
  <c r="K638" i="6"/>
  <c r="L638" i="6"/>
  <c r="N638" i="6"/>
  <c r="O638" i="6"/>
  <c r="P638" i="6"/>
  <c r="Q638" i="6"/>
  <c r="R638" i="6"/>
  <c r="S638" i="6"/>
  <c r="T638" i="6"/>
  <c r="A639" i="6"/>
  <c r="C639" i="6"/>
  <c r="D639" i="6"/>
  <c r="E639" i="6"/>
  <c r="F639" i="6"/>
  <c r="G639" i="6"/>
  <c r="H639" i="6"/>
  <c r="I639" i="6"/>
  <c r="J639" i="6"/>
  <c r="K639" i="6"/>
  <c r="L639" i="6"/>
  <c r="N639" i="6"/>
  <c r="O639" i="6"/>
  <c r="P639" i="6"/>
  <c r="Q639" i="6"/>
  <c r="R639" i="6"/>
  <c r="S639" i="6"/>
  <c r="T639" i="6"/>
  <c r="A640" i="6"/>
  <c r="C640" i="6"/>
  <c r="D640" i="6"/>
  <c r="E640" i="6"/>
  <c r="F640" i="6"/>
  <c r="G640" i="6"/>
  <c r="H640" i="6"/>
  <c r="I640" i="6"/>
  <c r="J640" i="6"/>
  <c r="K640" i="6"/>
  <c r="L640" i="6"/>
  <c r="N640" i="6"/>
  <c r="O640" i="6"/>
  <c r="P640" i="6"/>
  <c r="Q640" i="6"/>
  <c r="R640" i="6"/>
  <c r="S640" i="6"/>
  <c r="T640" i="6"/>
  <c r="A641" i="6"/>
  <c r="C641" i="6"/>
  <c r="D641" i="6"/>
  <c r="E641" i="6"/>
  <c r="F641" i="6"/>
  <c r="G641" i="6"/>
  <c r="H641" i="6"/>
  <c r="I641" i="6"/>
  <c r="J641" i="6"/>
  <c r="K641" i="6"/>
  <c r="L641" i="6"/>
  <c r="N641" i="6"/>
  <c r="O641" i="6"/>
  <c r="P641" i="6"/>
  <c r="Q641" i="6"/>
  <c r="R641" i="6"/>
  <c r="S641" i="6"/>
  <c r="T641" i="6"/>
  <c r="A642" i="6"/>
  <c r="C642" i="6"/>
  <c r="D642" i="6"/>
  <c r="E642" i="6"/>
  <c r="F642" i="6"/>
  <c r="G642" i="6"/>
  <c r="H642" i="6"/>
  <c r="I642" i="6"/>
  <c r="J642" i="6"/>
  <c r="K642" i="6"/>
  <c r="L642" i="6"/>
  <c r="N642" i="6"/>
  <c r="O642" i="6"/>
  <c r="P642" i="6"/>
  <c r="Q642" i="6"/>
  <c r="R642" i="6"/>
  <c r="S642" i="6"/>
  <c r="T642" i="6"/>
  <c r="A643" i="6"/>
  <c r="C643" i="6"/>
  <c r="D643" i="6"/>
  <c r="E643" i="6"/>
  <c r="F643" i="6"/>
  <c r="G643" i="6"/>
  <c r="H643" i="6"/>
  <c r="I643" i="6"/>
  <c r="J643" i="6"/>
  <c r="K643" i="6"/>
  <c r="L643" i="6"/>
  <c r="N643" i="6"/>
  <c r="O643" i="6"/>
  <c r="P643" i="6"/>
  <c r="Q643" i="6"/>
  <c r="R643" i="6"/>
  <c r="S643" i="6"/>
  <c r="T643" i="6"/>
  <c r="A644" i="6"/>
  <c r="C644" i="6"/>
  <c r="D644" i="6"/>
  <c r="E644" i="6"/>
  <c r="F644" i="6"/>
  <c r="G644" i="6"/>
  <c r="H644" i="6"/>
  <c r="I644" i="6"/>
  <c r="J644" i="6"/>
  <c r="K644" i="6"/>
  <c r="N644" i="6"/>
  <c r="O644" i="6"/>
  <c r="P644" i="6"/>
  <c r="Q644" i="6"/>
  <c r="R644" i="6"/>
  <c r="S644" i="6"/>
  <c r="T644" i="6"/>
  <c r="A645" i="6"/>
  <c r="C645" i="6"/>
  <c r="D645" i="6"/>
  <c r="E645" i="6"/>
  <c r="F645" i="6"/>
  <c r="G645" i="6"/>
  <c r="H645" i="6"/>
  <c r="I645" i="6"/>
  <c r="J645" i="6"/>
  <c r="K645" i="6"/>
  <c r="N645" i="6"/>
  <c r="O645" i="6"/>
  <c r="P645" i="6"/>
  <c r="Q645" i="6"/>
  <c r="R645" i="6"/>
  <c r="S645" i="6"/>
  <c r="T645" i="6"/>
  <c r="A646" i="6"/>
  <c r="C646" i="6"/>
  <c r="D646" i="6"/>
  <c r="E646" i="6"/>
  <c r="F646" i="6"/>
  <c r="G646" i="6"/>
  <c r="H646" i="6"/>
  <c r="I646" i="6"/>
  <c r="J646" i="6"/>
  <c r="K646" i="6"/>
  <c r="N646" i="6"/>
  <c r="O646" i="6"/>
  <c r="P646" i="6"/>
  <c r="Q646" i="6"/>
  <c r="R646" i="6"/>
  <c r="S646" i="6"/>
  <c r="T646" i="6"/>
  <c r="A647" i="6"/>
  <c r="C647" i="6"/>
  <c r="D647" i="6"/>
  <c r="E647" i="6"/>
  <c r="F647" i="6"/>
  <c r="G647" i="6"/>
  <c r="H647" i="6"/>
  <c r="I647" i="6"/>
  <c r="J647" i="6"/>
  <c r="K647" i="6"/>
  <c r="L647" i="6"/>
  <c r="N647" i="6"/>
  <c r="O647" i="6"/>
  <c r="P647" i="6"/>
  <c r="Q647" i="6"/>
  <c r="R647" i="6"/>
  <c r="S647" i="6"/>
  <c r="T647" i="6"/>
  <c r="A648" i="6"/>
  <c r="C648" i="6"/>
  <c r="D648" i="6"/>
  <c r="E648" i="6"/>
  <c r="F648" i="6"/>
  <c r="G648" i="6"/>
  <c r="H648" i="6"/>
  <c r="I648" i="6"/>
  <c r="J648" i="6"/>
  <c r="K648" i="6"/>
  <c r="L648" i="6"/>
  <c r="N648" i="6"/>
  <c r="O648" i="6"/>
  <c r="P648" i="6"/>
  <c r="Q648" i="6"/>
  <c r="R648" i="6"/>
  <c r="S648" i="6"/>
  <c r="T648" i="6"/>
  <c r="A649" i="6"/>
  <c r="C649" i="6"/>
  <c r="D649" i="6"/>
  <c r="E649" i="6"/>
  <c r="F649" i="6"/>
  <c r="G649" i="6"/>
  <c r="H649" i="6"/>
  <c r="I649" i="6"/>
  <c r="J649" i="6"/>
  <c r="K649" i="6"/>
  <c r="L649" i="6"/>
  <c r="N649" i="6"/>
  <c r="O649" i="6"/>
  <c r="P649" i="6"/>
  <c r="Q649" i="6"/>
  <c r="R649" i="6"/>
  <c r="S649" i="6"/>
  <c r="T649" i="6"/>
  <c r="A650" i="6"/>
  <c r="C650" i="6"/>
  <c r="D650" i="6"/>
  <c r="E650" i="6"/>
  <c r="F650" i="6"/>
  <c r="G650" i="6"/>
  <c r="H650" i="6"/>
  <c r="I650" i="6"/>
  <c r="J650" i="6"/>
  <c r="K650" i="6"/>
  <c r="L650" i="6"/>
  <c r="N650" i="6"/>
  <c r="O650" i="6"/>
  <c r="P650" i="6"/>
  <c r="Q650" i="6"/>
  <c r="R650" i="6"/>
  <c r="S650" i="6"/>
  <c r="T650" i="6"/>
  <c r="A651" i="6"/>
  <c r="C651" i="6"/>
  <c r="D651" i="6"/>
  <c r="E651" i="6"/>
  <c r="F651" i="6"/>
  <c r="G651" i="6"/>
  <c r="H651" i="6"/>
  <c r="I651" i="6"/>
  <c r="J651" i="6"/>
  <c r="K651" i="6"/>
  <c r="L651" i="6"/>
  <c r="N651" i="6"/>
  <c r="O651" i="6"/>
  <c r="P651" i="6"/>
  <c r="Q651" i="6"/>
  <c r="R651" i="6"/>
  <c r="S651" i="6"/>
  <c r="T651" i="6"/>
  <c r="A652" i="6"/>
  <c r="C652" i="6"/>
  <c r="D652" i="6"/>
  <c r="E652" i="6"/>
  <c r="F652" i="6"/>
  <c r="G652" i="6"/>
  <c r="H652" i="6"/>
  <c r="I652" i="6"/>
  <c r="J652" i="6"/>
  <c r="K652" i="6"/>
  <c r="L652" i="6"/>
  <c r="N652" i="6"/>
  <c r="O652" i="6"/>
  <c r="P652" i="6"/>
  <c r="Q652" i="6"/>
  <c r="R652" i="6"/>
  <c r="S652" i="6"/>
  <c r="T652" i="6"/>
  <c r="A653" i="6"/>
  <c r="C653" i="6"/>
  <c r="D653" i="6"/>
  <c r="E653" i="6"/>
  <c r="F653" i="6"/>
  <c r="G653" i="6"/>
  <c r="H653" i="6"/>
  <c r="I653" i="6"/>
  <c r="J653" i="6"/>
  <c r="K653" i="6"/>
  <c r="L653" i="6"/>
  <c r="N653" i="6"/>
  <c r="O653" i="6"/>
  <c r="P653" i="6"/>
  <c r="Q653" i="6"/>
  <c r="R653" i="6"/>
  <c r="S653" i="6"/>
  <c r="T653" i="6"/>
  <c r="A654" i="6"/>
  <c r="C654" i="6"/>
  <c r="D654" i="6"/>
  <c r="E654" i="6"/>
  <c r="F654" i="6"/>
  <c r="G654" i="6"/>
  <c r="H654" i="6"/>
  <c r="I654" i="6"/>
  <c r="J654" i="6"/>
  <c r="K654" i="6"/>
  <c r="L654" i="6"/>
  <c r="N654" i="6"/>
  <c r="O654" i="6"/>
  <c r="P654" i="6"/>
  <c r="Q654" i="6"/>
  <c r="R654" i="6"/>
  <c r="S654" i="6"/>
  <c r="T654" i="6"/>
  <c r="A655" i="6"/>
  <c r="C655" i="6"/>
  <c r="D655" i="6"/>
  <c r="E655" i="6"/>
  <c r="F655" i="6"/>
  <c r="G655" i="6"/>
  <c r="H655" i="6"/>
  <c r="I655" i="6"/>
  <c r="J655" i="6"/>
  <c r="K655" i="6"/>
  <c r="L655" i="6"/>
  <c r="N655" i="6"/>
  <c r="O655" i="6"/>
  <c r="P655" i="6"/>
  <c r="Q655" i="6"/>
  <c r="R655" i="6"/>
  <c r="S655" i="6"/>
  <c r="T655" i="6"/>
  <c r="A656" i="6"/>
  <c r="C656" i="6"/>
  <c r="D656" i="6"/>
  <c r="E656" i="6"/>
  <c r="F656" i="6"/>
  <c r="G656" i="6"/>
  <c r="H656" i="6"/>
  <c r="I656" i="6"/>
  <c r="J656" i="6"/>
  <c r="K656" i="6"/>
  <c r="L656" i="6"/>
  <c r="N656" i="6"/>
  <c r="O656" i="6"/>
  <c r="P656" i="6"/>
  <c r="Q656" i="6"/>
  <c r="R656" i="6"/>
  <c r="S656" i="6"/>
  <c r="T656" i="6"/>
  <c r="A657" i="6"/>
  <c r="C657" i="6"/>
  <c r="D657" i="6"/>
  <c r="E657" i="6"/>
  <c r="F657" i="6"/>
  <c r="G657" i="6"/>
  <c r="H657" i="6"/>
  <c r="I657" i="6"/>
  <c r="J657" i="6"/>
  <c r="K657" i="6"/>
  <c r="L657" i="6"/>
  <c r="N657" i="6"/>
  <c r="O657" i="6"/>
  <c r="P657" i="6"/>
  <c r="Q657" i="6"/>
  <c r="R657" i="6"/>
  <c r="S657" i="6"/>
  <c r="T657" i="6"/>
  <c r="A658" i="6"/>
  <c r="C658" i="6"/>
  <c r="D658" i="6"/>
  <c r="E658" i="6"/>
  <c r="F658" i="6"/>
  <c r="G658" i="6"/>
  <c r="H658" i="6"/>
  <c r="I658" i="6"/>
  <c r="J658" i="6"/>
  <c r="K658" i="6"/>
  <c r="L658" i="6"/>
  <c r="N658" i="6"/>
  <c r="O658" i="6"/>
  <c r="P658" i="6"/>
  <c r="Q658" i="6"/>
  <c r="R658" i="6"/>
  <c r="S658" i="6"/>
  <c r="T658" i="6"/>
  <c r="A659" i="6"/>
  <c r="C659" i="6"/>
  <c r="D659" i="6"/>
  <c r="E659" i="6"/>
  <c r="F659" i="6"/>
  <c r="G659" i="6"/>
  <c r="H659" i="6"/>
  <c r="I659" i="6"/>
  <c r="J659" i="6"/>
  <c r="K659" i="6"/>
  <c r="L659" i="6"/>
  <c r="N659" i="6"/>
  <c r="O659" i="6"/>
  <c r="P659" i="6"/>
  <c r="Q659" i="6"/>
  <c r="R659" i="6"/>
  <c r="S659" i="6"/>
  <c r="T659" i="6"/>
  <c r="A660" i="6"/>
  <c r="C660" i="6"/>
  <c r="D660" i="6"/>
  <c r="E660" i="6"/>
  <c r="F660" i="6"/>
  <c r="G660" i="6"/>
  <c r="H660" i="6"/>
  <c r="I660" i="6"/>
  <c r="J660" i="6"/>
  <c r="K660" i="6"/>
  <c r="L660" i="6"/>
  <c r="N660" i="6"/>
  <c r="O660" i="6"/>
  <c r="P660" i="6"/>
  <c r="Q660" i="6"/>
  <c r="R660" i="6"/>
  <c r="S660" i="6"/>
  <c r="T660" i="6"/>
  <c r="A661" i="6"/>
  <c r="C661" i="6"/>
  <c r="D661" i="6"/>
  <c r="E661" i="6"/>
  <c r="F661" i="6"/>
  <c r="G661" i="6"/>
  <c r="H661" i="6"/>
  <c r="I661" i="6"/>
  <c r="J661" i="6"/>
  <c r="K661" i="6"/>
  <c r="L661" i="6"/>
  <c r="N661" i="6"/>
  <c r="O661" i="6"/>
  <c r="P661" i="6"/>
  <c r="Q661" i="6"/>
  <c r="R661" i="6"/>
  <c r="S661" i="6"/>
  <c r="T661" i="6"/>
  <c r="A662" i="6"/>
  <c r="C662" i="6"/>
  <c r="D662" i="6"/>
  <c r="E662" i="6"/>
  <c r="F662" i="6"/>
  <c r="G662" i="6"/>
  <c r="H662" i="6"/>
  <c r="I662" i="6"/>
  <c r="J662" i="6"/>
  <c r="K662" i="6"/>
  <c r="L662" i="6"/>
  <c r="N662" i="6"/>
  <c r="O662" i="6"/>
  <c r="P662" i="6"/>
  <c r="Q662" i="6"/>
  <c r="R662" i="6"/>
  <c r="S662" i="6"/>
  <c r="T662" i="6"/>
  <c r="C9" i="5"/>
  <c r="F13" i="5"/>
  <c r="F14" i="5"/>
  <c r="F15" i="5"/>
  <c r="F16" i="5"/>
  <c r="F17" i="5"/>
  <c r="F18" i="5"/>
  <c r="F19" i="5"/>
  <c r="F20" i="5"/>
  <c r="F21" i="5"/>
  <c r="B25" i="5"/>
  <c r="C25" i="5"/>
  <c r="D25" i="5"/>
  <c r="E25" i="5"/>
  <c r="F25" i="5"/>
  <c r="G25" i="5"/>
  <c r="H25" i="5"/>
  <c r="I25" i="5"/>
  <c r="J25" i="5"/>
  <c r="L25" i="5"/>
  <c r="M25" i="5"/>
  <c r="N25" i="5"/>
  <c r="O25" i="5"/>
  <c r="P25" i="5"/>
  <c r="Q25" i="5"/>
  <c r="R25" i="5"/>
  <c r="S25" i="5"/>
  <c r="T25" i="5"/>
  <c r="U25" i="5"/>
  <c r="V25" i="5"/>
  <c r="W25" i="5"/>
  <c r="Y25" i="5"/>
  <c r="Z25" i="5"/>
  <c r="AA25" i="5"/>
  <c r="AB25" i="5"/>
  <c r="AC25" i="5"/>
  <c r="B26" i="5"/>
  <c r="C26" i="5"/>
  <c r="D26" i="5"/>
  <c r="E26" i="5"/>
  <c r="F26" i="5"/>
  <c r="G26" i="5"/>
  <c r="H26" i="5"/>
  <c r="I26" i="5"/>
  <c r="J26" i="5"/>
  <c r="L26" i="5"/>
  <c r="M26" i="5"/>
  <c r="N26" i="5"/>
  <c r="O26" i="5"/>
  <c r="P26" i="5"/>
  <c r="Q26" i="5"/>
  <c r="R26" i="5"/>
  <c r="S26" i="5"/>
  <c r="T26" i="5"/>
  <c r="U26" i="5"/>
  <c r="V26" i="5"/>
  <c r="W26" i="5"/>
  <c r="Y26" i="5"/>
  <c r="Z26" i="5"/>
  <c r="AA26" i="5"/>
  <c r="AB26" i="5"/>
  <c r="AC26" i="5"/>
  <c r="B27" i="5"/>
  <c r="C27" i="5"/>
  <c r="D27" i="5"/>
  <c r="E27" i="5"/>
  <c r="F27" i="5"/>
  <c r="G27" i="5"/>
  <c r="H27" i="5"/>
  <c r="I27" i="5"/>
  <c r="J27" i="5"/>
  <c r="L27" i="5"/>
  <c r="M27" i="5"/>
  <c r="N27" i="5"/>
  <c r="O27" i="5"/>
  <c r="P27" i="5"/>
  <c r="Q27" i="5"/>
  <c r="R27" i="5"/>
  <c r="S27" i="5"/>
  <c r="T27" i="5"/>
  <c r="U27" i="5"/>
  <c r="V27" i="5"/>
  <c r="W27" i="5"/>
  <c r="Y27" i="5"/>
  <c r="Z27" i="5"/>
  <c r="AA27" i="5"/>
  <c r="AB27" i="5"/>
  <c r="AC27" i="5"/>
  <c r="B28" i="5"/>
  <c r="C28" i="5"/>
  <c r="D28" i="5"/>
  <c r="E28" i="5"/>
  <c r="F28" i="5"/>
  <c r="G28" i="5"/>
  <c r="H28" i="5"/>
  <c r="I28" i="5"/>
  <c r="J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B29" i="5"/>
  <c r="C29" i="5"/>
  <c r="D29" i="5"/>
  <c r="E29" i="5"/>
  <c r="F29" i="5"/>
  <c r="G29" i="5"/>
  <c r="H29" i="5"/>
  <c r="I29" i="5"/>
  <c r="J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B30" i="5"/>
  <c r="C30" i="5"/>
  <c r="D30" i="5"/>
  <c r="E30" i="5"/>
  <c r="F30" i="5"/>
  <c r="G30" i="5"/>
  <c r="H30" i="5"/>
  <c r="I30" i="5"/>
  <c r="J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B31" i="5"/>
  <c r="C31" i="5"/>
  <c r="D31" i="5"/>
  <c r="E31" i="5"/>
  <c r="F31" i="5"/>
  <c r="G31" i="5"/>
  <c r="H31" i="5"/>
  <c r="I31" i="5"/>
  <c r="J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B32" i="5"/>
  <c r="C32" i="5"/>
  <c r="D32" i="5"/>
  <c r="E32" i="5"/>
  <c r="F32" i="5"/>
  <c r="G32" i="5"/>
  <c r="H32" i="5"/>
  <c r="I32" i="5"/>
  <c r="J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B33" i="5"/>
  <c r="C33" i="5"/>
  <c r="D33" i="5"/>
  <c r="E33" i="5"/>
  <c r="F33" i="5"/>
  <c r="G33" i="5"/>
  <c r="H33" i="5"/>
  <c r="I33" i="5"/>
  <c r="J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B34" i="5"/>
  <c r="C34" i="5"/>
  <c r="D34" i="5"/>
  <c r="E34" i="5"/>
  <c r="F34" i="5"/>
  <c r="G34" i="5"/>
  <c r="H34" i="5"/>
  <c r="I34" i="5"/>
  <c r="J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B35" i="5"/>
  <c r="C35" i="5"/>
  <c r="D35" i="5"/>
  <c r="E35" i="5"/>
  <c r="F35" i="5"/>
  <c r="G35" i="5"/>
  <c r="H35" i="5"/>
  <c r="I35" i="5"/>
  <c r="J35" i="5"/>
  <c r="L35" i="5"/>
  <c r="M35" i="5"/>
  <c r="N35" i="5"/>
  <c r="O35" i="5"/>
  <c r="P35" i="5"/>
  <c r="Q35" i="5"/>
  <c r="R35" i="5"/>
  <c r="S35" i="5"/>
  <c r="T35" i="5"/>
  <c r="U35" i="5"/>
  <c r="V35" i="5"/>
  <c r="W35" i="5"/>
  <c r="Y35" i="5"/>
  <c r="Z35" i="5"/>
  <c r="AA35" i="5"/>
  <c r="AB35" i="5"/>
  <c r="AC35" i="5"/>
  <c r="B36" i="5"/>
  <c r="C36" i="5"/>
  <c r="D36" i="5"/>
  <c r="E36" i="5"/>
  <c r="F36" i="5"/>
  <c r="G36" i="5"/>
  <c r="H36" i="5"/>
  <c r="I36" i="5"/>
  <c r="J36" i="5"/>
  <c r="L36" i="5"/>
  <c r="M36" i="5"/>
  <c r="N36" i="5"/>
  <c r="O36" i="5"/>
  <c r="P36" i="5"/>
  <c r="Q36" i="5"/>
  <c r="R36" i="5"/>
  <c r="S36" i="5"/>
  <c r="T36" i="5"/>
  <c r="U36" i="5"/>
  <c r="V36" i="5"/>
  <c r="W36" i="5"/>
  <c r="Y36" i="5"/>
  <c r="Z36" i="5"/>
  <c r="AA36" i="5"/>
  <c r="AB36" i="5"/>
  <c r="AC36" i="5"/>
  <c r="B37" i="5"/>
  <c r="C37" i="5"/>
  <c r="D37" i="5"/>
  <c r="E37" i="5"/>
  <c r="F37" i="5"/>
  <c r="G37" i="5"/>
  <c r="H37" i="5"/>
  <c r="I37" i="5"/>
  <c r="J37" i="5"/>
  <c r="L37" i="5"/>
  <c r="M37" i="5"/>
  <c r="N37" i="5"/>
  <c r="O37" i="5"/>
  <c r="P37" i="5"/>
  <c r="Q37" i="5"/>
  <c r="R37" i="5"/>
  <c r="S37" i="5"/>
  <c r="T37" i="5"/>
  <c r="U37" i="5"/>
  <c r="V37" i="5"/>
  <c r="W37" i="5"/>
  <c r="Y37" i="5"/>
  <c r="Z37" i="5"/>
  <c r="AA37" i="5"/>
  <c r="AB37" i="5"/>
  <c r="AC37" i="5"/>
  <c r="B38" i="5"/>
  <c r="C38" i="5"/>
  <c r="D38" i="5"/>
  <c r="E38" i="5"/>
  <c r="F38" i="5"/>
  <c r="G38" i="5"/>
  <c r="H38" i="5"/>
  <c r="I38" i="5"/>
  <c r="J38" i="5"/>
  <c r="L38" i="5"/>
  <c r="M38" i="5"/>
  <c r="N38" i="5"/>
  <c r="O38" i="5"/>
  <c r="P38" i="5"/>
  <c r="Q38" i="5"/>
  <c r="R38" i="5"/>
  <c r="S38" i="5"/>
  <c r="T38" i="5"/>
  <c r="U38" i="5"/>
  <c r="V38" i="5"/>
  <c r="W38" i="5"/>
  <c r="Y38" i="5"/>
  <c r="Z38" i="5"/>
  <c r="AA38" i="5"/>
  <c r="AB38" i="5"/>
  <c r="AC38" i="5"/>
  <c r="B39" i="5"/>
  <c r="C39" i="5"/>
  <c r="D39" i="5"/>
  <c r="E39" i="5"/>
  <c r="F39" i="5"/>
  <c r="G39" i="5"/>
  <c r="H39" i="5"/>
  <c r="I39" i="5"/>
  <c r="J39" i="5"/>
  <c r="L39" i="5"/>
  <c r="M39" i="5"/>
  <c r="N39" i="5"/>
  <c r="O39" i="5"/>
  <c r="P39" i="5"/>
  <c r="Q39" i="5"/>
  <c r="R39" i="5"/>
  <c r="S39" i="5"/>
  <c r="T39" i="5"/>
  <c r="U39" i="5"/>
  <c r="V39" i="5"/>
  <c r="W39" i="5"/>
  <c r="Y39" i="5"/>
  <c r="Z39" i="5"/>
  <c r="AA39" i="5"/>
  <c r="AB39" i="5"/>
  <c r="AC39" i="5"/>
  <c r="B40" i="5"/>
  <c r="C40" i="5"/>
  <c r="D40" i="5"/>
  <c r="E40" i="5"/>
  <c r="F40" i="5"/>
  <c r="G40" i="5"/>
  <c r="H40" i="5"/>
  <c r="I40" i="5"/>
  <c r="J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Z40" i="5"/>
  <c r="AA40" i="5"/>
  <c r="AB40" i="5"/>
  <c r="AC40" i="5"/>
  <c r="B41" i="5"/>
  <c r="C41" i="5"/>
  <c r="D41" i="5"/>
  <c r="E41" i="5"/>
  <c r="F41" i="5"/>
  <c r="G41" i="5"/>
  <c r="H41" i="5"/>
  <c r="I41" i="5"/>
  <c r="J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Z41" i="5"/>
  <c r="AA41" i="5"/>
  <c r="AB41" i="5"/>
  <c r="AC41" i="5"/>
  <c r="B42" i="5"/>
  <c r="C42" i="5"/>
  <c r="D42" i="5"/>
  <c r="E42" i="5"/>
  <c r="F42" i="5"/>
  <c r="G42" i="5"/>
  <c r="H42" i="5"/>
  <c r="I42" i="5"/>
  <c r="J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Z42" i="5"/>
  <c r="AA42" i="5"/>
  <c r="AB42" i="5"/>
  <c r="AC42" i="5"/>
  <c r="B43" i="5"/>
  <c r="C43" i="5"/>
  <c r="D43" i="5"/>
  <c r="E43" i="5"/>
  <c r="F43" i="5"/>
  <c r="G43" i="5"/>
  <c r="H43" i="5"/>
  <c r="I43" i="5"/>
  <c r="J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Z43" i="5"/>
  <c r="AA43" i="5"/>
  <c r="AB43" i="5"/>
  <c r="AC43" i="5"/>
  <c r="B44" i="5"/>
  <c r="C44" i="5"/>
  <c r="D44" i="5"/>
  <c r="E44" i="5"/>
  <c r="F44" i="5"/>
  <c r="G44" i="5"/>
  <c r="H44" i="5"/>
  <c r="I44" i="5"/>
  <c r="J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Z44" i="5"/>
  <c r="AA44" i="5"/>
  <c r="AB44" i="5"/>
  <c r="AC44" i="5"/>
  <c r="B45" i="5"/>
  <c r="C45" i="5"/>
  <c r="D45" i="5"/>
  <c r="E45" i="5"/>
  <c r="F45" i="5"/>
  <c r="G45" i="5"/>
  <c r="H45" i="5"/>
  <c r="I45" i="5"/>
  <c r="J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Z45" i="5"/>
  <c r="AA45" i="5"/>
  <c r="AB45" i="5"/>
  <c r="AC45" i="5"/>
  <c r="B46" i="5"/>
  <c r="C46" i="5"/>
  <c r="D46" i="5"/>
  <c r="E46" i="5"/>
  <c r="F46" i="5"/>
  <c r="G46" i="5"/>
  <c r="H46" i="5"/>
  <c r="I46" i="5"/>
  <c r="J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Z46" i="5"/>
  <c r="AA46" i="5"/>
  <c r="AB46" i="5"/>
  <c r="AC46" i="5"/>
  <c r="B47" i="5"/>
  <c r="C47" i="5"/>
  <c r="D47" i="5"/>
  <c r="E47" i="5"/>
  <c r="F47" i="5"/>
  <c r="G47" i="5"/>
  <c r="H47" i="5"/>
  <c r="I47" i="5"/>
  <c r="J47" i="5"/>
  <c r="L47" i="5"/>
  <c r="M47" i="5"/>
  <c r="N47" i="5"/>
  <c r="O47" i="5"/>
  <c r="P47" i="5"/>
  <c r="Q47" i="5"/>
  <c r="R47" i="5"/>
  <c r="S47" i="5"/>
  <c r="T47" i="5"/>
  <c r="U47" i="5"/>
  <c r="V47" i="5"/>
  <c r="W47" i="5"/>
  <c r="Z47" i="5"/>
  <c r="AA47" i="5"/>
  <c r="AB47" i="5"/>
  <c r="AC47" i="5"/>
  <c r="B48" i="5"/>
  <c r="C48" i="5"/>
  <c r="D48" i="5"/>
  <c r="E48" i="5"/>
  <c r="F48" i="5"/>
  <c r="G48" i="5"/>
  <c r="H48" i="5"/>
  <c r="I48" i="5"/>
  <c r="J48" i="5"/>
  <c r="L48" i="5"/>
  <c r="M48" i="5"/>
  <c r="N48" i="5"/>
  <c r="O48" i="5"/>
  <c r="P48" i="5"/>
  <c r="Q48" i="5"/>
  <c r="R48" i="5"/>
  <c r="S48" i="5"/>
  <c r="T48" i="5"/>
  <c r="U48" i="5"/>
  <c r="V48" i="5"/>
  <c r="W48" i="5"/>
  <c r="Z48" i="5"/>
  <c r="AA48" i="5"/>
  <c r="AB48" i="5"/>
  <c r="AC48" i="5"/>
  <c r="B49" i="5"/>
  <c r="C49" i="5"/>
  <c r="D49" i="5"/>
  <c r="E49" i="5"/>
  <c r="F49" i="5"/>
  <c r="G49" i="5"/>
  <c r="H49" i="5"/>
  <c r="I49" i="5"/>
  <c r="J49" i="5"/>
  <c r="L49" i="5"/>
  <c r="M49" i="5"/>
  <c r="N49" i="5"/>
  <c r="O49" i="5"/>
  <c r="P49" i="5"/>
  <c r="Q49" i="5"/>
  <c r="R49" i="5"/>
  <c r="S49" i="5"/>
  <c r="T49" i="5"/>
  <c r="U49" i="5"/>
  <c r="V49" i="5"/>
  <c r="W49" i="5"/>
  <c r="Z49" i="5"/>
  <c r="AA49" i="5"/>
  <c r="AB49" i="5"/>
  <c r="AC49" i="5"/>
  <c r="B50" i="5"/>
  <c r="C50" i="5"/>
  <c r="D50" i="5"/>
  <c r="E50" i="5"/>
  <c r="F50" i="5"/>
  <c r="G50" i="5"/>
  <c r="H50" i="5"/>
  <c r="I50" i="5"/>
  <c r="J50" i="5"/>
  <c r="L50" i="5"/>
  <c r="M50" i="5"/>
  <c r="N50" i="5"/>
  <c r="O50" i="5"/>
  <c r="P50" i="5"/>
  <c r="Q50" i="5"/>
  <c r="R50" i="5"/>
  <c r="S50" i="5"/>
  <c r="T50" i="5"/>
  <c r="U50" i="5"/>
  <c r="V50" i="5"/>
  <c r="W50" i="5"/>
  <c r="Z50" i="5"/>
  <c r="AA50" i="5"/>
  <c r="AB50" i="5"/>
  <c r="AC50" i="5"/>
  <c r="B51" i="5"/>
  <c r="C51" i="5"/>
  <c r="D51" i="5"/>
  <c r="E51" i="5"/>
  <c r="F51" i="5"/>
  <c r="G51" i="5"/>
  <c r="H51" i="5"/>
  <c r="I51" i="5"/>
  <c r="J51" i="5"/>
  <c r="L51" i="5"/>
  <c r="M51" i="5"/>
  <c r="N51" i="5"/>
  <c r="O51" i="5"/>
  <c r="P51" i="5"/>
  <c r="Q51" i="5"/>
  <c r="R51" i="5"/>
  <c r="S51" i="5"/>
  <c r="T51" i="5"/>
  <c r="U51" i="5"/>
  <c r="V51" i="5"/>
  <c r="W51" i="5"/>
  <c r="Z51" i="5"/>
  <c r="AA51" i="5"/>
  <c r="AB51" i="5"/>
  <c r="AC51" i="5"/>
  <c r="B52" i="5"/>
  <c r="C52" i="5"/>
  <c r="D52" i="5"/>
  <c r="E52" i="5"/>
  <c r="F52" i="5"/>
  <c r="G52" i="5"/>
  <c r="H52" i="5"/>
  <c r="I52" i="5"/>
  <c r="J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Z52" i="5"/>
  <c r="AA52" i="5"/>
  <c r="AB52" i="5"/>
  <c r="AC52" i="5"/>
  <c r="B53" i="5"/>
  <c r="C53" i="5"/>
  <c r="D53" i="5"/>
  <c r="E53" i="5"/>
  <c r="F53" i="5"/>
  <c r="G53" i="5"/>
  <c r="H53" i="5"/>
  <c r="I53" i="5"/>
  <c r="J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Z53" i="5"/>
  <c r="AA53" i="5"/>
  <c r="AB53" i="5"/>
  <c r="AC53" i="5"/>
  <c r="B54" i="5"/>
  <c r="C54" i="5"/>
  <c r="D54" i="5"/>
  <c r="E54" i="5"/>
  <c r="F54" i="5"/>
  <c r="G54" i="5"/>
  <c r="H54" i="5"/>
  <c r="I54" i="5"/>
  <c r="J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Z54" i="5"/>
  <c r="AA54" i="5"/>
  <c r="AB54" i="5"/>
  <c r="AC54" i="5"/>
  <c r="B55" i="5"/>
  <c r="C55" i="5"/>
  <c r="D55" i="5"/>
  <c r="E55" i="5"/>
  <c r="F55" i="5"/>
  <c r="G55" i="5"/>
  <c r="H55" i="5"/>
  <c r="I55" i="5"/>
  <c r="J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Z55" i="5"/>
  <c r="AA55" i="5"/>
  <c r="AB55" i="5"/>
  <c r="AC55" i="5"/>
  <c r="B56" i="5"/>
  <c r="C56" i="5"/>
  <c r="D56" i="5"/>
  <c r="E56" i="5"/>
  <c r="F56" i="5"/>
  <c r="G56" i="5"/>
  <c r="H56" i="5"/>
  <c r="I56" i="5"/>
  <c r="J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Z56" i="5"/>
  <c r="AA56" i="5"/>
  <c r="AB56" i="5"/>
  <c r="AC56" i="5"/>
  <c r="B57" i="5"/>
  <c r="C57" i="5"/>
  <c r="D57" i="5"/>
  <c r="AB57" i="5" s="1"/>
  <c r="E57" i="5"/>
  <c r="F57" i="5"/>
  <c r="G57" i="5"/>
  <c r="H57" i="5"/>
  <c r="I57" i="5"/>
  <c r="J57" i="5"/>
  <c r="L57" i="5"/>
  <c r="M57" i="5"/>
  <c r="AC57" i="5" s="1"/>
  <c r="N57" i="5"/>
  <c r="O57" i="5"/>
  <c r="P57" i="5"/>
  <c r="Q57" i="5"/>
  <c r="R57" i="5"/>
  <c r="S57" i="5"/>
  <c r="T57" i="5"/>
  <c r="U57" i="5"/>
  <c r="V57" i="5"/>
  <c r="W57" i="5"/>
  <c r="X57" i="5"/>
  <c r="Z57" i="5"/>
  <c r="AA57" i="5"/>
  <c r="B58" i="5"/>
  <c r="C58" i="5"/>
  <c r="D58" i="5"/>
  <c r="E58" i="5"/>
  <c r="F58" i="5"/>
  <c r="G58" i="5"/>
  <c r="H58" i="5"/>
  <c r="I58" i="5"/>
  <c r="J58" i="5"/>
  <c r="L58" i="5"/>
  <c r="M58" i="5"/>
  <c r="N58" i="5"/>
  <c r="O58" i="5"/>
  <c r="AC58" i="5" s="1"/>
  <c r="P58" i="5"/>
  <c r="Q58" i="5"/>
  <c r="R58" i="5"/>
  <c r="S58" i="5"/>
  <c r="T58" i="5"/>
  <c r="U58" i="5"/>
  <c r="V58" i="5"/>
  <c r="W58" i="5"/>
  <c r="X58" i="5"/>
  <c r="Z58" i="5"/>
  <c r="AA58" i="5"/>
  <c r="AB58" i="5"/>
  <c r="B59" i="5"/>
  <c r="C59" i="5"/>
  <c r="D59" i="5"/>
  <c r="AB59" i="5" s="1"/>
  <c r="E59" i="5"/>
  <c r="F59" i="5"/>
  <c r="G59" i="5"/>
  <c r="H59" i="5"/>
  <c r="I59" i="5"/>
  <c r="J59" i="5"/>
  <c r="L59" i="5"/>
  <c r="M59" i="5"/>
  <c r="AC59" i="5" s="1"/>
  <c r="N59" i="5"/>
  <c r="O59" i="5"/>
  <c r="P59" i="5"/>
  <c r="Q59" i="5"/>
  <c r="R59" i="5"/>
  <c r="S59" i="5"/>
  <c r="T59" i="5"/>
  <c r="U59" i="5"/>
  <c r="V59" i="5"/>
  <c r="W59" i="5"/>
  <c r="X59" i="5"/>
  <c r="Z59" i="5"/>
  <c r="AA59" i="5"/>
  <c r="B60" i="5"/>
  <c r="C60" i="5"/>
  <c r="D60" i="5"/>
  <c r="E60" i="5"/>
  <c r="F60" i="5"/>
  <c r="G60" i="5"/>
  <c r="H60" i="5"/>
  <c r="I60" i="5"/>
  <c r="J60" i="5"/>
  <c r="L60" i="5"/>
  <c r="M60" i="5"/>
  <c r="N60" i="5"/>
  <c r="O60" i="5"/>
  <c r="AC60" i="5" s="1"/>
  <c r="P60" i="5"/>
  <c r="Q60" i="5"/>
  <c r="R60" i="5"/>
  <c r="S60" i="5"/>
  <c r="T60" i="5"/>
  <c r="U60" i="5"/>
  <c r="V60" i="5"/>
  <c r="W60" i="5"/>
  <c r="X60" i="5"/>
  <c r="Z60" i="5"/>
  <c r="AA60" i="5"/>
  <c r="AB60" i="5"/>
  <c r="B61" i="5"/>
  <c r="C61" i="5"/>
  <c r="D61" i="5"/>
  <c r="E61" i="5"/>
  <c r="F61" i="5"/>
  <c r="G61" i="5"/>
  <c r="H61" i="5"/>
  <c r="I61" i="5"/>
  <c r="J61" i="5"/>
  <c r="L61" i="5"/>
  <c r="M61" i="5"/>
  <c r="AC61" i="5" s="1"/>
  <c r="N61" i="5"/>
  <c r="O61" i="5"/>
  <c r="P61" i="5"/>
  <c r="Q61" i="5"/>
  <c r="R61" i="5"/>
  <c r="S61" i="5"/>
  <c r="T61" i="5"/>
  <c r="U61" i="5"/>
  <c r="V61" i="5"/>
  <c r="W61" i="5"/>
  <c r="X61" i="5"/>
  <c r="AB61" i="5"/>
  <c r="B62" i="5"/>
  <c r="C62" i="5"/>
  <c r="D62" i="5"/>
  <c r="E62" i="5"/>
  <c r="F62" i="5"/>
  <c r="G62" i="5"/>
  <c r="H62" i="5"/>
  <c r="I62" i="5"/>
  <c r="J62" i="5"/>
  <c r="L62" i="5"/>
  <c r="M62" i="5"/>
  <c r="AC62" i="5" s="1"/>
  <c r="N62" i="5"/>
  <c r="O62" i="5"/>
  <c r="P62" i="5"/>
  <c r="Q62" i="5"/>
  <c r="R62" i="5"/>
  <c r="S62" i="5"/>
  <c r="T62" i="5"/>
  <c r="U62" i="5"/>
  <c r="V62" i="5"/>
  <c r="W62" i="5"/>
  <c r="X62" i="5"/>
  <c r="AB62" i="5"/>
  <c r="B63" i="5"/>
  <c r="C63" i="5"/>
  <c r="D63" i="5"/>
  <c r="E63" i="5"/>
  <c r="F63" i="5"/>
  <c r="G63" i="5"/>
  <c r="H63" i="5"/>
  <c r="I63" i="5"/>
  <c r="J63" i="5"/>
  <c r="L63" i="5"/>
  <c r="M63" i="5"/>
  <c r="AC63" i="5" s="1"/>
  <c r="N63" i="5"/>
  <c r="O63" i="5"/>
  <c r="P63" i="5"/>
  <c r="Q63" i="5"/>
  <c r="R63" i="5"/>
  <c r="S63" i="5"/>
  <c r="T63" i="5"/>
  <c r="U63" i="5"/>
  <c r="V63" i="5"/>
  <c r="W63" i="5"/>
  <c r="X63" i="5"/>
  <c r="AB63" i="5"/>
  <c r="B64" i="5"/>
  <c r="C64" i="5"/>
  <c r="D64" i="5"/>
  <c r="E64" i="5"/>
  <c r="F64" i="5"/>
  <c r="G64" i="5"/>
  <c r="H64" i="5"/>
  <c r="I64" i="5"/>
  <c r="J64" i="5"/>
  <c r="L64" i="5"/>
  <c r="M64" i="5"/>
  <c r="AC64" i="5" s="1"/>
  <c r="N64" i="5"/>
  <c r="O64" i="5"/>
  <c r="P64" i="5"/>
  <c r="Q64" i="5"/>
  <c r="R64" i="5"/>
  <c r="S64" i="5"/>
  <c r="T64" i="5"/>
  <c r="U64" i="5"/>
  <c r="V64" i="5"/>
  <c r="W64" i="5"/>
  <c r="X64" i="5"/>
  <c r="AB64" i="5"/>
  <c r="B65" i="5"/>
  <c r="C65" i="5"/>
  <c r="D65" i="5"/>
  <c r="E65" i="5"/>
  <c r="F65" i="5"/>
  <c r="G65" i="5"/>
  <c r="H65" i="5"/>
  <c r="I65" i="5"/>
  <c r="J65" i="5"/>
  <c r="L65" i="5"/>
  <c r="M65" i="5"/>
  <c r="AC65" i="5" s="1"/>
  <c r="N65" i="5"/>
  <c r="O65" i="5"/>
  <c r="P65" i="5"/>
  <c r="Q65" i="5"/>
  <c r="R65" i="5"/>
  <c r="S65" i="5"/>
  <c r="T65" i="5"/>
  <c r="U65" i="5"/>
  <c r="V65" i="5"/>
  <c r="W65" i="5"/>
  <c r="X65" i="5"/>
  <c r="AB65" i="5"/>
  <c r="B66" i="5"/>
  <c r="C66" i="5"/>
  <c r="D66" i="5"/>
  <c r="E66" i="5"/>
  <c r="F66" i="5"/>
  <c r="G66" i="5"/>
  <c r="H66" i="5"/>
  <c r="I66" i="5"/>
  <c r="J66" i="5"/>
  <c r="L66" i="5"/>
  <c r="M66" i="5"/>
  <c r="AC66" i="5" s="1"/>
  <c r="N66" i="5"/>
  <c r="O66" i="5"/>
  <c r="P66" i="5"/>
  <c r="Q66" i="5"/>
  <c r="R66" i="5"/>
  <c r="S66" i="5"/>
  <c r="T66" i="5"/>
  <c r="U66" i="5"/>
  <c r="V66" i="5"/>
  <c r="W66" i="5"/>
  <c r="X66" i="5"/>
  <c r="AB66" i="5"/>
  <c r="B67" i="5"/>
  <c r="C67" i="5"/>
  <c r="D67" i="5"/>
  <c r="E67" i="5"/>
  <c r="F67" i="5"/>
  <c r="G67" i="5"/>
  <c r="H67" i="5"/>
  <c r="I67" i="5"/>
  <c r="J67" i="5"/>
  <c r="L67" i="5"/>
  <c r="M67" i="5"/>
  <c r="AC67" i="5" s="1"/>
  <c r="N67" i="5"/>
  <c r="O67" i="5"/>
  <c r="P67" i="5"/>
  <c r="Q67" i="5"/>
  <c r="R67" i="5"/>
  <c r="S67" i="5"/>
  <c r="T67" i="5"/>
  <c r="U67" i="5"/>
  <c r="V67" i="5"/>
  <c r="W67" i="5"/>
  <c r="X67" i="5"/>
  <c r="AB67" i="5"/>
  <c r="B68" i="5"/>
  <c r="C68" i="5"/>
  <c r="D68" i="5"/>
  <c r="E68" i="5"/>
  <c r="F68" i="5"/>
  <c r="G68" i="5"/>
  <c r="H68" i="5"/>
  <c r="I68" i="5"/>
  <c r="J68" i="5"/>
  <c r="L68" i="5"/>
  <c r="M68" i="5"/>
  <c r="AC68" i="5" s="1"/>
  <c r="N68" i="5"/>
  <c r="O68" i="5"/>
  <c r="P68" i="5"/>
  <c r="Q68" i="5"/>
  <c r="R68" i="5"/>
  <c r="S68" i="5"/>
  <c r="T68" i="5"/>
  <c r="U68" i="5"/>
  <c r="V68" i="5"/>
  <c r="W68" i="5"/>
  <c r="X68" i="5"/>
  <c r="AB68" i="5"/>
  <c r="B69" i="5"/>
  <c r="C69" i="5"/>
  <c r="D69" i="5"/>
  <c r="E69" i="5"/>
  <c r="F69" i="5"/>
  <c r="G69" i="5"/>
  <c r="H69" i="5"/>
  <c r="I69" i="5"/>
  <c r="J69" i="5"/>
  <c r="L69" i="5"/>
  <c r="M69" i="5"/>
  <c r="AC69" i="5" s="1"/>
  <c r="N69" i="5"/>
  <c r="O69" i="5"/>
  <c r="P69" i="5"/>
  <c r="Q69" i="5"/>
  <c r="R69" i="5"/>
  <c r="S69" i="5"/>
  <c r="T69" i="5"/>
  <c r="U69" i="5"/>
  <c r="V69" i="5"/>
  <c r="W69" i="5"/>
  <c r="X69" i="5"/>
  <c r="AB69" i="5"/>
  <c r="B70" i="5"/>
  <c r="C70" i="5"/>
  <c r="D70" i="5"/>
  <c r="E70" i="5"/>
  <c r="F70" i="5"/>
  <c r="G70" i="5"/>
  <c r="H70" i="5"/>
  <c r="I70" i="5"/>
  <c r="J70" i="5"/>
  <c r="L70" i="5"/>
  <c r="M70" i="5"/>
  <c r="AC70" i="5" s="1"/>
  <c r="N70" i="5"/>
  <c r="O70" i="5"/>
  <c r="P70" i="5"/>
  <c r="Q70" i="5"/>
  <c r="R70" i="5"/>
  <c r="S70" i="5"/>
  <c r="T70" i="5"/>
  <c r="U70" i="5"/>
  <c r="V70" i="5"/>
  <c r="W70" i="5"/>
  <c r="X70" i="5"/>
  <c r="AB70" i="5"/>
  <c r="B71" i="5"/>
  <c r="C71" i="5"/>
  <c r="D71" i="5"/>
  <c r="E71" i="5"/>
  <c r="F71" i="5"/>
  <c r="G71" i="5"/>
  <c r="H71" i="5"/>
  <c r="I71" i="5"/>
  <c r="J71" i="5"/>
  <c r="L71" i="5"/>
  <c r="M71" i="5"/>
  <c r="AC71" i="5" s="1"/>
  <c r="N71" i="5"/>
  <c r="O71" i="5"/>
  <c r="P71" i="5"/>
  <c r="Q71" i="5"/>
  <c r="R71" i="5"/>
  <c r="S71" i="5"/>
  <c r="T71" i="5"/>
  <c r="U71" i="5"/>
  <c r="V71" i="5"/>
  <c r="W71" i="5"/>
  <c r="X71" i="5"/>
  <c r="AB71" i="5"/>
  <c r="B72" i="5"/>
  <c r="C72" i="5"/>
  <c r="D72" i="5"/>
  <c r="E72" i="5"/>
  <c r="F72" i="5"/>
  <c r="G72" i="5"/>
  <c r="H72" i="5"/>
  <c r="I72" i="5"/>
  <c r="J72" i="5"/>
  <c r="L72" i="5"/>
  <c r="M72" i="5"/>
  <c r="AC72" i="5" s="1"/>
  <c r="N72" i="5"/>
  <c r="O72" i="5"/>
  <c r="P72" i="5"/>
  <c r="Q72" i="5"/>
  <c r="R72" i="5"/>
  <c r="S72" i="5"/>
  <c r="T72" i="5"/>
  <c r="U72" i="5"/>
  <c r="V72" i="5"/>
  <c r="W72" i="5"/>
  <c r="X72" i="5"/>
  <c r="AB72" i="5"/>
  <c r="B73" i="5"/>
  <c r="C73" i="5"/>
  <c r="AB73" i="5" s="1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B74" i="5"/>
  <c r="C74" i="5"/>
  <c r="AB74" i="5" s="1"/>
  <c r="D74" i="5"/>
  <c r="E74" i="5"/>
  <c r="F74" i="5"/>
  <c r="G74" i="5"/>
  <c r="H74" i="5"/>
  <c r="I74" i="5"/>
  <c r="J74" i="5"/>
  <c r="K74" i="5"/>
  <c r="L74" i="5"/>
  <c r="M74" i="5"/>
  <c r="N74" i="5"/>
  <c r="O74" i="5"/>
  <c r="AC74" i="5" s="1"/>
  <c r="P74" i="5"/>
  <c r="Q74" i="5"/>
  <c r="R74" i="5"/>
  <c r="S74" i="5"/>
  <c r="T74" i="5"/>
  <c r="U74" i="5"/>
  <c r="V74" i="5"/>
  <c r="W74" i="5"/>
  <c r="X74" i="5"/>
  <c r="B75" i="5"/>
  <c r="C75" i="5"/>
  <c r="AB75" i="5" s="1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AC76" i="5" s="1"/>
  <c r="O76" i="5"/>
  <c r="P76" i="5"/>
  <c r="Q76" i="5"/>
  <c r="R76" i="5"/>
  <c r="S76" i="5"/>
  <c r="T76" i="5"/>
  <c r="U76" i="5"/>
  <c r="V76" i="5"/>
  <c r="W76" i="5"/>
  <c r="X76" i="5"/>
  <c r="B77" i="5"/>
  <c r="C77" i="5"/>
  <c r="AB77" i="5" s="1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AC78" i="5" s="1"/>
  <c r="O78" i="5"/>
  <c r="P78" i="5"/>
  <c r="Q78" i="5"/>
  <c r="R78" i="5"/>
  <c r="S78" i="5"/>
  <c r="T78" i="5"/>
  <c r="U78" i="5"/>
  <c r="V78" i="5"/>
  <c r="W78" i="5"/>
  <c r="X78" i="5"/>
  <c r="B79" i="5"/>
  <c r="C79" i="5"/>
  <c r="AB79" i="5" s="1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AC80" i="5" s="1"/>
  <c r="P80" i="5"/>
  <c r="Q80" i="5"/>
  <c r="R80" i="5"/>
  <c r="S80" i="5"/>
  <c r="T80" i="5"/>
  <c r="U80" i="5"/>
  <c r="V80" i="5"/>
  <c r="W80" i="5"/>
  <c r="X80" i="5"/>
  <c r="B81" i="5"/>
  <c r="C81" i="5"/>
  <c r="AB81" i="5" s="1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B82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AC82" i="5" s="1"/>
  <c r="P82" i="5"/>
  <c r="Q82" i="5"/>
  <c r="R82" i="5"/>
  <c r="S82" i="5"/>
  <c r="T82" i="5"/>
  <c r="U82" i="5"/>
  <c r="V82" i="5"/>
  <c r="W82" i="5"/>
  <c r="X82" i="5"/>
  <c r="B83" i="5"/>
  <c r="C83" i="5"/>
  <c r="AB83" i="5" s="1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B84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AC84" i="5" s="1"/>
  <c r="P84" i="5"/>
  <c r="Q84" i="5"/>
  <c r="R84" i="5"/>
  <c r="S84" i="5"/>
  <c r="T84" i="5"/>
  <c r="U84" i="5"/>
  <c r="V84" i="5"/>
  <c r="W84" i="5"/>
  <c r="X84" i="5"/>
  <c r="B85" i="5"/>
  <c r="C85" i="5"/>
  <c r="AB85" i="5" s="1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B86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AC86" i="5" s="1"/>
  <c r="P86" i="5"/>
  <c r="Q86" i="5"/>
  <c r="R86" i="5"/>
  <c r="S86" i="5"/>
  <c r="T86" i="5"/>
  <c r="U86" i="5"/>
  <c r="V86" i="5"/>
  <c r="W86" i="5"/>
  <c r="X86" i="5"/>
  <c r="B87" i="5"/>
  <c r="C87" i="5"/>
  <c r="AB87" i="5" s="1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B88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AC88" i="5" s="1"/>
  <c r="P88" i="5"/>
  <c r="Q88" i="5"/>
  <c r="R88" i="5"/>
  <c r="S88" i="5"/>
  <c r="T88" i="5"/>
  <c r="U88" i="5"/>
  <c r="V88" i="5"/>
  <c r="W88" i="5"/>
  <c r="X88" i="5"/>
  <c r="B89" i="5"/>
  <c r="C89" i="5"/>
  <c r="AB89" i="5" s="1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B90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AC90" i="5" s="1"/>
  <c r="P90" i="5"/>
  <c r="Q90" i="5"/>
  <c r="R90" i="5"/>
  <c r="S90" i="5"/>
  <c r="T90" i="5"/>
  <c r="U90" i="5"/>
  <c r="V90" i="5"/>
  <c r="W90" i="5"/>
  <c r="X90" i="5"/>
  <c r="B91" i="5"/>
  <c r="C91" i="5"/>
  <c r="AB91" i="5" s="1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B92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AC92" i="5" s="1"/>
  <c r="P92" i="5"/>
  <c r="Q92" i="5"/>
  <c r="R92" i="5"/>
  <c r="S92" i="5"/>
  <c r="T92" i="5"/>
  <c r="U92" i="5"/>
  <c r="V92" i="5"/>
  <c r="W92" i="5"/>
  <c r="X92" i="5"/>
  <c r="B93" i="5"/>
  <c r="C93" i="5"/>
  <c r="AB93" i="5" s="1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B94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AC94" i="5" s="1"/>
  <c r="P94" i="5"/>
  <c r="Q94" i="5"/>
  <c r="R94" i="5"/>
  <c r="S94" i="5"/>
  <c r="T94" i="5"/>
  <c r="U94" i="5"/>
  <c r="V94" i="5"/>
  <c r="W94" i="5"/>
  <c r="X94" i="5"/>
  <c r="B95" i="5"/>
  <c r="C95" i="5"/>
  <c r="AB95" i="5" s="1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B96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AC96" i="5" s="1"/>
  <c r="P96" i="5"/>
  <c r="Q96" i="5"/>
  <c r="R96" i="5"/>
  <c r="S96" i="5"/>
  <c r="T96" i="5"/>
  <c r="U96" i="5"/>
  <c r="V96" i="5"/>
  <c r="W96" i="5"/>
  <c r="X96" i="5"/>
  <c r="B97" i="5"/>
  <c r="C97" i="5"/>
  <c r="AB97" i="5" s="1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B98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AC98" i="5" s="1"/>
  <c r="P98" i="5"/>
  <c r="Q98" i="5"/>
  <c r="R98" i="5"/>
  <c r="S98" i="5"/>
  <c r="T98" i="5"/>
  <c r="U98" i="5"/>
  <c r="V98" i="5"/>
  <c r="W98" i="5"/>
  <c r="X98" i="5"/>
  <c r="B99" i="5"/>
  <c r="C99" i="5"/>
  <c r="AB99" i="5" s="1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B100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AC100" i="5" s="1"/>
  <c r="P100" i="5"/>
  <c r="Q100" i="5"/>
  <c r="R100" i="5"/>
  <c r="S100" i="5"/>
  <c r="T100" i="5"/>
  <c r="U100" i="5"/>
  <c r="V100" i="5"/>
  <c r="W100" i="5"/>
  <c r="X100" i="5"/>
  <c r="B101" i="5"/>
  <c r="C101" i="5"/>
  <c r="AB101" i="5" s="1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B102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AC102" i="5" s="1"/>
  <c r="P102" i="5"/>
  <c r="Q102" i="5"/>
  <c r="R102" i="5"/>
  <c r="S102" i="5"/>
  <c r="T102" i="5"/>
  <c r="U102" i="5"/>
  <c r="V102" i="5"/>
  <c r="W102" i="5"/>
  <c r="X102" i="5"/>
  <c r="B103" i="5"/>
  <c r="C103" i="5"/>
  <c r="AB103" i="5" s="1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B104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AC104" i="5" s="1"/>
  <c r="P104" i="5"/>
  <c r="Q104" i="5"/>
  <c r="R104" i="5"/>
  <c r="S104" i="5"/>
  <c r="T104" i="5"/>
  <c r="U104" i="5"/>
  <c r="V104" i="5"/>
  <c r="W104" i="5"/>
  <c r="X104" i="5"/>
  <c r="B105" i="5"/>
  <c r="C105" i="5"/>
  <c r="AB105" i="5" s="1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B106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AC106" i="5" s="1"/>
  <c r="P106" i="5"/>
  <c r="Q106" i="5"/>
  <c r="R106" i="5"/>
  <c r="S106" i="5"/>
  <c r="T106" i="5"/>
  <c r="U106" i="5"/>
  <c r="V106" i="5"/>
  <c r="W106" i="5"/>
  <c r="X106" i="5"/>
  <c r="B107" i="5"/>
  <c r="C107" i="5"/>
  <c r="D107" i="5"/>
  <c r="AB107" i="5" s="1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B108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AC108" i="5" s="1"/>
  <c r="P108" i="5"/>
  <c r="Q108" i="5"/>
  <c r="R108" i="5"/>
  <c r="S108" i="5"/>
  <c r="T108" i="5"/>
  <c r="U108" i="5"/>
  <c r="V108" i="5"/>
  <c r="W108" i="5"/>
  <c r="X108" i="5"/>
  <c r="B109" i="5"/>
  <c r="C109" i="5"/>
  <c r="D109" i="5"/>
  <c r="AB109" i="5" s="1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B110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AC110" i="5" s="1"/>
  <c r="P110" i="5"/>
  <c r="Q110" i="5"/>
  <c r="R110" i="5"/>
  <c r="S110" i="5"/>
  <c r="T110" i="5"/>
  <c r="U110" i="5"/>
  <c r="V110" i="5"/>
  <c r="W110" i="5"/>
  <c r="X110" i="5"/>
  <c r="B111" i="5"/>
  <c r="C111" i="5"/>
  <c r="D111" i="5"/>
  <c r="AB111" i="5" s="1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B112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AC112" i="5" s="1"/>
  <c r="Q112" i="5"/>
  <c r="R112" i="5"/>
  <c r="S112" i="5"/>
  <c r="T112" i="5"/>
  <c r="U112" i="5"/>
  <c r="V112" i="5"/>
  <c r="W112" i="5"/>
  <c r="X112" i="5"/>
  <c r="B113" i="5"/>
  <c r="C113" i="5"/>
  <c r="D113" i="5"/>
  <c r="AB113" i="5" s="1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B114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AC114" i="5" s="1"/>
  <c r="Q114" i="5"/>
  <c r="R114" i="5"/>
  <c r="S114" i="5"/>
  <c r="T114" i="5"/>
  <c r="U114" i="5"/>
  <c r="V114" i="5"/>
  <c r="W114" i="5"/>
  <c r="X114" i="5"/>
  <c r="B115" i="5"/>
  <c r="C115" i="5"/>
  <c r="D115" i="5"/>
  <c r="AB115" i="5" s="1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B116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AC116" i="5" s="1"/>
  <c r="Q116" i="5"/>
  <c r="R116" i="5"/>
  <c r="S116" i="5"/>
  <c r="T116" i="5"/>
  <c r="U116" i="5"/>
  <c r="V116" i="5"/>
  <c r="W116" i="5"/>
  <c r="X116" i="5"/>
  <c r="B117" i="5"/>
  <c r="C117" i="5"/>
  <c r="D117" i="5"/>
  <c r="AB117" i="5" s="1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B118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AC118" i="5" s="1"/>
  <c r="Q118" i="5"/>
  <c r="R118" i="5"/>
  <c r="S118" i="5"/>
  <c r="T118" i="5"/>
  <c r="U118" i="5"/>
  <c r="V118" i="5"/>
  <c r="W118" i="5"/>
  <c r="X118" i="5"/>
  <c r="B119" i="5"/>
  <c r="C119" i="5"/>
  <c r="D119" i="5"/>
  <c r="AB119" i="5" s="1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B120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AC120" i="5" s="1"/>
  <c r="Q120" i="5"/>
  <c r="R120" i="5"/>
  <c r="S120" i="5"/>
  <c r="T120" i="5"/>
  <c r="U120" i="5"/>
  <c r="V120" i="5"/>
  <c r="W120" i="5"/>
  <c r="X120" i="5"/>
  <c r="B121" i="5"/>
  <c r="C121" i="5"/>
  <c r="D121" i="5"/>
  <c r="AB121" i="5" s="1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B122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AC122" i="5" s="1"/>
  <c r="Q122" i="5"/>
  <c r="R122" i="5"/>
  <c r="S122" i="5"/>
  <c r="T122" i="5"/>
  <c r="U122" i="5"/>
  <c r="V122" i="5"/>
  <c r="W122" i="5"/>
  <c r="X122" i="5"/>
  <c r="B123" i="5"/>
  <c r="C123" i="5"/>
  <c r="D123" i="5"/>
  <c r="AB123" i="5" s="1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B124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AC124" i="5" s="1"/>
  <c r="Q124" i="5"/>
  <c r="R124" i="5"/>
  <c r="S124" i="5"/>
  <c r="T124" i="5"/>
  <c r="U124" i="5"/>
  <c r="V124" i="5"/>
  <c r="W124" i="5"/>
  <c r="X124" i="5"/>
  <c r="B125" i="5"/>
  <c r="C125" i="5"/>
  <c r="D125" i="5"/>
  <c r="AB125" i="5" s="1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B126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AC126" i="5" s="1"/>
  <c r="Q126" i="5"/>
  <c r="R126" i="5"/>
  <c r="S126" i="5"/>
  <c r="T126" i="5"/>
  <c r="U126" i="5"/>
  <c r="V126" i="5"/>
  <c r="W126" i="5"/>
  <c r="X126" i="5"/>
  <c r="B127" i="5"/>
  <c r="C127" i="5"/>
  <c r="D127" i="5"/>
  <c r="AB127" i="5" s="1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B128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AC128" i="5" s="1"/>
  <c r="Q128" i="5"/>
  <c r="R128" i="5"/>
  <c r="S128" i="5"/>
  <c r="T128" i="5"/>
  <c r="U128" i="5"/>
  <c r="V128" i="5"/>
  <c r="W128" i="5"/>
  <c r="X128" i="5"/>
  <c r="B129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AB129" i="5"/>
  <c r="B130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AC130" i="5"/>
  <c r="B131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AB131" i="5"/>
  <c r="B132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AC132" i="5"/>
  <c r="B133" i="5"/>
  <c r="C133" i="5"/>
  <c r="D133" i="5"/>
  <c r="E133" i="5"/>
  <c r="F133" i="5"/>
  <c r="G133" i="5"/>
  <c r="H133" i="5"/>
  <c r="I133" i="5"/>
  <c r="J133" i="5"/>
  <c r="K133" i="5"/>
  <c r="L133" i="5"/>
  <c r="M133" i="5"/>
  <c r="AC133" i="5" s="1"/>
  <c r="N133" i="5"/>
  <c r="O133" i="5"/>
  <c r="P133" i="5"/>
  <c r="Q133" i="5"/>
  <c r="R133" i="5"/>
  <c r="S133" i="5"/>
  <c r="T133" i="5"/>
  <c r="U133" i="5"/>
  <c r="V133" i="5"/>
  <c r="W133" i="5"/>
  <c r="X133" i="5"/>
  <c r="AB133" i="5"/>
  <c r="B134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AC134" i="5"/>
  <c r="B135" i="5"/>
  <c r="C135" i="5"/>
  <c r="D135" i="5"/>
  <c r="E135" i="5"/>
  <c r="F135" i="5"/>
  <c r="G135" i="5"/>
  <c r="H135" i="5"/>
  <c r="I135" i="5"/>
  <c r="J135" i="5"/>
  <c r="K135" i="5"/>
  <c r="L135" i="5"/>
  <c r="M135" i="5"/>
  <c r="AC135" i="5" s="1"/>
  <c r="N135" i="5"/>
  <c r="O135" i="5"/>
  <c r="P135" i="5"/>
  <c r="Q135" i="5"/>
  <c r="R135" i="5"/>
  <c r="S135" i="5"/>
  <c r="T135" i="5"/>
  <c r="U135" i="5"/>
  <c r="V135" i="5"/>
  <c r="W135" i="5"/>
  <c r="X135" i="5"/>
  <c r="AB135" i="5"/>
  <c r="B136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AC136" i="5"/>
  <c r="B137" i="5"/>
  <c r="C137" i="5"/>
  <c r="D137" i="5"/>
  <c r="E137" i="5"/>
  <c r="F137" i="5"/>
  <c r="G137" i="5"/>
  <c r="H137" i="5"/>
  <c r="I137" i="5"/>
  <c r="J137" i="5"/>
  <c r="K137" i="5"/>
  <c r="L137" i="5"/>
  <c r="M137" i="5"/>
  <c r="AC137" i="5" s="1"/>
  <c r="N137" i="5"/>
  <c r="O137" i="5"/>
  <c r="P137" i="5"/>
  <c r="Q137" i="5"/>
  <c r="R137" i="5"/>
  <c r="S137" i="5"/>
  <c r="T137" i="5"/>
  <c r="U137" i="5"/>
  <c r="V137" i="5"/>
  <c r="W137" i="5"/>
  <c r="X137" i="5"/>
  <c r="AB137" i="5"/>
  <c r="B138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AC138" i="5"/>
  <c r="B139" i="5"/>
  <c r="C139" i="5"/>
  <c r="D139" i="5"/>
  <c r="E139" i="5"/>
  <c r="F139" i="5"/>
  <c r="G139" i="5"/>
  <c r="H139" i="5"/>
  <c r="I139" i="5"/>
  <c r="J139" i="5"/>
  <c r="K139" i="5"/>
  <c r="L139" i="5"/>
  <c r="M139" i="5"/>
  <c r="AC139" i="5" s="1"/>
  <c r="N139" i="5"/>
  <c r="O139" i="5"/>
  <c r="P139" i="5"/>
  <c r="Q139" i="5"/>
  <c r="R139" i="5"/>
  <c r="S139" i="5"/>
  <c r="T139" i="5"/>
  <c r="U139" i="5"/>
  <c r="V139" i="5"/>
  <c r="W139" i="5"/>
  <c r="X139" i="5"/>
  <c r="AB139" i="5"/>
  <c r="B140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AC140" i="5"/>
  <c r="B141" i="5"/>
  <c r="C141" i="5"/>
  <c r="D141" i="5"/>
  <c r="E141" i="5"/>
  <c r="F141" i="5"/>
  <c r="G141" i="5"/>
  <c r="H141" i="5"/>
  <c r="I141" i="5"/>
  <c r="J141" i="5"/>
  <c r="K141" i="5"/>
  <c r="L141" i="5"/>
  <c r="M141" i="5"/>
  <c r="AC141" i="5" s="1"/>
  <c r="N141" i="5"/>
  <c r="O141" i="5"/>
  <c r="P141" i="5"/>
  <c r="Q141" i="5"/>
  <c r="R141" i="5"/>
  <c r="S141" i="5"/>
  <c r="T141" i="5"/>
  <c r="U141" i="5"/>
  <c r="V141" i="5"/>
  <c r="W141" i="5"/>
  <c r="X141" i="5"/>
  <c r="AB141" i="5"/>
  <c r="B142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AC142" i="5"/>
  <c r="B143" i="5"/>
  <c r="C143" i="5"/>
  <c r="D143" i="5"/>
  <c r="E143" i="5"/>
  <c r="F143" i="5"/>
  <c r="G143" i="5"/>
  <c r="H143" i="5"/>
  <c r="I143" i="5"/>
  <c r="J143" i="5"/>
  <c r="K143" i="5"/>
  <c r="L143" i="5"/>
  <c r="M143" i="5"/>
  <c r="AC143" i="5" s="1"/>
  <c r="N143" i="5"/>
  <c r="O143" i="5"/>
  <c r="P143" i="5"/>
  <c r="Q143" i="5"/>
  <c r="R143" i="5"/>
  <c r="S143" i="5"/>
  <c r="T143" i="5"/>
  <c r="U143" i="5"/>
  <c r="V143" i="5"/>
  <c r="W143" i="5"/>
  <c r="X143" i="5"/>
  <c r="AB143" i="5"/>
  <c r="B144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AC144" i="5"/>
  <c r="B145" i="5"/>
  <c r="C145" i="5"/>
  <c r="D145" i="5"/>
  <c r="E145" i="5"/>
  <c r="F145" i="5"/>
  <c r="G145" i="5"/>
  <c r="H145" i="5"/>
  <c r="I145" i="5"/>
  <c r="J145" i="5"/>
  <c r="K145" i="5"/>
  <c r="L145" i="5"/>
  <c r="M145" i="5"/>
  <c r="AC145" i="5" s="1"/>
  <c r="N145" i="5"/>
  <c r="O145" i="5"/>
  <c r="P145" i="5"/>
  <c r="Q145" i="5"/>
  <c r="R145" i="5"/>
  <c r="S145" i="5"/>
  <c r="T145" i="5"/>
  <c r="U145" i="5"/>
  <c r="V145" i="5"/>
  <c r="W145" i="5"/>
  <c r="X145" i="5"/>
  <c r="AB145" i="5"/>
  <c r="B146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AC146" i="5"/>
  <c r="B147" i="5"/>
  <c r="C147" i="5"/>
  <c r="D147" i="5"/>
  <c r="E147" i="5"/>
  <c r="F147" i="5"/>
  <c r="G147" i="5"/>
  <c r="H147" i="5"/>
  <c r="I147" i="5"/>
  <c r="J147" i="5"/>
  <c r="K147" i="5"/>
  <c r="L147" i="5"/>
  <c r="M147" i="5"/>
  <c r="AC147" i="5" s="1"/>
  <c r="N147" i="5"/>
  <c r="O147" i="5"/>
  <c r="P147" i="5"/>
  <c r="Q147" i="5"/>
  <c r="R147" i="5"/>
  <c r="S147" i="5"/>
  <c r="T147" i="5"/>
  <c r="U147" i="5"/>
  <c r="V147" i="5"/>
  <c r="W147" i="5"/>
  <c r="X147" i="5"/>
  <c r="AB147" i="5"/>
  <c r="B148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AC148" i="5"/>
  <c r="B149" i="5"/>
  <c r="C149" i="5"/>
  <c r="D149" i="5"/>
  <c r="E149" i="5"/>
  <c r="F149" i="5"/>
  <c r="G149" i="5"/>
  <c r="H149" i="5"/>
  <c r="I149" i="5"/>
  <c r="J149" i="5"/>
  <c r="K149" i="5"/>
  <c r="L149" i="5"/>
  <c r="M149" i="5"/>
  <c r="AC149" i="5" s="1"/>
  <c r="N149" i="5"/>
  <c r="O149" i="5"/>
  <c r="P149" i="5"/>
  <c r="Q149" i="5"/>
  <c r="R149" i="5"/>
  <c r="S149" i="5"/>
  <c r="T149" i="5"/>
  <c r="U149" i="5"/>
  <c r="V149" i="5"/>
  <c r="W149" i="5"/>
  <c r="X149" i="5"/>
  <c r="AB149" i="5"/>
  <c r="B150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AC150" i="5"/>
  <c r="B151" i="5"/>
  <c r="C151" i="5"/>
  <c r="D151" i="5"/>
  <c r="E151" i="5"/>
  <c r="F151" i="5"/>
  <c r="G151" i="5"/>
  <c r="H151" i="5"/>
  <c r="I151" i="5"/>
  <c r="J151" i="5"/>
  <c r="K151" i="5"/>
  <c r="L151" i="5"/>
  <c r="M151" i="5"/>
  <c r="AC151" i="5" s="1"/>
  <c r="N151" i="5"/>
  <c r="O151" i="5"/>
  <c r="P151" i="5"/>
  <c r="Q151" i="5"/>
  <c r="R151" i="5"/>
  <c r="S151" i="5"/>
  <c r="T151" i="5"/>
  <c r="U151" i="5"/>
  <c r="V151" i="5"/>
  <c r="W151" i="5"/>
  <c r="X151" i="5"/>
  <c r="AB151" i="5"/>
  <c r="B152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AC152" i="5"/>
  <c r="B153" i="5"/>
  <c r="C153" i="5"/>
  <c r="D153" i="5"/>
  <c r="E153" i="5"/>
  <c r="F153" i="5"/>
  <c r="G153" i="5"/>
  <c r="H153" i="5"/>
  <c r="I153" i="5"/>
  <c r="J153" i="5"/>
  <c r="K153" i="5"/>
  <c r="L153" i="5"/>
  <c r="M153" i="5"/>
  <c r="AC153" i="5" s="1"/>
  <c r="N153" i="5"/>
  <c r="O153" i="5"/>
  <c r="P153" i="5"/>
  <c r="Q153" i="5"/>
  <c r="R153" i="5"/>
  <c r="S153" i="5"/>
  <c r="T153" i="5"/>
  <c r="U153" i="5"/>
  <c r="V153" i="5"/>
  <c r="W153" i="5"/>
  <c r="X153" i="5"/>
  <c r="AB153" i="5"/>
  <c r="B154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AC154" i="5"/>
  <c r="B155" i="5"/>
  <c r="C155" i="5"/>
  <c r="D155" i="5"/>
  <c r="E155" i="5"/>
  <c r="F155" i="5"/>
  <c r="G155" i="5"/>
  <c r="H155" i="5"/>
  <c r="I155" i="5"/>
  <c r="J155" i="5"/>
  <c r="K155" i="5"/>
  <c r="L155" i="5"/>
  <c r="M155" i="5"/>
  <c r="AC155" i="5" s="1"/>
  <c r="N155" i="5"/>
  <c r="O155" i="5"/>
  <c r="P155" i="5"/>
  <c r="Q155" i="5"/>
  <c r="R155" i="5"/>
  <c r="S155" i="5"/>
  <c r="T155" i="5"/>
  <c r="U155" i="5"/>
  <c r="V155" i="5"/>
  <c r="W155" i="5"/>
  <c r="X155" i="5"/>
  <c r="AB155" i="5"/>
  <c r="B156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AC156" i="5"/>
  <c r="B157" i="5"/>
  <c r="C157" i="5"/>
  <c r="D157" i="5"/>
  <c r="E157" i="5"/>
  <c r="F157" i="5"/>
  <c r="G157" i="5"/>
  <c r="H157" i="5"/>
  <c r="I157" i="5"/>
  <c r="J157" i="5"/>
  <c r="K157" i="5"/>
  <c r="L157" i="5"/>
  <c r="M157" i="5"/>
  <c r="AC157" i="5" s="1"/>
  <c r="N157" i="5"/>
  <c r="O157" i="5"/>
  <c r="P157" i="5"/>
  <c r="Q157" i="5"/>
  <c r="R157" i="5"/>
  <c r="S157" i="5"/>
  <c r="T157" i="5"/>
  <c r="U157" i="5"/>
  <c r="V157" i="5"/>
  <c r="W157" i="5"/>
  <c r="X157" i="5"/>
  <c r="AB157" i="5"/>
  <c r="B158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AC158" i="5"/>
  <c r="B159" i="5"/>
  <c r="C159" i="5"/>
  <c r="D159" i="5"/>
  <c r="E159" i="5"/>
  <c r="F159" i="5"/>
  <c r="G159" i="5"/>
  <c r="H159" i="5"/>
  <c r="I159" i="5"/>
  <c r="J159" i="5"/>
  <c r="K159" i="5"/>
  <c r="L159" i="5"/>
  <c r="M159" i="5"/>
  <c r="AC159" i="5" s="1"/>
  <c r="N159" i="5"/>
  <c r="O159" i="5"/>
  <c r="P159" i="5"/>
  <c r="Q159" i="5"/>
  <c r="R159" i="5"/>
  <c r="S159" i="5"/>
  <c r="T159" i="5"/>
  <c r="U159" i="5"/>
  <c r="V159" i="5"/>
  <c r="W159" i="5"/>
  <c r="X159" i="5"/>
  <c r="AB159" i="5"/>
  <c r="B160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AC160" i="5"/>
  <c r="B161" i="5"/>
  <c r="C161" i="5"/>
  <c r="D161" i="5"/>
  <c r="E161" i="5"/>
  <c r="F161" i="5"/>
  <c r="G161" i="5"/>
  <c r="H161" i="5"/>
  <c r="I161" i="5"/>
  <c r="J161" i="5"/>
  <c r="K161" i="5"/>
  <c r="L161" i="5"/>
  <c r="M161" i="5"/>
  <c r="AC161" i="5" s="1"/>
  <c r="N161" i="5"/>
  <c r="O161" i="5"/>
  <c r="P161" i="5"/>
  <c r="Q161" i="5"/>
  <c r="R161" i="5"/>
  <c r="S161" i="5"/>
  <c r="T161" i="5"/>
  <c r="U161" i="5"/>
  <c r="V161" i="5"/>
  <c r="W161" i="5"/>
  <c r="X161" i="5"/>
  <c r="AB161" i="5"/>
  <c r="B162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AC162" i="5"/>
  <c r="B163" i="5"/>
  <c r="C163" i="5"/>
  <c r="D163" i="5"/>
  <c r="E163" i="5"/>
  <c r="F163" i="5"/>
  <c r="G163" i="5"/>
  <c r="H163" i="5"/>
  <c r="I163" i="5"/>
  <c r="J163" i="5"/>
  <c r="K163" i="5"/>
  <c r="L163" i="5"/>
  <c r="M163" i="5"/>
  <c r="AC163" i="5" s="1"/>
  <c r="N163" i="5"/>
  <c r="O163" i="5"/>
  <c r="P163" i="5"/>
  <c r="Q163" i="5"/>
  <c r="R163" i="5"/>
  <c r="S163" i="5"/>
  <c r="T163" i="5"/>
  <c r="U163" i="5"/>
  <c r="V163" i="5"/>
  <c r="W163" i="5"/>
  <c r="X163" i="5"/>
  <c r="AB163" i="5"/>
  <c r="B164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AC164" i="5"/>
  <c r="B165" i="5"/>
  <c r="C165" i="5"/>
  <c r="D165" i="5"/>
  <c r="E165" i="5"/>
  <c r="F165" i="5"/>
  <c r="G165" i="5"/>
  <c r="H165" i="5"/>
  <c r="I165" i="5"/>
  <c r="J165" i="5"/>
  <c r="K165" i="5"/>
  <c r="L165" i="5"/>
  <c r="M165" i="5"/>
  <c r="AC165" i="5" s="1"/>
  <c r="N165" i="5"/>
  <c r="O165" i="5"/>
  <c r="P165" i="5"/>
  <c r="Q165" i="5"/>
  <c r="R165" i="5"/>
  <c r="S165" i="5"/>
  <c r="T165" i="5"/>
  <c r="U165" i="5"/>
  <c r="V165" i="5"/>
  <c r="W165" i="5"/>
  <c r="X165" i="5"/>
  <c r="AB165" i="5"/>
  <c r="B166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AC166" i="5"/>
  <c r="B167" i="5"/>
  <c r="C167" i="5"/>
  <c r="D167" i="5"/>
  <c r="E167" i="5"/>
  <c r="F167" i="5"/>
  <c r="G167" i="5"/>
  <c r="H167" i="5"/>
  <c r="I167" i="5"/>
  <c r="J167" i="5"/>
  <c r="K167" i="5"/>
  <c r="L167" i="5"/>
  <c r="M167" i="5"/>
  <c r="AC167" i="5" s="1"/>
  <c r="N167" i="5"/>
  <c r="O167" i="5"/>
  <c r="P167" i="5"/>
  <c r="Q167" i="5"/>
  <c r="R167" i="5"/>
  <c r="S167" i="5"/>
  <c r="T167" i="5"/>
  <c r="U167" i="5"/>
  <c r="V167" i="5"/>
  <c r="W167" i="5"/>
  <c r="X167" i="5"/>
  <c r="AB167" i="5"/>
  <c r="B168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AC168" i="5"/>
  <c r="B169" i="5"/>
  <c r="C169" i="5"/>
  <c r="D169" i="5"/>
  <c r="E169" i="5"/>
  <c r="F169" i="5"/>
  <c r="G169" i="5"/>
  <c r="H169" i="5"/>
  <c r="I169" i="5"/>
  <c r="J169" i="5"/>
  <c r="K169" i="5"/>
  <c r="L169" i="5"/>
  <c r="M169" i="5"/>
  <c r="AC169" i="5" s="1"/>
  <c r="N169" i="5"/>
  <c r="O169" i="5"/>
  <c r="P169" i="5"/>
  <c r="Q169" i="5"/>
  <c r="R169" i="5"/>
  <c r="S169" i="5"/>
  <c r="T169" i="5"/>
  <c r="U169" i="5"/>
  <c r="V169" i="5"/>
  <c r="W169" i="5"/>
  <c r="X169" i="5"/>
  <c r="AB169" i="5"/>
  <c r="B170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AC170" i="5"/>
  <c r="B171" i="5"/>
  <c r="C171" i="5"/>
  <c r="D171" i="5"/>
  <c r="E171" i="5"/>
  <c r="F171" i="5"/>
  <c r="G171" i="5"/>
  <c r="H171" i="5"/>
  <c r="I171" i="5"/>
  <c r="J171" i="5"/>
  <c r="K171" i="5"/>
  <c r="L171" i="5"/>
  <c r="M171" i="5"/>
  <c r="AC171" i="5" s="1"/>
  <c r="N171" i="5"/>
  <c r="O171" i="5"/>
  <c r="P171" i="5"/>
  <c r="Q171" i="5"/>
  <c r="R171" i="5"/>
  <c r="S171" i="5"/>
  <c r="T171" i="5"/>
  <c r="U171" i="5"/>
  <c r="V171" i="5"/>
  <c r="W171" i="5"/>
  <c r="X171" i="5"/>
  <c r="AB171" i="5"/>
  <c r="B172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AC172" i="5"/>
  <c r="B173" i="5"/>
  <c r="C173" i="5"/>
  <c r="D173" i="5"/>
  <c r="E173" i="5"/>
  <c r="F173" i="5"/>
  <c r="G173" i="5"/>
  <c r="H173" i="5"/>
  <c r="I173" i="5"/>
  <c r="J173" i="5"/>
  <c r="K173" i="5"/>
  <c r="L173" i="5"/>
  <c r="M173" i="5"/>
  <c r="AC173" i="5" s="1"/>
  <c r="N173" i="5"/>
  <c r="O173" i="5"/>
  <c r="P173" i="5"/>
  <c r="Q173" i="5"/>
  <c r="R173" i="5"/>
  <c r="S173" i="5"/>
  <c r="T173" i="5"/>
  <c r="U173" i="5"/>
  <c r="V173" i="5"/>
  <c r="W173" i="5"/>
  <c r="X173" i="5"/>
  <c r="AB173" i="5"/>
  <c r="B174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T174" i="5"/>
  <c r="U174" i="5"/>
  <c r="V174" i="5"/>
  <c r="W174" i="5"/>
  <c r="X174" i="5"/>
  <c r="AC174" i="5"/>
  <c r="B175" i="5"/>
  <c r="C175" i="5"/>
  <c r="D175" i="5"/>
  <c r="E175" i="5"/>
  <c r="F175" i="5"/>
  <c r="G175" i="5"/>
  <c r="H175" i="5"/>
  <c r="I175" i="5"/>
  <c r="J175" i="5"/>
  <c r="K175" i="5"/>
  <c r="L175" i="5"/>
  <c r="M175" i="5"/>
  <c r="AC175" i="5" s="1"/>
  <c r="N175" i="5"/>
  <c r="O175" i="5"/>
  <c r="P175" i="5"/>
  <c r="Q175" i="5"/>
  <c r="R175" i="5"/>
  <c r="S175" i="5"/>
  <c r="T175" i="5"/>
  <c r="U175" i="5"/>
  <c r="V175" i="5"/>
  <c r="W175" i="5"/>
  <c r="X175" i="5"/>
  <c r="AB175" i="5"/>
  <c r="B176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AC176" i="5"/>
  <c r="B177" i="5"/>
  <c r="C177" i="5"/>
  <c r="D177" i="5"/>
  <c r="E177" i="5"/>
  <c r="F177" i="5"/>
  <c r="G177" i="5"/>
  <c r="H177" i="5"/>
  <c r="I177" i="5"/>
  <c r="J177" i="5"/>
  <c r="K177" i="5"/>
  <c r="L177" i="5"/>
  <c r="M177" i="5"/>
  <c r="AC177" i="5" s="1"/>
  <c r="N177" i="5"/>
  <c r="O177" i="5"/>
  <c r="P177" i="5"/>
  <c r="Q177" i="5"/>
  <c r="R177" i="5"/>
  <c r="S177" i="5"/>
  <c r="T177" i="5"/>
  <c r="U177" i="5"/>
  <c r="V177" i="5"/>
  <c r="W177" i="5"/>
  <c r="X177" i="5"/>
  <c r="AB177" i="5"/>
  <c r="B178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T178" i="5"/>
  <c r="U178" i="5"/>
  <c r="V178" i="5"/>
  <c r="W178" i="5"/>
  <c r="X178" i="5"/>
  <c r="AC178" i="5"/>
  <c r="B179" i="5"/>
  <c r="C179" i="5"/>
  <c r="D179" i="5"/>
  <c r="E179" i="5"/>
  <c r="F179" i="5"/>
  <c r="G179" i="5"/>
  <c r="H179" i="5"/>
  <c r="I179" i="5"/>
  <c r="J179" i="5"/>
  <c r="K179" i="5"/>
  <c r="L179" i="5"/>
  <c r="M179" i="5"/>
  <c r="AC179" i="5" s="1"/>
  <c r="N179" i="5"/>
  <c r="O179" i="5"/>
  <c r="P179" i="5"/>
  <c r="Q179" i="5"/>
  <c r="R179" i="5"/>
  <c r="S179" i="5"/>
  <c r="T179" i="5"/>
  <c r="U179" i="5"/>
  <c r="V179" i="5"/>
  <c r="W179" i="5"/>
  <c r="X179" i="5"/>
  <c r="AB179" i="5"/>
  <c r="B180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AC180" i="5"/>
  <c r="B181" i="5"/>
  <c r="C181" i="5"/>
  <c r="D181" i="5"/>
  <c r="E181" i="5"/>
  <c r="F181" i="5"/>
  <c r="G181" i="5"/>
  <c r="H181" i="5"/>
  <c r="I181" i="5"/>
  <c r="J181" i="5"/>
  <c r="K181" i="5"/>
  <c r="L181" i="5"/>
  <c r="M181" i="5"/>
  <c r="AC181" i="5" s="1"/>
  <c r="N181" i="5"/>
  <c r="O181" i="5"/>
  <c r="P181" i="5"/>
  <c r="Q181" i="5"/>
  <c r="R181" i="5"/>
  <c r="S181" i="5"/>
  <c r="T181" i="5"/>
  <c r="U181" i="5"/>
  <c r="V181" i="5"/>
  <c r="W181" i="5"/>
  <c r="X181" i="5"/>
  <c r="AB181" i="5"/>
  <c r="B182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AC182" i="5"/>
  <c r="B183" i="5"/>
  <c r="C183" i="5"/>
  <c r="D183" i="5"/>
  <c r="E183" i="5"/>
  <c r="F183" i="5"/>
  <c r="G183" i="5"/>
  <c r="H183" i="5"/>
  <c r="I183" i="5"/>
  <c r="J183" i="5"/>
  <c r="K183" i="5"/>
  <c r="L183" i="5"/>
  <c r="M183" i="5"/>
  <c r="AC183" i="5" s="1"/>
  <c r="N183" i="5"/>
  <c r="O183" i="5"/>
  <c r="P183" i="5"/>
  <c r="Q183" i="5"/>
  <c r="R183" i="5"/>
  <c r="S183" i="5"/>
  <c r="T183" i="5"/>
  <c r="U183" i="5"/>
  <c r="V183" i="5"/>
  <c r="W183" i="5"/>
  <c r="X183" i="5"/>
  <c r="AB183" i="5"/>
  <c r="B184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W184" i="5"/>
  <c r="X184" i="5"/>
  <c r="AC184" i="5"/>
  <c r="B185" i="5"/>
  <c r="C185" i="5"/>
  <c r="D185" i="5"/>
  <c r="E185" i="5"/>
  <c r="F185" i="5"/>
  <c r="G185" i="5"/>
  <c r="H185" i="5"/>
  <c r="I185" i="5"/>
  <c r="J185" i="5"/>
  <c r="K185" i="5"/>
  <c r="L185" i="5"/>
  <c r="M185" i="5"/>
  <c r="AC185" i="5" s="1"/>
  <c r="N185" i="5"/>
  <c r="O185" i="5"/>
  <c r="P185" i="5"/>
  <c r="Q185" i="5"/>
  <c r="R185" i="5"/>
  <c r="S185" i="5"/>
  <c r="T185" i="5"/>
  <c r="U185" i="5"/>
  <c r="V185" i="5"/>
  <c r="W185" i="5"/>
  <c r="X185" i="5"/>
  <c r="AB185" i="5"/>
  <c r="B186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T186" i="5"/>
  <c r="U186" i="5"/>
  <c r="V186" i="5"/>
  <c r="W186" i="5"/>
  <c r="X186" i="5"/>
  <c r="AC186" i="5"/>
  <c r="B187" i="5"/>
  <c r="C187" i="5"/>
  <c r="D187" i="5"/>
  <c r="E187" i="5"/>
  <c r="F187" i="5"/>
  <c r="G187" i="5"/>
  <c r="H187" i="5"/>
  <c r="I187" i="5"/>
  <c r="J187" i="5"/>
  <c r="K187" i="5"/>
  <c r="L187" i="5"/>
  <c r="M187" i="5"/>
  <c r="AC187" i="5" s="1"/>
  <c r="N187" i="5"/>
  <c r="O187" i="5"/>
  <c r="P187" i="5"/>
  <c r="Q187" i="5"/>
  <c r="R187" i="5"/>
  <c r="S187" i="5"/>
  <c r="T187" i="5"/>
  <c r="U187" i="5"/>
  <c r="V187" i="5"/>
  <c r="W187" i="5"/>
  <c r="X187" i="5"/>
  <c r="AB187" i="5"/>
  <c r="B188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R188" i="5"/>
  <c r="S188" i="5"/>
  <c r="T188" i="5"/>
  <c r="U188" i="5"/>
  <c r="V188" i="5"/>
  <c r="W188" i="5"/>
  <c r="X188" i="5"/>
  <c r="AC188" i="5"/>
  <c r="B189" i="5"/>
  <c r="C189" i="5"/>
  <c r="D189" i="5"/>
  <c r="E189" i="5"/>
  <c r="F189" i="5"/>
  <c r="G189" i="5"/>
  <c r="H189" i="5"/>
  <c r="I189" i="5"/>
  <c r="J189" i="5"/>
  <c r="K189" i="5"/>
  <c r="L189" i="5"/>
  <c r="M189" i="5"/>
  <c r="AC189" i="5" s="1"/>
  <c r="N189" i="5"/>
  <c r="O189" i="5"/>
  <c r="P189" i="5"/>
  <c r="Q189" i="5"/>
  <c r="R189" i="5"/>
  <c r="S189" i="5"/>
  <c r="T189" i="5"/>
  <c r="U189" i="5"/>
  <c r="V189" i="5"/>
  <c r="W189" i="5"/>
  <c r="X189" i="5"/>
  <c r="AB189" i="5"/>
  <c r="B190" i="5"/>
  <c r="C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Q190" i="5"/>
  <c r="R190" i="5"/>
  <c r="S190" i="5"/>
  <c r="T190" i="5"/>
  <c r="U190" i="5"/>
  <c r="V190" i="5"/>
  <c r="W190" i="5"/>
  <c r="X190" i="5"/>
  <c r="AC190" i="5"/>
  <c r="B191" i="5"/>
  <c r="C191" i="5"/>
  <c r="D191" i="5"/>
  <c r="E191" i="5"/>
  <c r="F191" i="5"/>
  <c r="G191" i="5"/>
  <c r="H191" i="5"/>
  <c r="I191" i="5"/>
  <c r="J191" i="5"/>
  <c r="K191" i="5"/>
  <c r="L191" i="5"/>
  <c r="M191" i="5"/>
  <c r="AC191" i="5" s="1"/>
  <c r="N191" i="5"/>
  <c r="O191" i="5"/>
  <c r="P191" i="5"/>
  <c r="Q191" i="5"/>
  <c r="R191" i="5"/>
  <c r="S191" i="5"/>
  <c r="T191" i="5"/>
  <c r="U191" i="5"/>
  <c r="V191" i="5"/>
  <c r="W191" i="5"/>
  <c r="X191" i="5"/>
  <c r="AB191" i="5"/>
  <c r="B192" i="5"/>
  <c r="C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Q192" i="5"/>
  <c r="R192" i="5"/>
  <c r="S192" i="5"/>
  <c r="T192" i="5"/>
  <c r="U192" i="5"/>
  <c r="V192" i="5"/>
  <c r="W192" i="5"/>
  <c r="X192" i="5"/>
  <c r="AC192" i="5"/>
  <c r="B193" i="5"/>
  <c r="C193" i="5"/>
  <c r="D193" i="5"/>
  <c r="E193" i="5"/>
  <c r="F193" i="5"/>
  <c r="G193" i="5"/>
  <c r="H193" i="5"/>
  <c r="I193" i="5"/>
  <c r="J193" i="5"/>
  <c r="K193" i="5"/>
  <c r="L193" i="5"/>
  <c r="M193" i="5"/>
  <c r="AC193" i="5" s="1"/>
  <c r="N193" i="5"/>
  <c r="O193" i="5"/>
  <c r="P193" i="5"/>
  <c r="Q193" i="5"/>
  <c r="R193" i="5"/>
  <c r="S193" i="5"/>
  <c r="T193" i="5"/>
  <c r="U193" i="5"/>
  <c r="V193" i="5"/>
  <c r="W193" i="5"/>
  <c r="X193" i="5"/>
  <c r="AB193" i="5"/>
  <c r="B194" i="5"/>
  <c r="C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Q194" i="5"/>
  <c r="R194" i="5"/>
  <c r="S194" i="5"/>
  <c r="T194" i="5"/>
  <c r="U194" i="5"/>
  <c r="V194" i="5"/>
  <c r="W194" i="5"/>
  <c r="X194" i="5"/>
  <c r="AC194" i="5"/>
  <c r="B195" i="5"/>
  <c r="C195" i="5"/>
  <c r="D195" i="5"/>
  <c r="E195" i="5"/>
  <c r="F195" i="5"/>
  <c r="G195" i="5"/>
  <c r="H195" i="5"/>
  <c r="I195" i="5"/>
  <c r="J195" i="5"/>
  <c r="K195" i="5"/>
  <c r="L195" i="5"/>
  <c r="M195" i="5"/>
  <c r="AC195" i="5" s="1"/>
  <c r="N195" i="5"/>
  <c r="O195" i="5"/>
  <c r="P195" i="5"/>
  <c r="Q195" i="5"/>
  <c r="R195" i="5"/>
  <c r="S195" i="5"/>
  <c r="T195" i="5"/>
  <c r="U195" i="5"/>
  <c r="V195" i="5"/>
  <c r="W195" i="5"/>
  <c r="X195" i="5"/>
  <c r="AB195" i="5"/>
  <c r="B196" i="5"/>
  <c r="C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Q196" i="5"/>
  <c r="R196" i="5"/>
  <c r="S196" i="5"/>
  <c r="T196" i="5"/>
  <c r="U196" i="5"/>
  <c r="V196" i="5"/>
  <c r="W196" i="5"/>
  <c r="X196" i="5"/>
  <c r="AC196" i="5"/>
  <c r="B197" i="5"/>
  <c r="C197" i="5"/>
  <c r="D197" i="5"/>
  <c r="E197" i="5"/>
  <c r="F197" i="5"/>
  <c r="G197" i="5"/>
  <c r="H197" i="5"/>
  <c r="I197" i="5"/>
  <c r="J197" i="5"/>
  <c r="K197" i="5"/>
  <c r="L197" i="5"/>
  <c r="M197" i="5"/>
  <c r="AC197" i="5" s="1"/>
  <c r="N197" i="5"/>
  <c r="O197" i="5"/>
  <c r="P197" i="5"/>
  <c r="Q197" i="5"/>
  <c r="R197" i="5"/>
  <c r="S197" i="5"/>
  <c r="T197" i="5"/>
  <c r="U197" i="5"/>
  <c r="V197" i="5"/>
  <c r="W197" i="5"/>
  <c r="X197" i="5"/>
  <c r="AB197" i="5"/>
  <c r="B198" i="5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R198" i="5"/>
  <c r="S198" i="5"/>
  <c r="T198" i="5"/>
  <c r="U198" i="5"/>
  <c r="V198" i="5"/>
  <c r="W198" i="5"/>
  <c r="X198" i="5"/>
  <c r="AC198" i="5"/>
  <c r="B199" i="5"/>
  <c r="C199" i="5"/>
  <c r="D199" i="5"/>
  <c r="E199" i="5"/>
  <c r="F199" i="5"/>
  <c r="G199" i="5"/>
  <c r="H199" i="5"/>
  <c r="I199" i="5"/>
  <c r="J199" i="5"/>
  <c r="K199" i="5"/>
  <c r="L199" i="5"/>
  <c r="M199" i="5"/>
  <c r="AC199" i="5" s="1"/>
  <c r="N199" i="5"/>
  <c r="O199" i="5"/>
  <c r="P199" i="5"/>
  <c r="Q199" i="5"/>
  <c r="R199" i="5"/>
  <c r="S199" i="5"/>
  <c r="T199" i="5"/>
  <c r="U199" i="5"/>
  <c r="V199" i="5"/>
  <c r="W199" i="5"/>
  <c r="X199" i="5"/>
  <c r="AB199" i="5"/>
  <c r="B200" i="5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R200" i="5"/>
  <c r="S200" i="5"/>
  <c r="T200" i="5"/>
  <c r="U200" i="5"/>
  <c r="V200" i="5"/>
  <c r="W200" i="5"/>
  <c r="X200" i="5"/>
  <c r="AC200" i="5"/>
  <c r="B201" i="5"/>
  <c r="C201" i="5"/>
  <c r="D201" i="5"/>
  <c r="E201" i="5"/>
  <c r="F201" i="5"/>
  <c r="G201" i="5"/>
  <c r="H201" i="5"/>
  <c r="I201" i="5"/>
  <c r="J201" i="5"/>
  <c r="K201" i="5"/>
  <c r="L201" i="5"/>
  <c r="M201" i="5"/>
  <c r="AC201" i="5" s="1"/>
  <c r="N201" i="5"/>
  <c r="O201" i="5"/>
  <c r="P201" i="5"/>
  <c r="Q201" i="5"/>
  <c r="R201" i="5"/>
  <c r="S201" i="5"/>
  <c r="T201" i="5"/>
  <c r="U201" i="5"/>
  <c r="V201" i="5"/>
  <c r="W201" i="5"/>
  <c r="X201" i="5"/>
  <c r="AB201" i="5"/>
  <c r="B202" i="5"/>
  <c r="C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R202" i="5"/>
  <c r="S202" i="5"/>
  <c r="T202" i="5"/>
  <c r="U202" i="5"/>
  <c r="V202" i="5"/>
  <c r="W202" i="5"/>
  <c r="X202" i="5"/>
  <c r="AC202" i="5"/>
  <c r="B203" i="5"/>
  <c r="C203" i="5"/>
  <c r="D203" i="5"/>
  <c r="E203" i="5"/>
  <c r="F203" i="5"/>
  <c r="G203" i="5"/>
  <c r="H203" i="5"/>
  <c r="I203" i="5"/>
  <c r="J203" i="5"/>
  <c r="K203" i="5"/>
  <c r="L203" i="5"/>
  <c r="M203" i="5"/>
  <c r="AC203" i="5" s="1"/>
  <c r="N203" i="5"/>
  <c r="O203" i="5"/>
  <c r="P203" i="5"/>
  <c r="Q203" i="5"/>
  <c r="R203" i="5"/>
  <c r="S203" i="5"/>
  <c r="T203" i="5"/>
  <c r="U203" i="5"/>
  <c r="V203" i="5"/>
  <c r="W203" i="5"/>
  <c r="X203" i="5"/>
  <c r="AB203" i="5"/>
  <c r="B204" i="5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R204" i="5"/>
  <c r="S204" i="5"/>
  <c r="T204" i="5"/>
  <c r="U204" i="5"/>
  <c r="V204" i="5"/>
  <c r="W204" i="5"/>
  <c r="X204" i="5"/>
  <c r="AC204" i="5"/>
  <c r="B205" i="5"/>
  <c r="C205" i="5"/>
  <c r="D205" i="5"/>
  <c r="E205" i="5"/>
  <c r="F205" i="5"/>
  <c r="G205" i="5"/>
  <c r="H205" i="5"/>
  <c r="I205" i="5"/>
  <c r="J205" i="5"/>
  <c r="K205" i="5"/>
  <c r="L205" i="5"/>
  <c r="M205" i="5"/>
  <c r="AC205" i="5" s="1"/>
  <c r="N205" i="5"/>
  <c r="O205" i="5"/>
  <c r="P205" i="5"/>
  <c r="Q205" i="5"/>
  <c r="R205" i="5"/>
  <c r="S205" i="5"/>
  <c r="T205" i="5"/>
  <c r="U205" i="5"/>
  <c r="V205" i="5"/>
  <c r="W205" i="5"/>
  <c r="X205" i="5"/>
  <c r="AB205" i="5"/>
  <c r="B206" i="5"/>
  <c r="C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Q206" i="5"/>
  <c r="R206" i="5"/>
  <c r="S206" i="5"/>
  <c r="T206" i="5"/>
  <c r="U206" i="5"/>
  <c r="V206" i="5"/>
  <c r="W206" i="5"/>
  <c r="X206" i="5"/>
  <c r="AC206" i="5"/>
  <c r="B207" i="5"/>
  <c r="C207" i="5"/>
  <c r="D207" i="5"/>
  <c r="E207" i="5"/>
  <c r="F207" i="5"/>
  <c r="G207" i="5"/>
  <c r="H207" i="5"/>
  <c r="I207" i="5"/>
  <c r="J207" i="5"/>
  <c r="K207" i="5"/>
  <c r="L207" i="5"/>
  <c r="M207" i="5"/>
  <c r="AC207" i="5" s="1"/>
  <c r="N207" i="5"/>
  <c r="O207" i="5"/>
  <c r="P207" i="5"/>
  <c r="Q207" i="5"/>
  <c r="R207" i="5"/>
  <c r="S207" i="5"/>
  <c r="T207" i="5"/>
  <c r="U207" i="5"/>
  <c r="V207" i="5"/>
  <c r="W207" i="5"/>
  <c r="X207" i="5"/>
  <c r="AB207" i="5"/>
  <c r="B208" i="5"/>
  <c r="C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Q208" i="5"/>
  <c r="R208" i="5"/>
  <c r="S208" i="5"/>
  <c r="T208" i="5"/>
  <c r="U208" i="5"/>
  <c r="V208" i="5"/>
  <c r="W208" i="5"/>
  <c r="X208" i="5"/>
  <c r="AC208" i="5"/>
  <c r="B209" i="5"/>
  <c r="C209" i="5"/>
  <c r="D209" i="5"/>
  <c r="E209" i="5"/>
  <c r="F209" i="5"/>
  <c r="G209" i="5"/>
  <c r="H209" i="5"/>
  <c r="I209" i="5"/>
  <c r="J209" i="5"/>
  <c r="K209" i="5"/>
  <c r="L209" i="5"/>
  <c r="M209" i="5"/>
  <c r="AC209" i="5" s="1"/>
  <c r="N209" i="5"/>
  <c r="O209" i="5"/>
  <c r="P209" i="5"/>
  <c r="Q209" i="5"/>
  <c r="R209" i="5"/>
  <c r="S209" i="5"/>
  <c r="T209" i="5"/>
  <c r="U209" i="5"/>
  <c r="V209" i="5"/>
  <c r="W209" i="5"/>
  <c r="X209" i="5"/>
  <c r="AB209" i="5"/>
  <c r="B210" i="5"/>
  <c r="C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Q210" i="5"/>
  <c r="R210" i="5"/>
  <c r="S210" i="5"/>
  <c r="T210" i="5"/>
  <c r="U210" i="5"/>
  <c r="V210" i="5"/>
  <c r="W210" i="5"/>
  <c r="X210" i="5"/>
  <c r="AC210" i="5"/>
  <c r="B211" i="5"/>
  <c r="C211" i="5"/>
  <c r="D211" i="5"/>
  <c r="E211" i="5"/>
  <c r="F211" i="5"/>
  <c r="G211" i="5"/>
  <c r="H211" i="5"/>
  <c r="I211" i="5"/>
  <c r="J211" i="5"/>
  <c r="K211" i="5"/>
  <c r="L211" i="5"/>
  <c r="M211" i="5"/>
  <c r="AC211" i="5" s="1"/>
  <c r="N211" i="5"/>
  <c r="O211" i="5"/>
  <c r="P211" i="5"/>
  <c r="Q211" i="5"/>
  <c r="R211" i="5"/>
  <c r="S211" i="5"/>
  <c r="T211" i="5"/>
  <c r="U211" i="5"/>
  <c r="V211" i="5"/>
  <c r="W211" i="5"/>
  <c r="X211" i="5"/>
  <c r="AB211" i="5"/>
  <c r="B212" i="5"/>
  <c r="C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Q212" i="5"/>
  <c r="R212" i="5"/>
  <c r="S212" i="5"/>
  <c r="T212" i="5"/>
  <c r="U212" i="5"/>
  <c r="V212" i="5"/>
  <c r="W212" i="5"/>
  <c r="X212" i="5"/>
  <c r="AC212" i="5"/>
  <c r="B213" i="5"/>
  <c r="C213" i="5"/>
  <c r="D213" i="5"/>
  <c r="E213" i="5"/>
  <c r="F213" i="5"/>
  <c r="G213" i="5"/>
  <c r="H213" i="5"/>
  <c r="I213" i="5"/>
  <c r="J213" i="5"/>
  <c r="K213" i="5"/>
  <c r="L213" i="5"/>
  <c r="M213" i="5"/>
  <c r="AC213" i="5" s="1"/>
  <c r="N213" i="5"/>
  <c r="O213" i="5"/>
  <c r="P213" i="5"/>
  <c r="Q213" i="5"/>
  <c r="R213" i="5"/>
  <c r="S213" i="5"/>
  <c r="T213" i="5"/>
  <c r="U213" i="5"/>
  <c r="V213" i="5"/>
  <c r="W213" i="5"/>
  <c r="X213" i="5"/>
  <c r="AB213" i="5"/>
  <c r="B214" i="5"/>
  <c r="C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R214" i="5"/>
  <c r="S214" i="5"/>
  <c r="T214" i="5"/>
  <c r="U214" i="5"/>
  <c r="V214" i="5"/>
  <c r="W214" i="5"/>
  <c r="X214" i="5"/>
  <c r="AC214" i="5"/>
  <c r="B215" i="5"/>
  <c r="C215" i="5"/>
  <c r="D215" i="5"/>
  <c r="E215" i="5"/>
  <c r="F215" i="5"/>
  <c r="G215" i="5"/>
  <c r="H215" i="5"/>
  <c r="I215" i="5"/>
  <c r="J215" i="5"/>
  <c r="K215" i="5"/>
  <c r="L215" i="5"/>
  <c r="M215" i="5"/>
  <c r="AC215" i="5" s="1"/>
  <c r="N215" i="5"/>
  <c r="O215" i="5"/>
  <c r="P215" i="5"/>
  <c r="Q215" i="5"/>
  <c r="R215" i="5"/>
  <c r="S215" i="5"/>
  <c r="T215" i="5"/>
  <c r="U215" i="5"/>
  <c r="V215" i="5"/>
  <c r="W215" i="5"/>
  <c r="X215" i="5"/>
  <c r="AB215" i="5"/>
  <c r="B216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S216" i="5"/>
  <c r="T216" i="5"/>
  <c r="U216" i="5"/>
  <c r="V216" i="5"/>
  <c r="W216" i="5"/>
  <c r="X216" i="5"/>
  <c r="AC216" i="5"/>
  <c r="B217" i="5"/>
  <c r="C217" i="5"/>
  <c r="D217" i="5"/>
  <c r="E217" i="5"/>
  <c r="F217" i="5"/>
  <c r="G217" i="5"/>
  <c r="H217" i="5"/>
  <c r="I217" i="5"/>
  <c r="J217" i="5"/>
  <c r="K217" i="5"/>
  <c r="L217" i="5"/>
  <c r="M217" i="5"/>
  <c r="AC217" i="5" s="1"/>
  <c r="N217" i="5"/>
  <c r="O217" i="5"/>
  <c r="P217" i="5"/>
  <c r="Q217" i="5"/>
  <c r="R217" i="5"/>
  <c r="S217" i="5"/>
  <c r="T217" i="5"/>
  <c r="U217" i="5"/>
  <c r="V217" i="5"/>
  <c r="W217" i="5"/>
  <c r="X217" i="5"/>
  <c r="AB217" i="5"/>
  <c r="B218" i="5"/>
  <c r="C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R218" i="5"/>
  <c r="S218" i="5"/>
  <c r="T218" i="5"/>
  <c r="U218" i="5"/>
  <c r="V218" i="5"/>
  <c r="W218" i="5"/>
  <c r="X218" i="5"/>
  <c r="AC218" i="5"/>
  <c r="B219" i="5"/>
  <c r="C219" i="5"/>
  <c r="D219" i="5"/>
  <c r="E219" i="5"/>
  <c r="F219" i="5"/>
  <c r="G219" i="5"/>
  <c r="H219" i="5"/>
  <c r="I219" i="5"/>
  <c r="J219" i="5"/>
  <c r="K219" i="5"/>
  <c r="L219" i="5"/>
  <c r="M219" i="5"/>
  <c r="AC219" i="5" s="1"/>
  <c r="N219" i="5"/>
  <c r="O219" i="5"/>
  <c r="P219" i="5"/>
  <c r="Q219" i="5"/>
  <c r="R219" i="5"/>
  <c r="S219" i="5"/>
  <c r="T219" i="5"/>
  <c r="U219" i="5"/>
  <c r="V219" i="5"/>
  <c r="W219" i="5"/>
  <c r="X219" i="5"/>
  <c r="AB219" i="5"/>
  <c r="B220" i="5"/>
  <c r="C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S220" i="5"/>
  <c r="T220" i="5"/>
  <c r="U220" i="5"/>
  <c r="V220" i="5"/>
  <c r="W220" i="5"/>
  <c r="X220" i="5"/>
  <c r="AC220" i="5"/>
  <c r="B221" i="5"/>
  <c r="C221" i="5"/>
  <c r="D221" i="5"/>
  <c r="E221" i="5"/>
  <c r="F221" i="5"/>
  <c r="G221" i="5"/>
  <c r="H221" i="5"/>
  <c r="I221" i="5"/>
  <c r="J221" i="5"/>
  <c r="K221" i="5"/>
  <c r="L221" i="5"/>
  <c r="M221" i="5"/>
  <c r="AC221" i="5" s="1"/>
  <c r="N221" i="5"/>
  <c r="O221" i="5"/>
  <c r="P221" i="5"/>
  <c r="Q221" i="5"/>
  <c r="R221" i="5"/>
  <c r="S221" i="5"/>
  <c r="T221" i="5"/>
  <c r="U221" i="5"/>
  <c r="V221" i="5"/>
  <c r="W221" i="5"/>
  <c r="X221" i="5"/>
  <c r="AB221" i="5"/>
  <c r="B222" i="5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R222" i="5"/>
  <c r="S222" i="5"/>
  <c r="T222" i="5"/>
  <c r="U222" i="5"/>
  <c r="V222" i="5"/>
  <c r="W222" i="5"/>
  <c r="X222" i="5"/>
  <c r="AC222" i="5"/>
  <c r="B223" i="5"/>
  <c r="C223" i="5"/>
  <c r="D223" i="5"/>
  <c r="E223" i="5"/>
  <c r="F223" i="5"/>
  <c r="G223" i="5"/>
  <c r="H223" i="5"/>
  <c r="I223" i="5"/>
  <c r="J223" i="5"/>
  <c r="K223" i="5"/>
  <c r="L223" i="5"/>
  <c r="M223" i="5"/>
  <c r="AC223" i="5" s="1"/>
  <c r="N223" i="5"/>
  <c r="O223" i="5"/>
  <c r="P223" i="5"/>
  <c r="Q223" i="5"/>
  <c r="R223" i="5"/>
  <c r="S223" i="5"/>
  <c r="T223" i="5"/>
  <c r="U223" i="5"/>
  <c r="V223" i="5"/>
  <c r="W223" i="5"/>
  <c r="X223" i="5"/>
  <c r="AB223" i="5"/>
  <c r="B224" i="5"/>
  <c r="C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R224" i="5"/>
  <c r="S224" i="5"/>
  <c r="T224" i="5"/>
  <c r="U224" i="5"/>
  <c r="V224" i="5"/>
  <c r="W224" i="5"/>
  <c r="X224" i="5"/>
  <c r="AC224" i="5"/>
  <c r="B225" i="5"/>
  <c r="C225" i="5"/>
  <c r="D225" i="5"/>
  <c r="E225" i="5"/>
  <c r="F225" i="5"/>
  <c r="G225" i="5"/>
  <c r="H225" i="5"/>
  <c r="I225" i="5"/>
  <c r="J225" i="5"/>
  <c r="K225" i="5"/>
  <c r="L225" i="5"/>
  <c r="M225" i="5"/>
  <c r="AC225" i="5" s="1"/>
  <c r="N225" i="5"/>
  <c r="O225" i="5"/>
  <c r="P225" i="5"/>
  <c r="Q225" i="5"/>
  <c r="R225" i="5"/>
  <c r="S225" i="5"/>
  <c r="T225" i="5"/>
  <c r="U225" i="5"/>
  <c r="V225" i="5"/>
  <c r="W225" i="5"/>
  <c r="X225" i="5"/>
  <c r="AB225" i="5"/>
  <c r="B226" i="5"/>
  <c r="C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R226" i="5"/>
  <c r="S226" i="5"/>
  <c r="T226" i="5"/>
  <c r="U226" i="5"/>
  <c r="V226" i="5"/>
  <c r="W226" i="5"/>
  <c r="X226" i="5"/>
  <c r="B227" i="5"/>
  <c r="AB227" i="5" s="1"/>
  <c r="C227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R227" i="5"/>
  <c r="S227" i="5"/>
  <c r="T227" i="5"/>
  <c r="U227" i="5"/>
  <c r="V227" i="5"/>
  <c r="W227" i="5"/>
  <c r="X227" i="5"/>
  <c r="B228" i="5"/>
  <c r="C228" i="5"/>
  <c r="D228" i="5"/>
  <c r="E228" i="5"/>
  <c r="F228" i="5"/>
  <c r="G228" i="5"/>
  <c r="H228" i="5"/>
  <c r="I228" i="5"/>
  <c r="J228" i="5"/>
  <c r="K228" i="5"/>
  <c r="L228" i="5"/>
  <c r="M228" i="5"/>
  <c r="N228" i="5"/>
  <c r="AC228" i="5" s="1"/>
  <c r="O228" i="5"/>
  <c r="P228" i="5"/>
  <c r="Q228" i="5"/>
  <c r="R228" i="5"/>
  <c r="S228" i="5"/>
  <c r="T228" i="5"/>
  <c r="U228" i="5"/>
  <c r="V228" i="5"/>
  <c r="W228" i="5"/>
  <c r="X228" i="5"/>
  <c r="B229" i="5"/>
  <c r="AB229" i="5" s="1"/>
  <c r="C229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Q229" i="5"/>
  <c r="R229" i="5"/>
  <c r="S229" i="5"/>
  <c r="T229" i="5"/>
  <c r="U229" i="5"/>
  <c r="V229" i="5"/>
  <c r="W229" i="5"/>
  <c r="X229" i="5"/>
  <c r="B230" i="5"/>
  <c r="C230" i="5"/>
  <c r="D230" i="5"/>
  <c r="E230" i="5"/>
  <c r="F230" i="5"/>
  <c r="G230" i="5"/>
  <c r="H230" i="5"/>
  <c r="I230" i="5"/>
  <c r="J230" i="5"/>
  <c r="K230" i="5"/>
  <c r="L230" i="5"/>
  <c r="M230" i="5"/>
  <c r="N230" i="5"/>
  <c r="AC230" i="5" s="1"/>
  <c r="O230" i="5"/>
  <c r="P230" i="5"/>
  <c r="Q230" i="5"/>
  <c r="R230" i="5"/>
  <c r="S230" i="5"/>
  <c r="T230" i="5"/>
  <c r="U230" i="5"/>
  <c r="V230" i="5"/>
  <c r="W230" i="5"/>
  <c r="X230" i="5"/>
  <c r="B231" i="5"/>
  <c r="AB231" i="5" s="1"/>
  <c r="C231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Q231" i="5"/>
  <c r="R231" i="5"/>
  <c r="S231" i="5"/>
  <c r="T231" i="5"/>
  <c r="U231" i="5"/>
  <c r="V231" i="5"/>
  <c r="W231" i="5"/>
  <c r="X231" i="5"/>
  <c r="B232" i="5"/>
  <c r="C232" i="5"/>
  <c r="D232" i="5"/>
  <c r="E232" i="5"/>
  <c r="F232" i="5"/>
  <c r="G232" i="5"/>
  <c r="H232" i="5"/>
  <c r="I232" i="5"/>
  <c r="J232" i="5"/>
  <c r="K232" i="5"/>
  <c r="L232" i="5"/>
  <c r="M232" i="5"/>
  <c r="N232" i="5"/>
  <c r="AC232" i="5" s="1"/>
  <c r="O232" i="5"/>
  <c r="P232" i="5"/>
  <c r="Q232" i="5"/>
  <c r="R232" i="5"/>
  <c r="S232" i="5"/>
  <c r="T232" i="5"/>
  <c r="U232" i="5"/>
  <c r="V232" i="5"/>
  <c r="W232" i="5"/>
  <c r="X232" i="5"/>
  <c r="B233" i="5"/>
  <c r="AB233" i="5" s="1"/>
  <c r="C233" i="5"/>
  <c r="D233" i="5"/>
  <c r="E233" i="5"/>
  <c r="F233" i="5"/>
  <c r="G233" i="5"/>
  <c r="H233" i="5"/>
  <c r="I233" i="5"/>
  <c r="J233" i="5"/>
  <c r="K233" i="5"/>
  <c r="L233" i="5"/>
  <c r="M233" i="5"/>
  <c r="N233" i="5"/>
  <c r="O233" i="5"/>
  <c r="P233" i="5"/>
  <c r="Q233" i="5"/>
  <c r="R233" i="5"/>
  <c r="S233" i="5"/>
  <c r="T233" i="5"/>
  <c r="U233" i="5"/>
  <c r="V233" i="5"/>
  <c r="W233" i="5"/>
  <c r="X233" i="5"/>
  <c r="B234" i="5"/>
  <c r="C234" i="5"/>
  <c r="D234" i="5"/>
  <c r="E234" i="5"/>
  <c r="F234" i="5"/>
  <c r="G234" i="5"/>
  <c r="H234" i="5"/>
  <c r="I234" i="5"/>
  <c r="J234" i="5"/>
  <c r="K234" i="5"/>
  <c r="L234" i="5"/>
  <c r="M234" i="5"/>
  <c r="N234" i="5"/>
  <c r="AC234" i="5" s="1"/>
  <c r="O234" i="5"/>
  <c r="P234" i="5"/>
  <c r="Q234" i="5"/>
  <c r="R234" i="5"/>
  <c r="S234" i="5"/>
  <c r="T234" i="5"/>
  <c r="U234" i="5"/>
  <c r="V234" i="5"/>
  <c r="W234" i="5"/>
  <c r="X234" i="5"/>
  <c r="B235" i="5"/>
  <c r="AB235" i="5" s="1"/>
  <c r="C235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Q235" i="5"/>
  <c r="R235" i="5"/>
  <c r="S235" i="5"/>
  <c r="T235" i="5"/>
  <c r="U235" i="5"/>
  <c r="V235" i="5"/>
  <c r="W235" i="5"/>
  <c r="X235" i="5"/>
  <c r="B236" i="5"/>
  <c r="C236" i="5"/>
  <c r="D236" i="5"/>
  <c r="E236" i="5"/>
  <c r="F236" i="5"/>
  <c r="G236" i="5"/>
  <c r="H236" i="5"/>
  <c r="I236" i="5"/>
  <c r="J236" i="5"/>
  <c r="K236" i="5"/>
  <c r="L236" i="5"/>
  <c r="M236" i="5"/>
  <c r="N236" i="5"/>
  <c r="AC236" i="5" s="1"/>
  <c r="O236" i="5"/>
  <c r="P236" i="5"/>
  <c r="Q236" i="5"/>
  <c r="R236" i="5"/>
  <c r="S236" i="5"/>
  <c r="T236" i="5"/>
  <c r="U236" i="5"/>
  <c r="V236" i="5"/>
  <c r="W236" i="5"/>
  <c r="X236" i="5"/>
  <c r="B237" i="5"/>
  <c r="AB237" i="5" s="1"/>
  <c r="C237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AC237" i="5" s="1"/>
  <c r="P237" i="5"/>
  <c r="Q237" i="5"/>
  <c r="R237" i="5"/>
  <c r="S237" i="5"/>
  <c r="T237" i="5"/>
  <c r="U237" i="5"/>
  <c r="V237" i="5"/>
  <c r="W237" i="5"/>
  <c r="X237" i="5"/>
  <c r="B238" i="5"/>
  <c r="AB238" i="5" s="1"/>
  <c r="C238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Q238" i="5"/>
  <c r="R238" i="5"/>
  <c r="S238" i="5"/>
  <c r="T238" i="5"/>
  <c r="U238" i="5"/>
  <c r="V238" i="5"/>
  <c r="W238" i="5"/>
  <c r="X238" i="5"/>
  <c r="AC238" i="5"/>
  <c r="B239" i="5"/>
  <c r="C239" i="5"/>
  <c r="D239" i="5"/>
  <c r="E239" i="5"/>
  <c r="F239" i="5"/>
  <c r="G239" i="5"/>
  <c r="H239" i="5"/>
  <c r="I239" i="5"/>
  <c r="J239" i="5"/>
  <c r="K239" i="5"/>
  <c r="L239" i="5"/>
  <c r="M239" i="5"/>
  <c r="AC239" i="5" s="1"/>
  <c r="N239" i="5"/>
  <c r="O239" i="5"/>
  <c r="P239" i="5"/>
  <c r="Q239" i="5"/>
  <c r="R239" i="5"/>
  <c r="S239" i="5"/>
  <c r="T239" i="5"/>
  <c r="U239" i="5"/>
  <c r="V239" i="5"/>
  <c r="W239" i="5"/>
  <c r="X239" i="5"/>
  <c r="AB239" i="5"/>
  <c r="B240" i="5"/>
  <c r="C240" i="5"/>
  <c r="AB240" i="5" s="1"/>
  <c r="D240" i="5"/>
  <c r="E240" i="5"/>
  <c r="F240" i="5"/>
  <c r="G240" i="5"/>
  <c r="H240" i="5"/>
  <c r="I240" i="5"/>
  <c r="J240" i="5"/>
  <c r="K240" i="5"/>
  <c r="L240" i="5"/>
  <c r="M240" i="5"/>
  <c r="AC240" i="5" s="1"/>
  <c r="N240" i="5"/>
  <c r="O240" i="5"/>
  <c r="P240" i="5"/>
  <c r="Q240" i="5"/>
  <c r="R240" i="5"/>
  <c r="S240" i="5"/>
  <c r="T240" i="5"/>
  <c r="U240" i="5"/>
  <c r="V240" i="5"/>
  <c r="W240" i="5"/>
  <c r="X240" i="5"/>
  <c r="B241" i="5"/>
  <c r="AB241" i="5" s="1"/>
  <c r="C241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AC241" i="5" s="1"/>
  <c r="P241" i="5"/>
  <c r="Q241" i="5"/>
  <c r="R241" i="5"/>
  <c r="S241" i="5"/>
  <c r="T241" i="5"/>
  <c r="U241" i="5"/>
  <c r="V241" i="5"/>
  <c r="W241" i="5"/>
  <c r="X241" i="5"/>
  <c r="B242" i="5"/>
  <c r="AB242" i="5" s="1"/>
  <c r="C242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Q242" i="5"/>
  <c r="R242" i="5"/>
  <c r="S242" i="5"/>
  <c r="T242" i="5"/>
  <c r="U242" i="5"/>
  <c r="V242" i="5"/>
  <c r="W242" i="5"/>
  <c r="X242" i="5"/>
  <c r="AC242" i="5"/>
  <c r="B243" i="5"/>
  <c r="C243" i="5"/>
  <c r="D243" i="5"/>
  <c r="E243" i="5"/>
  <c r="F243" i="5"/>
  <c r="G243" i="5"/>
  <c r="H243" i="5"/>
  <c r="I243" i="5"/>
  <c r="J243" i="5"/>
  <c r="K243" i="5"/>
  <c r="L243" i="5"/>
  <c r="M243" i="5"/>
  <c r="AC243" i="5" s="1"/>
  <c r="N243" i="5"/>
  <c r="O243" i="5"/>
  <c r="P243" i="5"/>
  <c r="Q243" i="5"/>
  <c r="R243" i="5"/>
  <c r="S243" i="5"/>
  <c r="T243" i="5"/>
  <c r="U243" i="5"/>
  <c r="V243" i="5"/>
  <c r="W243" i="5"/>
  <c r="X243" i="5"/>
  <c r="AB243" i="5"/>
  <c r="B244" i="5"/>
  <c r="C244" i="5"/>
  <c r="AB244" i="5" s="1"/>
  <c r="D244" i="5"/>
  <c r="E244" i="5"/>
  <c r="F244" i="5"/>
  <c r="G244" i="5"/>
  <c r="H244" i="5"/>
  <c r="I244" i="5"/>
  <c r="J244" i="5"/>
  <c r="K244" i="5"/>
  <c r="L244" i="5"/>
  <c r="M244" i="5"/>
  <c r="AC244" i="5" s="1"/>
  <c r="N244" i="5"/>
  <c r="O244" i="5"/>
  <c r="P244" i="5"/>
  <c r="Q244" i="5"/>
  <c r="R244" i="5"/>
  <c r="S244" i="5"/>
  <c r="T244" i="5"/>
  <c r="U244" i="5"/>
  <c r="V244" i="5"/>
  <c r="W244" i="5"/>
  <c r="X244" i="5"/>
  <c r="B245" i="5"/>
  <c r="AB245" i="5" s="1"/>
  <c r="C245" i="5"/>
  <c r="D245" i="5"/>
  <c r="E245" i="5"/>
  <c r="F245" i="5"/>
  <c r="G245" i="5"/>
  <c r="H245" i="5"/>
  <c r="I245" i="5"/>
  <c r="J245" i="5"/>
  <c r="K245" i="5"/>
  <c r="L245" i="5"/>
  <c r="M245" i="5"/>
  <c r="N245" i="5"/>
  <c r="O245" i="5"/>
  <c r="AC245" i="5" s="1"/>
  <c r="P245" i="5"/>
  <c r="Q245" i="5"/>
  <c r="R245" i="5"/>
  <c r="S245" i="5"/>
  <c r="T245" i="5"/>
  <c r="U245" i="5"/>
  <c r="V245" i="5"/>
  <c r="W245" i="5"/>
  <c r="X245" i="5"/>
  <c r="B246" i="5"/>
  <c r="AB246" i="5" s="1"/>
  <c r="C246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Q246" i="5"/>
  <c r="R246" i="5"/>
  <c r="S246" i="5"/>
  <c r="T246" i="5"/>
  <c r="U246" i="5"/>
  <c r="V246" i="5"/>
  <c r="W246" i="5"/>
  <c r="X246" i="5"/>
  <c r="AC246" i="5"/>
  <c r="B247" i="5"/>
  <c r="C247" i="5"/>
  <c r="D247" i="5"/>
  <c r="E247" i="5"/>
  <c r="F247" i="5"/>
  <c r="G247" i="5"/>
  <c r="H247" i="5"/>
  <c r="I247" i="5"/>
  <c r="J247" i="5"/>
  <c r="K247" i="5"/>
  <c r="L247" i="5"/>
  <c r="M247" i="5"/>
  <c r="AC247" i="5" s="1"/>
  <c r="N247" i="5"/>
  <c r="O247" i="5"/>
  <c r="P247" i="5"/>
  <c r="Q247" i="5"/>
  <c r="R247" i="5"/>
  <c r="S247" i="5"/>
  <c r="T247" i="5"/>
  <c r="U247" i="5"/>
  <c r="V247" i="5"/>
  <c r="W247" i="5"/>
  <c r="X247" i="5"/>
  <c r="AB247" i="5"/>
  <c r="B248" i="5"/>
  <c r="C248" i="5"/>
  <c r="AB248" i="5" s="1"/>
  <c r="D248" i="5"/>
  <c r="E248" i="5"/>
  <c r="F248" i="5"/>
  <c r="G248" i="5"/>
  <c r="H248" i="5"/>
  <c r="I248" i="5"/>
  <c r="J248" i="5"/>
  <c r="K248" i="5"/>
  <c r="L248" i="5"/>
  <c r="M248" i="5"/>
  <c r="AC248" i="5" s="1"/>
  <c r="N248" i="5"/>
  <c r="O248" i="5"/>
  <c r="P248" i="5"/>
  <c r="Q248" i="5"/>
  <c r="R248" i="5"/>
  <c r="S248" i="5"/>
  <c r="T248" i="5"/>
  <c r="U248" i="5"/>
  <c r="V248" i="5"/>
  <c r="W248" i="5"/>
  <c r="X248" i="5"/>
  <c r="B249" i="5"/>
  <c r="AB249" i="5" s="1"/>
  <c r="C249" i="5"/>
  <c r="D249" i="5"/>
  <c r="E249" i="5"/>
  <c r="F249" i="5"/>
  <c r="G249" i="5"/>
  <c r="H249" i="5"/>
  <c r="I249" i="5"/>
  <c r="J249" i="5"/>
  <c r="K249" i="5"/>
  <c r="L249" i="5"/>
  <c r="M249" i="5"/>
  <c r="N249" i="5"/>
  <c r="O249" i="5"/>
  <c r="AC249" i="5" s="1"/>
  <c r="P249" i="5"/>
  <c r="Q249" i="5"/>
  <c r="R249" i="5"/>
  <c r="S249" i="5"/>
  <c r="T249" i="5"/>
  <c r="U249" i="5"/>
  <c r="V249" i="5"/>
  <c r="W249" i="5"/>
  <c r="X249" i="5"/>
  <c r="B250" i="5"/>
  <c r="AB250" i="5" s="1"/>
  <c r="C250" i="5"/>
  <c r="D250" i="5"/>
  <c r="E250" i="5"/>
  <c r="F250" i="5"/>
  <c r="G250" i="5"/>
  <c r="H250" i="5"/>
  <c r="I250" i="5"/>
  <c r="J250" i="5"/>
  <c r="K250" i="5"/>
  <c r="L250" i="5"/>
  <c r="M250" i="5"/>
  <c r="N250" i="5"/>
  <c r="O250" i="5"/>
  <c r="P250" i="5"/>
  <c r="Q250" i="5"/>
  <c r="R250" i="5"/>
  <c r="S250" i="5"/>
  <c r="T250" i="5"/>
  <c r="U250" i="5"/>
  <c r="V250" i="5"/>
  <c r="W250" i="5"/>
  <c r="X250" i="5"/>
  <c r="AC250" i="5"/>
  <c r="B251" i="5"/>
  <c r="C251" i="5"/>
  <c r="D251" i="5"/>
  <c r="E251" i="5"/>
  <c r="F251" i="5"/>
  <c r="G251" i="5"/>
  <c r="H251" i="5"/>
  <c r="I251" i="5"/>
  <c r="J251" i="5"/>
  <c r="K251" i="5"/>
  <c r="L251" i="5"/>
  <c r="M251" i="5"/>
  <c r="AC251" i="5" s="1"/>
  <c r="N251" i="5"/>
  <c r="O251" i="5"/>
  <c r="P251" i="5"/>
  <c r="Q251" i="5"/>
  <c r="R251" i="5"/>
  <c r="S251" i="5"/>
  <c r="T251" i="5"/>
  <c r="U251" i="5"/>
  <c r="V251" i="5"/>
  <c r="W251" i="5"/>
  <c r="X251" i="5"/>
  <c r="AB251" i="5"/>
  <c r="B252" i="5"/>
  <c r="C252" i="5"/>
  <c r="AB252" i="5" s="1"/>
  <c r="D252" i="5"/>
  <c r="E252" i="5"/>
  <c r="F252" i="5"/>
  <c r="G252" i="5"/>
  <c r="H252" i="5"/>
  <c r="I252" i="5"/>
  <c r="J252" i="5"/>
  <c r="K252" i="5"/>
  <c r="L252" i="5"/>
  <c r="M252" i="5"/>
  <c r="AC252" i="5" s="1"/>
  <c r="N252" i="5"/>
  <c r="O252" i="5"/>
  <c r="P252" i="5"/>
  <c r="Q252" i="5"/>
  <c r="R252" i="5"/>
  <c r="S252" i="5"/>
  <c r="T252" i="5"/>
  <c r="U252" i="5"/>
  <c r="V252" i="5"/>
  <c r="W252" i="5"/>
  <c r="X252" i="5"/>
  <c r="B253" i="5"/>
  <c r="AB253" i="5" s="1"/>
  <c r="C253" i="5"/>
  <c r="D253" i="5"/>
  <c r="E253" i="5"/>
  <c r="F253" i="5"/>
  <c r="G253" i="5"/>
  <c r="H253" i="5"/>
  <c r="I253" i="5"/>
  <c r="J253" i="5"/>
  <c r="K253" i="5"/>
  <c r="L253" i="5"/>
  <c r="M253" i="5"/>
  <c r="N253" i="5"/>
  <c r="O253" i="5"/>
  <c r="AC253" i="5" s="1"/>
  <c r="P253" i="5"/>
  <c r="Q253" i="5"/>
  <c r="R253" i="5"/>
  <c r="S253" i="5"/>
  <c r="T253" i="5"/>
  <c r="U253" i="5"/>
  <c r="V253" i="5"/>
  <c r="W253" i="5"/>
  <c r="X253" i="5"/>
  <c r="B254" i="5"/>
  <c r="AB254" i="5" s="1"/>
  <c r="C254" i="5"/>
  <c r="D254" i="5"/>
  <c r="E254" i="5"/>
  <c r="F254" i="5"/>
  <c r="G254" i="5"/>
  <c r="H254" i="5"/>
  <c r="I254" i="5"/>
  <c r="J254" i="5"/>
  <c r="K254" i="5"/>
  <c r="L254" i="5"/>
  <c r="M254" i="5"/>
  <c r="N254" i="5"/>
  <c r="O254" i="5"/>
  <c r="P254" i="5"/>
  <c r="Q254" i="5"/>
  <c r="R254" i="5"/>
  <c r="S254" i="5"/>
  <c r="T254" i="5"/>
  <c r="U254" i="5"/>
  <c r="V254" i="5"/>
  <c r="W254" i="5"/>
  <c r="X254" i="5"/>
  <c r="AC254" i="5"/>
  <c r="B255" i="5"/>
  <c r="C255" i="5"/>
  <c r="D255" i="5"/>
  <c r="E255" i="5"/>
  <c r="F255" i="5"/>
  <c r="G255" i="5"/>
  <c r="H255" i="5"/>
  <c r="I255" i="5"/>
  <c r="J255" i="5"/>
  <c r="K255" i="5"/>
  <c r="L255" i="5"/>
  <c r="M255" i="5"/>
  <c r="AC255" i="5" s="1"/>
  <c r="N255" i="5"/>
  <c r="O255" i="5"/>
  <c r="P255" i="5"/>
  <c r="Q255" i="5"/>
  <c r="R255" i="5"/>
  <c r="S255" i="5"/>
  <c r="T255" i="5"/>
  <c r="U255" i="5"/>
  <c r="V255" i="5"/>
  <c r="W255" i="5"/>
  <c r="X255" i="5"/>
  <c r="AB255" i="5"/>
  <c r="B256" i="5"/>
  <c r="C256" i="5"/>
  <c r="D256" i="5"/>
  <c r="AB256" i="5" s="1"/>
  <c r="E256" i="5"/>
  <c r="F256" i="5"/>
  <c r="G256" i="5"/>
  <c r="H256" i="5"/>
  <c r="I256" i="5"/>
  <c r="J256" i="5"/>
  <c r="K256" i="5"/>
  <c r="L256" i="5"/>
  <c r="M256" i="5"/>
  <c r="AC256" i="5" s="1"/>
  <c r="N256" i="5"/>
  <c r="O256" i="5"/>
  <c r="P256" i="5"/>
  <c r="Q256" i="5"/>
  <c r="R256" i="5"/>
  <c r="S256" i="5"/>
  <c r="T256" i="5"/>
  <c r="U256" i="5"/>
  <c r="V256" i="5"/>
  <c r="W256" i="5"/>
  <c r="X256" i="5"/>
  <c r="B257" i="5"/>
  <c r="AB257" i="5" s="1"/>
  <c r="C257" i="5"/>
  <c r="D257" i="5"/>
  <c r="E257" i="5"/>
  <c r="F257" i="5"/>
  <c r="G257" i="5"/>
  <c r="H257" i="5"/>
  <c r="I257" i="5"/>
  <c r="J257" i="5"/>
  <c r="K257" i="5"/>
  <c r="L257" i="5"/>
  <c r="M257" i="5"/>
  <c r="N257" i="5"/>
  <c r="O257" i="5"/>
  <c r="AC257" i="5" s="1"/>
  <c r="P257" i="5"/>
  <c r="Q257" i="5"/>
  <c r="R257" i="5"/>
  <c r="S257" i="5"/>
  <c r="T257" i="5"/>
  <c r="U257" i="5"/>
  <c r="V257" i="5"/>
  <c r="W257" i="5"/>
  <c r="X257" i="5"/>
  <c r="B258" i="5"/>
  <c r="AB258" i="5" s="1"/>
  <c r="C258" i="5"/>
  <c r="D258" i="5"/>
  <c r="E258" i="5"/>
  <c r="F258" i="5"/>
  <c r="G258" i="5"/>
  <c r="H258" i="5"/>
  <c r="I258" i="5"/>
  <c r="J258" i="5"/>
  <c r="K258" i="5"/>
  <c r="L258" i="5"/>
  <c r="M258" i="5"/>
  <c r="N258" i="5"/>
  <c r="O258" i="5"/>
  <c r="P258" i="5"/>
  <c r="Q258" i="5"/>
  <c r="R258" i="5"/>
  <c r="S258" i="5"/>
  <c r="T258" i="5"/>
  <c r="U258" i="5"/>
  <c r="V258" i="5"/>
  <c r="W258" i="5"/>
  <c r="X258" i="5"/>
  <c r="AC258" i="5"/>
  <c r="B259" i="5"/>
  <c r="C259" i="5"/>
  <c r="D259" i="5"/>
  <c r="E259" i="5"/>
  <c r="F259" i="5"/>
  <c r="G259" i="5"/>
  <c r="H259" i="5"/>
  <c r="I259" i="5"/>
  <c r="J259" i="5"/>
  <c r="K259" i="5"/>
  <c r="L259" i="5"/>
  <c r="M259" i="5"/>
  <c r="AC259" i="5" s="1"/>
  <c r="N259" i="5"/>
  <c r="O259" i="5"/>
  <c r="P259" i="5"/>
  <c r="Q259" i="5"/>
  <c r="R259" i="5"/>
  <c r="S259" i="5"/>
  <c r="T259" i="5"/>
  <c r="U259" i="5"/>
  <c r="V259" i="5"/>
  <c r="W259" i="5"/>
  <c r="X259" i="5"/>
  <c r="AB259" i="5"/>
  <c r="B260" i="5"/>
  <c r="C260" i="5"/>
  <c r="D260" i="5"/>
  <c r="AB260" i="5" s="1"/>
  <c r="E260" i="5"/>
  <c r="F260" i="5"/>
  <c r="G260" i="5"/>
  <c r="H260" i="5"/>
  <c r="I260" i="5"/>
  <c r="J260" i="5"/>
  <c r="K260" i="5"/>
  <c r="L260" i="5"/>
  <c r="M260" i="5"/>
  <c r="AC260" i="5" s="1"/>
  <c r="N260" i="5"/>
  <c r="O260" i="5"/>
  <c r="P260" i="5"/>
  <c r="Q260" i="5"/>
  <c r="R260" i="5"/>
  <c r="S260" i="5"/>
  <c r="T260" i="5"/>
  <c r="U260" i="5"/>
  <c r="V260" i="5"/>
  <c r="W260" i="5"/>
  <c r="X260" i="5"/>
  <c r="B261" i="5"/>
  <c r="AB261" i="5" s="1"/>
  <c r="C261" i="5"/>
  <c r="D261" i="5"/>
  <c r="E261" i="5"/>
  <c r="F261" i="5"/>
  <c r="G261" i="5"/>
  <c r="H261" i="5"/>
  <c r="I261" i="5"/>
  <c r="J261" i="5"/>
  <c r="K261" i="5"/>
  <c r="L261" i="5"/>
  <c r="M261" i="5"/>
  <c r="N261" i="5"/>
  <c r="O261" i="5"/>
  <c r="AC261" i="5" s="1"/>
  <c r="P261" i="5"/>
  <c r="Q261" i="5"/>
  <c r="R261" i="5"/>
  <c r="S261" i="5"/>
  <c r="T261" i="5"/>
  <c r="U261" i="5"/>
  <c r="V261" i="5"/>
  <c r="W261" i="5"/>
  <c r="X261" i="5"/>
  <c r="B262" i="5"/>
  <c r="AB262" i="5" s="1"/>
  <c r="C262" i="5"/>
  <c r="D262" i="5"/>
  <c r="E262" i="5"/>
  <c r="F262" i="5"/>
  <c r="G262" i="5"/>
  <c r="H262" i="5"/>
  <c r="I262" i="5"/>
  <c r="J262" i="5"/>
  <c r="K262" i="5"/>
  <c r="L262" i="5"/>
  <c r="M262" i="5"/>
  <c r="N262" i="5"/>
  <c r="O262" i="5"/>
  <c r="P262" i="5"/>
  <c r="Q262" i="5"/>
  <c r="R262" i="5"/>
  <c r="S262" i="5"/>
  <c r="T262" i="5"/>
  <c r="U262" i="5"/>
  <c r="V262" i="5"/>
  <c r="W262" i="5"/>
  <c r="X262" i="5"/>
  <c r="AC262" i="5"/>
  <c r="B263" i="5"/>
  <c r="C263" i="5"/>
  <c r="D263" i="5"/>
  <c r="E263" i="5"/>
  <c r="F263" i="5"/>
  <c r="G263" i="5"/>
  <c r="H263" i="5"/>
  <c r="I263" i="5"/>
  <c r="J263" i="5"/>
  <c r="K263" i="5"/>
  <c r="L263" i="5"/>
  <c r="M263" i="5"/>
  <c r="AC263" i="5" s="1"/>
  <c r="N263" i="5"/>
  <c r="O263" i="5"/>
  <c r="P263" i="5"/>
  <c r="Q263" i="5"/>
  <c r="R263" i="5"/>
  <c r="S263" i="5"/>
  <c r="T263" i="5"/>
  <c r="U263" i="5"/>
  <c r="V263" i="5"/>
  <c r="W263" i="5"/>
  <c r="X263" i="5"/>
  <c r="AB263" i="5"/>
  <c r="B264" i="5"/>
  <c r="C264" i="5"/>
  <c r="D264" i="5"/>
  <c r="AB264" i="5" s="1"/>
  <c r="E264" i="5"/>
  <c r="F264" i="5"/>
  <c r="G264" i="5"/>
  <c r="H264" i="5"/>
  <c r="I264" i="5"/>
  <c r="J264" i="5"/>
  <c r="K264" i="5"/>
  <c r="L264" i="5"/>
  <c r="M264" i="5"/>
  <c r="AC264" i="5" s="1"/>
  <c r="N264" i="5"/>
  <c r="O264" i="5"/>
  <c r="P264" i="5"/>
  <c r="Q264" i="5"/>
  <c r="R264" i="5"/>
  <c r="S264" i="5"/>
  <c r="T264" i="5"/>
  <c r="U264" i="5"/>
  <c r="V264" i="5"/>
  <c r="W264" i="5"/>
  <c r="X264" i="5"/>
  <c r="B265" i="5"/>
  <c r="AB265" i="5" s="1"/>
  <c r="C265" i="5"/>
  <c r="D265" i="5"/>
  <c r="E265" i="5"/>
  <c r="F265" i="5"/>
  <c r="G265" i="5"/>
  <c r="H265" i="5"/>
  <c r="I265" i="5"/>
  <c r="J265" i="5"/>
  <c r="K265" i="5"/>
  <c r="L265" i="5"/>
  <c r="M265" i="5"/>
  <c r="N265" i="5"/>
  <c r="O265" i="5"/>
  <c r="AC265" i="5" s="1"/>
  <c r="P265" i="5"/>
  <c r="Q265" i="5"/>
  <c r="R265" i="5"/>
  <c r="S265" i="5"/>
  <c r="T265" i="5"/>
  <c r="U265" i="5"/>
  <c r="V265" i="5"/>
  <c r="W265" i="5"/>
  <c r="X265" i="5"/>
  <c r="B266" i="5"/>
  <c r="AB266" i="5" s="1"/>
  <c r="C266" i="5"/>
  <c r="D266" i="5"/>
  <c r="E266" i="5"/>
  <c r="F266" i="5"/>
  <c r="G266" i="5"/>
  <c r="H266" i="5"/>
  <c r="I266" i="5"/>
  <c r="J266" i="5"/>
  <c r="K266" i="5"/>
  <c r="L266" i="5"/>
  <c r="M266" i="5"/>
  <c r="N266" i="5"/>
  <c r="O266" i="5"/>
  <c r="P266" i="5"/>
  <c r="Q266" i="5"/>
  <c r="R266" i="5"/>
  <c r="S266" i="5"/>
  <c r="T266" i="5"/>
  <c r="U266" i="5"/>
  <c r="V266" i="5"/>
  <c r="W266" i="5"/>
  <c r="X266" i="5"/>
  <c r="AC266" i="5"/>
  <c r="B267" i="5"/>
  <c r="C267" i="5"/>
  <c r="D267" i="5"/>
  <c r="E267" i="5"/>
  <c r="F267" i="5"/>
  <c r="G267" i="5"/>
  <c r="H267" i="5"/>
  <c r="I267" i="5"/>
  <c r="J267" i="5"/>
  <c r="K267" i="5"/>
  <c r="L267" i="5"/>
  <c r="M267" i="5"/>
  <c r="AC267" i="5" s="1"/>
  <c r="N267" i="5"/>
  <c r="O267" i="5"/>
  <c r="P267" i="5"/>
  <c r="Q267" i="5"/>
  <c r="R267" i="5"/>
  <c r="S267" i="5"/>
  <c r="T267" i="5"/>
  <c r="U267" i="5"/>
  <c r="V267" i="5"/>
  <c r="W267" i="5"/>
  <c r="X267" i="5"/>
  <c r="AB267" i="5"/>
  <c r="B268" i="5"/>
  <c r="C268" i="5"/>
  <c r="D268" i="5"/>
  <c r="AB268" i="5" s="1"/>
  <c r="E268" i="5"/>
  <c r="F268" i="5"/>
  <c r="G268" i="5"/>
  <c r="H268" i="5"/>
  <c r="I268" i="5"/>
  <c r="J268" i="5"/>
  <c r="K268" i="5"/>
  <c r="L268" i="5"/>
  <c r="M268" i="5"/>
  <c r="AC268" i="5" s="1"/>
  <c r="N268" i="5"/>
  <c r="O268" i="5"/>
  <c r="P268" i="5"/>
  <c r="Q268" i="5"/>
  <c r="R268" i="5"/>
  <c r="S268" i="5"/>
  <c r="T268" i="5"/>
  <c r="U268" i="5"/>
  <c r="V268" i="5"/>
  <c r="W268" i="5"/>
  <c r="X268" i="5"/>
  <c r="B269" i="5"/>
  <c r="AB269" i="5" s="1"/>
  <c r="C269" i="5"/>
  <c r="D269" i="5"/>
  <c r="E269" i="5"/>
  <c r="F269" i="5"/>
  <c r="G269" i="5"/>
  <c r="H269" i="5"/>
  <c r="I269" i="5"/>
  <c r="J269" i="5"/>
  <c r="K269" i="5"/>
  <c r="L269" i="5"/>
  <c r="M269" i="5"/>
  <c r="N269" i="5"/>
  <c r="O269" i="5"/>
  <c r="AC269" i="5" s="1"/>
  <c r="P269" i="5"/>
  <c r="Q269" i="5"/>
  <c r="R269" i="5"/>
  <c r="S269" i="5"/>
  <c r="T269" i="5"/>
  <c r="U269" i="5"/>
  <c r="V269" i="5"/>
  <c r="W269" i="5"/>
  <c r="X269" i="5"/>
  <c r="B270" i="5"/>
  <c r="AB270" i="5" s="1"/>
  <c r="C270" i="5"/>
  <c r="D270" i="5"/>
  <c r="E270" i="5"/>
  <c r="F270" i="5"/>
  <c r="G270" i="5"/>
  <c r="H270" i="5"/>
  <c r="I270" i="5"/>
  <c r="J270" i="5"/>
  <c r="K270" i="5"/>
  <c r="L270" i="5"/>
  <c r="M270" i="5"/>
  <c r="N270" i="5"/>
  <c r="O270" i="5"/>
  <c r="P270" i="5"/>
  <c r="Q270" i="5"/>
  <c r="R270" i="5"/>
  <c r="S270" i="5"/>
  <c r="T270" i="5"/>
  <c r="U270" i="5"/>
  <c r="V270" i="5"/>
  <c r="W270" i="5"/>
  <c r="X270" i="5"/>
  <c r="AC270" i="5"/>
  <c r="B271" i="5"/>
  <c r="C271" i="5"/>
  <c r="D271" i="5"/>
  <c r="E271" i="5"/>
  <c r="F271" i="5"/>
  <c r="G271" i="5"/>
  <c r="H271" i="5"/>
  <c r="I271" i="5"/>
  <c r="J271" i="5"/>
  <c r="K271" i="5"/>
  <c r="L271" i="5"/>
  <c r="M271" i="5"/>
  <c r="AC271" i="5" s="1"/>
  <c r="N271" i="5"/>
  <c r="O271" i="5"/>
  <c r="P271" i="5"/>
  <c r="Q271" i="5"/>
  <c r="R271" i="5"/>
  <c r="S271" i="5"/>
  <c r="T271" i="5"/>
  <c r="U271" i="5"/>
  <c r="V271" i="5"/>
  <c r="W271" i="5"/>
  <c r="X271" i="5"/>
  <c r="AB271" i="5"/>
  <c r="B272" i="5"/>
  <c r="C272" i="5"/>
  <c r="D272" i="5"/>
  <c r="AB272" i="5" s="1"/>
  <c r="E272" i="5"/>
  <c r="F272" i="5"/>
  <c r="G272" i="5"/>
  <c r="H272" i="5"/>
  <c r="I272" i="5"/>
  <c r="J272" i="5"/>
  <c r="K272" i="5"/>
  <c r="L272" i="5"/>
  <c r="M272" i="5"/>
  <c r="AC272" i="5" s="1"/>
  <c r="N272" i="5"/>
  <c r="O272" i="5"/>
  <c r="P272" i="5"/>
  <c r="Q272" i="5"/>
  <c r="R272" i="5"/>
  <c r="S272" i="5"/>
  <c r="T272" i="5"/>
  <c r="U272" i="5"/>
  <c r="V272" i="5"/>
  <c r="W272" i="5"/>
  <c r="X272" i="5"/>
  <c r="B273" i="5"/>
  <c r="AB273" i="5" s="1"/>
  <c r="C273" i="5"/>
  <c r="D273" i="5"/>
  <c r="E273" i="5"/>
  <c r="F273" i="5"/>
  <c r="G273" i="5"/>
  <c r="H273" i="5"/>
  <c r="I273" i="5"/>
  <c r="J273" i="5"/>
  <c r="K273" i="5"/>
  <c r="L273" i="5"/>
  <c r="M273" i="5"/>
  <c r="N273" i="5"/>
  <c r="O273" i="5"/>
  <c r="AC273" i="5" s="1"/>
  <c r="P273" i="5"/>
  <c r="Q273" i="5"/>
  <c r="R273" i="5"/>
  <c r="S273" i="5"/>
  <c r="T273" i="5"/>
  <c r="U273" i="5"/>
  <c r="V273" i="5"/>
  <c r="W273" i="5"/>
  <c r="X273" i="5"/>
  <c r="B274" i="5"/>
  <c r="AB274" i="5" s="1"/>
  <c r="C274" i="5"/>
  <c r="D274" i="5"/>
  <c r="E274" i="5"/>
  <c r="F274" i="5"/>
  <c r="G274" i="5"/>
  <c r="H274" i="5"/>
  <c r="I274" i="5"/>
  <c r="J274" i="5"/>
  <c r="K274" i="5"/>
  <c r="L274" i="5"/>
  <c r="M274" i="5"/>
  <c r="N274" i="5"/>
  <c r="O274" i="5"/>
  <c r="P274" i="5"/>
  <c r="Q274" i="5"/>
  <c r="R274" i="5"/>
  <c r="S274" i="5"/>
  <c r="T274" i="5"/>
  <c r="U274" i="5"/>
  <c r="V274" i="5"/>
  <c r="W274" i="5"/>
  <c r="X274" i="5"/>
  <c r="AC274" i="5"/>
  <c r="B275" i="5"/>
  <c r="C275" i="5"/>
  <c r="D275" i="5"/>
  <c r="E275" i="5"/>
  <c r="F275" i="5"/>
  <c r="G275" i="5"/>
  <c r="H275" i="5"/>
  <c r="I275" i="5"/>
  <c r="J275" i="5"/>
  <c r="K275" i="5"/>
  <c r="L275" i="5"/>
  <c r="M275" i="5"/>
  <c r="AC275" i="5" s="1"/>
  <c r="N275" i="5"/>
  <c r="O275" i="5"/>
  <c r="P275" i="5"/>
  <c r="Q275" i="5"/>
  <c r="R275" i="5"/>
  <c r="S275" i="5"/>
  <c r="T275" i="5"/>
  <c r="U275" i="5"/>
  <c r="V275" i="5"/>
  <c r="W275" i="5"/>
  <c r="X275" i="5"/>
  <c r="AB275" i="5"/>
  <c r="B276" i="5"/>
  <c r="C276" i="5"/>
  <c r="D276" i="5"/>
  <c r="E276" i="5"/>
  <c r="F276" i="5"/>
  <c r="G276" i="5"/>
  <c r="H276" i="5"/>
  <c r="I276" i="5"/>
  <c r="J276" i="5"/>
  <c r="K276" i="5"/>
  <c r="L276" i="5"/>
  <c r="M276" i="5"/>
  <c r="N276" i="5"/>
  <c r="O276" i="5"/>
  <c r="P276" i="5"/>
  <c r="Q276" i="5"/>
  <c r="R276" i="5"/>
  <c r="S276" i="5"/>
  <c r="T276" i="5"/>
  <c r="U276" i="5"/>
  <c r="V276" i="5"/>
  <c r="W276" i="5"/>
  <c r="X276" i="5"/>
  <c r="B277" i="5"/>
  <c r="C277" i="5"/>
  <c r="D277" i="5"/>
  <c r="E277" i="5"/>
  <c r="F277" i="5"/>
  <c r="G277" i="5"/>
  <c r="H277" i="5"/>
  <c r="I277" i="5"/>
  <c r="J277" i="5"/>
  <c r="K277" i="5"/>
  <c r="L277" i="5"/>
  <c r="M277" i="5"/>
  <c r="N277" i="5"/>
  <c r="O277" i="5"/>
  <c r="AC277" i="5" s="1"/>
  <c r="P277" i="5"/>
  <c r="Q277" i="5"/>
  <c r="R277" i="5"/>
  <c r="S277" i="5"/>
  <c r="T277" i="5"/>
  <c r="U277" i="5"/>
  <c r="V277" i="5"/>
  <c r="W277" i="5"/>
  <c r="X277" i="5"/>
  <c r="B278" i="5"/>
  <c r="C278" i="5"/>
  <c r="D278" i="5"/>
  <c r="E278" i="5"/>
  <c r="F278" i="5"/>
  <c r="G278" i="5"/>
  <c r="H278" i="5"/>
  <c r="I278" i="5"/>
  <c r="J278" i="5"/>
  <c r="K278" i="5"/>
  <c r="L278" i="5"/>
  <c r="M278" i="5"/>
  <c r="N278" i="5"/>
  <c r="AC278" i="5" s="1"/>
  <c r="O278" i="5"/>
  <c r="P278" i="5"/>
  <c r="Q278" i="5"/>
  <c r="R278" i="5"/>
  <c r="S278" i="5"/>
  <c r="T278" i="5"/>
  <c r="U278" i="5"/>
  <c r="V278" i="5"/>
  <c r="W278" i="5"/>
  <c r="X278" i="5"/>
  <c r="B279" i="5"/>
  <c r="C279" i="5"/>
  <c r="D279" i="5"/>
  <c r="E279" i="5"/>
  <c r="F279" i="5"/>
  <c r="G279" i="5"/>
  <c r="H279" i="5"/>
  <c r="I279" i="5"/>
  <c r="J279" i="5"/>
  <c r="K279" i="5"/>
  <c r="L279" i="5"/>
  <c r="M279" i="5"/>
  <c r="AC279" i="5" s="1"/>
  <c r="N279" i="5"/>
  <c r="O279" i="5"/>
  <c r="P279" i="5"/>
  <c r="Q279" i="5"/>
  <c r="R279" i="5"/>
  <c r="S279" i="5"/>
  <c r="T279" i="5"/>
  <c r="U279" i="5"/>
  <c r="V279" i="5"/>
  <c r="W279" i="5"/>
  <c r="X279" i="5"/>
  <c r="AB279" i="5"/>
  <c r="B280" i="5"/>
  <c r="C280" i="5"/>
  <c r="D280" i="5"/>
  <c r="E280" i="5"/>
  <c r="F280" i="5"/>
  <c r="G280" i="5"/>
  <c r="H280" i="5"/>
  <c r="I280" i="5"/>
  <c r="J280" i="5"/>
  <c r="K280" i="5"/>
  <c r="L280" i="5"/>
  <c r="M280" i="5"/>
  <c r="AC280" i="5" s="1"/>
  <c r="N280" i="5"/>
  <c r="O280" i="5"/>
  <c r="P280" i="5"/>
  <c r="Q280" i="5"/>
  <c r="R280" i="5"/>
  <c r="S280" i="5"/>
  <c r="T280" i="5"/>
  <c r="U280" i="5"/>
  <c r="V280" i="5"/>
  <c r="W280" i="5"/>
  <c r="X280" i="5"/>
  <c r="B281" i="5"/>
  <c r="AB281" i="5" s="1"/>
  <c r="C281" i="5"/>
  <c r="D281" i="5"/>
  <c r="E281" i="5"/>
  <c r="F281" i="5"/>
  <c r="G281" i="5"/>
  <c r="H281" i="5"/>
  <c r="I281" i="5"/>
  <c r="J281" i="5"/>
  <c r="K281" i="5"/>
  <c r="L281" i="5"/>
  <c r="M281" i="5"/>
  <c r="N281" i="5"/>
  <c r="O281" i="5"/>
  <c r="AC281" i="5" s="1"/>
  <c r="P281" i="5"/>
  <c r="Q281" i="5"/>
  <c r="R281" i="5"/>
  <c r="S281" i="5"/>
  <c r="T281" i="5"/>
  <c r="U281" i="5"/>
  <c r="V281" i="5"/>
  <c r="W281" i="5"/>
  <c r="X281" i="5"/>
  <c r="B282" i="5"/>
  <c r="C282" i="5"/>
  <c r="D282" i="5"/>
  <c r="E282" i="5"/>
  <c r="F282" i="5"/>
  <c r="G282" i="5"/>
  <c r="H282" i="5"/>
  <c r="I282" i="5"/>
  <c r="J282" i="5"/>
  <c r="K282" i="5"/>
  <c r="L282" i="5"/>
  <c r="M282" i="5"/>
  <c r="N282" i="5"/>
  <c r="AC282" i="5" s="1"/>
  <c r="O282" i="5"/>
  <c r="P282" i="5"/>
  <c r="Q282" i="5"/>
  <c r="R282" i="5"/>
  <c r="S282" i="5"/>
  <c r="T282" i="5"/>
  <c r="U282" i="5"/>
  <c r="V282" i="5"/>
  <c r="W282" i="5"/>
  <c r="X282" i="5"/>
  <c r="B283" i="5"/>
  <c r="C283" i="5"/>
  <c r="D283" i="5"/>
  <c r="E283" i="5"/>
  <c r="F283" i="5"/>
  <c r="G283" i="5"/>
  <c r="H283" i="5"/>
  <c r="I283" i="5"/>
  <c r="J283" i="5"/>
  <c r="K283" i="5"/>
  <c r="L283" i="5"/>
  <c r="M283" i="5"/>
  <c r="AC283" i="5" s="1"/>
  <c r="N283" i="5"/>
  <c r="O283" i="5"/>
  <c r="P283" i="5"/>
  <c r="Q283" i="5"/>
  <c r="R283" i="5"/>
  <c r="S283" i="5"/>
  <c r="T283" i="5"/>
  <c r="U283" i="5"/>
  <c r="V283" i="5"/>
  <c r="W283" i="5"/>
  <c r="X283" i="5"/>
  <c r="AB283" i="5"/>
  <c r="B284" i="5"/>
  <c r="C284" i="5"/>
  <c r="D284" i="5"/>
  <c r="E284" i="5"/>
  <c r="F284" i="5"/>
  <c r="G284" i="5"/>
  <c r="H284" i="5"/>
  <c r="I284" i="5"/>
  <c r="J284" i="5"/>
  <c r="K284" i="5"/>
  <c r="L284" i="5"/>
  <c r="M284" i="5"/>
  <c r="N284" i="5"/>
  <c r="O284" i="5"/>
  <c r="P284" i="5"/>
  <c r="Q284" i="5"/>
  <c r="R284" i="5"/>
  <c r="S284" i="5"/>
  <c r="T284" i="5"/>
  <c r="U284" i="5"/>
  <c r="V284" i="5"/>
  <c r="W284" i="5"/>
  <c r="X284" i="5"/>
  <c r="B285" i="5"/>
  <c r="C285" i="5"/>
  <c r="D285" i="5"/>
  <c r="E285" i="5"/>
  <c r="F285" i="5"/>
  <c r="G285" i="5"/>
  <c r="H285" i="5"/>
  <c r="I285" i="5"/>
  <c r="J285" i="5"/>
  <c r="K285" i="5"/>
  <c r="L285" i="5"/>
  <c r="M285" i="5"/>
  <c r="N285" i="5"/>
  <c r="O285" i="5"/>
  <c r="AC285" i="5" s="1"/>
  <c r="P285" i="5"/>
  <c r="Q285" i="5"/>
  <c r="R285" i="5"/>
  <c r="S285" i="5"/>
  <c r="T285" i="5"/>
  <c r="U285" i="5"/>
  <c r="V285" i="5"/>
  <c r="W285" i="5"/>
  <c r="X285" i="5"/>
  <c r="B286" i="5"/>
  <c r="C286" i="5"/>
  <c r="D286" i="5"/>
  <c r="E286" i="5"/>
  <c r="F286" i="5"/>
  <c r="G286" i="5"/>
  <c r="H286" i="5"/>
  <c r="I286" i="5"/>
  <c r="J286" i="5"/>
  <c r="K286" i="5"/>
  <c r="L286" i="5"/>
  <c r="M286" i="5"/>
  <c r="N286" i="5"/>
  <c r="AC286" i="5" s="1"/>
  <c r="O286" i="5"/>
  <c r="P286" i="5"/>
  <c r="Q286" i="5"/>
  <c r="R286" i="5"/>
  <c r="S286" i="5"/>
  <c r="T286" i="5"/>
  <c r="U286" i="5"/>
  <c r="V286" i="5"/>
  <c r="W286" i="5"/>
  <c r="X286" i="5"/>
  <c r="B287" i="5"/>
  <c r="C287" i="5"/>
  <c r="D287" i="5"/>
  <c r="E287" i="5"/>
  <c r="F287" i="5"/>
  <c r="G287" i="5"/>
  <c r="H287" i="5"/>
  <c r="I287" i="5"/>
  <c r="J287" i="5"/>
  <c r="K287" i="5"/>
  <c r="L287" i="5"/>
  <c r="M287" i="5"/>
  <c r="AC287" i="5" s="1"/>
  <c r="N287" i="5"/>
  <c r="O287" i="5"/>
  <c r="P287" i="5"/>
  <c r="Q287" i="5"/>
  <c r="R287" i="5"/>
  <c r="S287" i="5"/>
  <c r="T287" i="5"/>
  <c r="U287" i="5"/>
  <c r="V287" i="5"/>
  <c r="W287" i="5"/>
  <c r="X287" i="5"/>
  <c r="AB287" i="5"/>
  <c r="B288" i="5"/>
  <c r="C288" i="5"/>
  <c r="D288" i="5"/>
  <c r="E288" i="5"/>
  <c r="F288" i="5"/>
  <c r="G288" i="5"/>
  <c r="H288" i="5"/>
  <c r="I288" i="5"/>
  <c r="J288" i="5"/>
  <c r="K288" i="5"/>
  <c r="L288" i="5"/>
  <c r="M288" i="5"/>
  <c r="AC288" i="5" s="1"/>
  <c r="N288" i="5"/>
  <c r="O288" i="5"/>
  <c r="P288" i="5"/>
  <c r="Q288" i="5"/>
  <c r="R288" i="5"/>
  <c r="S288" i="5"/>
  <c r="T288" i="5"/>
  <c r="U288" i="5"/>
  <c r="V288" i="5"/>
  <c r="W288" i="5"/>
  <c r="X288" i="5"/>
  <c r="B289" i="5"/>
  <c r="C289" i="5"/>
  <c r="D289" i="5"/>
  <c r="E289" i="5"/>
  <c r="F289" i="5"/>
  <c r="G289" i="5"/>
  <c r="H289" i="5"/>
  <c r="I289" i="5"/>
  <c r="J289" i="5"/>
  <c r="K289" i="5"/>
  <c r="L289" i="5"/>
  <c r="M289" i="5"/>
  <c r="N289" i="5"/>
  <c r="O289" i="5"/>
  <c r="AC289" i="5" s="1"/>
  <c r="P289" i="5"/>
  <c r="Q289" i="5"/>
  <c r="R289" i="5"/>
  <c r="S289" i="5"/>
  <c r="T289" i="5"/>
  <c r="U289" i="5"/>
  <c r="V289" i="5"/>
  <c r="W289" i="5"/>
  <c r="X289" i="5"/>
  <c r="B290" i="5"/>
  <c r="C290" i="5"/>
  <c r="D290" i="5"/>
  <c r="E290" i="5"/>
  <c r="F290" i="5"/>
  <c r="G290" i="5"/>
  <c r="H290" i="5"/>
  <c r="I290" i="5"/>
  <c r="J290" i="5"/>
  <c r="K290" i="5"/>
  <c r="L290" i="5"/>
  <c r="M290" i="5"/>
  <c r="N290" i="5"/>
  <c r="AC290" i="5" s="1"/>
  <c r="O290" i="5"/>
  <c r="P290" i="5"/>
  <c r="Q290" i="5"/>
  <c r="R290" i="5"/>
  <c r="S290" i="5"/>
  <c r="T290" i="5"/>
  <c r="U290" i="5"/>
  <c r="V290" i="5"/>
  <c r="W290" i="5"/>
  <c r="X290" i="5"/>
  <c r="B291" i="5"/>
  <c r="C291" i="5"/>
  <c r="D291" i="5"/>
  <c r="E291" i="5"/>
  <c r="F291" i="5"/>
  <c r="G291" i="5"/>
  <c r="H291" i="5"/>
  <c r="I291" i="5"/>
  <c r="J291" i="5"/>
  <c r="K291" i="5"/>
  <c r="L291" i="5"/>
  <c r="M291" i="5"/>
  <c r="AC291" i="5" s="1"/>
  <c r="N291" i="5"/>
  <c r="O291" i="5"/>
  <c r="P291" i="5"/>
  <c r="Q291" i="5"/>
  <c r="R291" i="5"/>
  <c r="S291" i="5"/>
  <c r="T291" i="5"/>
  <c r="U291" i="5"/>
  <c r="V291" i="5"/>
  <c r="W291" i="5"/>
  <c r="X291" i="5"/>
  <c r="AB291" i="5"/>
  <c r="B292" i="5"/>
  <c r="C292" i="5"/>
  <c r="D292" i="5"/>
  <c r="E292" i="5"/>
  <c r="F292" i="5"/>
  <c r="G292" i="5"/>
  <c r="H292" i="5"/>
  <c r="I292" i="5"/>
  <c r="J292" i="5"/>
  <c r="K292" i="5"/>
  <c r="L292" i="5"/>
  <c r="M292" i="5"/>
  <c r="N292" i="5"/>
  <c r="O292" i="5"/>
  <c r="P292" i="5"/>
  <c r="Q292" i="5"/>
  <c r="R292" i="5"/>
  <c r="S292" i="5"/>
  <c r="T292" i="5"/>
  <c r="U292" i="5"/>
  <c r="V292" i="5"/>
  <c r="W292" i="5"/>
  <c r="X292" i="5"/>
  <c r="B293" i="5"/>
  <c r="C293" i="5"/>
  <c r="D293" i="5"/>
  <c r="E293" i="5"/>
  <c r="F293" i="5"/>
  <c r="G293" i="5"/>
  <c r="H293" i="5"/>
  <c r="I293" i="5"/>
  <c r="J293" i="5"/>
  <c r="K293" i="5"/>
  <c r="L293" i="5"/>
  <c r="M293" i="5"/>
  <c r="N293" i="5"/>
  <c r="O293" i="5"/>
  <c r="AC293" i="5" s="1"/>
  <c r="P293" i="5"/>
  <c r="Q293" i="5"/>
  <c r="R293" i="5"/>
  <c r="S293" i="5"/>
  <c r="T293" i="5"/>
  <c r="U293" i="5"/>
  <c r="V293" i="5"/>
  <c r="W293" i="5"/>
  <c r="X293" i="5"/>
  <c r="B294" i="5"/>
  <c r="C294" i="5"/>
  <c r="D294" i="5"/>
  <c r="E294" i="5"/>
  <c r="F294" i="5"/>
  <c r="G294" i="5"/>
  <c r="H294" i="5"/>
  <c r="I294" i="5"/>
  <c r="J294" i="5"/>
  <c r="K294" i="5"/>
  <c r="L294" i="5"/>
  <c r="M294" i="5"/>
  <c r="N294" i="5"/>
  <c r="AC294" i="5" s="1"/>
  <c r="O294" i="5"/>
  <c r="P294" i="5"/>
  <c r="Q294" i="5"/>
  <c r="R294" i="5"/>
  <c r="S294" i="5"/>
  <c r="T294" i="5"/>
  <c r="U294" i="5"/>
  <c r="V294" i="5"/>
  <c r="W294" i="5"/>
  <c r="X294" i="5"/>
  <c r="B295" i="5"/>
  <c r="C295" i="5"/>
  <c r="D295" i="5"/>
  <c r="E295" i="5"/>
  <c r="F295" i="5"/>
  <c r="G295" i="5"/>
  <c r="H295" i="5"/>
  <c r="I295" i="5"/>
  <c r="J295" i="5"/>
  <c r="K295" i="5"/>
  <c r="L295" i="5"/>
  <c r="M295" i="5"/>
  <c r="AC295" i="5" s="1"/>
  <c r="N295" i="5"/>
  <c r="O295" i="5"/>
  <c r="P295" i="5"/>
  <c r="Q295" i="5"/>
  <c r="R295" i="5"/>
  <c r="S295" i="5"/>
  <c r="T295" i="5"/>
  <c r="U295" i="5"/>
  <c r="V295" i="5"/>
  <c r="W295" i="5"/>
  <c r="X295" i="5"/>
  <c r="AB295" i="5"/>
  <c r="B296" i="5"/>
  <c r="C296" i="5"/>
  <c r="D296" i="5"/>
  <c r="E296" i="5"/>
  <c r="F296" i="5"/>
  <c r="G296" i="5"/>
  <c r="H296" i="5"/>
  <c r="I296" i="5"/>
  <c r="J296" i="5"/>
  <c r="K296" i="5"/>
  <c r="L296" i="5"/>
  <c r="M296" i="5"/>
  <c r="N296" i="5"/>
  <c r="O296" i="5"/>
  <c r="P296" i="5"/>
  <c r="AC296" i="5" s="1"/>
  <c r="Q296" i="5"/>
  <c r="R296" i="5"/>
  <c r="S296" i="5"/>
  <c r="T296" i="5"/>
  <c r="U296" i="5"/>
  <c r="V296" i="5"/>
  <c r="W296" i="5"/>
  <c r="X296" i="5"/>
  <c r="B297" i="5"/>
  <c r="C297" i="5"/>
  <c r="D297" i="5"/>
  <c r="E297" i="5"/>
  <c r="F297" i="5"/>
  <c r="G297" i="5"/>
  <c r="H297" i="5"/>
  <c r="I297" i="5"/>
  <c r="J297" i="5"/>
  <c r="K297" i="5"/>
  <c r="L297" i="5"/>
  <c r="M297" i="5"/>
  <c r="N297" i="5"/>
  <c r="O297" i="5"/>
  <c r="AC297" i="5" s="1"/>
  <c r="P297" i="5"/>
  <c r="Q297" i="5"/>
  <c r="R297" i="5"/>
  <c r="S297" i="5"/>
  <c r="T297" i="5"/>
  <c r="U297" i="5"/>
  <c r="V297" i="5"/>
  <c r="W297" i="5"/>
  <c r="X297" i="5"/>
  <c r="B298" i="5"/>
  <c r="C298" i="5"/>
  <c r="D298" i="5"/>
  <c r="E298" i="5"/>
  <c r="F298" i="5"/>
  <c r="G298" i="5"/>
  <c r="H298" i="5"/>
  <c r="I298" i="5"/>
  <c r="J298" i="5"/>
  <c r="K298" i="5"/>
  <c r="L298" i="5"/>
  <c r="M298" i="5"/>
  <c r="N298" i="5"/>
  <c r="AC298" i="5" s="1"/>
  <c r="O298" i="5"/>
  <c r="P298" i="5"/>
  <c r="Q298" i="5"/>
  <c r="R298" i="5"/>
  <c r="S298" i="5"/>
  <c r="T298" i="5"/>
  <c r="U298" i="5"/>
  <c r="V298" i="5"/>
  <c r="W298" i="5"/>
  <c r="X298" i="5"/>
  <c r="B299" i="5"/>
  <c r="C299" i="5"/>
  <c r="D299" i="5"/>
  <c r="E299" i="5"/>
  <c r="F299" i="5"/>
  <c r="G299" i="5"/>
  <c r="H299" i="5"/>
  <c r="I299" i="5"/>
  <c r="J299" i="5"/>
  <c r="K299" i="5"/>
  <c r="L299" i="5"/>
  <c r="M299" i="5"/>
  <c r="AC299" i="5" s="1"/>
  <c r="N299" i="5"/>
  <c r="O299" i="5"/>
  <c r="P299" i="5"/>
  <c r="Q299" i="5"/>
  <c r="R299" i="5"/>
  <c r="S299" i="5"/>
  <c r="T299" i="5"/>
  <c r="U299" i="5"/>
  <c r="V299" i="5"/>
  <c r="W299" i="5"/>
  <c r="X299" i="5"/>
  <c r="AB299" i="5"/>
  <c r="B300" i="5"/>
  <c r="C300" i="5"/>
  <c r="D300" i="5"/>
  <c r="E300" i="5"/>
  <c r="F300" i="5"/>
  <c r="G300" i="5"/>
  <c r="H300" i="5"/>
  <c r="I300" i="5"/>
  <c r="J300" i="5"/>
  <c r="K300" i="5"/>
  <c r="L300" i="5"/>
  <c r="M300" i="5"/>
  <c r="N300" i="5"/>
  <c r="O300" i="5"/>
  <c r="P300" i="5"/>
  <c r="AC300" i="5" s="1"/>
  <c r="Q300" i="5"/>
  <c r="R300" i="5"/>
  <c r="S300" i="5"/>
  <c r="T300" i="5"/>
  <c r="U300" i="5"/>
  <c r="V300" i="5"/>
  <c r="W300" i="5"/>
  <c r="X300" i="5"/>
  <c r="B301" i="5"/>
  <c r="C301" i="5"/>
  <c r="D301" i="5"/>
  <c r="E301" i="5"/>
  <c r="F301" i="5"/>
  <c r="G301" i="5"/>
  <c r="H301" i="5"/>
  <c r="I301" i="5"/>
  <c r="J301" i="5"/>
  <c r="K301" i="5"/>
  <c r="L301" i="5"/>
  <c r="M301" i="5"/>
  <c r="N301" i="5"/>
  <c r="O301" i="5"/>
  <c r="AC301" i="5" s="1"/>
  <c r="P301" i="5"/>
  <c r="Q301" i="5"/>
  <c r="R301" i="5"/>
  <c r="S301" i="5"/>
  <c r="T301" i="5"/>
  <c r="U301" i="5"/>
  <c r="V301" i="5"/>
  <c r="W301" i="5"/>
  <c r="X301" i="5"/>
  <c r="B302" i="5"/>
  <c r="C302" i="5"/>
  <c r="D302" i="5"/>
  <c r="E302" i="5"/>
  <c r="F302" i="5"/>
  <c r="G302" i="5"/>
  <c r="H302" i="5"/>
  <c r="I302" i="5"/>
  <c r="J302" i="5"/>
  <c r="K302" i="5"/>
  <c r="L302" i="5"/>
  <c r="M302" i="5"/>
  <c r="N302" i="5"/>
  <c r="AC302" i="5" s="1"/>
  <c r="O302" i="5"/>
  <c r="P302" i="5"/>
  <c r="Q302" i="5"/>
  <c r="R302" i="5"/>
  <c r="S302" i="5"/>
  <c r="T302" i="5"/>
  <c r="U302" i="5"/>
  <c r="V302" i="5"/>
  <c r="W302" i="5"/>
  <c r="X302" i="5"/>
  <c r="B303" i="5"/>
  <c r="C303" i="5"/>
  <c r="D303" i="5"/>
  <c r="E303" i="5"/>
  <c r="F303" i="5"/>
  <c r="G303" i="5"/>
  <c r="H303" i="5"/>
  <c r="I303" i="5"/>
  <c r="J303" i="5"/>
  <c r="K303" i="5"/>
  <c r="L303" i="5"/>
  <c r="M303" i="5"/>
  <c r="AC303" i="5" s="1"/>
  <c r="N303" i="5"/>
  <c r="O303" i="5"/>
  <c r="P303" i="5"/>
  <c r="Q303" i="5"/>
  <c r="R303" i="5"/>
  <c r="S303" i="5"/>
  <c r="T303" i="5"/>
  <c r="U303" i="5"/>
  <c r="V303" i="5"/>
  <c r="W303" i="5"/>
  <c r="X303" i="5"/>
  <c r="AB303" i="5"/>
  <c r="B304" i="5"/>
  <c r="C304" i="5"/>
  <c r="D304" i="5"/>
  <c r="E304" i="5"/>
  <c r="F304" i="5"/>
  <c r="G304" i="5"/>
  <c r="H304" i="5"/>
  <c r="I304" i="5"/>
  <c r="J304" i="5"/>
  <c r="K304" i="5"/>
  <c r="L304" i="5"/>
  <c r="M304" i="5"/>
  <c r="AC304" i="5" s="1"/>
  <c r="N304" i="5"/>
  <c r="O304" i="5"/>
  <c r="P304" i="5"/>
  <c r="Q304" i="5"/>
  <c r="R304" i="5"/>
  <c r="S304" i="5"/>
  <c r="T304" i="5"/>
  <c r="U304" i="5"/>
  <c r="V304" i="5"/>
  <c r="W304" i="5"/>
  <c r="X304" i="5"/>
  <c r="AB304" i="5"/>
  <c r="B305" i="5"/>
  <c r="C305" i="5"/>
  <c r="D305" i="5"/>
  <c r="E305" i="5"/>
  <c r="F305" i="5"/>
  <c r="G305" i="5"/>
  <c r="H305" i="5"/>
  <c r="I305" i="5"/>
  <c r="J305" i="5"/>
  <c r="K305" i="5"/>
  <c r="L305" i="5"/>
  <c r="M305" i="5"/>
  <c r="N305" i="5"/>
  <c r="O305" i="5"/>
  <c r="P305" i="5"/>
  <c r="Q305" i="5"/>
  <c r="R305" i="5"/>
  <c r="S305" i="5"/>
  <c r="T305" i="5"/>
  <c r="U305" i="5"/>
  <c r="V305" i="5"/>
  <c r="W305" i="5"/>
  <c r="X305" i="5"/>
  <c r="AC305" i="5"/>
  <c r="B306" i="5"/>
  <c r="C306" i="5"/>
  <c r="D306" i="5"/>
  <c r="E306" i="5"/>
  <c r="F306" i="5"/>
  <c r="G306" i="5"/>
  <c r="H306" i="5"/>
  <c r="I306" i="5"/>
  <c r="J306" i="5"/>
  <c r="K306" i="5"/>
  <c r="L306" i="5"/>
  <c r="M306" i="5"/>
  <c r="AC306" i="5" s="1"/>
  <c r="N306" i="5"/>
  <c r="O306" i="5"/>
  <c r="P306" i="5"/>
  <c r="Q306" i="5"/>
  <c r="R306" i="5"/>
  <c r="S306" i="5"/>
  <c r="T306" i="5"/>
  <c r="U306" i="5"/>
  <c r="V306" i="5"/>
  <c r="W306" i="5"/>
  <c r="X306" i="5"/>
  <c r="AB306" i="5"/>
  <c r="B307" i="5"/>
  <c r="C307" i="5"/>
  <c r="D307" i="5"/>
  <c r="E307" i="5"/>
  <c r="F307" i="5"/>
  <c r="G307" i="5"/>
  <c r="H307" i="5"/>
  <c r="I307" i="5"/>
  <c r="J307" i="5"/>
  <c r="K307" i="5"/>
  <c r="L307" i="5"/>
  <c r="M307" i="5"/>
  <c r="N307" i="5"/>
  <c r="O307" i="5"/>
  <c r="P307" i="5"/>
  <c r="Q307" i="5"/>
  <c r="R307" i="5"/>
  <c r="S307" i="5"/>
  <c r="T307" i="5"/>
  <c r="U307" i="5"/>
  <c r="V307" i="5"/>
  <c r="W307" i="5"/>
  <c r="X307" i="5"/>
  <c r="AC307" i="5"/>
  <c r="B308" i="5"/>
  <c r="C308" i="5"/>
  <c r="D308" i="5"/>
  <c r="E308" i="5"/>
  <c r="F308" i="5"/>
  <c r="G308" i="5"/>
  <c r="H308" i="5"/>
  <c r="I308" i="5"/>
  <c r="J308" i="5"/>
  <c r="K308" i="5"/>
  <c r="L308" i="5"/>
  <c r="M308" i="5"/>
  <c r="AC308" i="5" s="1"/>
  <c r="N308" i="5"/>
  <c r="O308" i="5"/>
  <c r="P308" i="5"/>
  <c r="Q308" i="5"/>
  <c r="R308" i="5"/>
  <c r="S308" i="5"/>
  <c r="T308" i="5"/>
  <c r="U308" i="5"/>
  <c r="V308" i="5"/>
  <c r="W308" i="5"/>
  <c r="X308" i="5"/>
  <c r="AB308" i="5"/>
  <c r="B309" i="5"/>
  <c r="C309" i="5"/>
  <c r="D309" i="5"/>
  <c r="E309" i="5"/>
  <c r="F309" i="5"/>
  <c r="G309" i="5"/>
  <c r="H309" i="5"/>
  <c r="I309" i="5"/>
  <c r="J309" i="5"/>
  <c r="K309" i="5"/>
  <c r="L309" i="5"/>
  <c r="M309" i="5"/>
  <c r="N309" i="5"/>
  <c r="O309" i="5"/>
  <c r="P309" i="5"/>
  <c r="Q309" i="5"/>
  <c r="R309" i="5"/>
  <c r="S309" i="5"/>
  <c r="T309" i="5"/>
  <c r="U309" i="5"/>
  <c r="V309" i="5"/>
  <c r="W309" i="5"/>
  <c r="X309" i="5"/>
  <c r="AC309" i="5"/>
  <c r="B310" i="5"/>
  <c r="C310" i="5"/>
  <c r="D310" i="5"/>
  <c r="E310" i="5"/>
  <c r="F310" i="5"/>
  <c r="G310" i="5"/>
  <c r="H310" i="5"/>
  <c r="I310" i="5"/>
  <c r="J310" i="5"/>
  <c r="K310" i="5"/>
  <c r="L310" i="5"/>
  <c r="M310" i="5"/>
  <c r="AC310" i="5" s="1"/>
  <c r="N310" i="5"/>
  <c r="O310" i="5"/>
  <c r="P310" i="5"/>
  <c r="Q310" i="5"/>
  <c r="R310" i="5"/>
  <c r="S310" i="5"/>
  <c r="T310" i="5"/>
  <c r="U310" i="5"/>
  <c r="V310" i="5"/>
  <c r="W310" i="5"/>
  <c r="X310" i="5"/>
  <c r="AB310" i="5"/>
  <c r="B311" i="5"/>
  <c r="C311" i="5"/>
  <c r="D311" i="5"/>
  <c r="E311" i="5"/>
  <c r="F311" i="5"/>
  <c r="G311" i="5"/>
  <c r="H311" i="5"/>
  <c r="I311" i="5"/>
  <c r="J311" i="5"/>
  <c r="K311" i="5"/>
  <c r="L311" i="5"/>
  <c r="M311" i="5"/>
  <c r="N311" i="5"/>
  <c r="O311" i="5"/>
  <c r="P311" i="5"/>
  <c r="Q311" i="5"/>
  <c r="R311" i="5"/>
  <c r="S311" i="5"/>
  <c r="T311" i="5"/>
  <c r="U311" i="5"/>
  <c r="V311" i="5"/>
  <c r="W311" i="5"/>
  <c r="X311" i="5"/>
  <c r="AC311" i="5"/>
  <c r="B312" i="5"/>
  <c r="C312" i="5"/>
  <c r="D312" i="5"/>
  <c r="E312" i="5"/>
  <c r="F312" i="5"/>
  <c r="G312" i="5"/>
  <c r="H312" i="5"/>
  <c r="I312" i="5"/>
  <c r="J312" i="5"/>
  <c r="K312" i="5"/>
  <c r="L312" i="5"/>
  <c r="M312" i="5"/>
  <c r="AC312" i="5" s="1"/>
  <c r="N312" i="5"/>
  <c r="O312" i="5"/>
  <c r="P312" i="5"/>
  <c r="Q312" i="5"/>
  <c r="R312" i="5"/>
  <c r="S312" i="5"/>
  <c r="T312" i="5"/>
  <c r="U312" i="5"/>
  <c r="V312" i="5"/>
  <c r="W312" i="5"/>
  <c r="X312" i="5"/>
  <c r="AB312" i="5"/>
  <c r="B313" i="5"/>
  <c r="C313" i="5"/>
  <c r="D313" i="5"/>
  <c r="E313" i="5"/>
  <c r="F313" i="5"/>
  <c r="G313" i="5"/>
  <c r="H313" i="5"/>
  <c r="I313" i="5"/>
  <c r="J313" i="5"/>
  <c r="K313" i="5"/>
  <c r="L313" i="5"/>
  <c r="M313" i="5"/>
  <c r="N313" i="5"/>
  <c r="O313" i="5"/>
  <c r="P313" i="5"/>
  <c r="Q313" i="5"/>
  <c r="R313" i="5"/>
  <c r="S313" i="5"/>
  <c r="T313" i="5"/>
  <c r="U313" i="5"/>
  <c r="V313" i="5"/>
  <c r="W313" i="5"/>
  <c r="X313" i="5"/>
  <c r="AC313" i="5"/>
  <c r="B314" i="5"/>
  <c r="C314" i="5"/>
  <c r="D314" i="5"/>
  <c r="E314" i="5"/>
  <c r="F314" i="5"/>
  <c r="G314" i="5"/>
  <c r="H314" i="5"/>
  <c r="I314" i="5"/>
  <c r="J314" i="5"/>
  <c r="K314" i="5"/>
  <c r="L314" i="5"/>
  <c r="M314" i="5"/>
  <c r="AC314" i="5" s="1"/>
  <c r="N314" i="5"/>
  <c r="O314" i="5"/>
  <c r="P314" i="5"/>
  <c r="Q314" i="5"/>
  <c r="R314" i="5"/>
  <c r="S314" i="5"/>
  <c r="T314" i="5"/>
  <c r="U314" i="5"/>
  <c r="V314" i="5"/>
  <c r="W314" i="5"/>
  <c r="X314" i="5"/>
  <c r="AB314" i="5"/>
  <c r="B315" i="5"/>
  <c r="C315" i="5"/>
  <c r="D315" i="5"/>
  <c r="E315" i="5"/>
  <c r="F315" i="5"/>
  <c r="G315" i="5"/>
  <c r="H315" i="5"/>
  <c r="I315" i="5"/>
  <c r="J315" i="5"/>
  <c r="K315" i="5"/>
  <c r="L315" i="5"/>
  <c r="M315" i="5"/>
  <c r="N315" i="5"/>
  <c r="O315" i="5"/>
  <c r="P315" i="5"/>
  <c r="Q315" i="5"/>
  <c r="R315" i="5"/>
  <c r="S315" i="5"/>
  <c r="T315" i="5"/>
  <c r="U315" i="5"/>
  <c r="V315" i="5"/>
  <c r="W315" i="5"/>
  <c r="X315" i="5"/>
  <c r="AC315" i="5"/>
  <c r="B316" i="5"/>
  <c r="C316" i="5"/>
  <c r="D316" i="5"/>
  <c r="E316" i="5"/>
  <c r="F316" i="5"/>
  <c r="G316" i="5"/>
  <c r="H316" i="5"/>
  <c r="I316" i="5"/>
  <c r="J316" i="5"/>
  <c r="K316" i="5"/>
  <c r="L316" i="5"/>
  <c r="M316" i="5"/>
  <c r="AC316" i="5" s="1"/>
  <c r="N316" i="5"/>
  <c r="O316" i="5"/>
  <c r="P316" i="5"/>
  <c r="Q316" i="5"/>
  <c r="R316" i="5"/>
  <c r="S316" i="5"/>
  <c r="T316" i="5"/>
  <c r="U316" i="5"/>
  <c r="V316" i="5"/>
  <c r="W316" i="5"/>
  <c r="X316" i="5"/>
  <c r="AB316" i="5"/>
  <c r="B317" i="5"/>
  <c r="C317" i="5"/>
  <c r="D317" i="5"/>
  <c r="E317" i="5"/>
  <c r="F317" i="5"/>
  <c r="G317" i="5"/>
  <c r="H317" i="5"/>
  <c r="I317" i="5"/>
  <c r="J317" i="5"/>
  <c r="K317" i="5"/>
  <c r="L317" i="5"/>
  <c r="M317" i="5"/>
  <c r="N317" i="5"/>
  <c r="O317" i="5"/>
  <c r="P317" i="5"/>
  <c r="Q317" i="5"/>
  <c r="R317" i="5"/>
  <c r="S317" i="5"/>
  <c r="T317" i="5"/>
  <c r="U317" i="5"/>
  <c r="V317" i="5"/>
  <c r="W317" i="5"/>
  <c r="X317" i="5"/>
  <c r="AC317" i="5"/>
  <c r="B318" i="5"/>
  <c r="C318" i="5"/>
  <c r="D318" i="5"/>
  <c r="E318" i="5"/>
  <c r="F318" i="5"/>
  <c r="G318" i="5"/>
  <c r="H318" i="5"/>
  <c r="I318" i="5"/>
  <c r="J318" i="5"/>
  <c r="K318" i="5"/>
  <c r="L318" i="5"/>
  <c r="M318" i="5"/>
  <c r="AC318" i="5" s="1"/>
  <c r="N318" i="5"/>
  <c r="O318" i="5"/>
  <c r="P318" i="5"/>
  <c r="Q318" i="5"/>
  <c r="R318" i="5"/>
  <c r="S318" i="5"/>
  <c r="T318" i="5"/>
  <c r="U318" i="5"/>
  <c r="V318" i="5"/>
  <c r="W318" i="5"/>
  <c r="X318" i="5"/>
  <c r="AB318" i="5"/>
  <c r="B319" i="5"/>
  <c r="C319" i="5"/>
  <c r="D319" i="5"/>
  <c r="E319" i="5"/>
  <c r="F319" i="5"/>
  <c r="G319" i="5"/>
  <c r="H319" i="5"/>
  <c r="I319" i="5"/>
  <c r="J319" i="5"/>
  <c r="K319" i="5"/>
  <c r="L319" i="5"/>
  <c r="M319" i="5"/>
  <c r="N319" i="5"/>
  <c r="O319" i="5"/>
  <c r="P319" i="5"/>
  <c r="Q319" i="5"/>
  <c r="R319" i="5"/>
  <c r="S319" i="5"/>
  <c r="T319" i="5"/>
  <c r="U319" i="5"/>
  <c r="V319" i="5"/>
  <c r="W319" i="5"/>
  <c r="X319" i="5"/>
  <c r="AC319" i="5"/>
  <c r="B320" i="5"/>
  <c r="C320" i="5"/>
  <c r="D320" i="5"/>
  <c r="E320" i="5"/>
  <c r="F320" i="5"/>
  <c r="G320" i="5"/>
  <c r="H320" i="5"/>
  <c r="I320" i="5"/>
  <c r="J320" i="5"/>
  <c r="K320" i="5"/>
  <c r="L320" i="5"/>
  <c r="M320" i="5"/>
  <c r="AC320" i="5" s="1"/>
  <c r="N320" i="5"/>
  <c r="O320" i="5"/>
  <c r="P320" i="5"/>
  <c r="Q320" i="5"/>
  <c r="R320" i="5"/>
  <c r="S320" i="5"/>
  <c r="T320" i="5"/>
  <c r="U320" i="5"/>
  <c r="V320" i="5"/>
  <c r="W320" i="5"/>
  <c r="X320" i="5"/>
  <c r="AB320" i="5"/>
  <c r="B321" i="5"/>
  <c r="C321" i="5"/>
  <c r="D321" i="5"/>
  <c r="E321" i="5"/>
  <c r="F321" i="5"/>
  <c r="G321" i="5"/>
  <c r="H321" i="5"/>
  <c r="I321" i="5"/>
  <c r="J321" i="5"/>
  <c r="K321" i="5"/>
  <c r="L321" i="5"/>
  <c r="M321" i="5"/>
  <c r="N321" i="5"/>
  <c r="O321" i="5"/>
  <c r="P321" i="5"/>
  <c r="Q321" i="5"/>
  <c r="R321" i="5"/>
  <c r="S321" i="5"/>
  <c r="T321" i="5"/>
  <c r="U321" i="5"/>
  <c r="V321" i="5"/>
  <c r="W321" i="5"/>
  <c r="X321" i="5"/>
  <c r="AC321" i="5"/>
  <c r="B322" i="5"/>
  <c r="C322" i="5"/>
  <c r="D322" i="5"/>
  <c r="E322" i="5"/>
  <c r="F322" i="5"/>
  <c r="G322" i="5"/>
  <c r="H322" i="5"/>
  <c r="I322" i="5"/>
  <c r="J322" i="5"/>
  <c r="K322" i="5"/>
  <c r="L322" i="5"/>
  <c r="M322" i="5"/>
  <c r="AC322" i="5" s="1"/>
  <c r="N322" i="5"/>
  <c r="O322" i="5"/>
  <c r="P322" i="5"/>
  <c r="Q322" i="5"/>
  <c r="R322" i="5"/>
  <c r="S322" i="5"/>
  <c r="T322" i="5"/>
  <c r="U322" i="5"/>
  <c r="V322" i="5"/>
  <c r="W322" i="5"/>
  <c r="X322" i="5"/>
  <c r="AB322" i="5"/>
  <c r="B323" i="5"/>
  <c r="C323" i="5"/>
  <c r="D323" i="5"/>
  <c r="E323" i="5"/>
  <c r="F323" i="5"/>
  <c r="G323" i="5"/>
  <c r="H323" i="5"/>
  <c r="I323" i="5"/>
  <c r="J323" i="5"/>
  <c r="K323" i="5"/>
  <c r="L323" i="5"/>
  <c r="M323" i="5"/>
  <c r="N323" i="5"/>
  <c r="O323" i="5"/>
  <c r="P323" i="5"/>
  <c r="Q323" i="5"/>
  <c r="R323" i="5"/>
  <c r="S323" i="5"/>
  <c r="T323" i="5"/>
  <c r="U323" i="5"/>
  <c r="V323" i="5"/>
  <c r="W323" i="5"/>
  <c r="X323" i="5"/>
  <c r="AC323" i="5"/>
  <c r="B324" i="5"/>
  <c r="C324" i="5"/>
  <c r="D324" i="5"/>
  <c r="E324" i="5"/>
  <c r="F324" i="5"/>
  <c r="G324" i="5"/>
  <c r="H324" i="5"/>
  <c r="I324" i="5"/>
  <c r="J324" i="5"/>
  <c r="K324" i="5"/>
  <c r="L324" i="5"/>
  <c r="M324" i="5"/>
  <c r="AC324" i="5" s="1"/>
  <c r="N324" i="5"/>
  <c r="O324" i="5"/>
  <c r="P324" i="5"/>
  <c r="Q324" i="5"/>
  <c r="R324" i="5"/>
  <c r="S324" i="5"/>
  <c r="T324" i="5"/>
  <c r="U324" i="5"/>
  <c r="V324" i="5"/>
  <c r="W324" i="5"/>
  <c r="X324" i="5"/>
  <c r="AB324" i="5"/>
  <c r="B325" i="5"/>
  <c r="C325" i="5"/>
  <c r="D325" i="5"/>
  <c r="E325" i="5"/>
  <c r="F325" i="5"/>
  <c r="G325" i="5"/>
  <c r="H325" i="5"/>
  <c r="I325" i="5"/>
  <c r="J325" i="5"/>
  <c r="K325" i="5"/>
  <c r="L325" i="5"/>
  <c r="M325" i="5"/>
  <c r="N325" i="5"/>
  <c r="O325" i="5"/>
  <c r="P325" i="5"/>
  <c r="Q325" i="5"/>
  <c r="R325" i="5"/>
  <c r="S325" i="5"/>
  <c r="T325" i="5"/>
  <c r="U325" i="5"/>
  <c r="V325" i="5"/>
  <c r="W325" i="5"/>
  <c r="X325" i="5"/>
  <c r="AC325" i="5"/>
  <c r="B326" i="5"/>
  <c r="C326" i="5"/>
  <c r="D326" i="5"/>
  <c r="E326" i="5"/>
  <c r="F326" i="5"/>
  <c r="G326" i="5"/>
  <c r="H326" i="5"/>
  <c r="I326" i="5"/>
  <c r="J326" i="5"/>
  <c r="K326" i="5"/>
  <c r="L326" i="5"/>
  <c r="M326" i="5"/>
  <c r="AC326" i="5" s="1"/>
  <c r="N326" i="5"/>
  <c r="O326" i="5"/>
  <c r="P326" i="5"/>
  <c r="Q326" i="5"/>
  <c r="R326" i="5"/>
  <c r="S326" i="5"/>
  <c r="T326" i="5"/>
  <c r="U326" i="5"/>
  <c r="V326" i="5"/>
  <c r="W326" i="5"/>
  <c r="X326" i="5"/>
  <c r="AB326" i="5"/>
  <c r="B327" i="5"/>
  <c r="C327" i="5"/>
  <c r="D327" i="5"/>
  <c r="E327" i="5"/>
  <c r="F327" i="5"/>
  <c r="G327" i="5"/>
  <c r="H327" i="5"/>
  <c r="I327" i="5"/>
  <c r="J327" i="5"/>
  <c r="K327" i="5"/>
  <c r="L327" i="5"/>
  <c r="M327" i="5"/>
  <c r="N327" i="5"/>
  <c r="O327" i="5"/>
  <c r="P327" i="5"/>
  <c r="Q327" i="5"/>
  <c r="R327" i="5"/>
  <c r="S327" i="5"/>
  <c r="T327" i="5"/>
  <c r="U327" i="5"/>
  <c r="V327" i="5"/>
  <c r="W327" i="5"/>
  <c r="X327" i="5"/>
  <c r="AC327" i="5"/>
  <c r="B328" i="5"/>
  <c r="C328" i="5"/>
  <c r="D328" i="5"/>
  <c r="E328" i="5"/>
  <c r="F328" i="5"/>
  <c r="G328" i="5"/>
  <c r="H328" i="5"/>
  <c r="I328" i="5"/>
  <c r="J328" i="5"/>
  <c r="K328" i="5"/>
  <c r="L328" i="5"/>
  <c r="M328" i="5"/>
  <c r="AC328" i="5" s="1"/>
  <c r="N328" i="5"/>
  <c r="O328" i="5"/>
  <c r="P328" i="5"/>
  <c r="Q328" i="5"/>
  <c r="R328" i="5"/>
  <c r="S328" i="5"/>
  <c r="T328" i="5"/>
  <c r="U328" i="5"/>
  <c r="V328" i="5"/>
  <c r="W328" i="5"/>
  <c r="X328" i="5"/>
  <c r="AB328" i="5"/>
  <c r="B329" i="5"/>
  <c r="C329" i="5"/>
  <c r="D329" i="5"/>
  <c r="E329" i="5"/>
  <c r="F329" i="5"/>
  <c r="G329" i="5"/>
  <c r="H329" i="5"/>
  <c r="I329" i="5"/>
  <c r="J329" i="5"/>
  <c r="K329" i="5"/>
  <c r="L329" i="5"/>
  <c r="M329" i="5"/>
  <c r="N329" i="5"/>
  <c r="O329" i="5"/>
  <c r="P329" i="5"/>
  <c r="Q329" i="5"/>
  <c r="R329" i="5"/>
  <c r="S329" i="5"/>
  <c r="T329" i="5"/>
  <c r="U329" i="5"/>
  <c r="V329" i="5"/>
  <c r="W329" i="5"/>
  <c r="X329" i="5"/>
  <c r="AC329" i="5"/>
  <c r="B330" i="5"/>
  <c r="C330" i="5"/>
  <c r="D330" i="5"/>
  <c r="E330" i="5"/>
  <c r="F330" i="5"/>
  <c r="G330" i="5"/>
  <c r="H330" i="5"/>
  <c r="I330" i="5"/>
  <c r="J330" i="5"/>
  <c r="K330" i="5"/>
  <c r="L330" i="5"/>
  <c r="M330" i="5"/>
  <c r="AC330" i="5" s="1"/>
  <c r="N330" i="5"/>
  <c r="O330" i="5"/>
  <c r="P330" i="5"/>
  <c r="Q330" i="5"/>
  <c r="R330" i="5"/>
  <c r="S330" i="5"/>
  <c r="T330" i="5"/>
  <c r="U330" i="5"/>
  <c r="V330" i="5"/>
  <c r="W330" i="5"/>
  <c r="X330" i="5"/>
  <c r="AB330" i="5"/>
  <c r="B331" i="5"/>
  <c r="C331" i="5"/>
  <c r="D331" i="5"/>
  <c r="E331" i="5"/>
  <c r="F331" i="5"/>
  <c r="G331" i="5"/>
  <c r="H331" i="5"/>
  <c r="I331" i="5"/>
  <c r="J331" i="5"/>
  <c r="K331" i="5"/>
  <c r="L331" i="5"/>
  <c r="M331" i="5"/>
  <c r="N331" i="5"/>
  <c r="O331" i="5"/>
  <c r="P331" i="5"/>
  <c r="Q331" i="5"/>
  <c r="R331" i="5"/>
  <c r="S331" i="5"/>
  <c r="T331" i="5"/>
  <c r="U331" i="5"/>
  <c r="V331" i="5"/>
  <c r="W331" i="5"/>
  <c r="X331" i="5"/>
  <c r="AC331" i="5"/>
  <c r="B332" i="5"/>
  <c r="C332" i="5"/>
  <c r="D332" i="5"/>
  <c r="E332" i="5"/>
  <c r="F332" i="5"/>
  <c r="G332" i="5"/>
  <c r="H332" i="5"/>
  <c r="I332" i="5"/>
  <c r="J332" i="5"/>
  <c r="K332" i="5"/>
  <c r="L332" i="5"/>
  <c r="M332" i="5"/>
  <c r="AC332" i="5" s="1"/>
  <c r="N332" i="5"/>
  <c r="O332" i="5"/>
  <c r="P332" i="5"/>
  <c r="Q332" i="5"/>
  <c r="R332" i="5"/>
  <c r="S332" i="5"/>
  <c r="T332" i="5"/>
  <c r="U332" i="5"/>
  <c r="V332" i="5"/>
  <c r="W332" i="5"/>
  <c r="X332" i="5"/>
  <c r="AB332" i="5"/>
  <c r="B333" i="5"/>
  <c r="C333" i="5"/>
  <c r="D333" i="5"/>
  <c r="E333" i="5"/>
  <c r="F333" i="5"/>
  <c r="G333" i="5"/>
  <c r="H333" i="5"/>
  <c r="I333" i="5"/>
  <c r="J333" i="5"/>
  <c r="K333" i="5"/>
  <c r="L333" i="5"/>
  <c r="M333" i="5"/>
  <c r="N333" i="5"/>
  <c r="O333" i="5"/>
  <c r="P333" i="5"/>
  <c r="Q333" i="5"/>
  <c r="R333" i="5"/>
  <c r="S333" i="5"/>
  <c r="T333" i="5"/>
  <c r="U333" i="5"/>
  <c r="V333" i="5"/>
  <c r="W333" i="5"/>
  <c r="X333" i="5"/>
  <c r="AC333" i="5"/>
  <c r="B334" i="5"/>
  <c r="C334" i="5"/>
  <c r="D334" i="5"/>
  <c r="E334" i="5"/>
  <c r="F334" i="5"/>
  <c r="G334" i="5"/>
  <c r="H334" i="5"/>
  <c r="I334" i="5"/>
  <c r="J334" i="5"/>
  <c r="K334" i="5"/>
  <c r="L334" i="5"/>
  <c r="M334" i="5"/>
  <c r="AC334" i="5" s="1"/>
  <c r="N334" i="5"/>
  <c r="O334" i="5"/>
  <c r="P334" i="5"/>
  <c r="Q334" i="5"/>
  <c r="R334" i="5"/>
  <c r="S334" i="5"/>
  <c r="T334" i="5"/>
  <c r="U334" i="5"/>
  <c r="V334" i="5"/>
  <c r="W334" i="5"/>
  <c r="X334" i="5"/>
  <c r="AB334" i="5"/>
  <c r="B335" i="5"/>
  <c r="C335" i="5"/>
  <c r="D335" i="5"/>
  <c r="E335" i="5"/>
  <c r="F335" i="5"/>
  <c r="G335" i="5"/>
  <c r="H335" i="5"/>
  <c r="I335" i="5"/>
  <c r="J335" i="5"/>
  <c r="K335" i="5"/>
  <c r="L335" i="5"/>
  <c r="M335" i="5"/>
  <c r="N335" i="5"/>
  <c r="O335" i="5"/>
  <c r="P335" i="5"/>
  <c r="Q335" i="5"/>
  <c r="R335" i="5"/>
  <c r="S335" i="5"/>
  <c r="T335" i="5"/>
  <c r="U335" i="5"/>
  <c r="V335" i="5"/>
  <c r="W335" i="5"/>
  <c r="X335" i="5"/>
  <c r="AC335" i="5"/>
  <c r="B336" i="5"/>
  <c r="C336" i="5"/>
  <c r="D336" i="5"/>
  <c r="E336" i="5"/>
  <c r="F336" i="5"/>
  <c r="G336" i="5"/>
  <c r="H336" i="5"/>
  <c r="I336" i="5"/>
  <c r="J336" i="5"/>
  <c r="K336" i="5"/>
  <c r="L336" i="5"/>
  <c r="M336" i="5"/>
  <c r="AC336" i="5" s="1"/>
  <c r="N336" i="5"/>
  <c r="O336" i="5"/>
  <c r="P336" i="5"/>
  <c r="Q336" i="5"/>
  <c r="R336" i="5"/>
  <c r="S336" i="5"/>
  <c r="T336" i="5"/>
  <c r="U336" i="5"/>
  <c r="V336" i="5"/>
  <c r="W336" i="5"/>
  <c r="X336" i="5"/>
  <c r="AB336" i="5"/>
  <c r="B337" i="5"/>
  <c r="C337" i="5"/>
  <c r="D337" i="5"/>
  <c r="E337" i="5"/>
  <c r="F337" i="5"/>
  <c r="G337" i="5"/>
  <c r="H337" i="5"/>
  <c r="I337" i="5"/>
  <c r="J337" i="5"/>
  <c r="K337" i="5"/>
  <c r="L337" i="5"/>
  <c r="M337" i="5"/>
  <c r="N337" i="5"/>
  <c r="O337" i="5"/>
  <c r="P337" i="5"/>
  <c r="Q337" i="5"/>
  <c r="R337" i="5"/>
  <c r="S337" i="5"/>
  <c r="T337" i="5"/>
  <c r="U337" i="5"/>
  <c r="V337" i="5"/>
  <c r="W337" i="5"/>
  <c r="X337" i="5"/>
  <c r="AC337" i="5"/>
  <c r="B338" i="5"/>
  <c r="C338" i="5"/>
  <c r="D338" i="5"/>
  <c r="E338" i="5"/>
  <c r="F338" i="5"/>
  <c r="G338" i="5"/>
  <c r="H338" i="5"/>
  <c r="I338" i="5"/>
  <c r="J338" i="5"/>
  <c r="K338" i="5"/>
  <c r="L338" i="5"/>
  <c r="M338" i="5"/>
  <c r="AC338" i="5" s="1"/>
  <c r="N338" i="5"/>
  <c r="O338" i="5"/>
  <c r="P338" i="5"/>
  <c r="Q338" i="5"/>
  <c r="R338" i="5"/>
  <c r="S338" i="5"/>
  <c r="T338" i="5"/>
  <c r="U338" i="5"/>
  <c r="V338" i="5"/>
  <c r="W338" i="5"/>
  <c r="X338" i="5"/>
  <c r="AB338" i="5"/>
  <c r="B339" i="5"/>
  <c r="C339" i="5"/>
  <c r="D339" i="5"/>
  <c r="E339" i="5"/>
  <c r="F339" i="5"/>
  <c r="G339" i="5"/>
  <c r="H339" i="5"/>
  <c r="I339" i="5"/>
  <c r="J339" i="5"/>
  <c r="K339" i="5"/>
  <c r="L339" i="5"/>
  <c r="M339" i="5"/>
  <c r="N339" i="5"/>
  <c r="O339" i="5"/>
  <c r="P339" i="5"/>
  <c r="Q339" i="5"/>
  <c r="R339" i="5"/>
  <c r="S339" i="5"/>
  <c r="T339" i="5"/>
  <c r="U339" i="5"/>
  <c r="V339" i="5"/>
  <c r="W339" i="5"/>
  <c r="X339" i="5"/>
  <c r="AC339" i="5"/>
  <c r="B340" i="5"/>
  <c r="C340" i="5"/>
  <c r="D340" i="5"/>
  <c r="E340" i="5"/>
  <c r="F340" i="5"/>
  <c r="G340" i="5"/>
  <c r="H340" i="5"/>
  <c r="I340" i="5"/>
  <c r="J340" i="5"/>
  <c r="K340" i="5"/>
  <c r="L340" i="5"/>
  <c r="M340" i="5"/>
  <c r="AC340" i="5" s="1"/>
  <c r="N340" i="5"/>
  <c r="O340" i="5"/>
  <c r="P340" i="5"/>
  <c r="Q340" i="5"/>
  <c r="R340" i="5"/>
  <c r="S340" i="5"/>
  <c r="T340" i="5"/>
  <c r="U340" i="5"/>
  <c r="V340" i="5"/>
  <c r="W340" i="5"/>
  <c r="X340" i="5"/>
  <c r="AB340" i="5"/>
  <c r="B341" i="5"/>
  <c r="C341" i="5"/>
  <c r="D341" i="5"/>
  <c r="E341" i="5"/>
  <c r="F341" i="5"/>
  <c r="G341" i="5"/>
  <c r="H341" i="5"/>
  <c r="I341" i="5"/>
  <c r="J341" i="5"/>
  <c r="K341" i="5"/>
  <c r="L341" i="5"/>
  <c r="M341" i="5"/>
  <c r="N341" i="5"/>
  <c r="O341" i="5"/>
  <c r="P341" i="5"/>
  <c r="Q341" i="5"/>
  <c r="R341" i="5"/>
  <c r="S341" i="5"/>
  <c r="T341" i="5"/>
  <c r="U341" i="5"/>
  <c r="V341" i="5"/>
  <c r="W341" i="5"/>
  <c r="X341" i="5"/>
  <c r="AC341" i="5"/>
  <c r="B342" i="5"/>
  <c r="C342" i="5"/>
  <c r="D342" i="5"/>
  <c r="E342" i="5"/>
  <c r="F342" i="5"/>
  <c r="G342" i="5"/>
  <c r="H342" i="5"/>
  <c r="I342" i="5"/>
  <c r="J342" i="5"/>
  <c r="K342" i="5"/>
  <c r="L342" i="5"/>
  <c r="M342" i="5"/>
  <c r="AC342" i="5" s="1"/>
  <c r="N342" i="5"/>
  <c r="O342" i="5"/>
  <c r="P342" i="5"/>
  <c r="Q342" i="5"/>
  <c r="R342" i="5"/>
  <c r="S342" i="5"/>
  <c r="T342" i="5"/>
  <c r="U342" i="5"/>
  <c r="V342" i="5"/>
  <c r="W342" i="5"/>
  <c r="X342" i="5"/>
  <c r="AB342" i="5"/>
  <c r="B343" i="5"/>
  <c r="C343" i="5"/>
  <c r="D343" i="5"/>
  <c r="E343" i="5"/>
  <c r="F343" i="5"/>
  <c r="G343" i="5"/>
  <c r="H343" i="5"/>
  <c r="I343" i="5"/>
  <c r="J343" i="5"/>
  <c r="K343" i="5"/>
  <c r="L343" i="5"/>
  <c r="M343" i="5"/>
  <c r="N343" i="5"/>
  <c r="O343" i="5"/>
  <c r="P343" i="5"/>
  <c r="Q343" i="5"/>
  <c r="R343" i="5"/>
  <c r="S343" i="5"/>
  <c r="T343" i="5"/>
  <c r="U343" i="5"/>
  <c r="V343" i="5"/>
  <c r="W343" i="5"/>
  <c r="X343" i="5"/>
  <c r="AC343" i="5"/>
  <c r="B344" i="5"/>
  <c r="C344" i="5"/>
  <c r="D344" i="5"/>
  <c r="E344" i="5"/>
  <c r="F344" i="5"/>
  <c r="G344" i="5"/>
  <c r="H344" i="5"/>
  <c r="I344" i="5"/>
  <c r="J344" i="5"/>
  <c r="K344" i="5"/>
  <c r="L344" i="5"/>
  <c r="M344" i="5"/>
  <c r="AC344" i="5" s="1"/>
  <c r="N344" i="5"/>
  <c r="O344" i="5"/>
  <c r="P344" i="5"/>
  <c r="Q344" i="5"/>
  <c r="R344" i="5"/>
  <c r="S344" i="5"/>
  <c r="T344" i="5"/>
  <c r="U344" i="5"/>
  <c r="V344" i="5"/>
  <c r="W344" i="5"/>
  <c r="X344" i="5"/>
  <c r="AB344" i="5"/>
  <c r="B345" i="5"/>
  <c r="C345" i="5"/>
  <c r="D345" i="5"/>
  <c r="E345" i="5"/>
  <c r="F345" i="5"/>
  <c r="G345" i="5"/>
  <c r="H345" i="5"/>
  <c r="I345" i="5"/>
  <c r="J345" i="5"/>
  <c r="K345" i="5"/>
  <c r="L345" i="5"/>
  <c r="M345" i="5"/>
  <c r="N345" i="5"/>
  <c r="O345" i="5"/>
  <c r="P345" i="5"/>
  <c r="Q345" i="5"/>
  <c r="R345" i="5"/>
  <c r="S345" i="5"/>
  <c r="T345" i="5"/>
  <c r="U345" i="5"/>
  <c r="V345" i="5"/>
  <c r="W345" i="5"/>
  <c r="X345" i="5"/>
  <c r="AC345" i="5"/>
  <c r="B346" i="5"/>
  <c r="C346" i="5"/>
  <c r="D346" i="5"/>
  <c r="E346" i="5"/>
  <c r="F346" i="5"/>
  <c r="G346" i="5"/>
  <c r="H346" i="5"/>
  <c r="I346" i="5"/>
  <c r="J346" i="5"/>
  <c r="K346" i="5"/>
  <c r="L346" i="5"/>
  <c r="M346" i="5"/>
  <c r="AC346" i="5" s="1"/>
  <c r="N346" i="5"/>
  <c r="O346" i="5"/>
  <c r="P346" i="5"/>
  <c r="Q346" i="5"/>
  <c r="R346" i="5"/>
  <c r="S346" i="5"/>
  <c r="T346" i="5"/>
  <c r="U346" i="5"/>
  <c r="V346" i="5"/>
  <c r="W346" i="5"/>
  <c r="X346" i="5"/>
  <c r="AB346" i="5"/>
  <c r="B347" i="5"/>
  <c r="C347" i="5"/>
  <c r="D347" i="5"/>
  <c r="E347" i="5"/>
  <c r="F347" i="5"/>
  <c r="G347" i="5"/>
  <c r="H347" i="5"/>
  <c r="I347" i="5"/>
  <c r="J347" i="5"/>
  <c r="K347" i="5"/>
  <c r="L347" i="5"/>
  <c r="M347" i="5"/>
  <c r="N347" i="5"/>
  <c r="O347" i="5"/>
  <c r="P347" i="5"/>
  <c r="Q347" i="5"/>
  <c r="R347" i="5"/>
  <c r="S347" i="5"/>
  <c r="T347" i="5"/>
  <c r="U347" i="5"/>
  <c r="V347" i="5"/>
  <c r="W347" i="5"/>
  <c r="X347" i="5"/>
  <c r="AC347" i="5"/>
  <c r="B348" i="5"/>
  <c r="C348" i="5"/>
  <c r="D348" i="5"/>
  <c r="E348" i="5"/>
  <c r="F348" i="5"/>
  <c r="G348" i="5"/>
  <c r="H348" i="5"/>
  <c r="I348" i="5"/>
  <c r="J348" i="5"/>
  <c r="K348" i="5"/>
  <c r="L348" i="5"/>
  <c r="M348" i="5"/>
  <c r="AC348" i="5" s="1"/>
  <c r="N348" i="5"/>
  <c r="O348" i="5"/>
  <c r="P348" i="5"/>
  <c r="Q348" i="5"/>
  <c r="R348" i="5"/>
  <c r="S348" i="5"/>
  <c r="T348" i="5"/>
  <c r="U348" i="5"/>
  <c r="V348" i="5"/>
  <c r="W348" i="5"/>
  <c r="X348" i="5"/>
  <c r="AB348" i="5"/>
  <c r="B349" i="5"/>
  <c r="C349" i="5"/>
  <c r="D349" i="5"/>
  <c r="E349" i="5"/>
  <c r="F349" i="5"/>
  <c r="G349" i="5"/>
  <c r="H349" i="5"/>
  <c r="I349" i="5"/>
  <c r="J349" i="5"/>
  <c r="K349" i="5"/>
  <c r="L349" i="5"/>
  <c r="M349" i="5"/>
  <c r="N349" i="5"/>
  <c r="O349" i="5"/>
  <c r="P349" i="5"/>
  <c r="Q349" i="5"/>
  <c r="R349" i="5"/>
  <c r="S349" i="5"/>
  <c r="T349" i="5"/>
  <c r="U349" i="5"/>
  <c r="V349" i="5"/>
  <c r="W349" i="5"/>
  <c r="X349" i="5"/>
  <c r="AC349" i="5"/>
  <c r="B350" i="5"/>
  <c r="C350" i="5"/>
  <c r="D350" i="5"/>
  <c r="E350" i="5"/>
  <c r="F350" i="5"/>
  <c r="G350" i="5"/>
  <c r="H350" i="5"/>
  <c r="I350" i="5"/>
  <c r="J350" i="5"/>
  <c r="K350" i="5"/>
  <c r="L350" i="5"/>
  <c r="M350" i="5"/>
  <c r="AC350" i="5" s="1"/>
  <c r="N350" i="5"/>
  <c r="O350" i="5"/>
  <c r="P350" i="5"/>
  <c r="Q350" i="5"/>
  <c r="R350" i="5"/>
  <c r="S350" i="5"/>
  <c r="T350" i="5"/>
  <c r="U350" i="5"/>
  <c r="V350" i="5"/>
  <c r="W350" i="5"/>
  <c r="X350" i="5"/>
  <c r="AB350" i="5"/>
  <c r="B351" i="5"/>
  <c r="C351" i="5"/>
  <c r="D351" i="5"/>
  <c r="E351" i="5"/>
  <c r="F351" i="5"/>
  <c r="G351" i="5"/>
  <c r="H351" i="5"/>
  <c r="I351" i="5"/>
  <c r="J351" i="5"/>
  <c r="K351" i="5"/>
  <c r="L351" i="5"/>
  <c r="M351" i="5"/>
  <c r="N351" i="5"/>
  <c r="O351" i="5"/>
  <c r="P351" i="5"/>
  <c r="Q351" i="5"/>
  <c r="R351" i="5"/>
  <c r="S351" i="5"/>
  <c r="T351" i="5"/>
  <c r="U351" i="5"/>
  <c r="V351" i="5"/>
  <c r="W351" i="5"/>
  <c r="X351" i="5"/>
  <c r="AC351" i="5"/>
  <c r="B352" i="5"/>
  <c r="C352" i="5"/>
  <c r="D352" i="5"/>
  <c r="E352" i="5"/>
  <c r="F352" i="5"/>
  <c r="G352" i="5"/>
  <c r="H352" i="5"/>
  <c r="I352" i="5"/>
  <c r="J352" i="5"/>
  <c r="K352" i="5"/>
  <c r="L352" i="5"/>
  <c r="M352" i="5"/>
  <c r="AC352" i="5" s="1"/>
  <c r="N352" i="5"/>
  <c r="O352" i="5"/>
  <c r="P352" i="5"/>
  <c r="Q352" i="5"/>
  <c r="R352" i="5"/>
  <c r="S352" i="5"/>
  <c r="T352" i="5"/>
  <c r="U352" i="5"/>
  <c r="V352" i="5"/>
  <c r="W352" i="5"/>
  <c r="X352" i="5"/>
  <c r="AB352" i="5"/>
  <c r="B353" i="5"/>
  <c r="C353" i="5"/>
  <c r="D353" i="5"/>
  <c r="E353" i="5"/>
  <c r="F353" i="5"/>
  <c r="G353" i="5"/>
  <c r="H353" i="5"/>
  <c r="I353" i="5"/>
  <c r="J353" i="5"/>
  <c r="K353" i="5"/>
  <c r="L353" i="5"/>
  <c r="M353" i="5"/>
  <c r="N353" i="5"/>
  <c r="O353" i="5"/>
  <c r="P353" i="5"/>
  <c r="Q353" i="5"/>
  <c r="R353" i="5"/>
  <c r="S353" i="5"/>
  <c r="T353" i="5"/>
  <c r="U353" i="5"/>
  <c r="V353" i="5"/>
  <c r="W353" i="5"/>
  <c r="X353" i="5"/>
  <c r="AC353" i="5"/>
  <c r="B354" i="5"/>
  <c r="C354" i="5"/>
  <c r="D354" i="5"/>
  <c r="E354" i="5"/>
  <c r="F354" i="5"/>
  <c r="G354" i="5"/>
  <c r="H354" i="5"/>
  <c r="I354" i="5"/>
  <c r="J354" i="5"/>
  <c r="K354" i="5"/>
  <c r="L354" i="5"/>
  <c r="M354" i="5"/>
  <c r="AC354" i="5" s="1"/>
  <c r="N354" i="5"/>
  <c r="O354" i="5"/>
  <c r="P354" i="5"/>
  <c r="Q354" i="5"/>
  <c r="R354" i="5"/>
  <c r="S354" i="5"/>
  <c r="T354" i="5"/>
  <c r="U354" i="5"/>
  <c r="V354" i="5"/>
  <c r="W354" i="5"/>
  <c r="X354" i="5"/>
  <c r="AB354" i="5"/>
  <c r="B355" i="5"/>
  <c r="C355" i="5"/>
  <c r="D355" i="5"/>
  <c r="E355" i="5"/>
  <c r="F355" i="5"/>
  <c r="G355" i="5"/>
  <c r="H355" i="5"/>
  <c r="I355" i="5"/>
  <c r="J355" i="5"/>
  <c r="K355" i="5"/>
  <c r="L355" i="5"/>
  <c r="M355" i="5"/>
  <c r="N355" i="5"/>
  <c r="O355" i="5"/>
  <c r="P355" i="5"/>
  <c r="Q355" i="5"/>
  <c r="R355" i="5"/>
  <c r="S355" i="5"/>
  <c r="T355" i="5"/>
  <c r="U355" i="5"/>
  <c r="V355" i="5"/>
  <c r="W355" i="5"/>
  <c r="X355" i="5"/>
  <c r="AC355" i="5"/>
  <c r="B356" i="5"/>
  <c r="C356" i="5"/>
  <c r="D356" i="5"/>
  <c r="E356" i="5"/>
  <c r="F356" i="5"/>
  <c r="G356" i="5"/>
  <c r="H356" i="5"/>
  <c r="I356" i="5"/>
  <c r="J356" i="5"/>
  <c r="K356" i="5"/>
  <c r="L356" i="5"/>
  <c r="M356" i="5"/>
  <c r="AC356" i="5" s="1"/>
  <c r="N356" i="5"/>
  <c r="O356" i="5"/>
  <c r="P356" i="5"/>
  <c r="Q356" i="5"/>
  <c r="R356" i="5"/>
  <c r="S356" i="5"/>
  <c r="T356" i="5"/>
  <c r="U356" i="5"/>
  <c r="V356" i="5"/>
  <c r="W356" i="5"/>
  <c r="X356" i="5"/>
  <c r="AB356" i="5"/>
  <c r="B357" i="5"/>
  <c r="C357" i="5"/>
  <c r="D357" i="5"/>
  <c r="E357" i="5"/>
  <c r="F357" i="5"/>
  <c r="G357" i="5"/>
  <c r="H357" i="5"/>
  <c r="I357" i="5"/>
  <c r="J357" i="5"/>
  <c r="K357" i="5"/>
  <c r="L357" i="5"/>
  <c r="M357" i="5"/>
  <c r="N357" i="5"/>
  <c r="O357" i="5"/>
  <c r="P357" i="5"/>
  <c r="Q357" i="5"/>
  <c r="R357" i="5"/>
  <c r="S357" i="5"/>
  <c r="T357" i="5"/>
  <c r="U357" i="5"/>
  <c r="V357" i="5"/>
  <c r="W357" i="5"/>
  <c r="X357" i="5"/>
  <c r="AC357" i="5"/>
  <c r="B358" i="5"/>
  <c r="C358" i="5"/>
  <c r="D358" i="5"/>
  <c r="E358" i="5"/>
  <c r="F358" i="5"/>
  <c r="G358" i="5"/>
  <c r="H358" i="5"/>
  <c r="I358" i="5"/>
  <c r="J358" i="5"/>
  <c r="K358" i="5"/>
  <c r="L358" i="5"/>
  <c r="M358" i="5"/>
  <c r="AC358" i="5" s="1"/>
  <c r="N358" i="5"/>
  <c r="O358" i="5"/>
  <c r="P358" i="5"/>
  <c r="Q358" i="5"/>
  <c r="R358" i="5"/>
  <c r="S358" i="5"/>
  <c r="T358" i="5"/>
  <c r="U358" i="5"/>
  <c r="V358" i="5"/>
  <c r="W358" i="5"/>
  <c r="X358" i="5"/>
  <c r="AB358" i="5"/>
  <c r="B359" i="5"/>
  <c r="C359" i="5"/>
  <c r="D359" i="5"/>
  <c r="E359" i="5"/>
  <c r="F359" i="5"/>
  <c r="G359" i="5"/>
  <c r="H359" i="5"/>
  <c r="I359" i="5"/>
  <c r="J359" i="5"/>
  <c r="K359" i="5"/>
  <c r="L359" i="5"/>
  <c r="M359" i="5"/>
  <c r="N359" i="5"/>
  <c r="O359" i="5"/>
  <c r="P359" i="5"/>
  <c r="Q359" i="5"/>
  <c r="R359" i="5"/>
  <c r="S359" i="5"/>
  <c r="T359" i="5"/>
  <c r="U359" i="5"/>
  <c r="V359" i="5"/>
  <c r="W359" i="5"/>
  <c r="X359" i="5"/>
  <c r="AC359" i="5"/>
  <c r="B360" i="5"/>
  <c r="C360" i="5"/>
  <c r="D360" i="5"/>
  <c r="E360" i="5"/>
  <c r="F360" i="5"/>
  <c r="G360" i="5"/>
  <c r="H360" i="5"/>
  <c r="I360" i="5"/>
  <c r="J360" i="5"/>
  <c r="K360" i="5"/>
  <c r="L360" i="5"/>
  <c r="M360" i="5"/>
  <c r="AC360" i="5" s="1"/>
  <c r="N360" i="5"/>
  <c r="O360" i="5"/>
  <c r="P360" i="5"/>
  <c r="Q360" i="5"/>
  <c r="R360" i="5"/>
  <c r="S360" i="5"/>
  <c r="T360" i="5"/>
  <c r="U360" i="5"/>
  <c r="V360" i="5"/>
  <c r="W360" i="5"/>
  <c r="X360" i="5"/>
  <c r="AB360" i="5"/>
  <c r="B361" i="5"/>
  <c r="C361" i="5"/>
  <c r="D361" i="5"/>
  <c r="E361" i="5"/>
  <c r="F361" i="5"/>
  <c r="G361" i="5"/>
  <c r="H361" i="5"/>
  <c r="I361" i="5"/>
  <c r="J361" i="5"/>
  <c r="K361" i="5"/>
  <c r="L361" i="5"/>
  <c r="M361" i="5"/>
  <c r="N361" i="5"/>
  <c r="O361" i="5"/>
  <c r="P361" i="5"/>
  <c r="Q361" i="5"/>
  <c r="R361" i="5"/>
  <c r="S361" i="5"/>
  <c r="T361" i="5"/>
  <c r="U361" i="5"/>
  <c r="V361" i="5"/>
  <c r="W361" i="5"/>
  <c r="X361" i="5"/>
  <c r="AC361" i="5"/>
  <c r="B362" i="5"/>
  <c r="C362" i="5"/>
  <c r="D362" i="5"/>
  <c r="E362" i="5"/>
  <c r="F362" i="5"/>
  <c r="G362" i="5"/>
  <c r="H362" i="5"/>
  <c r="I362" i="5"/>
  <c r="J362" i="5"/>
  <c r="K362" i="5"/>
  <c r="L362" i="5"/>
  <c r="M362" i="5"/>
  <c r="AC362" i="5" s="1"/>
  <c r="N362" i="5"/>
  <c r="O362" i="5"/>
  <c r="P362" i="5"/>
  <c r="Q362" i="5"/>
  <c r="R362" i="5"/>
  <c r="S362" i="5"/>
  <c r="T362" i="5"/>
  <c r="U362" i="5"/>
  <c r="V362" i="5"/>
  <c r="W362" i="5"/>
  <c r="X362" i="5"/>
  <c r="AB362" i="5"/>
  <c r="B363" i="5"/>
  <c r="C363" i="5"/>
  <c r="D363" i="5"/>
  <c r="E363" i="5"/>
  <c r="F363" i="5"/>
  <c r="G363" i="5"/>
  <c r="H363" i="5"/>
  <c r="I363" i="5"/>
  <c r="J363" i="5"/>
  <c r="K363" i="5"/>
  <c r="L363" i="5"/>
  <c r="M363" i="5"/>
  <c r="N363" i="5"/>
  <c r="O363" i="5"/>
  <c r="P363" i="5"/>
  <c r="Q363" i="5"/>
  <c r="R363" i="5"/>
  <c r="S363" i="5"/>
  <c r="T363" i="5"/>
  <c r="U363" i="5"/>
  <c r="V363" i="5"/>
  <c r="W363" i="5"/>
  <c r="X363" i="5"/>
  <c r="AC363" i="5"/>
  <c r="B364" i="5"/>
  <c r="C364" i="5"/>
  <c r="D364" i="5"/>
  <c r="E364" i="5"/>
  <c r="F364" i="5"/>
  <c r="G364" i="5"/>
  <c r="H364" i="5"/>
  <c r="I364" i="5"/>
  <c r="J364" i="5"/>
  <c r="K364" i="5"/>
  <c r="L364" i="5"/>
  <c r="M364" i="5"/>
  <c r="AC364" i="5" s="1"/>
  <c r="N364" i="5"/>
  <c r="O364" i="5"/>
  <c r="P364" i="5"/>
  <c r="Q364" i="5"/>
  <c r="R364" i="5"/>
  <c r="S364" i="5"/>
  <c r="T364" i="5"/>
  <c r="U364" i="5"/>
  <c r="V364" i="5"/>
  <c r="W364" i="5"/>
  <c r="X364" i="5"/>
  <c r="AB364" i="5"/>
  <c r="B365" i="5"/>
  <c r="C365" i="5"/>
  <c r="D365" i="5"/>
  <c r="E365" i="5"/>
  <c r="F365" i="5"/>
  <c r="G365" i="5"/>
  <c r="H365" i="5"/>
  <c r="I365" i="5"/>
  <c r="J365" i="5"/>
  <c r="K365" i="5"/>
  <c r="L365" i="5"/>
  <c r="M365" i="5"/>
  <c r="N365" i="5"/>
  <c r="O365" i="5"/>
  <c r="P365" i="5"/>
  <c r="Q365" i="5"/>
  <c r="R365" i="5"/>
  <c r="S365" i="5"/>
  <c r="T365" i="5"/>
  <c r="U365" i="5"/>
  <c r="V365" i="5"/>
  <c r="W365" i="5"/>
  <c r="X365" i="5"/>
  <c r="AC365" i="5"/>
  <c r="B366" i="5"/>
  <c r="C366" i="5"/>
  <c r="D366" i="5"/>
  <c r="E366" i="5"/>
  <c r="F366" i="5"/>
  <c r="G366" i="5"/>
  <c r="H366" i="5"/>
  <c r="I366" i="5"/>
  <c r="J366" i="5"/>
  <c r="K366" i="5"/>
  <c r="L366" i="5"/>
  <c r="M366" i="5"/>
  <c r="AC366" i="5" s="1"/>
  <c r="N366" i="5"/>
  <c r="O366" i="5"/>
  <c r="P366" i="5"/>
  <c r="Q366" i="5"/>
  <c r="R366" i="5"/>
  <c r="S366" i="5"/>
  <c r="T366" i="5"/>
  <c r="U366" i="5"/>
  <c r="V366" i="5"/>
  <c r="W366" i="5"/>
  <c r="X366" i="5"/>
  <c r="AB366" i="5"/>
  <c r="B367" i="5"/>
  <c r="C367" i="5"/>
  <c r="D367" i="5"/>
  <c r="E367" i="5"/>
  <c r="F367" i="5"/>
  <c r="G367" i="5"/>
  <c r="H367" i="5"/>
  <c r="I367" i="5"/>
  <c r="J367" i="5"/>
  <c r="K367" i="5"/>
  <c r="L367" i="5"/>
  <c r="M367" i="5"/>
  <c r="N367" i="5"/>
  <c r="O367" i="5"/>
  <c r="P367" i="5"/>
  <c r="Q367" i="5"/>
  <c r="R367" i="5"/>
  <c r="S367" i="5"/>
  <c r="T367" i="5"/>
  <c r="U367" i="5"/>
  <c r="V367" i="5"/>
  <c r="W367" i="5"/>
  <c r="X367" i="5"/>
  <c r="AC367" i="5"/>
  <c r="B368" i="5"/>
  <c r="C368" i="5"/>
  <c r="D368" i="5"/>
  <c r="E368" i="5"/>
  <c r="F368" i="5"/>
  <c r="G368" i="5"/>
  <c r="H368" i="5"/>
  <c r="I368" i="5"/>
  <c r="J368" i="5"/>
  <c r="K368" i="5"/>
  <c r="L368" i="5"/>
  <c r="M368" i="5"/>
  <c r="AC368" i="5" s="1"/>
  <c r="N368" i="5"/>
  <c r="O368" i="5"/>
  <c r="P368" i="5"/>
  <c r="Q368" i="5"/>
  <c r="R368" i="5"/>
  <c r="S368" i="5"/>
  <c r="T368" i="5"/>
  <c r="U368" i="5"/>
  <c r="V368" i="5"/>
  <c r="W368" i="5"/>
  <c r="X368" i="5"/>
  <c r="AB368" i="5"/>
  <c r="B369" i="5"/>
  <c r="C369" i="5"/>
  <c r="D369" i="5"/>
  <c r="E369" i="5"/>
  <c r="F369" i="5"/>
  <c r="G369" i="5"/>
  <c r="H369" i="5"/>
  <c r="I369" i="5"/>
  <c r="J369" i="5"/>
  <c r="K369" i="5"/>
  <c r="L369" i="5"/>
  <c r="M369" i="5"/>
  <c r="N369" i="5"/>
  <c r="O369" i="5"/>
  <c r="P369" i="5"/>
  <c r="Q369" i="5"/>
  <c r="R369" i="5"/>
  <c r="S369" i="5"/>
  <c r="T369" i="5"/>
  <c r="U369" i="5"/>
  <c r="V369" i="5"/>
  <c r="W369" i="5"/>
  <c r="X369" i="5"/>
  <c r="AC369" i="5"/>
  <c r="B370" i="5"/>
  <c r="C370" i="5"/>
  <c r="D370" i="5"/>
  <c r="E370" i="5"/>
  <c r="F370" i="5"/>
  <c r="G370" i="5"/>
  <c r="H370" i="5"/>
  <c r="I370" i="5"/>
  <c r="J370" i="5"/>
  <c r="K370" i="5"/>
  <c r="L370" i="5"/>
  <c r="M370" i="5"/>
  <c r="AC370" i="5" s="1"/>
  <c r="N370" i="5"/>
  <c r="O370" i="5"/>
  <c r="P370" i="5"/>
  <c r="Q370" i="5"/>
  <c r="R370" i="5"/>
  <c r="S370" i="5"/>
  <c r="T370" i="5"/>
  <c r="U370" i="5"/>
  <c r="V370" i="5"/>
  <c r="W370" i="5"/>
  <c r="X370" i="5"/>
  <c r="AB370" i="5"/>
  <c r="B371" i="5"/>
  <c r="C371" i="5"/>
  <c r="D371" i="5"/>
  <c r="E371" i="5"/>
  <c r="F371" i="5"/>
  <c r="G371" i="5"/>
  <c r="H371" i="5"/>
  <c r="I371" i="5"/>
  <c r="J371" i="5"/>
  <c r="K371" i="5"/>
  <c r="L371" i="5"/>
  <c r="M371" i="5"/>
  <c r="N371" i="5"/>
  <c r="O371" i="5"/>
  <c r="P371" i="5"/>
  <c r="Q371" i="5"/>
  <c r="R371" i="5"/>
  <c r="S371" i="5"/>
  <c r="T371" i="5"/>
  <c r="U371" i="5"/>
  <c r="V371" i="5"/>
  <c r="W371" i="5"/>
  <c r="X371" i="5"/>
  <c r="AC371" i="5"/>
  <c r="B372" i="5"/>
  <c r="C372" i="5"/>
  <c r="D372" i="5"/>
  <c r="E372" i="5"/>
  <c r="F372" i="5"/>
  <c r="G372" i="5"/>
  <c r="H372" i="5"/>
  <c r="I372" i="5"/>
  <c r="J372" i="5"/>
  <c r="K372" i="5"/>
  <c r="L372" i="5"/>
  <c r="M372" i="5"/>
  <c r="AC372" i="5" s="1"/>
  <c r="N372" i="5"/>
  <c r="O372" i="5"/>
  <c r="P372" i="5"/>
  <c r="Q372" i="5"/>
  <c r="R372" i="5"/>
  <c r="S372" i="5"/>
  <c r="T372" i="5"/>
  <c r="U372" i="5"/>
  <c r="V372" i="5"/>
  <c r="W372" i="5"/>
  <c r="X372" i="5"/>
  <c r="AB372" i="5"/>
  <c r="B373" i="5"/>
  <c r="C373" i="5"/>
  <c r="D373" i="5"/>
  <c r="E373" i="5"/>
  <c r="F373" i="5"/>
  <c r="G373" i="5"/>
  <c r="H373" i="5"/>
  <c r="I373" i="5"/>
  <c r="J373" i="5"/>
  <c r="K373" i="5"/>
  <c r="L373" i="5"/>
  <c r="M373" i="5"/>
  <c r="N373" i="5"/>
  <c r="O373" i="5"/>
  <c r="P373" i="5"/>
  <c r="Q373" i="5"/>
  <c r="R373" i="5"/>
  <c r="S373" i="5"/>
  <c r="T373" i="5"/>
  <c r="U373" i="5"/>
  <c r="V373" i="5"/>
  <c r="W373" i="5"/>
  <c r="X373" i="5"/>
  <c r="AC373" i="5"/>
  <c r="B374" i="5"/>
  <c r="C374" i="5"/>
  <c r="D374" i="5"/>
  <c r="E374" i="5"/>
  <c r="F374" i="5"/>
  <c r="G374" i="5"/>
  <c r="H374" i="5"/>
  <c r="I374" i="5"/>
  <c r="J374" i="5"/>
  <c r="K374" i="5"/>
  <c r="L374" i="5"/>
  <c r="M374" i="5"/>
  <c r="AC374" i="5" s="1"/>
  <c r="N374" i="5"/>
  <c r="O374" i="5"/>
  <c r="P374" i="5"/>
  <c r="Q374" i="5"/>
  <c r="R374" i="5"/>
  <c r="S374" i="5"/>
  <c r="T374" i="5"/>
  <c r="U374" i="5"/>
  <c r="V374" i="5"/>
  <c r="W374" i="5"/>
  <c r="X374" i="5"/>
  <c r="AB374" i="5"/>
  <c r="B375" i="5"/>
  <c r="C375" i="5"/>
  <c r="D375" i="5"/>
  <c r="E375" i="5"/>
  <c r="F375" i="5"/>
  <c r="G375" i="5"/>
  <c r="H375" i="5"/>
  <c r="I375" i="5"/>
  <c r="J375" i="5"/>
  <c r="K375" i="5"/>
  <c r="L375" i="5"/>
  <c r="M375" i="5"/>
  <c r="N375" i="5"/>
  <c r="O375" i="5"/>
  <c r="P375" i="5"/>
  <c r="Q375" i="5"/>
  <c r="R375" i="5"/>
  <c r="S375" i="5"/>
  <c r="T375" i="5"/>
  <c r="U375" i="5"/>
  <c r="V375" i="5"/>
  <c r="W375" i="5"/>
  <c r="X375" i="5"/>
  <c r="AC375" i="5"/>
  <c r="B376" i="5"/>
  <c r="C376" i="5"/>
  <c r="D376" i="5"/>
  <c r="E376" i="5"/>
  <c r="F376" i="5"/>
  <c r="G376" i="5"/>
  <c r="H376" i="5"/>
  <c r="I376" i="5"/>
  <c r="J376" i="5"/>
  <c r="K376" i="5"/>
  <c r="L376" i="5"/>
  <c r="M376" i="5"/>
  <c r="AC376" i="5" s="1"/>
  <c r="N376" i="5"/>
  <c r="O376" i="5"/>
  <c r="P376" i="5"/>
  <c r="Q376" i="5"/>
  <c r="R376" i="5"/>
  <c r="S376" i="5"/>
  <c r="T376" i="5"/>
  <c r="U376" i="5"/>
  <c r="V376" i="5"/>
  <c r="W376" i="5"/>
  <c r="X376" i="5"/>
  <c r="AB376" i="5"/>
  <c r="B377" i="5"/>
  <c r="C377" i="5"/>
  <c r="D377" i="5"/>
  <c r="E377" i="5"/>
  <c r="F377" i="5"/>
  <c r="G377" i="5"/>
  <c r="H377" i="5"/>
  <c r="I377" i="5"/>
  <c r="J377" i="5"/>
  <c r="K377" i="5"/>
  <c r="L377" i="5"/>
  <c r="M377" i="5"/>
  <c r="N377" i="5"/>
  <c r="O377" i="5"/>
  <c r="P377" i="5"/>
  <c r="Q377" i="5"/>
  <c r="R377" i="5"/>
  <c r="S377" i="5"/>
  <c r="T377" i="5"/>
  <c r="U377" i="5"/>
  <c r="V377" i="5"/>
  <c r="W377" i="5"/>
  <c r="X377" i="5"/>
  <c r="AC377" i="5"/>
  <c r="B378" i="5"/>
  <c r="C378" i="5"/>
  <c r="D378" i="5"/>
  <c r="E378" i="5"/>
  <c r="F378" i="5"/>
  <c r="G378" i="5"/>
  <c r="H378" i="5"/>
  <c r="I378" i="5"/>
  <c r="J378" i="5"/>
  <c r="K378" i="5"/>
  <c r="L378" i="5"/>
  <c r="M378" i="5"/>
  <c r="AC378" i="5" s="1"/>
  <c r="N378" i="5"/>
  <c r="O378" i="5"/>
  <c r="P378" i="5"/>
  <c r="Q378" i="5"/>
  <c r="R378" i="5"/>
  <c r="S378" i="5"/>
  <c r="T378" i="5"/>
  <c r="U378" i="5"/>
  <c r="V378" i="5"/>
  <c r="W378" i="5"/>
  <c r="X378" i="5"/>
  <c r="AB378" i="5"/>
  <c r="B379" i="5"/>
  <c r="C379" i="5"/>
  <c r="D379" i="5"/>
  <c r="E379" i="5"/>
  <c r="F379" i="5"/>
  <c r="G379" i="5"/>
  <c r="H379" i="5"/>
  <c r="I379" i="5"/>
  <c r="J379" i="5"/>
  <c r="K379" i="5"/>
  <c r="L379" i="5"/>
  <c r="M379" i="5"/>
  <c r="N379" i="5"/>
  <c r="O379" i="5"/>
  <c r="P379" i="5"/>
  <c r="Q379" i="5"/>
  <c r="R379" i="5"/>
  <c r="S379" i="5"/>
  <c r="T379" i="5"/>
  <c r="U379" i="5"/>
  <c r="V379" i="5"/>
  <c r="W379" i="5"/>
  <c r="X379" i="5"/>
  <c r="AC379" i="5"/>
  <c r="B380" i="5"/>
  <c r="C380" i="5"/>
  <c r="D380" i="5"/>
  <c r="E380" i="5"/>
  <c r="F380" i="5"/>
  <c r="G380" i="5"/>
  <c r="H380" i="5"/>
  <c r="I380" i="5"/>
  <c r="J380" i="5"/>
  <c r="K380" i="5"/>
  <c r="L380" i="5"/>
  <c r="M380" i="5"/>
  <c r="AC380" i="5" s="1"/>
  <c r="N380" i="5"/>
  <c r="O380" i="5"/>
  <c r="P380" i="5"/>
  <c r="Q380" i="5"/>
  <c r="R380" i="5"/>
  <c r="S380" i="5"/>
  <c r="T380" i="5"/>
  <c r="U380" i="5"/>
  <c r="V380" i="5"/>
  <c r="W380" i="5"/>
  <c r="X380" i="5"/>
  <c r="AB380" i="5"/>
  <c r="B381" i="5"/>
  <c r="C381" i="5"/>
  <c r="D381" i="5"/>
  <c r="E381" i="5"/>
  <c r="F381" i="5"/>
  <c r="G381" i="5"/>
  <c r="H381" i="5"/>
  <c r="I381" i="5"/>
  <c r="J381" i="5"/>
  <c r="K381" i="5"/>
  <c r="L381" i="5"/>
  <c r="M381" i="5"/>
  <c r="N381" i="5"/>
  <c r="O381" i="5"/>
  <c r="P381" i="5"/>
  <c r="Q381" i="5"/>
  <c r="R381" i="5"/>
  <c r="S381" i="5"/>
  <c r="T381" i="5"/>
  <c r="U381" i="5"/>
  <c r="V381" i="5"/>
  <c r="W381" i="5"/>
  <c r="X381" i="5"/>
  <c r="AC381" i="5"/>
  <c r="B382" i="5"/>
  <c r="C382" i="5"/>
  <c r="D382" i="5"/>
  <c r="E382" i="5"/>
  <c r="F382" i="5"/>
  <c r="G382" i="5"/>
  <c r="H382" i="5"/>
  <c r="I382" i="5"/>
  <c r="J382" i="5"/>
  <c r="K382" i="5"/>
  <c r="L382" i="5"/>
  <c r="M382" i="5"/>
  <c r="AC382" i="5" s="1"/>
  <c r="N382" i="5"/>
  <c r="O382" i="5"/>
  <c r="P382" i="5"/>
  <c r="Q382" i="5"/>
  <c r="R382" i="5"/>
  <c r="S382" i="5"/>
  <c r="T382" i="5"/>
  <c r="U382" i="5"/>
  <c r="V382" i="5"/>
  <c r="W382" i="5"/>
  <c r="X382" i="5"/>
  <c r="AB382" i="5"/>
  <c r="B383" i="5"/>
  <c r="C383" i="5"/>
  <c r="D383" i="5"/>
  <c r="E383" i="5"/>
  <c r="F383" i="5"/>
  <c r="G383" i="5"/>
  <c r="H383" i="5"/>
  <c r="I383" i="5"/>
  <c r="J383" i="5"/>
  <c r="K383" i="5"/>
  <c r="L383" i="5"/>
  <c r="M383" i="5"/>
  <c r="N383" i="5"/>
  <c r="O383" i="5"/>
  <c r="P383" i="5"/>
  <c r="Q383" i="5"/>
  <c r="R383" i="5"/>
  <c r="S383" i="5"/>
  <c r="T383" i="5"/>
  <c r="U383" i="5"/>
  <c r="V383" i="5"/>
  <c r="W383" i="5"/>
  <c r="X383" i="5"/>
  <c r="AC383" i="5"/>
  <c r="B384" i="5"/>
  <c r="C384" i="5"/>
  <c r="D384" i="5"/>
  <c r="E384" i="5"/>
  <c r="F384" i="5"/>
  <c r="G384" i="5"/>
  <c r="H384" i="5"/>
  <c r="I384" i="5"/>
  <c r="J384" i="5"/>
  <c r="K384" i="5"/>
  <c r="L384" i="5"/>
  <c r="M384" i="5"/>
  <c r="AC384" i="5" s="1"/>
  <c r="N384" i="5"/>
  <c r="O384" i="5"/>
  <c r="P384" i="5"/>
  <c r="Q384" i="5"/>
  <c r="R384" i="5"/>
  <c r="S384" i="5"/>
  <c r="T384" i="5"/>
  <c r="U384" i="5"/>
  <c r="V384" i="5"/>
  <c r="W384" i="5"/>
  <c r="X384" i="5"/>
  <c r="AB384" i="5"/>
  <c r="B385" i="5"/>
  <c r="C385" i="5"/>
  <c r="D385" i="5"/>
  <c r="E385" i="5"/>
  <c r="F385" i="5"/>
  <c r="G385" i="5"/>
  <c r="H385" i="5"/>
  <c r="I385" i="5"/>
  <c r="J385" i="5"/>
  <c r="K385" i="5"/>
  <c r="L385" i="5"/>
  <c r="M385" i="5"/>
  <c r="N385" i="5"/>
  <c r="O385" i="5"/>
  <c r="P385" i="5"/>
  <c r="Q385" i="5"/>
  <c r="R385" i="5"/>
  <c r="S385" i="5"/>
  <c r="T385" i="5"/>
  <c r="U385" i="5"/>
  <c r="V385" i="5"/>
  <c r="W385" i="5"/>
  <c r="X385" i="5"/>
  <c r="AC385" i="5"/>
  <c r="B386" i="5"/>
  <c r="C386" i="5"/>
  <c r="D386" i="5"/>
  <c r="E386" i="5"/>
  <c r="F386" i="5"/>
  <c r="G386" i="5"/>
  <c r="H386" i="5"/>
  <c r="I386" i="5"/>
  <c r="J386" i="5"/>
  <c r="K386" i="5"/>
  <c r="L386" i="5"/>
  <c r="M386" i="5"/>
  <c r="AC386" i="5" s="1"/>
  <c r="N386" i="5"/>
  <c r="O386" i="5"/>
  <c r="P386" i="5"/>
  <c r="Q386" i="5"/>
  <c r="R386" i="5"/>
  <c r="S386" i="5"/>
  <c r="T386" i="5"/>
  <c r="U386" i="5"/>
  <c r="V386" i="5"/>
  <c r="W386" i="5"/>
  <c r="X386" i="5"/>
  <c r="AB386" i="5"/>
  <c r="B387" i="5"/>
  <c r="C387" i="5"/>
  <c r="D387" i="5"/>
  <c r="E387" i="5"/>
  <c r="F387" i="5"/>
  <c r="G387" i="5"/>
  <c r="H387" i="5"/>
  <c r="I387" i="5"/>
  <c r="J387" i="5"/>
  <c r="K387" i="5"/>
  <c r="L387" i="5"/>
  <c r="M387" i="5"/>
  <c r="N387" i="5"/>
  <c r="O387" i="5"/>
  <c r="P387" i="5"/>
  <c r="Q387" i="5"/>
  <c r="R387" i="5"/>
  <c r="S387" i="5"/>
  <c r="T387" i="5"/>
  <c r="U387" i="5"/>
  <c r="V387" i="5"/>
  <c r="W387" i="5"/>
  <c r="X387" i="5"/>
  <c r="AC387" i="5"/>
  <c r="B388" i="5"/>
  <c r="C388" i="5"/>
  <c r="D388" i="5"/>
  <c r="E388" i="5"/>
  <c r="F388" i="5"/>
  <c r="G388" i="5"/>
  <c r="H388" i="5"/>
  <c r="I388" i="5"/>
  <c r="J388" i="5"/>
  <c r="K388" i="5"/>
  <c r="L388" i="5"/>
  <c r="M388" i="5"/>
  <c r="AC388" i="5" s="1"/>
  <c r="N388" i="5"/>
  <c r="O388" i="5"/>
  <c r="P388" i="5"/>
  <c r="Q388" i="5"/>
  <c r="R388" i="5"/>
  <c r="S388" i="5"/>
  <c r="T388" i="5"/>
  <c r="U388" i="5"/>
  <c r="V388" i="5"/>
  <c r="W388" i="5"/>
  <c r="X388" i="5"/>
  <c r="AB388" i="5"/>
  <c r="B389" i="5"/>
  <c r="C389" i="5"/>
  <c r="D389" i="5"/>
  <c r="E389" i="5"/>
  <c r="F389" i="5"/>
  <c r="G389" i="5"/>
  <c r="H389" i="5"/>
  <c r="I389" i="5"/>
  <c r="J389" i="5"/>
  <c r="K389" i="5"/>
  <c r="L389" i="5"/>
  <c r="M389" i="5"/>
  <c r="N389" i="5"/>
  <c r="O389" i="5"/>
  <c r="P389" i="5"/>
  <c r="Q389" i="5"/>
  <c r="R389" i="5"/>
  <c r="S389" i="5"/>
  <c r="T389" i="5"/>
  <c r="U389" i="5"/>
  <c r="V389" i="5"/>
  <c r="W389" i="5"/>
  <c r="X389" i="5"/>
  <c r="AC389" i="5"/>
  <c r="B390" i="5"/>
  <c r="C390" i="5"/>
  <c r="D390" i="5"/>
  <c r="E390" i="5"/>
  <c r="F390" i="5"/>
  <c r="G390" i="5"/>
  <c r="H390" i="5"/>
  <c r="I390" i="5"/>
  <c r="J390" i="5"/>
  <c r="K390" i="5"/>
  <c r="L390" i="5"/>
  <c r="M390" i="5"/>
  <c r="AC390" i="5" s="1"/>
  <c r="N390" i="5"/>
  <c r="O390" i="5"/>
  <c r="P390" i="5"/>
  <c r="Q390" i="5"/>
  <c r="R390" i="5"/>
  <c r="S390" i="5"/>
  <c r="T390" i="5"/>
  <c r="U390" i="5"/>
  <c r="V390" i="5"/>
  <c r="W390" i="5"/>
  <c r="X390" i="5"/>
  <c r="AB390" i="5"/>
  <c r="B391" i="5"/>
  <c r="C391" i="5"/>
  <c r="D391" i="5"/>
  <c r="E391" i="5"/>
  <c r="F391" i="5"/>
  <c r="G391" i="5"/>
  <c r="H391" i="5"/>
  <c r="I391" i="5"/>
  <c r="J391" i="5"/>
  <c r="K391" i="5"/>
  <c r="L391" i="5"/>
  <c r="M391" i="5"/>
  <c r="N391" i="5"/>
  <c r="O391" i="5"/>
  <c r="P391" i="5"/>
  <c r="Q391" i="5"/>
  <c r="R391" i="5"/>
  <c r="S391" i="5"/>
  <c r="T391" i="5"/>
  <c r="U391" i="5"/>
  <c r="V391" i="5"/>
  <c r="W391" i="5"/>
  <c r="X391" i="5"/>
  <c r="AC391" i="5"/>
  <c r="B392" i="5"/>
  <c r="C392" i="5"/>
  <c r="D392" i="5"/>
  <c r="E392" i="5"/>
  <c r="F392" i="5"/>
  <c r="G392" i="5"/>
  <c r="H392" i="5"/>
  <c r="I392" i="5"/>
  <c r="J392" i="5"/>
  <c r="K392" i="5"/>
  <c r="L392" i="5"/>
  <c r="M392" i="5"/>
  <c r="AC392" i="5" s="1"/>
  <c r="N392" i="5"/>
  <c r="O392" i="5"/>
  <c r="P392" i="5"/>
  <c r="Q392" i="5"/>
  <c r="R392" i="5"/>
  <c r="S392" i="5"/>
  <c r="T392" i="5"/>
  <c r="U392" i="5"/>
  <c r="V392" i="5"/>
  <c r="W392" i="5"/>
  <c r="X392" i="5"/>
  <c r="AB392" i="5"/>
  <c r="B393" i="5"/>
  <c r="C393" i="5"/>
  <c r="D393" i="5"/>
  <c r="E393" i="5"/>
  <c r="F393" i="5"/>
  <c r="G393" i="5"/>
  <c r="H393" i="5"/>
  <c r="I393" i="5"/>
  <c r="J393" i="5"/>
  <c r="K393" i="5"/>
  <c r="L393" i="5"/>
  <c r="M393" i="5"/>
  <c r="N393" i="5"/>
  <c r="O393" i="5"/>
  <c r="P393" i="5"/>
  <c r="Q393" i="5"/>
  <c r="R393" i="5"/>
  <c r="S393" i="5"/>
  <c r="T393" i="5"/>
  <c r="U393" i="5"/>
  <c r="V393" i="5"/>
  <c r="W393" i="5"/>
  <c r="X393" i="5"/>
  <c r="AC393" i="5"/>
  <c r="B394" i="5"/>
  <c r="C394" i="5"/>
  <c r="D394" i="5"/>
  <c r="E394" i="5"/>
  <c r="F394" i="5"/>
  <c r="G394" i="5"/>
  <c r="H394" i="5"/>
  <c r="I394" i="5"/>
  <c r="J394" i="5"/>
  <c r="K394" i="5"/>
  <c r="L394" i="5"/>
  <c r="M394" i="5"/>
  <c r="AC394" i="5" s="1"/>
  <c r="N394" i="5"/>
  <c r="O394" i="5"/>
  <c r="P394" i="5"/>
  <c r="Q394" i="5"/>
  <c r="R394" i="5"/>
  <c r="S394" i="5"/>
  <c r="T394" i="5"/>
  <c r="U394" i="5"/>
  <c r="V394" i="5"/>
  <c r="W394" i="5"/>
  <c r="X394" i="5"/>
  <c r="AB394" i="5"/>
  <c r="B395" i="5"/>
  <c r="C395" i="5"/>
  <c r="D395" i="5"/>
  <c r="E395" i="5"/>
  <c r="F395" i="5"/>
  <c r="G395" i="5"/>
  <c r="H395" i="5"/>
  <c r="I395" i="5"/>
  <c r="J395" i="5"/>
  <c r="K395" i="5"/>
  <c r="L395" i="5"/>
  <c r="M395" i="5"/>
  <c r="N395" i="5"/>
  <c r="O395" i="5"/>
  <c r="P395" i="5"/>
  <c r="Q395" i="5"/>
  <c r="R395" i="5"/>
  <c r="S395" i="5"/>
  <c r="T395" i="5"/>
  <c r="U395" i="5"/>
  <c r="V395" i="5"/>
  <c r="W395" i="5"/>
  <c r="X395" i="5"/>
  <c r="AC395" i="5"/>
  <c r="B396" i="5"/>
  <c r="C396" i="5"/>
  <c r="D396" i="5"/>
  <c r="E396" i="5"/>
  <c r="F396" i="5"/>
  <c r="G396" i="5"/>
  <c r="H396" i="5"/>
  <c r="I396" i="5"/>
  <c r="J396" i="5"/>
  <c r="K396" i="5"/>
  <c r="L396" i="5"/>
  <c r="M396" i="5"/>
  <c r="AC396" i="5" s="1"/>
  <c r="N396" i="5"/>
  <c r="O396" i="5"/>
  <c r="P396" i="5"/>
  <c r="Q396" i="5"/>
  <c r="R396" i="5"/>
  <c r="S396" i="5"/>
  <c r="T396" i="5"/>
  <c r="U396" i="5"/>
  <c r="V396" i="5"/>
  <c r="W396" i="5"/>
  <c r="X396" i="5"/>
  <c r="AB396" i="5"/>
  <c r="B397" i="5"/>
  <c r="C397" i="5"/>
  <c r="D397" i="5"/>
  <c r="E397" i="5"/>
  <c r="F397" i="5"/>
  <c r="G397" i="5"/>
  <c r="H397" i="5"/>
  <c r="I397" i="5"/>
  <c r="J397" i="5"/>
  <c r="K397" i="5"/>
  <c r="L397" i="5"/>
  <c r="M397" i="5"/>
  <c r="N397" i="5"/>
  <c r="O397" i="5"/>
  <c r="P397" i="5"/>
  <c r="Q397" i="5"/>
  <c r="R397" i="5"/>
  <c r="S397" i="5"/>
  <c r="T397" i="5"/>
  <c r="U397" i="5"/>
  <c r="V397" i="5"/>
  <c r="W397" i="5"/>
  <c r="X397" i="5"/>
  <c r="AC397" i="5"/>
  <c r="B398" i="5"/>
  <c r="C398" i="5"/>
  <c r="D398" i="5"/>
  <c r="E398" i="5"/>
  <c r="F398" i="5"/>
  <c r="G398" i="5"/>
  <c r="H398" i="5"/>
  <c r="I398" i="5"/>
  <c r="J398" i="5"/>
  <c r="K398" i="5"/>
  <c r="L398" i="5"/>
  <c r="M398" i="5"/>
  <c r="AC398" i="5" s="1"/>
  <c r="N398" i="5"/>
  <c r="O398" i="5"/>
  <c r="P398" i="5"/>
  <c r="Q398" i="5"/>
  <c r="R398" i="5"/>
  <c r="S398" i="5"/>
  <c r="T398" i="5"/>
  <c r="U398" i="5"/>
  <c r="V398" i="5"/>
  <c r="W398" i="5"/>
  <c r="X398" i="5"/>
  <c r="AB398" i="5"/>
  <c r="B399" i="5"/>
  <c r="C399" i="5"/>
  <c r="D399" i="5"/>
  <c r="E399" i="5"/>
  <c r="F399" i="5"/>
  <c r="G399" i="5"/>
  <c r="H399" i="5"/>
  <c r="I399" i="5"/>
  <c r="J399" i="5"/>
  <c r="K399" i="5"/>
  <c r="L399" i="5"/>
  <c r="M399" i="5"/>
  <c r="N399" i="5"/>
  <c r="O399" i="5"/>
  <c r="P399" i="5"/>
  <c r="Q399" i="5"/>
  <c r="R399" i="5"/>
  <c r="S399" i="5"/>
  <c r="T399" i="5"/>
  <c r="U399" i="5"/>
  <c r="V399" i="5"/>
  <c r="W399" i="5"/>
  <c r="X399" i="5"/>
  <c r="AC399" i="5"/>
  <c r="B400" i="5"/>
  <c r="C400" i="5"/>
  <c r="D400" i="5"/>
  <c r="E400" i="5"/>
  <c r="F400" i="5"/>
  <c r="G400" i="5"/>
  <c r="H400" i="5"/>
  <c r="I400" i="5"/>
  <c r="J400" i="5"/>
  <c r="K400" i="5"/>
  <c r="L400" i="5"/>
  <c r="M400" i="5"/>
  <c r="AC400" i="5" s="1"/>
  <c r="N400" i="5"/>
  <c r="O400" i="5"/>
  <c r="P400" i="5"/>
  <c r="Q400" i="5"/>
  <c r="R400" i="5"/>
  <c r="S400" i="5"/>
  <c r="T400" i="5"/>
  <c r="U400" i="5"/>
  <c r="V400" i="5"/>
  <c r="W400" i="5"/>
  <c r="X400" i="5"/>
  <c r="AB400" i="5"/>
  <c r="B401" i="5"/>
  <c r="C401" i="5"/>
  <c r="D401" i="5"/>
  <c r="E401" i="5"/>
  <c r="F401" i="5"/>
  <c r="G401" i="5"/>
  <c r="H401" i="5"/>
  <c r="I401" i="5"/>
  <c r="J401" i="5"/>
  <c r="K401" i="5"/>
  <c r="L401" i="5"/>
  <c r="M401" i="5"/>
  <c r="N401" i="5"/>
  <c r="O401" i="5"/>
  <c r="P401" i="5"/>
  <c r="Q401" i="5"/>
  <c r="R401" i="5"/>
  <c r="S401" i="5"/>
  <c r="T401" i="5"/>
  <c r="U401" i="5"/>
  <c r="V401" i="5"/>
  <c r="W401" i="5"/>
  <c r="X401" i="5"/>
  <c r="AC401" i="5"/>
  <c r="B402" i="5"/>
  <c r="C402" i="5"/>
  <c r="D402" i="5"/>
  <c r="E402" i="5"/>
  <c r="F402" i="5"/>
  <c r="G402" i="5"/>
  <c r="H402" i="5"/>
  <c r="I402" i="5"/>
  <c r="J402" i="5"/>
  <c r="K402" i="5"/>
  <c r="L402" i="5"/>
  <c r="M402" i="5"/>
  <c r="AC402" i="5" s="1"/>
  <c r="N402" i="5"/>
  <c r="O402" i="5"/>
  <c r="P402" i="5"/>
  <c r="Q402" i="5"/>
  <c r="R402" i="5"/>
  <c r="S402" i="5"/>
  <c r="T402" i="5"/>
  <c r="U402" i="5"/>
  <c r="V402" i="5"/>
  <c r="W402" i="5"/>
  <c r="X402" i="5"/>
  <c r="AB402" i="5"/>
  <c r="B403" i="5"/>
  <c r="C403" i="5"/>
  <c r="D403" i="5"/>
  <c r="E403" i="5"/>
  <c r="F403" i="5"/>
  <c r="G403" i="5"/>
  <c r="H403" i="5"/>
  <c r="I403" i="5"/>
  <c r="J403" i="5"/>
  <c r="K403" i="5"/>
  <c r="L403" i="5"/>
  <c r="M403" i="5"/>
  <c r="N403" i="5"/>
  <c r="O403" i="5"/>
  <c r="P403" i="5"/>
  <c r="Q403" i="5"/>
  <c r="R403" i="5"/>
  <c r="S403" i="5"/>
  <c r="T403" i="5"/>
  <c r="U403" i="5"/>
  <c r="V403" i="5"/>
  <c r="W403" i="5"/>
  <c r="X403" i="5"/>
  <c r="AC403" i="5"/>
  <c r="B404" i="5"/>
  <c r="C404" i="5"/>
  <c r="D404" i="5"/>
  <c r="E404" i="5"/>
  <c r="F404" i="5"/>
  <c r="G404" i="5"/>
  <c r="H404" i="5"/>
  <c r="I404" i="5"/>
  <c r="J404" i="5"/>
  <c r="K404" i="5"/>
  <c r="L404" i="5"/>
  <c r="M404" i="5"/>
  <c r="AC404" i="5" s="1"/>
  <c r="N404" i="5"/>
  <c r="O404" i="5"/>
  <c r="P404" i="5"/>
  <c r="Q404" i="5"/>
  <c r="R404" i="5"/>
  <c r="S404" i="5"/>
  <c r="T404" i="5"/>
  <c r="U404" i="5"/>
  <c r="V404" i="5"/>
  <c r="W404" i="5"/>
  <c r="X404" i="5"/>
  <c r="AB404" i="5"/>
  <c r="B405" i="5"/>
  <c r="C405" i="5"/>
  <c r="D405" i="5"/>
  <c r="E405" i="5"/>
  <c r="F405" i="5"/>
  <c r="G405" i="5"/>
  <c r="H405" i="5"/>
  <c r="I405" i="5"/>
  <c r="J405" i="5"/>
  <c r="K405" i="5"/>
  <c r="L405" i="5"/>
  <c r="M405" i="5"/>
  <c r="N405" i="5"/>
  <c r="O405" i="5"/>
  <c r="P405" i="5"/>
  <c r="Q405" i="5"/>
  <c r="R405" i="5"/>
  <c r="S405" i="5"/>
  <c r="T405" i="5"/>
  <c r="U405" i="5"/>
  <c r="V405" i="5"/>
  <c r="W405" i="5"/>
  <c r="X405" i="5"/>
  <c r="AC405" i="5"/>
  <c r="B406" i="5"/>
  <c r="C406" i="5"/>
  <c r="D406" i="5"/>
  <c r="E406" i="5"/>
  <c r="F406" i="5"/>
  <c r="G406" i="5"/>
  <c r="H406" i="5"/>
  <c r="I406" i="5"/>
  <c r="J406" i="5"/>
  <c r="K406" i="5"/>
  <c r="L406" i="5"/>
  <c r="M406" i="5"/>
  <c r="AC406" i="5" s="1"/>
  <c r="N406" i="5"/>
  <c r="O406" i="5"/>
  <c r="P406" i="5"/>
  <c r="Q406" i="5"/>
  <c r="R406" i="5"/>
  <c r="S406" i="5"/>
  <c r="T406" i="5"/>
  <c r="U406" i="5"/>
  <c r="V406" i="5"/>
  <c r="W406" i="5"/>
  <c r="X406" i="5"/>
  <c r="AB406" i="5"/>
  <c r="B407" i="5"/>
  <c r="C407" i="5"/>
  <c r="D407" i="5"/>
  <c r="E407" i="5"/>
  <c r="F407" i="5"/>
  <c r="G407" i="5"/>
  <c r="H407" i="5"/>
  <c r="I407" i="5"/>
  <c r="J407" i="5"/>
  <c r="K407" i="5"/>
  <c r="L407" i="5"/>
  <c r="M407" i="5"/>
  <c r="N407" i="5"/>
  <c r="O407" i="5"/>
  <c r="P407" i="5"/>
  <c r="Q407" i="5"/>
  <c r="R407" i="5"/>
  <c r="S407" i="5"/>
  <c r="T407" i="5"/>
  <c r="U407" i="5"/>
  <c r="V407" i="5"/>
  <c r="W407" i="5"/>
  <c r="X407" i="5"/>
  <c r="AC407" i="5"/>
  <c r="B408" i="5"/>
  <c r="C408" i="5"/>
  <c r="D408" i="5"/>
  <c r="E408" i="5"/>
  <c r="F408" i="5"/>
  <c r="G408" i="5"/>
  <c r="H408" i="5"/>
  <c r="I408" i="5"/>
  <c r="J408" i="5"/>
  <c r="K408" i="5"/>
  <c r="L408" i="5"/>
  <c r="M408" i="5"/>
  <c r="AC408" i="5" s="1"/>
  <c r="N408" i="5"/>
  <c r="O408" i="5"/>
  <c r="P408" i="5"/>
  <c r="Q408" i="5"/>
  <c r="R408" i="5"/>
  <c r="S408" i="5"/>
  <c r="T408" i="5"/>
  <c r="U408" i="5"/>
  <c r="V408" i="5"/>
  <c r="W408" i="5"/>
  <c r="X408" i="5"/>
  <c r="AB408" i="5"/>
  <c r="B409" i="5"/>
  <c r="C409" i="5"/>
  <c r="D409" i="5"/>
  <c r="E409" i="5"/>
  <c r="F409" i="5"/>
  <c r="G409" i="5"/>
  <c r="H409" i="5"/>
  <c r="I409" i="5"/>
  <c r="J409" i="5"/>
  <c r="K409" i="5"/>
  <c r="L409" i="5"/>
  <c r="M409" i="5"/>
  <c r="N409" i="5"/>
  <c r="O409" i="5"/>
  <c r="P409" i="5"/>
  <c r="Q409" i="5"/>
  <c r="R409" i="5"/>
  <c r="S409" i="5"/>
  <c r="T409" i="5"/>
  <c r="U409" i="5"/>
  <c r="V409" i="5"/>
  <c r="W409" i="5"/>
  <c r="X409" i="5"/>
  <c r="AC409" i="5"/>
  <c r="B410" i="5"/>
  <c r="C410" i="5"/>
  <c r="D410" i="5"/>
  <c r="E410" i="5"/>
  <c r="F410" i="5"/>
  <c r="G410" i="5"/>
  <c r="H410" i="5"/>
  <c r="I410" i="5"/>
  <c r="J410" i="5"/>
  <c r="K410" i="5"/>
  <c r="L410" i="5"/>
  <c r="M410" i="5"/>
  <c r="AC410" i="5" s="1"/>
  <c r="N410" i="5"/>
  <c r="O410" i="5"/>
  <c r="P410" i="5"/>
  <c r="Q410" i="5"/>
  <c r="R410" i="5"/>
  <c r="S410" i="5"/>
  <c r="T410" i="5"/>
  <c r="U410" i="5"/>
  <c r="V410" i="5"/>
  <c r="W410" i="5"/>
  <c r="X410" i="5"/>
  <c r="AB410" i="5"/>
  <c r="B411" i="5"/>
  <c r="C411" i="5"/>
  <c r="D411" i="5"/>
  <c r="E411" i="5"/>
  <c r="F411" i="5"/>
  <c r="G411" i="5"/>
  <c r="H411" i="5"/>
  <c r="I411" i="5"/>
  <c r="J411" i="5"/>
  <c r="K411" i="5"/>
  <c r="L411" i="5"/>
  <c r="M411" i="5"/>
  <c r="N411" i="5"/>
  <c r="O411" i="5"/>
  <c r="P411" i="5"/>
  <c r="Q411" i="5"/>
  <c r="R411" i="5"/>
  <c r="S411" i="5"/>
  <c r="T411" i="5"/>
  <c r="U411" i="5"/>
  <c r="V411" i="5"/>
  <c r="W411" i="5"/>
  <c r="X411" i="5"/>
  <c r="AC411" i="5"/>
  <c r="B412" i="5"/>
  <c r="C412" i="5"/>
  <c r="D412" i="5"/>
  <c r="E412" i="5"/>
  <c r="F412" i="5"/>
  <c r="G412" i="5"/>
  <c r="H412" i="5"/>
  <c r="I412" i="5"/>
  <c r="J412" i="5"/>
  <c r="K412" i="5"/>
  <c r="L412" i="5"/>
  <c r="M412" i="5"/>
  <c r="AC412" i="5" s="1"/>
  <c r="N412" i="5"/>
  <c r="O412" i="5"/>
  <c r="P412" i="5"/>
  <c r="Q412" i="5"/>
  <c r="R412" i="5"/>
  <c r="S412" i="5"/>
  <c r="T412" i="5"/>
  <c r="U412" i="5"/>
  <c r="V412" i="5"/>
  <c r="W412" i="5"/>
  <c r="X412" i="5"/>
  <c r="AB412" i="5"/>
  <c r="B413" i="5"/>
  <c r="C413" i="5"/>
  <c r="D413" i="5"/>
  <c r="E413" i="5"/>
  <c r="F413" i="5"/>
  <c r="G413" i="5"/>
  <c r="H413" i="5"/>
  <c r="I413" i="5"/>
  <c r="J413" i="5"/>
  <c r="K413" i="5"/>
  <c r="L413" i="5"/>
  <c r="M413" i="5"/>
  <c r="N413" i="5"/>
  <c r="O413" i="5"/>
  <c r="P413" i="5"/>
  <c r="Q413" i="5"/>
  <c r="R413" i="5"/>
  <c r="S413" i="5"/>
  <c r="T413" i="5"/>
  <c r="U413" i="5"/>
  <c r="V413" i="5"/>
  <c r="W413" i="5"/>
  <c r="X413" i="5"/>
  <c r="AC413" i="5"/>
  <c r="B414" i="5"/>
  <c r="C414" i="5"/>
  <c r="D414" i="5"/>
  <c r="E414" i="5"/>
  <c r="F414" i="5"/>
  <c r="G414" i="5"/>
  <c r="H414" i="5"/>
  <c r="I414" i="5"/>
  <c r="J414" i="5"/>
  <c r="K414" i="5"/>
  <c r="L414" i="5"/>
  <c r="M414" i="5"/>
  <c r="AC414" i="5" s="1"/>
  <c r="N414" i="5"/>
  <c r="O414" i="5"/>
  <c r="P414" i="5"/>
  <c r="Q414" i="5"/>
  <c r="R414" i="5"/>
  <c r="S414" i="5"/>
  <c r="T414" i="5"/>
  <c r="U414" i="5"/>
  <c r="V414" i="5"/>
  <c r="W414" i="5"/>
  <c r="X414" i="5"/>
  <c r="AB414" i="5"/>
  <c r="B415" i="5"/>
  <c r="C415" i="5"/>
  <c r="D415" i="5"/>
  <c r="E415" i="5"/>
  <c r="F415" i="5"/>
  <c r="G415" i="5"/>
  <c r="H415" i="5"/>
  <c r="I415" i="5"/>
  <c r="J415" i="5"/>
  <c r="K415" i="5"/>
  <c r="L415" i="5"/>
  <c r="M415" i="5"/>
  <c r="N415" i="5"/>
  <c r="O415" i="5"/>
  <c r="P415" i="5"/>
  <c r="Q415" i="5"/>
  <c r="R415" i="5"/>
  <c r="S415" i="5"/>
  <c r="T415" i="5"/>
  <c r="U415" i="5"/>
  <c r="V415" i="5"/>
  <c r="W415" i="5"/>
  <c r="X415" i="5"/>
  <c r="AC415" i="5"/>
  <c r="B416" i="5"/>
  <c r="C416" i="5"/>
  <c r="D416" i="5"/>
  <c r="E416" i="5"/>
  <c r="F416" i="5"/>
  <c r="G416" i="5"/>
  <c r="H416" i="5"/>
  <c r="I416" i="5"/>
  <c r="J416" i="5"/>
  <c r="K416" i="5"/>
  <c r="L416" i="5"/>
  <c r="M416" i="5"/>
  <c r="AC416" i="5" s="1"/>
  <c r="N416" i="5"/>
  <c r="O416" i="5"/>
  <c r="P416" i="5"/>
  <c r="Q416" i="5"/>
  <c r="R416" i="5"/>
  <c r="S416" i="5"/>
  <c r="T416" i="5"/>
  <c r="U416" i="5"/>
  <c r="V416" i="5"/>
  <c r="W416" i="5"/>
  <c r="X416" i="5"/>
  <c r="AB416" i="5"/>
  <c r="B417" i="5"/>
  <c r="C417" i="5"/>
  <c r="D417" i="5"/>
  <c r="E417" i="5"/>
  <c r="F417" i="5"/>
  <c r="G417" i="5"/>
  <c r="H417" i="5"/>
  <c r="I417" i="5"/>
  <c r="J417" i="5"/>
  <c r="K417" i="5"/>
  <c r="L417" i="5"/>
  <c r="M417" i="5"/>
  <c r="N417" i="5"/>
  <c r="O417" i="5"/>
  <c r="P417" i="5"/>
  <c r="Q417" i="5"/>
  <c r="R417" i="5"/>
  <c r="S417" i="5"/>
  <c r="T417" i="5"/>
  <c r="U417" i="5"/>
  <c r="V417" i="5"/>
  <c r="W417" i="5"/>
  <c r="X417" i="5"/>
  <c r="AC417" i="5"/>
  <c r="B418" i="5"/>
  <c r="C418" i="5"/>
  <c r="D418" i="5"/>
  <c r="E418" i="5"/>
  <c r="F418" i="5"/>
  <c r="G418" i="5"/>
  <c r="H418" i="5"/>
  <c r="I418" i="5"/>
  <c r="J418" i="5"/>
  <c r="K418" i="5"/>
  <c r="L418" i="5"/>
  <c r="M418" i="5"/>
  <c r="AC418" i="5" s="1"/>
  <c r="N418" i="5"/>
  <c r="O418" i="5"/>
  <c r="P418" i="5"/>
  <c r="Q418" i="5"/>
  <c r="R418" i="5"/>
  <c r="S418" i="5"/>
  <c r="T418" i="5"/>
  <c r="U418" i="5"/>
  <c r="V418" i="5"/>
  <c r="W418" i="5"/>
  <c r="X418" i="5"/>
  <c r="AB418" i="5"/>
  <c r="B419" i="5"/>
  <c r="C419" i="5"/>
  <c r="D419" i="5"/>
  <c r="E419" i="5"/>
  <c r="F419" i="5"/>
  <c r="G419" i="5"/>
  <c r="H419" i="5"/>
  <c r="I419" i="5"/>
  <c r="J419" i="5"/>
  <c r="K419" i="5"/>
  <c r="L419" i="5"/>
  <c r="M419" i="5"/>
  <c r="N419" i="5"/>
  <c r="O419" i="5"/>
  <c r="P419" i="5"/>
  <c r="Q419" i="5"/>
  <c r="R419" i="5"/>
  <c r="S419" i="5"/>
  <c r="T419" i="5"/>
  <c r="U419" i="5"/>
  <c r="V419" i="5"/>
  <c r="W419" i="5"/>
  <c r="X419" i="5"/>
  <c r="AC419" i="5"/>
  <c r="B420" i="5"/>
  <c r="C420" i="5"/>
  <c r="D420" i="5"/>
  <c r="E420" i="5"/>
  <c r="F420" i="5"/>
  <c r="G420" i="5"/>
  <c r="H420" i="5"/>
  <c r="I420" i="5"/>
  <c r="J420" i="5"/>
  <c r="K420" i="5"/>
  <c r="L420" i="5"/>
  <c r="M420" i="5"/>
  <c r="AC420" i="5" s="1"/>
  <c r="N420" i="5"/>
  <c r="O420" i="5"/>
  <c r="P420" i="5"/>
  <c r="Q420" i="5"/>
  <c r="R420" i="5"/>
  <c r="S420" i="5"/>
  <c r="T420" i="5"/>
  <c r="U420" i="5"/>
  <c r="V420" i="5"/>
  <c r="W420" i="5"/>
  <c r="X420" i="5"/>
  <c r="AB420" i="5"/>
  <c r="B421" i="5"/>
  <c r="C421" i="5"/>
  <c r="D421" i="5"/>
  <c r="E421" i="5"/>
  <c r="F421" i="5"/>
  <c r="G421" i="5"/>
  <c r="H421" i="5"/>
  <c r="I421" i="5"/>
  <c r="J421" i="5"/>
  <c r="K421" i="5"/>
  <c r="L421" i="5"/>
  <c r="M421" i="5"/>
  <c r="N421" i="5"/>
  <c r="O421" i="5"/>
  <c r="P421" i="5"/>
  <c r="Q421" i="5"/>
  <c r="R421" i="5"/>
  <c r="S421" i="5"/>
  <c r="T421" i="5"/>
  <c r="U421" i="5"/>
  <c r="V421" i="5"/>
  <c r="W421" i="5"/>
  <c r="X421" i="5"/>
  <c r="AC421" i="5"/>
  <c r="B422" i="5"/>
  <c r="C422" i="5"/>
  <c r="D422" i="5"/>
  <c r="E422" i="5"/>
  <c r="F422" i="5"/>
  <c r="G422" i="5"/>
  <c r="H422" i="5"/>
  <c r="I422" i="5"/>
  <c r="J422" i="5"/>
  <c r="K422" i="5"/>
  <c r="L422" i="5"/>
  <c r="M422" i="5"/>
  <c r="AC422" i="5" s="1"/>
  <c r="N422" i="5"/>
  <c r="O422" i="5"/>
  <c r="P422" i="5"/>
  <c r="Q422" i="5"/>
  <c r="R422" i="5"/>
  <c r="S422" i="5"/>
  <c r="T422" i="5"/>
  <c r="U422" i="5"/>
  <c r="V422" i="5"/>
  <c r="W422" i="5"/>
  <c r="X422" i="5"/>
  <c r="AB422" i="5"/>
  <c r="B423" i="5"/>
  <c r="C423" i="5"/>
  <c r="D423" i="5"/>
  <c r="E423" i="5"/>
  <c r="F423" i="5"/>
  <c r="G423" i="5"/>
  <c r="H423" i="5"/>
  <c r="I423" i="5"/>
  <c r="J423" i="5"/>
  <c r="K423" i="5"/>
  <c r="L423" i="5"/>
  <c r="M423" i="5"/>
  <c r="N423" i="5"/>
  <c r="O423" i="5"/>
  <c r="P423" i="5"/>
  <c r="Q423" i="5"/>
  <c r="R423" i="5"/>
  <c r="S423" i="5"/>
  <c r="T423" i="5"/>
  <c r="U423" i="5"/>
  <c r="V423" i="5"/>
  <c r="W423" i="5"/>
  <c r="X423" i="5"/>
  <c r="AC423" i="5"/>
  <c r="B424" i="5"/>
  <c r="C424" i="5"/>
  <c r="D424" i="5"/>
  <c r="E424" i="5"/>
  <c r="F424" i="5"/>
  <c r="G424" i="5"/>
  <c r="H424" i="5"/>
  <c r="I424" i="5"/>
  <c r="J424" i="5"/>
  <c r="K424" i="5"/>
  <c r="L424" i="5"/>
  <c r="M424" i="5"/>
  <c r="AC424" i="5" s="1"/>
  <c r="N424" i="5"/>
  <c r="O424" i="5"/>
  <c r="P424" i="5"/>
  <c r="Q424" i="5"/>
  <c r="R424" i="5"/>
  <c r="S424" i="5"/>
  <c r="T424" i="5"/>
  <c r="U424" i="5"/>
  <c r="V424" i="5"/>
  <c r="W424" i="5"/>
  <c r="X424" i="5"/>
  <c r="AB424" i="5"/>
  <c r="B425" i="5"/>
  <c r="C425" i="5"/>
  <c r="D425" i="5"/>
  <c r="E425" i="5"/>
  <c r="F425" i="5"/>
  <c r="G425" i="5"/>
  <c r="H425" i="5"/>
  <c r="I425" i="5"/>
  <c r="J425" i="5"/>
  <c r="K425" i="5"/>
  <c r="L425" i="5"/>
  <c r="M425" i="5"/>
  <c r="N425" i="5"/>
  <c r="O425" i="5"/>
  <c r="P425" i="5"/>
  <c r="Q425" i="5"/>
  <c r="R425" i="5"/>
  <c r="S425" i="5"/>
  <c r="T425" i="5"/>
  <c r="U425" i="5"/>
  <c r="V425" i="5"/>
  <c r="W425" i="5"/>
  <c r="X425" i="5"/>
  <c r="AC425" i="5"/>
  <c r="B426" i="5"/>
  <c r="C426" i="5"/>
  <c r="D426" i="5"/>
  <c r="E426" i="5"/>
  <c r="F426" i="5"/>
  <c r="G426" i="5"/>
  <c r="H426" i="5"/>
  <c r="I426" i="5"/>
  <c r="J426" i="5"/>
  <c r="K426" i="5"/>
  <c r="L426" i="5"/>
  <c r="M426" i="5"/>
  <c r="AC426" i="5" s="1"/>
  <c r="N426" i="5"/>
  <c r="O426" i="5"/>
  <c r="P426" i="5"/>
  <c r="Q426" i="5"/>
  <c r="R426" i="5"/>
  <c r="S426" i="5"/>
  <c r="T426" i="5"/>
  <c r="U426" i="5"/>
  <c r="V426" i="5"/>
  <c r="W426" i="5"/>
  <c r="X426" i="5"/>
  <c r="AB426" i="5"/>
  <c r="B427" i="5"/>
  <c r="C427" i="5"/>
  <c r="D427" i="5"/>
  <c r="E427" i="5"/>
  <c r="F427" i="5"/>
  <c r="G427" i="5"/>
  <c r="H427" i="5"/>
  <c r="I427" i="5"/>
  <c r="J427" i="5"/>
  <c r="K427" i="5"/>
  <c r="L427" i="5"/>
  <c r="M427" i="5"/>
  <c r="N427" i="5"/>
  <c r="O427" i="5"/>
  <c r="P427" i="5"/>
  <c r="Q427" i="5"/>
  <c r="R427" i="5"/>
  <c r="S427" i="5"/>
  <c r="T427" i="5"/>
  <c r="U427" i="5"/>
  <c r="V427" i="5"/>
  <c r="W427" i="5"/>
  <c r="X427" i="5"/>
  <c r="AC427" i="5"/>
  <c r="B428" i="5"/>
  <c r="C428" i="5"/>
  <c r="D428" i="5"/>
  <c r="E428" i="5"/>
  <c r="F428" i="5"/>
  <c r="G428" i="5"/>
  <c r="H428" i="5"/>
  <c r="I428" i="5"/>
  <c r="J428" i="5"/>
  <c r="K428" i="5"/>
  <c r="L428" i="5"/>
  <c r="M428" i="5"/>
  <c r="AC428" i="5" s="1"/>
  <c r="N428" i="5"/>
  <c r="O428" i="5"/>
  <c r="P428" i="5"/>
  <c r="Q428" i="5"/>
  <c r="R428" i="5"/>
  <c r="S428" i="5"/>
  <c r="T428" i="5"/>
  <c r="U428" i="5"/>
  <c r="V428" i="5"/>
  <c r="W428" i="5"/>
  <c r="X428" i="5"/>
  <c r="AB428" i="5"/>
  <c r="B429" i="5"/>
  <c r="C429" i="5"/>
  <c r="D429" i="5"/>
  <c r="E429" i="5"/>
  <c r="F429" i="5"/>
  <c r="G429" i="5"/>
  <c r="H429" i="5"/>
  <c r="I429" i="5"/>
  <c r="J429" i="5"/>
  <c r="K429" i="5"/>
  <c r="L429" i="5"/>
  <c r="M429" i="5"/>
  <c r="N429" i="5"/>
  <c r="O429" i="5"/>
  <c r="P429" i="5"/>
  <c r="Q429" i="5"/>
  <c r="R429" i="5"/>
  <c r="S429" i="5"/>
  <c r="T429" i="5"/>
  <c r="U429" i="5"/>
  <c r="V429" i="5"/>
  <c r="W429" i="5"/>
  <c r="X429" i="5"/>
  <c r="AC429" i="5"/>
  <c r="B430" i="5"/>
  <c r="C430" i="5"/>
  <c r="D430" i="5"/>
  <c r="E430" i="5"/>
  <c r="F430" i="5"/>
  <c r="G430" i="5"/>
  <c r="H430" i="5"/>
  <c r="I430" i="5"/>
  <c r="J430" i="5"/>
  <c r="K430" i="5"/>
  <c r="L430" i="5"/>
  <c r="M430" i="5"/>
  <c r="AC430" i="5" s="1"/>
  <c r="N430" i="5"/>
  <c r="O430" i="5"/>
  <c r="P430" i="5"/>
  <c r="Q430" i="5"/>
  <c r="R430" i="5"/>
  <c r="S430" i="5"/>
  <c r="T430" i="5"/>
  <c r="U430" i="5"/>
  <c r="V430" i="5"/>
  <c r="W430" i="5"/>
  <c r="X430" i="5"/>
  <c r="AB430" i="5"/>
  <c r="B431" i="5"/>
  <c r="C431" i="5"/>
  <c r="D431" i="5"/>
  <c r="E431" i="5"/>
  <c r="F431" i="5"/>
  <c r="G431" i="5"/>
  <c r="H431" i="5"/>
  <c r="I431" i="5"/>
  <c r="J431" i="5"/>
  <c r="K431" i="5"/>
  <c r="L431" i="5"/>
  <c r="M431" i="5"/>
  <c r="N431" i="5"/>
  <c r="O431" i="5"/>
  <c r="P431" i="5"/>
  <c r="Q431" i="5"/>
  <c r="R431" i="5"/>
  <c r="S431" i="5"/>
  <c r="T431" i="5"/>
  <c r="U431" i="5"/>
  <c r="V431" i="5"/>
  <c r="W431" i="5"/>
  <c r="X431" i="5"/>
  <c r="AC431" i="5"/>
  <c r="B432" i="5"/>
  <c r="C432" i="5"/>
  <c r="D432" i="5"/>
  <c r="E432" i="5"/>
  <c r="F432" i="5"/>
  <c r="G432" i="5"/>
  <c r="H432" i="5"/>
  <c r="I432" i="5"/>
  <c r="J432" i="5"/>
  <c r="K432" i="5"/>
  <c r="L432" i="5"/>
  <c r="M432" i="5"/>
  <c r="AC432" i="5" s="1"/>
  <c r="N432" i="5"/>
  <c r="O432" i="5"/>
  <c r="P432" i="5"/>
  <c r="Q432" i="5"/>
  <c r="R432" i="5"/>
  <c r="S432" i="5"/>
  <c r="T432" i="5"/>
  <c r="U432" i="5"/>
  <c r="V432" i="5"/>
  <c r="W432" i="5"/>
  <c r="X432" i="5"/>
  <c r="AB432" i="5"/>
  <c r="B433" i="5"/>
  <c r="C433" i="5"/>
  <c r="D433" i="5"/>
  <c r="E433" i="5"/>
  <c r="F433" i="5"/>
  <c r="G433" i="5"/>
  <c r="H433" i="5"/>
  <c r="I433" i="5"/>
  <c r="J433" i="5"/>
  <c r="K433" i="5"/>
  <c r="L433" i="5"/>
  <c r="M433" i="5"/>
  <c r="N433" i="5"/>
  <c r="O433" i="5"/>
  <c r="P433" i="5"/>
  <c r="Q433" i="5"/>
  <c r="R433" i="5"/>
  <c r="S433" i="5"/>
  <c r="T433" i="5"/>
  <c r="U433" i="5"/>
  <c r="V433" i="5"/>
  <c r="W433" i="5"/>
  <c r="X433" i="5"/>
  <c r="AC433" i="5"/>
  <c r="B434" i="5"/>
  <c r="C434" i="5"/>
  <c r="D434" i="5"/>
  <c r="E434" i="5"/>
  <c r="F434" i="5"/>
  <c r="G434" i="5"/>
  <c r="H434" i="5"/>
  <c r="I434" i="5"/>
  <c r="J434" i="5"/>
  <c r="K434" i="5"/>
  <c r="L434" i="5"/>
  <c r="M434" i="5"/>
  <c r="AC434" i="5" s="1"/>
  <c r="N434" i="5"/>
  <c r="O434" i="5"/>
  <c r="P434" i="5"/>
  <c r="Q434" i="5"/>
  <c r="R434" i="5"/>
  <c r="S434" i="5"/>
  <c r="T434" i="5"/>
  <c r="U434" i="5"/>
  <c r="V434" i="5"/>
  <c r="W434" i="5"/>
  <c r="X434" i="5"/>
  <c r="AB434" i="5"/>
  <c r="B435" i="5"/>
  <c r="C435" i="5"/>
  <c r="D435" i="5"/>
  <c r="E435" i="5"/>
  <c r="F435" i="5"/>
  <c r="G435" i="5"/>
  <c r="H435" i="5"/>
  <c r="I435" i="5"/>
  <c r="J435" i="5"/>
  <c r="K435" i="5"/>
  <c r="L435" i="5"/>
  <c r="M435" i="5"/>
  <c r="N435" i="5"/>
  <c r="O435" i="5"/>
  <c r="P435" i="5"/>
  <c r="Q435" i="5"/>
  <c r="R435" i="5"/>
  <c r="S435" i="5"/>
  <c r="T435" i="5"/>
  <c r="U435" i="5"/>
  <c r="V435" i="5"/>
  <c r="W435" i="5"/>
  <c r="X435" i="5"/>
  <c r="AC435" i="5"/>
  <c r="B436" i="5"/>
  <c r="C436" i="5"/>
  <c r="D436" i="5"/>
  <c r="E436" i="5"/>
  <c r="F436" i="5"/>
  <c r="G436" i="5"/>
  <c r="H436" i="5"/>
  <c r="I436" i="5"/>
  <c r="J436" i="5"/>
  <c r="K436" i="5"/>
  <c r="L436" i="5"/>
  <c r="M436" i="5"/>
  <c r="AC436" i="5" s="1"/>
  <c r="N436" i="5"/>
  <c r="O436" i="5"/>
  <c r="P436" i="5"/>
  <c r="Q436" i="5"/>
  <c r="R436" i="5"/>
  <c r="S436" i="5"/>
  <c r="T436" i="5"/>
  <c r="U436" i="5"/>
  <c r="V436" i="5"/>
  <c r="W436" i="5"/>
  <c r="X436" i="5"/>
  <c r="AB436" i="5"/>
  <c r="B437" i="5"/>
  <c r="C437" i="5"/>
  <c r="D437" i="5"/>
  <c r="E437" i="5"/>
  <c r="F437" i="5"/>
  <c r="G437" i="5"/>
  <c r="H437" i="5"/>
  <c r="I437" i="5"/>
  <c r="J437" i="5"/>
  <c r="K437" i="5"/>
  <c r="L437" i="5"/>
  <c r="M437" i="5"/>
  <c r="N437" i="5"/>
  <c r="O437" i="5"/>
  <c r="P437" i="5"/>
  <c r="Q437" i="5"/>
  <c r="R437" i="5"/>
  <c r="S437" i="5"/>
  <c r="T437" i="5"/>
  <c r="U437" i="5"/>
  <c r="V437" i="5"/>
  <c r="W437" i="5"/>
  <c r="X437" i="5"/>
  <c r="AC437" i="5"/>
  <c r="B438" i="5"/>
  <c r="C438" i="5"/>
  <c r="D438" i="5"/>
  <c r="E438" i="5"/>
  <c r="F438" i="5"/>
  <c r="G438" i="5"/>
  <c r="H438" i="5"/>
  <c r="I438" i="5"/>
  <c r="J438" i="5"/>
  <c r="K438" i="5"/>
  <c r="L438" i="5"/>
  <c r="M438" i="5"/>
  <c r="AC438" i="5" s="1"/>
  <c r="N438" i="5"/>
  <c r="O438" i="5"/>
  <c r="P438" i="5"/>
  <c r="Q438" i="5"/>
  <c r="R438" i="5"/>
  <c r="S438" i="5"/>
  <c r="T438" i="5"/>
  <c r="U438" i="5"/>
  <c r="V438" i="5"/>
  <c r="W438" i="5"/>
  <c r="X438" i="5"/>
  <c r="AB438" i="5"/>
  <c r="B439" i="5"/>
  <c r="C439" i="5"/>
  <c r="D439" i="5"/>
  <c r="E439" i="5"/>
  <c r="F439" i="5"/>
  <c r="G439" i="5"/>
  <c r="H439" i="5"/>
  <c r="I439" i="5"/>
  <c r="J439" i="5"/>
  <c r="K439" i="5"/>
  <c r="L439" i="5"/>
  <c r="M439" i="5"/>
  <c r="N439" i="5"/>
  <c r="O439" i="5"/>
  <c r="P439" i="5"/>
  <c r="Q439" i="5"/>
  <c r="R439" i="5"/>
  <c r="S439" i="5"/>
  <c r="T439" i="5"/>
  <c r="U439" i="5"/>
  <c r="V439" i="5"/>
  <c r="W439" i="5"/>
  <c r="X439" i="5"/>
  <c r="AC439" i="5"/>
  <c r="B440" i="5"/>
  <c r="C440" i="5"/>
  <c r="D440" i="5"/>
  <c r="E440" i="5"/>
  <c r="F440" i="5"/>
  <c r="G440" i="5"/>
  <c r="H440" i="5"/>
  <c r="I440" i="5"/>
  <c r="J440" i="5"/>
  <c r="K440" i="5"/>
  <c r="L440" i="5"/>
  <c r="M440" i="5"/>
  <c r="AC440" i="5" s="1"/>
  <c r="N440" i="5"/>
  <c r="O440" i="5"/>
  <c r="P440" i="5"/>
  <c r="Q440" i="5"/>
  <c r="R440" i="5"/>
  <c r="S440" i="5"/>
  <c r="T440" i="5"/>
  <c r="U440" i="5"/>
  <c r="V440" i="5"/>
  <c r="W440" i="5"/>
  <c r="X440" i="5"/>
  <c r="AB440" i="5"/>
  <c r="B441" i="5"/>
  <c r="C441" i="5"/>
  <c r="D441" i="5"/>
  <c r="E441" i="5"/>
  <c r="F441" i="5"/>
  <c r="G441" i="5"/>
  <c r="H441" i="5"/>
  <c r="I441" i="5"/>
  <c r="J441" i="5"/>
  <c r="K441" i="5"/>
  <c r="L441" i="5"/>
  <c r="M441" i="5"/>
  <c r="N441" i="5"/>
  <c r="O441" i="5"/>
  <c r="P441" i="5"/>
  <c r="Q441" i="5"/>
  <c r="R441" i="5"/>
  <c r="S441" i="5"/>
  <c r="T441" i="5"/>
  <c r="U441" i="5"/>
  <c r="V441" i="5"/>
  <c r="W441" i="5"/>
  <c r="X441" i="5"/>
  <c r="AC441" i="5"/>
  <c r="B442" i="5"/>
  <c r="C442" i="5"/>
  <c r="D442" i="5"/>
  <c r="E442" i="5"/>
  <c r="F442" i="5"/>
  <c r="G442" i="5"/>
  <c r="H442" i="5"/>
  <c r="I442" i="5"/>
  <c r="J442" i="5"/>
  <c r="K442" i="5"/>
  <c r="L442" i="5"/>
  <c r="M442" i="5"/>
  <c r="AC442" i="5" s="1"/>
  <c r="N442" i="5"/>
  <c r="O442" i="5"/>
  <c r="P442" i="5"/>
  <c r="Q442" i="5"/>
  <c r="R442" i="5"/>
  <c r="S442" i="5"/>
  <c r="T442" i="5"/>
  <c r="U442" i="5"/>
  <c r="V442" i="5"/>
  <c r="W442" i="5"/>
  <c r="X442" i="5"/>
  <c r="AB442" i="5"/>
  <c r="B443" i="5"/>
  <c r="C443" i="5"/>
  <c r="D443" i="5"/>
  <c r="E443" i="5"/>
  <c r="F443" i="5"/>
  <c r="G443" i="5"/>
  <c r="H443" i="5"/>
  <c r="I443" i="5"/>
  <c r="J443" i="5"/>
  <c r="K443" i="5"/>
  <c r="L443" i="5"/>
  <c r="M443" i="5"/>
  <c r="N443" i="5"/>
  <c r="O443" i="5"/>
  <c r="P443" i="5"/>
  <c r="Q443" i="5"/>
  <c r="R443" i="5"/>
  <c r="S443" i="5"/>
  <c r="T443" i="5"/>
  <c r="U443" i="5"/>
  <c r="V443" i="5"/>
  <c r="W443" i="5"/>
  <c r="X443" i="5"/>
  <c r="AC443" i="5"/>
  <c r="B444" i="5"/>
  <c r="C444" i="5"/>
  <c r="D444" i="5"/>
  <c r="E444" i="5"/>
  <c r="F444" i="5"/>
  <c r="G444" i="5"/>
  <c r="H444" i="5"/>
  <c r="I444" i="5"/>
  <c r="J444" i="5"/>
  <c r="K444" i="5"/>
  <c r="L444" i="5"/>
  <c r="M444" i="5"/>
  <c r="AC444" i="5" s="1"/>
  <c r="N444" i="5"/>
  <c r="O444" i="5"/>
  <c r="P444" i="5"/>
  <c r="Q444" i="5"/>
  <c r="R444" i="5"/>
  <c r="S444" i="5"/>
  <c r="T444" i="5"/>
  <c r="U444" i="5"/>
  <c r="V444" i="5"/>
  <c r="W444" i="5"/>
  <c r="X444" i="5"/>
  <c r="AB444" i="5"/>
  <c r="B445" i="5"/>
  <c r="C445" i="5"/>
  <c r="D445" i="5"/>
  <c r="E445" i="5"/>
  <c r="F445" i="5"/>
  <c r="G445" i="5"/>
  <c r="H445" i="5"/>
  <c r="I445" i="5"/>
  <c r="J445" i="5"/>
  <c r="K445" i="5"/>
  <c r="L445" i="5"/>
  <c r="M445" i="5"/>
  <c r="N445" i="5"/>
  <c r="O445" i="5"/>
  <c r="P445" i="5"/>
  <c r="Q445" i="5"/>
  <c r="R445" i="5"/>
  <c r="S445" i="5"/>
  <c r="T445" i="5"/>
  <c r="U445" i="5"/>
  <c r="V445" i="5"/>
  <c r="W445" i="5"/>
  <c r="X445" i="5"/>
  <c r="AC445" i="5"/>
  <c r="B446" i="5"/>
  <c r="C446" i="5"/>
  <c r="D446" i="5"/>
  <c r="E446" i="5"/>
  <c r="F446" i="5"/>
  <c r="G446" i="5"/>
  <c r="H446" i="5"/>
  <c r="I446" i="5"/>
  <c r="J446" i="5"/>
  <c r="K446" i="5"/>
  <c r="L446" i="5"/>
  <c r="M446" i="5"/>
  <c r="AC446" i="5" s="1"/>
  <c r="N446" i="5"/>
  <c r="O446" i="5"/>
  <c r="P446" i="5"/>
  <c r="Q446" i="5"/>
  <c r="R446" i="5"/>
  <c r="S446" i="5"/>
  <c r="T446" i="5"/>
  <c r="U446" i="5"/>
  <c r="V446" i="5"/>
  <c r="W446" i="5"/>
  <c r="X446" i="5"/>
  <c r="AB446" i="5"/>
  <c r="B447" i="5"/>
  <c r="C447" i="5"/>
  <c r="D447" i="5"/>
  <c r="E447" i="5"/>
  <c r="F447" i="5"/>
  <c r="G447" i="5"/>
  <c r="H447" i="5"/>
  <c r="I447" i="5"/>
  <c r="J447" i="5"/>
  <c r="K447" i="5"/>
  <c r="L447" i="5"/>
  <c r="M447" i="5"/>
  <c r="N447" i="5"/>
  <c r="O447" i="5"/>
  <c r="P447" i="5"/>
  <c r="Q447" i="5"/>
  <c r="R447" i="5"/>
  <c r="S447" i="5"/>
  <c r="T447" i="5"/>
  <c r="U447" i="5"/>
  <c r="V447" i="5"/>
  <c r="W447" i="5"/>
  <c r="X447" i="5"/>
  <c r="AC447" i="5"/>
  <c r="B448" i="5"/>
  <c r="C448" i="5"/>
  <c r="D448" i="5"/>
  <c r="E448" i="5"/>
  <c r="F448" i="5"/>
  <c r="G448" i="5"/>
  <c r="H448" i="5"/>
  <c r="I448" i="5"/>
  <c r="J448" i="5"/>
  <c r="K448" i="5"/>
  <c r="L448" i="5"/>
  <c r="M448" i="5"/>
  <c r="AC448" i="5" s="1"/>
  <c r="N448" i="5"/>
  <c r="O448" i="5"/>
  <c r="P448" i="5"/>
  <c r="Q448" i="5"/>
  <c r="R448" i="5"/>
  <c r="S448" i="5"/>
  <c r="T448" i="5"/>
  <c r="U448" i="5"/>
  <c r="V448" i="5"/>
  <c r="W448" i="5"/>
  <c r="X448" i="5"/>
  <c r="AB448" i="5"/>
  <c r="B449" i="5"/>
  <c r="C449" i="5"/>
  <c r="D449" i="5"/>
  <c r="E449" i="5"/>
  <c r="F449" i="5"/>
  <c r="G449" i="5"/>
  <c r="H449" i="5"/>
  <c r="I449" i="5"/>
  <c r="J449" i="5"/>
  <c r="K449" i="5"/>
  <c r="L449" i="5"/>
  <c r="M449" i="5"/>
  <c r="N449" i="5"/>
  <c r="O449" i="5"/>
  <c r="P449" i="5"/>
  <c r="Q449" i="5"/>
  <c r="R449" i="5"/>
  <c r="S449" i="5"/>
  <c r="T449" i="5"/>
  <c r="U449" i="5"/>
  <c r="V449" i="5"/>
  <c r="W449" i="5"/>
  <c r="X449" i="5"/>
  <c r="AC449" i="5"/>
  <c r="B450" i="5"/>
  <c r="C450" i="5"/>
  <c r="D450" i="5"/>
  <c r="E450" i="5"/>
  <c r="F450" i="5"/>
  <c r="G450" i="5"/>
  <c r="H450" i="5"/>
  <c r="I450" i="5"/>
  <c r="J450" i="5"/>
  <c r="K450" i="5"/>
  <c r="L450" i="5"/>
  <c r="M450" i="5"/>
  <c r="AC450" i="5" s="1"/>
  <c r="N450" i="5"/>
  <c r="O450" i="5"/>
  <c r="P450" i="5"/>
  <c r="Q450" i="5"/>
  <c r="R450" i="5"/>
  <c r="S450" i="5"/>
  <c r="T450" i="5"/>
  <c r="U450" i="5"/>
  <c r="V450" i="5"/>
  <c r="W450" i="5"/>
  <c r="X450" i="5"/>
  <c r="AB450" i="5"/>
  <c r="B451" i="5"/>
  <c r="C451" i="5"/>
  <c r="D451" i="5"/>
  <c r="E451" i="5"/>
  <c r="F451" i="5"/>
  <c r="G451" i="5"/>
  <c r="H451" i="5"/>
  <c r="I451" i="5"/>
  <c r="J451" i="5"/>
  <c r="K451" i="5"/>
  <c r="L451" i="5"/>
  <c r="M451" i="5"/>
  <c r="N451" i="5"/>
  <c r="O451" i="5"/>
  <c r="P451" i="5"/>
  <c r="Q451" i="5"/>
  <c r="R451" i="5"/>
  <c r="S451" i="5"/>
  <c r="T451" i="5"/>
  <c r="U451" i="5"/>
  <c r="V451" i="5"/>
  <c r="W451" i="5"/>
  <c r="X451" i="5"/>
  <c r="AC451" i="5"/>
  <c r="B452" i="5"/>
  <c r="C452" i="5"/>
  <c r="D452" i="5"/>
  <c r="E452" i="5"/>
  <c r="F452" i="5"/>
  <c r="G452" i="5"/>
  <c r="H452" i="5"/>
  <c r="I452" i="5"/>
  <c r="J452" i="5"/>
  <c r="K452" i="5"/>
  <c r="L452" i="5"/>
  <c r="M452" i="5"/>
  <c r="AC452" i="5" s="1"/>
  <c r="N452" i="5"/>
  <c r="O452" i="5"/>
  <c r="P452" i="5"/>
  <c r="Q452" i="5"/>
  <c r="R452" i="5"/>
  <c r="S452" i="5"/>
  <c r="T452" i="5"/>
  <c r="U452" i="5"/>
  <c r="V452" i="5"/>
  <c r="W452" i="5"/>
  <c r="X452" i="5"/>
  <c r="AB452" i="5"/>
  <c r="B453" i="5"/>
  <c r="C453" i="5"/>
  <c r="D453" i="5"/>
  <c r="E453" i="5"/>
  <c r="F453" i="5"/>
  <c r="G453" i="5"/>
  <c r="H453" i="5"/>
  <c r="I453" i="5"/>
  <c r="J453" i="5"/>
  <c r="K453" i="5"/>
  <c r="L453" i="5"/>
  <c r="M453" i="5"/>
  <c r="N453" i="5"/>
  <c r="O453" i="5"/>
  <c r="P453" i="5"/>
  <c r="Q453" i="5"/>
  <c r="R453" i="5"/>
  <c r="S453" i="5"/>
  <c r="T453" i="5"/>
  <c r="U453" i="5"/>
  <c r="V453" i="5"/>
  <c r="W453" i="5"/>
  <c r="X453" i="5"/>
  <c r="AC453" i="5"/>
  <c r="B454" i="5"/>
  <c r="C454" i="5"/>
  <c r="D454" i="5"/>
  <c r="E454" i="5"/>
  <c r="F454" i="5"/>
  <c r="G454" i="5"/>
  <c r="H454" i="5"/>
  <c r="I454" i="5"/>
  <c r="J454" i="5"/>
  <c r="K454" i="5"/>
  <c r="L454" i="5"/>
  <c r="M454" i="5"/>
  <c r="AC454" i="5" s="1"/>
  <c r="N454" i="5"/>
  <c r="O454" i="5"/>
  <c r="P454" i="5"/>
  <c r="Q454" i="5"/>
  <c r="R454" i="5"/>
  <c r="S454" i="5"/>
  <c r="T454" i="5"/>
  <c r="U454" i="5"/>
  <c r="V454" i="5"/>
  <c r="W454" i="5"/>
  <c r="X454" i="5"/>
  <c r="AB454" i="5"/>
  <c r="B455" i="5"/>
  <c r="C455" i="5"/>
  <c r="D455" i="5"/>
  <c r="E455" i="5"/>
  <c r="F455" i="5"/>
  <c r="G455" i="5"/>
  <c r="H455" i="5"/>
  <c r="I455" i="5"/>
  <c r="J455" i="5"/>
  <c r="K455" i="5"/>
  <c r="L455" i="5"/>
  <c r="M455" i="5"/>
  <c r="N455" i="5"/>
  <c r="O455" i="5"/>
  <c r="P455" i="5"/>
  <c r="Q455" i="5"/>
  <c r="R455" i="5"/>
  <c r="S455" i="5"/>
  <c r="T455" i="5"/>
  <c r="U455" i="5"/>
  <c r="V455" i="5"/>
  <c r="W455" i="5"/>
  <c r="X455" i="5"/>
  <c r="AC455" i="5"/>
  <c r="B456" i="5"/>
  <c r="C456" i="5"/>
  <c r="D456" i="5"/>
  <c r="E456" i="5"/>
  <c r="F456" i="5"/>
  <c r="G456" i="5"/>
  <c r="H456" i="5"/>
  <c r="I456" i="5"/>
  <c r="J456" i="5"/>
  <c r="K456" i="5"/>
  <c r="L456" i="5"/>
  <c r="M456" i="5"/>
  <c r="AC456" i="5" s="1"/>
  <c r="N456" i="5"/>
  <c r="O456" i="5"/>
  <c r="P456" i="5"/>
  <c r="Q456" i="5"/>
  <c r="R456" i="5"/>
  <c r="S456" i="5"/>
  <c r="T456" i="5"/>
  <c r="U456" i="5"/>
  <c r="V456" i="5"/>
  <c r="W456" i="5"/>
  <c r="X456" i="5"/>
  <c r="AB456" i="5"/>
  <c r="B457" i="5"/>
  <c r="C457" i="5"/>
  <c r="D457" i="5"/>
  <c r="E457" i="5"/>
  <c r="F457" i="5"/>
  <c r="G457" i="5"/>
  <c r="H457" i="5"/>
  <c r="I457" i="5"/>
  <c r="J457" i="5"/>
  <c r="K457" i="5"/>
  <c r="L457" i="5"/>
  <c r="M457" i="5"/>
  <c r="N457" i="5"/>
  <c r="O457" i="5"/>
  <c r="P457" i="5"/>
  <c r="Q457" i="5"/>
  <c r="R457" i="5"/>
  <c r="S457" i="5"/>
  <c r="T457" i="5"/>
  <c r="U457" i="5"/>
  <c r="V457" i="5"/>
  <c r="W457" i="5"/>
  <c r="X457" i="5"/>
  <c r="AC457" i="5"/>
  <c r="B458" i="5"/>
  <c r="C458" i="5"/>
  <c r="D458" i="5"/>
  <c r="E458" i="5"/>
  <c r="F458" i="5"/>
  <c r="G458" i="5"/>
  <c r="H458" i="5"/>
  <c r="I458" i="5"/>
  <c r="J458" i="5"/>
  <c r="K458" i="5"/>
  <c r="L458" i="5"/>
  <c r="M458" i="5"/>
  <c r="AC458" i="5" s="1"/>
  <c r="N458" i="5"/>
  <c r="O458" i="5"/>
  <c r="P458" i="5"/>
  <c r="Q458" i="5"/>
  <c r="R458" i="5"/>
  <c r="S458" i="5"/>
  <c r="T458" i="5"/>
  <c r="U458" i="5"/>
  <c r="V458" i="5"/>
  <c r="W458" i="5"/>
  <c r="X458" i="5"/>
  <c r="AB458" i="5"/>
  <c r="B459" i="5"/>
  <c r="C459" i="5"/>
  <c r="D459" i="5"/>
  <c r="E459" i="5"/>
  <c r="F459" i="5"/>
  <c r="G459" i="5"/>
  <c r="H459" i="5"/>
  <c r="I459" i="5"/>
  <c r="J459" i="5"/>
  <c r="K459" i="5"/>
  <c r="L459" i="5"/>
  <c r="M459" i="5"/>
  <c r="N459" i="5"/>
  <c r="O459" i="5"/>
  <c r="P459" i="5"/>
  <c r="Q459" i="5"/>
  <c r="R459" i="5"/>
  <c r="S459" i="5"/>
  <c r="T459" i="5"/>
  <c r="U459" i="5"/>
  <c r="V459" i="5"/>
  <c r="W459" i="5"/>
  <c r="X459" i="5"/>
  <c r="AC459" i="5"/>
  <c r="B460" i="5"/>
  <c r="C460" i="5"/>
  <c r="D460" i="5"/>
  <c r="E460" i="5"/>
  <c r="F460" i="5"/>
  <c r="G460" i="5"/>
  <c r="H460" i="5"/>
  <c r="I460" i="5"/>
  <c r="J460" i="5"/>
  <c r="K460" i="5"/>
  <c r="L460" i="5"/>
  <c r="M460" i="5"/>
  <c r="AC460" i="5" s="1"/>
  <c r="N460" i="5"/>
  <c r="O460" i="5"/>
  <c r="P460" i="5"/>
  <c r="Q460" i="5"/>
  <c r="R460" i="5"/>
  <c r="S460" i="5"/>
  <c r="T460" i="5"/>
  <c r="U460" i="5"/>
  <c r="V460" i="5"/>
  <c r="W460" i="5"/>
  <c r="X460" i="5"/>
  <c r="AB460" i="5"/>
  <c r="B461" i="5"/>
  <c r="C461" i="5"/>
  <c r="D461" i="5"/>
  <c r="E461" i="5"/>
  <c r="F461" i="5"/>
  <c r="G461" i="5"/>
  <c r="H461" i="5"/>
  <c r="I461" i="5"/>
  <c r="J461" i="5"/>
  <c r="K461" i="5"/>
  <c r="L461" i="5"/>
  <c r="M461" i="5"/>
  <c r="N461" i="5"/>
  <c r="O461" i="5"/>
  <c r="P461" i="5"/>
  <c r="Q461" i="5"/>
  <c r="R461" i="5"/>
  <c r="S461" i="5"/>
  <c r="T461" i="5"/>
  <c r="U461" i="5"/>
  <c r="V461" i="5"/>
  <c r="W461" i="5"/>
  <c r="X461" i="5"/>
  <c r="AC461" i="5"/>
  <c r="B462" i="5"/>
  <c r="C462" i="5"/>
  <c r="D462" i="5"/>
  <c r="E462" i="5"/>
  <c r="F462" i="5"/>
  <c r="G462" i="5"/>
  <c r="H462" i="5"/>
  <c r="I462" i="5"/>
  <c r="J462" i="5"/>
  <c r="K462" i="5"/>
  <c r="L462" i="5"/>
  <c r="M462" i="5"/>
  <c r="AC462" i="5" s="1"/>
  <c r="N462" i="5"/>
  <c r="O462" i="5"/>
  <c r="P462" i="5"/>
  <c r="Q462" i="5"/>
  <c r="R462" i="5"/>
  <c r="S462" i="5"/>
  <c r="T462" i="5"/>
  <c r="U462" i="5"/>
  <c r="V462" i="5"/>
  <c r="W462" i="5"/>
  <c r="X462" i="5"/>
  <c r="AB462" i="5"/>
  <c r="B463" i="5"/>
  <c r="C463" i="5"/>
  <c r="D463" i="5"/>
  <c r="E463" i="5"/>
  <c r="F463" i="5"/>
  <c r="G463" i="5"/>
  <c r="H463" i="5"/>
  <c r="I463" i="5"/>
  <c r="J463" i="5"/>
  <c r="K463" i="5"/>
  <c r="L463" i="5"/>
  <c r="M463" i="5"/>
  <c r="N463" i="5"/>
  <c r="O463" i="5"/>
  <c r="P463" i="5"/>
  <c r="Q463" i="5"/>
  <c r="R463" i="5"/>
  <c r="S463" i="5"/>
  <c r="T463" i="5"/>
  <c r="U463" i="5"/>
  <c r="V463" i="5"/>
  <c r="W463" i="5"/>
  <c r="X463" i="5"/>
  <c r="AC463" i="5"/>
  <c r="B464" i="5"/>
  <c r="C464" i="5"/>
  <c r="D464" i="5"/>
  <c r="E464" i="5"/>
  <c r="F464" i="5"/>
  <c r="G464" i="5"/>
  <c r="H464" i="5"/>
  <c r="I464" i="5"/>
  <c r="J464" i="5"/>
  <c r="K464" i="5"/>
  <c r="L464" i="5"/>
  <c r="M464" i="5"/>
  <c r="AC464" i="5" s="1"/>
  <c r="N464" i="5"/>
  <c r="O464" i="5"/>
  <c r="P464" i="5"/>
  <c r="Q464" i="5"/>
  <c r="R464" i="5"/>
  <c r="S464" i="5"/>
  <c r="T464" i="5"/>
  <c r="U464" i="5"/>
  <c r="V464" i="5"/>
  <c r="W464" i="5"/>
  <c r="X464" i="5"/>
  <c r="AB464" i="5"/>
  <c r="B465" i="5"/>
  <c r="C465" i="5"/>
  <c r="D465" i="5"/>
  <c r="E465" i="5"/>
  <c r="F465" i="5"/>
  <c r="G465" i="5"/>
  <c r="H465" i="5"/>
  <c r="I465" i="5"/>
  <c r="J465" i="5"/>
  <c r="K465" i="5"/>
  <c r="L465" i="5"/>
  <c r="M465" i="5"/>
  <c r="N465" i="5"/>
  <c r="O465" i="5"/>
  <c r="P465" i="5"/>
  <c r="Q465" i="5"/>
  <c r="R465" i="5"/>
  <c r="S465" i="5"/>
  <c r="T465" i="5"/>
  <c r="U465" i="5"/>
  <c r="V465" i="5"/>
  <c r="W465" i="5"/>
  <c r="X465" i="5"/>
  <c r="AC465" i="5"/>
  <c r="B466" i="5"/>
  <c r="C466" i="5"/>
  <c r="D466" i="5"/>
  <c r="E466" i="5"/>
  <c r="F466" i="5"/>
  <c r="G466" i="5"/>
  <c r="H466" i="5"/>
  <c r="I466" i="5"/>
  <c r="J466" i="5"/>
  <c r="K466" i="5"/>
  <c r="L466" i="5"/>
  <c r="M466" i="5"/>
  <c r="AC466" i="5" s="1"/>
  <c r="N466" i="5"/>
  <c r="O466" i="5"/>
  <c r="P466" i="5"/>
  <c r="Q466" i="5"/>
  <c r="R466" i="5"/>
  <c r="S466" i="5"/>
  <c r="T466" i="5"/>
  <c r="U466" i="5"/>
  <c r="V466" i="5"/>
  <c r="W466" i="5"/>
  <c r="X466" i="5"/>
  <c r="AB466" i="5"/>
  <c r="B467" i="5"/>
  <c r="C467" i="5"/>
  <c r="D467" i="5"/>
  <c r="E467" i="5"/>
  <c r="F467" i="5"/>
  <c r="G467" i="5"/>
  <c r="H467" i="5"/>
  <c r="I467" i="5"/>
  <c r="J467" i="5"/>
  <c r="K467" i="5"/>
  <c r="L467" i="5"/>
  <c r="M467" i="5"/>
  <c r="N467" i="5"/>
  <c r="O467" i="5"/>
  <c r="P467" i="5"/>
  <c r="Q467" i="5"/>
  <c r="R467" i="5"/>
  <c r="S467" i="5"/>
  <c r="T467" i="5"/>
  <c r="U467" i="5"/>
  <c r="V467" i="5"/>
  <c r="W467" i="5"/>
  <c r="X467" i="5"/>
  <c r="AC467" i="5"/>
  <c r="B468" i="5"/>
  <c r="C468" i="5"/>
  <c r="D468" i="5"/>
  <c r="E468" i="5"/>
  <c r="F468" i="5"/>
  <c r="G468" i="5"/>
  <c r="H468" i="5"/>
  <c r="I468" i="5"/>
  <c r="J468" i="5"/>
  <c r="K468" i="5"/>
  <c r="L468" i="5"/>
  <c r="M468" i="5"/>
  <c r="AC468" i="5" s="1"/>
  <c r="N468" i="5"/>
  <c r="O468" i="5"/>
  <c r="P468" i="5"/>
  <c r="Q468" i="5"/>
  <c r="R468" i="5"/>
  <c r="S468" i="5"/>
  <c r="T468" i="5"/>
  <c r="U468" i="5"/>
  <c r="V468" i="5"/>
  <c r="W468" i="5"/>
  <c r="X468" i="5"/>
  <c r="AB468" i="5"/>
  <c r="B469" i="5"/>
  <c r="C469" i="5"/>
  <c r="D469" i="5"/>
  <c r="E469" i="5"/>
  <c r="F469" i="5"/>
  <c r="G469" i="5"/>
  <c r="H469" i="5"/>
  <c r="I469" i="5"/>
  <c r="J469" i="5"/>
  <c r="K469" i="5"/>
  <c r="L469" i="5"/>
  <c r="M469" i="5"/>
  <c r="N469" i="5"/>
  <c r="O469" i="5"/>
  <c r="P469" i="5"/>
  <c r="Q469" i="5"/>
  <c r="R469" i="5"/>
  <c r="S469" i="5"/>
  <c r="T469" i="5"/>
  <c r="U469" i="5"/>
  <c r="V469" i="5"/>
  <c r="W469" i="5"/>
  <c r="X469" i="5"/>
  <c r="AC469" i="5"/>
  <c r="B470" i="5"/>
  <c r="C470" i="5"/>
  <c r="D470" i="5"/>
  <c r="E470" i="5"/>
  <c r="F470" i="5"/>
  <c r="G470" i="5"/>
  <c r="H470" i="5"/>
  <c r="I470" i="5"/>
  <c r="J470" i="5"/>
  <c r="K470" i="5"/>
  <c r="L470" i="5"/>
  <c r="M470" i="5"/>
  <c r="AC470" i="5" s="1"/>
  <c r="N470" i="5"/>
  <c r="O470" i="5"/>
  <c r="P470" i="5"/>
  <c r="Q470" i="5"/>
  <c r="R470" i="5"/>
  <c r="S470" i="5"/>
  <c r="T470" i="5"/>
  <c r="U470" i="5"/>
  <c r="V470" i="5"/>
  <c r="W470" i="5"/>
  <c r="X470" i="5"/>
  <c r="AB470" i="5"/>
  <c r="B471" i="5"/>
  <c r="C471" i="5"/>
  <c r="D471" i="5"/>
  <c r="E471" i="5"/>
  <c r="F471" i="5"/>
  <c r="G471" i="5"/>
  <c r="H471" i="5"/>
  <c r="I471" i="5"/>
  <c r="J471" i="5"/>
  <c r="K471" i="5"/>
  <c r="L471" i="5"/>
  <c r="M471" i="5"/>
  <c r="N471" i="5"/>
  <c r="O471" i="5"/>
  <c r="P471" i="5"/>
  <c r="Q471" i="5"/>
  <c r="R471" i="5"/>
  <c r="S471" i="5"/>
  <c r="T471" i="5"/>
  <c r="U471" i="5"/>
  <c r="V471" i="5"/>
  <c r="W471" i="5"/>
  <c r="X471" i="5"/>
  <c r="AC471" i="5"/>
  <c r="B472" i="5"/>
  <c r="C472" i="5"/>
  <c r="D472" i="5"/>
  <c r="E472" i="5"/>
  <c r="F472" i="5"/>
  <c r="G472" i="5"/>
  <c r="H472" i="5"/>
  <c r="I472" i="5"/>
  <c r="J472" i="5"/>
  <c r="K472" i="5"/>
  <c r="L472" i="5"/>
  <c r="M472" i="5"/>
  <c r="AC472" i="5" s="1"/>
  <c r="N472" i="5"/>
  <c r="O472" i="5"/>
  <c r="P472" i="5"/>
  <c r="Q472" i="5"/>
  <c r="R472" i="5"/>
  <c r="S472" i="5"/>
  <c r="T472" i="5"/>
  <c r="U472" i="5"/>
  <c r="V472" i="5"/>
  <c r="W472" i="5"/>
  <c r="X472" i="5"/>
  <c r="AB472" i="5"/>
  <c r="B473" i="5"/>
  <c r="C473" i="5"/>
  <c r="D473" i="5"/>
  <c r="E473" i="5"/>
  <c r="F473" i="5"/>
  <c r="G473" i="5"/>
  <c r="H473" i="5"/>
  <c r="I473" i="5"/>
  <c r="J473" i="5"/>
  <c r="K473" i="5"/>
  <c r="L473" i="5"/>
  <c r="M473" i="5"/>
  <c r="N473" i="5"/>
  <c r="O473" i="5"/>
  <c r="P473" i="5"/>
  <c r="Q473" i="5"/>
  <c r="R473" i="5"/>
  <c r="S473" i="5"/>
  <c r="T473" i="5"/>
  <c r="U473" i="5"/>
  <c r="V473" i="5"/>
  <c r="W473" i="5"/>
  <c r="X473" i="5"/>
  <c r="AC473" i="5"/>
  <c r="B474" i="5"/>
  <c r="C474" i="5"/>
  <c r="D474" i="5"/>
  <c r="E474" i="5"/>
  <c r="F474" i="5"/>
  <c r="G474" i="5"/>
  <c r="H474" i="5"/>
  <c r="I474" i="5"/>
  <c r="J474" i="5"/>
  <c r="K474" i="5"/>
  <c r="L474" i="5"/>
  <c r="M474" i="5"/>
  <c r="AC474" i="5" s="1"/>
  <c r="N474" i="5"/>
  <c r="O474" i="5"/>
  <c r="P474" i="5"/>
  <c r="Q474" i="5"/>
  <c r="R474" i="5"/>
  <c r="S474" i="5"/>
  <c r="T474" i="5"/>
  <c r="U474" i="5"/>
  <c r="V474" i="5"/>
  <c r="W474" i="5"/>
  <c r="X474" i="5"/>
  <c r="AB474" i="5"/>
  <c r="B475" i="5"/>
  <c r="C475" i="5"/>
  <c r="D475" i="5"/>
  <c r="E475" i="5"/>
  <c r="F475" i="5"/>
  <c r="G475" i="5"/>
  <c r="H475" i="5"/>
  <c r="I475" i="5"/>
  <c r="J475" i="5"/>
  <c r="K475" i="5"/>
  <c r="L475" i="5"/>
  <c r="M475" i="5"/>
  <c r="N475" i="5"/>
  <c r="O475" i="5"/>
  <c r="P475" i="5"/>
  <c r="Q475" i="5"/>
  <c r="R475" i="5"/>
  <c r="S475" i="5"/>
  <c r="T475" i="5"/>
  <c r="U475" i="5"/>
  <c r="V475" i="5"/>
  <c r="W475" i="5"/>
  <c r="X475" i="5"/>
  <c r="AC475" i="5"/>
  <c r="B476" i="5"/>
  <c r="C476" i="5"/>
  <c r="D476" i="5"/>
  <c r="E476" i="5"/>
  <c r="F476" i="5"/>
  <c r="G476" i="5"/>
  <c r="H476" i="5"/>
  <c r="I476" i="5"/>
  <c r="J476" i="5"/>
  <c r="K476" i="5"/>
  <c r="L476" i="5"/>
  <c r="M476" i="5"/>
  <c r="AC476" i="5" s="1"/>
  <c r="N476" i="5"/>
  <c r="O476" i="5"/>
  <c r="P476" i="5"/>
  <c r="Q476" i="5"/>
  <c r="R476" i="5"/>
  <c r="S476" i="5"/>
  <c r="T476" i="5"/>
  <c r="U476" i="5"/>
  <c r="V476" i="5"/>
  <c r="W476" i="5"/>
  <c r="X476" i="5"/>
  <c r="AB476" i="5"/>
  <c r="B477" i="5"/>
  <c r="C477" i="5"/>
  <c r="D477" i="5"/>
  <c r="E477" i="5"/>
  <c r="F477" i="5"/>
  <c r="G477" i="5"/>
  <c r="H477" i="5"/>
  <c r="I477" i="5"/>
  <c r="J477" i="5"/>
  <c r="K477" i="5"/>
  <c r="L477" i="5"/>
  <c r="M477" i="5"/>
  <c r="N477" i="5"/>
  <c r="O477" i="5"/>
  <c r="P477" i="5"/>
  <c r="Q477" i="5"/>
  <c r="R477" i="5"/>
  <c r="S477" i="5"/>
  <c r="T477" i="5"/>
  <c r="U477" i="5"/>
  <c r="V477" i="5"/>
  <c r="W477" i="5"/>
  <c r="X477" i="5"/>
  <c r="AC477" i="5"/>
  <c r="B478" i="5"/>
  <c r="C478" i="5"/>
  <c r="D478" i="5"/>
  <c r="E478" i="5"/>
  <c r="F478" i="5"/>
  <c r="G478" i="5"/>
  <c r="H478" i="5"/>
  <c r="I478" i="5"/>
  <c r="J478" i="5"/>
  <c r="K478" i="5"/>
  <c r="L478" i="5"/>
  <c r="M478" i="5"/>
  <c r="AC478" i="5" s="1"/>
  <c r="N478" i="5"/>
  <c r="O478" i="5"/>
  <c r="P478" i="5"/>
  <c r="Q478" i="5"/>
  <c r="R478" i="5"/>
  <c r="S478" i="5"/>
  <c r="T478" i="5"/>
  <c r="U478" i="5"/>
  <c r="V478" i="5"/>
  <c r="W478" i="5"/>
  <c r="X478" i="5"/>
  <c r="AB478" i="5"/>
  <c r="B479" i="5"/>
  <c r="C479" i="5"/>
  <c r="D479" i="5"/>
  <c r="E479" i="5"/>
  <c r="F479" i="5"/>
  <c r="G479" i="5"/>
  <c r="H479" i="5"/>
  <c r="I479" i="5"/>
  <c r="J479" i="5"/>
  <c r="K479" i="5"/>
  <c r="L479" i="5"/>
  <c r="M479" i="5"/>
  <c r="N479" i="5"/>
  <c r="O479" i="5"/>
  <c r="P479" i="5"/>
  <c r="Q479" i="5"/>
  <c r="R479" i="5"/>
  <c r="S479" i="5"/>
  <c r="T479" i="5"/>
  <c r="U479" i="5"/>
  <c r="V479" i="5"/>
  <c r="W479" i="5"/>
  <c r="X479" i="5"/>
  <c r="AC479" i="5"/>
  <c r="B480" i="5"/>
  <c r="C480" i="5"/>
  <c r="D480" i="5"/>
  <c r="E480" i="5"/>
  <c r="F480" i="5"/>
  <c r="G480" i="5"/>
  <c r="H480" i="5"/>
  <c r="I480" i="5"/>
  <c r="J480" i="5"/>
  <c r="K480" i="5"/>
  <c r="L480" i="5"/>
  <c r="M480" i="5"/>
  <c r="AC480" i="5" s="1"/>
  <c r="N480" i="5"/>
  <c r="O480" i="5"/>
  <c r="P480" i="5"/>
  <c r="Q480" i="5"/>
  <c r="R480" i="5"/>
  <c r="S480" i="5"/>
  <c r="T480" i="5"/>
  <c r="U480" i="5"/>
  <c r="V480" i="5"/>
  <c r="W480" i="5"/>
  <c r="X480" i="5"/>
  <c r="AB480" i="5"/>
  <c r="B481" i="5"/>
  <c r="C481" i="5"/>
  <c r="D481" i="5"/>
  <c r="E481" i="5"/>
  <c r="F481" i="5"/>
  <c r="G481" i="5"/>
  <c r="H481" i="5"/>
  <c r="I481" i="5"/>
  <c r="J481" i="5"/>
  <c r="K481" i="5"/>
  <c r="L481" i="5"/>
  <c r="M481" i="5"/>
  <c r="N481" i="5"/>
  <c r="O481" i="5"/>
  <c r="P481" i="5"/>
  <c r="Q481" i="5"/>
  <c r="R481" i="5"/>
  <c r="S481" i="5"/>
  <c r="T481" i="5"/>
  <c r="U481" i="5"/>
  <c r="V481" i="5"/>
  <c r="W481" i="5"/>
  <c r="X481" i="5"/>
  <c r="AC481" i="5"/>
  <c r="B482" i="5"/>
  <c r="C482" i="5"/>
  <c r="D482" i="5"/>
  <c r="E482" i="5"/>
  <c r="F482" i="5"/>
  <c r="G482" i="5"/>
  <c r="H482" i="5"/>
  <c r="I482" i="5"/>
  <c r="J482" i="5"/>
  <c r="K482" i="5"/>
  <c r="L482" i="5"/>
  <c r="M482" i="5"/>
  <c r="AC482" i="5" s="1"/>
  <c r="N482" i="5"/>
  <c r="O482" i="5"/>
  <c r="P482" i="5"/>
  <c r="Q482" i="5"/>
  <c r="R482" i="5"/>
  <c r="S482" i="5"/>
  <c r="T482" i="5"/>
  <c r="U482" i="5"/>
  <c r="V482" i="5"/>
  <c r="W482" i="5"/>
  <c r="X482" i="5"/>
  <c r="AB482" i="5"/>
  <c r="B483" i="5"/>
  <c r="C483" i="5"/>
  <c r="D483" i="5"/>
  <c r="E483" i="5"/>
  <c r="F483" i="5"/>
  <c r="G483" i="5"/>
  <c r="H483" i="5"/>
  <c r="I483" i="5"/>
  <c r="J483" i="5"/>
  <c r="K483" i="5"/>
  <c r="L483" i="5"/>
  <c r="M483" i="5"/>
  <c r="N483" i="5"/>
  <c r="O483" i="5"/>
  <c r="P483" i="5"/>
  <c r="Q483" i="5"/>
  <c r="R483" i="5"/>
  <c r="S483" i="5"/>
  <c r="T483" i="5"/>
  <c r="U483" i="5"/>
  <c r="V483" i="5"/>
  <c r="W483" i="5"/>
  <c r="X483" i="5"/>
  <c r="AC483" i="5"/>
  <c r="B484" i="5"/>
  <c r="C484" i="5"/>
  <c r="D484" i="5"/>
  <c r="E484" i="5"/>
  <c r="F484" i="5"/>
  <c r="G484" i="5"/>
  <c r="H484" i="5"/>
  <c r="I484" i="5"/>
  <c r="J484" i="5"/>
  <c r="K484" i="5"/>
  <c r="L484" i="5"/>
  <c r="M484" i="5"/>
  <c r="AC484" i="5" s="1"/>
  <c r="N484" i="5"/>
  <c r="O484" i="5"/>
  <c r="P484" i="5"/>
  <c r="Q484" i="5"/>
  <c r="R484" i="5"/>
  <c r="S484" i="5"/>
  <c r="T484" i="5"/>
  <c r="U484" i="5"/>
  <c r="V484" i="5"/>
  <c r="W484" i="5"/>
  <c r="X484" i="5"/>
  <c r="AB484" i="5"/>
  <c r="B485" i="5"/>
  <c r="C485" i="5"/>
  <c r="D485" i="5"/>
  <c r="E485" i="5"/>
  <c r="F485" i="5"/>
  <c r="G485" i="5"/>
  <c r="H485" i="5"/>
  <c r="I485" i="5"/>
  <c r="J485" i="5"/>
  <c r="K485" i="5"/>
  <c r="L485" i="5"/>
  <c r="M485" i="5"/>
  <c r="N485" i="5"/>
  <c r="O485" i="5"/>
  <c r="P485" i="5"/>
  <c r="Q485" i="5"/>
  <c r="R485" i="5"/>
  <c r="S485" i="5"/>
  <c r="T485" i="5"/>
  <c r="U485" i="5"/>
  <c r="V485" i="5"/>
  <c r="W485" i="5"/>
  <c r="X485" i="5"/>
  <c r="AC485" i="5"/>
  <c r="B486" i="5"/>
  <c r="C486" i="5"/>
  <c r="D486" i="5"/>
  <c r="E486" i="5"/>
  <c r="F486" i="5"/>
  <c r="G486" i="5"/>
  <c r="H486" i="5"/>
  <c r="I486" i="5"/>
  <c r="J486" i="5"/>
  <c r="K486" i="5"/>
  <c r="L486" i="5"/>
  <c r="M486" i="5"/>
  <c r="AC486" i="5" s="1"/>
  <c r="N486" i="5"/>
  <c r="O486" i="5"/>
  <c r="P486" i="5"/>
  <c r="Q486" i="5"/>
  <c r="R486" i="5"/>
  <c r="S486" i="5"/>
  <c r="T486" i="5"/>
  <c r="U486" i="5"/>
  <c r="V486" i="5"/>
  <c r="W486" i="5"/>
  <c r="X486" i="5"/>
  <c r="AB486" i="5"/>
  <c r="B487" i="5"/>
  <c r="C487" i="5"/>
  <c r="D487" i="5"/>
  <c r="E487" i="5"/>
  <c r="F487" i="5"/>
  <c r="G487" i="5"/>
  <c r="H487" i="5"/>
  <c r="I487" i="5"/>
  <c r="J487" i="5"/>
  <c r="K487" i="5"/>
  <c r="L487" i="5"/>
  <c r="M487" i="5"/>
  <c r="N487" i="5"/>
  <c r="O487" i="5"/>
  <c r="P487" i="5"/>
  <c r="Q487" i="5"/>
  <c r="R487" i="5"/>
  <c r="S487" i="5"/>
  <c r="T487" i="5"/>
  <c r="U487" i="5"/>
  <c r="V487" i="5"/>
  <c r="W487" i="5"/>
  <c r="X487" i="5"/>
  <c r="AC487" i="5"/>
  <c r="B488" i="5"/>
  <c r="C488" i="5"/>
  <c r="D488" i="5"/>
  <c r="E488" i="5"/>
  <c r="F488" i="5"/>
  <c r="G488" i="5"/>
  <c r="H488" i="5"/>
  <c r="I488" i="5"/>
  <c r="J488" i="5"/>
  <c r="K488" i="5"/>
  <c r="L488" i="5"/>
  <c r="M488" i="5"/>
  <c r="AC488" i="5" s="1"/>
  <c r="N488" i="5"/>
  <c r="O488" i="5"/>
  <c r="P488" i="5"/>
  <c r="Q488" i="5"/>
  <c r="R488" i="5"/>
  <c r="S488" i="5"/>
  <c r="T488" i="5"/>
  <c r="U488" i="5"/>
  <c r="V488" i="5"/>
  <c r="W488" i="5"/>
  <c r="X488" i="5"/>
  <c r="AB488" i="5"/>
  <c r="B489" i="5"/>
  <c r="C489" i="5"/>
  <c r="D489" i="5"/>
  <c r="E489" i="5"/>
  <c r="F489" i="5"/>
  <c r="G489" i="5"/>
  <c r="H489" i="5"/>
  <c r="I489" i="5"/>
  <c r="J489" i="5"/>
  <c r="K489" i="5"/>
  <c r="L489" i="5"/>
  <c r="M489" i="5"/>
  <c r="N489" i="5"/>
  <c r="O489" i="5"/>
  <c r="P489" i="5"/>
  <c r="Q489" i="5"/>
  <c r="R489" i="5"/>
  <c r="S489" i="5"/>
  <c r="T489" i="5"/>
  <c r="U489" i="5"/>
  <c r="V489" i="5"/>
  <c r="W489" i="5"/>
  <c r="X489" i="5"/>
  <c r="AC489" i="5"/>
  <c r="B490" i="5"/>
  <c r="C490" i="5"/>
  <c r="D490" i="5"/>
  <c r="E490" i="5"/>
  <c r="F490" i="5"/>
  <c r="G490" i="5"/>
  <c r="H490" i="5"/>
  <c r="I490" i="5"/>
  <c r="J490" i="5"/>
  <c r="K490" i="5"/>
  <c r="L490" i="5"/>
  <c r="M490" i="5"/>
  <c r="AC490" i="5" s="1"/>
  <c r="N490" i="5"/>
  <c r="O490" i="5"/>
  <c r="P490" i="5"/>
  <c r="Q490" i="5"/>
  <c r="R490" i="5"/>
  <c r="S490" i="5"/>
  <c r="T490" i="5"/>
  <c r="U490" i="5"/>
  <c r="V490" i="5"/>
  <c r="W490" i="5"/>
  <c r="X490" i="5"/>
  <c r="AB490" i="5"/>
  <c r="B491" i="5"/>
  <c r="C491" i="5"/>
  <c r="D491" i="5"/>
  <c r="E491" i="5"/>
  <c r="F491" i="5"/>
  <c r="G491" i="5"/>
  <c r="H491" i="5"/>
  <c r="I491" i="5"/>
  <c r="J491" i="5"/>
  <c r="K491" i="5"/>
  <c r="L491" i="5"/>
  <c r="M491" i="5"/>
  <c r="N491" i="5"/>
  <c r="O491" i="5"/>
  <c r="P491" i="5"/>
  <c r="Q491" i="5"/>
  <c r="R491" i="5"/>
  <c r="S491" i="5"/>
  <c r="T491" i="5"/>
  <c r="U491" i="5"/>
  <c r="V491" i="5"/>
  <c r="W491" i="5"/>
  <c r="X491" i="5"/>
  <c r="AC491" i="5"/>
  <c r="B492" i="5"/>
  <c r="C492" i="5"/>
  <c r="D492" i="5"/>
  <c r="E492" i="5"/>
  <c r="F492" i="5"/>
  <c r="G492" i="5"/>
  <c r="H492" i="5"/>
  <c r="I492" i="5"/>
  <c r="J492" i="5"/>
  <c r="K492" i="5"/>
  <c r="L492" i="5"/>
  <c r="M492" i="5"/>
  <c r="AC492" i="5" s="1"/>
  <c r="N492" i="5"/>
  <c r="O492" i="5"/>
  <c r="P492" i="5"/>
  <c r="Q492" i="5"/>
  <c r="R492" i="5"/>
  <c r="S492" i="5"/>
  <c r="T492" i="5"/>
  <c r="U492" i="5"/>
  <c r="V492" i="5"/>
  <c r="W492" i="5"/>
  <c r="X492" i="5"/>
  <c r="AB492" i="5"/>
  <c r="B493" i="5"/>
  <c r="C493" i="5"/>
  <c r="D493" i="5"/>
  <c r="E493" i="5"/>
  <c r="F493" i="5"/>
  <c r="G493" i="5"/>
  <c r="H493" i="5"/>
  <c r="I493" i="5"/>
  <c r="J493" i="5"/>
  <c r="K493" i="5"/>
  <c r="L493" i="5"/>
  <c r="M493" i="5"/>
  <c r="N493" i="5"/>
  <c r="O493" i="5"/>
  <c r="P493" i="5"/>
  <c r="Q493" i="5"/>
  <c r="R493" i="5"/>
  <c r="S493" i="5"/>
  <c r="T493" i="5"/>
  <c r="U493" i="5"/>
  <c r="V493" i="5"/>
  <c r="W493" i="5"/>
  <c r="X493" i="5"/>
  <c r="AC493" i="5"/>
  <c r="B494" i="5"/>
  <c r="C494" i="5"/>
  <c r="D494" i="5"/>
  <c r="E494" i="5"/>
  <c r="F494" i="5"/>
  <c r="G494" i="5"/>
  <c r="H494" i="5"/>
  <c r="I494" i="5"/>
  <c r="J494" i="5"/>
  <c r="K494" i="5"/>
  <c r="L494" i="5"/>
  <c r="M494" i="5"/>
  <c r="AC494" i="5" s="1"/>
  <c r="N494" i="5"/>
  <c r="O494" i="5"/>
  <c r="P494" i="5"/>
  <c r="Q494" i="5"/>
  <c r="R494" i="5"/>
  <c r="S494" i="5"/>
  <c r="T494" i="5"/>
  <c r="U494" i="5"/>
  <c r="V494" i="5"/>
  <c r="W494" i="5"/>
  <c r="X494" i="5"/>
  <c r="AB494" i="5"/>
  <c r="B495" i="5"/>
  <c r="C495" i="5"/>
  <c r="D495" i="5"/>
  <c r="E495" i="5"/>
  <c r="F495" i="5"/>
  <c r="G495" i="5"/>
  <c r="H495" i="5"/>
  <c r="I495" i="5"/>
  <c r="J495" i="5"/>
  <c r="K495" i="5"/>
  <c r="L495" i="5"/>
  <c r="M495" i="5"/>
  <c r="N495" i="5"/>
  <c r="O495" i="5"/>
  <c r="P495" i="5"/>
  <c r="Q495" i="5"/>
  <c r="R495" i="5"/>
  <c r="S495" i="5"/>
  <c r="T495" i="5"/>
  <c r="U495" i="5"/>
  <c r="V495" i="5"/>
  <c r="W495" i="5"/>
  <c r="X495" i="5"/>
  <c r="AC495" i="5"/>
  <c r="B496" i="5"/>
  <c r="C496" i="5"/>
  <c r="D496" i="5"/>
  <c r="E496" i="5"/>
  <c r="F496" i="5"/>
  <c r="G496" i="5"/>
  <c r="H496" i="5"/>
  <c r="I496" i="5"/>
  <c r="J496" i="5"/>
  <c r="K496" i="5"/>
  <c r="L496" i="5"/>
  <c r="M496" i="5"/>
  <c r="AC496" i="5" s="1"/>
  <c r="N496" i="5"/>
  <c r="O496" i="5"/>
  <c r="P496" i="5"/>
  <c r="Q496" i="5"/>
  <c r="R496" i="5"/>
  <c r="S496" i="5"/>
  <c r="T496" i="5"/>
  <c r="U496" i="5"/>
  <c r="V496" i="5"/>
  <c r="W496" i="5"/>
  <c r="X496" i="5"/>
  <c r="AB496" i="5"/>
  <c r="B497" i="5"/>
  <c r="C497" i="5"/>
  <c r="D497" i="5"/>
  <c r="E497" i="5"/>
  <c r="F497" i="5"/>
  <c r="G497" i="5"/>
  <c r="H497" i="5"/>
  <c r="I497" i="5"/>
  <c r="J497" i="5"/>
  <c r="K497" i="5"/>
  <c r="L497" i="5"/>
  <c r="M497" i="5"/>
  <c r="N497" i="5"/>
  <c r="O497" i="5"/>
  <c r="P497" i="5"/>
  <c r="Q497" i="5"/>
  <c r="R497" i="5"/>
  <c r="S497" i="5"/>
  <c r="T497" i="5"/>
  <c r="U497" i="5"/>
  <c r="V497" i="5"/>
  <c r="W497" i="5"/>
  <c r="X497" i="5"/>
  <c r="AC497" i="5"/>
  <c r="B498" i="5"/>
  <c r="C498" i="5"/>
  <c r="D498" i="5"/>
  <c r="E498" i="5"/>
  <c r="F498" i="5"/>
  <c r="G498" i="5"/>
  <c r="H498" i="5"/>
  <c r="I498" i="5"/>
  <c r="J498" i="5"/>
  <c r="K498" i="5"/>
  <c r="L498" i="5"/>
  <c r="M498" i="5"/>
  <c r="AC498" i="5" s="1"/>
  <c r="N498" i="5"/>
  <c r="O498" i="5"/>
  <c r="P498" i="5"/>
  <c r="Q498" i="5"/>
  <c r="R498" i="5"/>
  <c r="S498" i="5"/>
  <c r="T498" i="5"/>
  <c r="U498" i="5"/>
  <c r="V498" i="5"/>
  <c r="W498" i="5"/>
  <c r="X498" i="5"/>
  <c r="AB498" i="5"/>
  <c r="B499" i="5"/>
  <c r="C499" i="5"/>
  <c r="D499" i="5"/>
  <c r="E499" i="5"/>
  <c r="F499" i="5"/>
  <c r="G499" i="5"/>
  <c r="H499" i="5"/>
  <c r="I499" i="5"/>
  <c r="J499" i="5"/>
  <c r="K499" i="5"/>
  <c r="L499" i="5"/>
  <c r="M499" i="5"/>
  <c r="N499" i="5"/>
  <c r="O499" i="5"/>
  <c r="P499" i="5"/>
  <c r="Q499" i="5"/>
  <c r="R499" i="5"/>
  <c r="S499" i="5"/>
  <c r="T499" i="5"/>
  <c r="U499" i="5"/>
  <c r="V499" i="5"/>
  <c r="W499" i="5"/>
  <c r="X499" i="5"/>
  <c r="AC499" i="5"/>
  <c r="B500" i="5"/>
  <c r="C500" i="5"/>
  <c r="D500" i="5"/>
  <c r="E500" i="5"/>
  <c r="F500" i="5"/>
  <c r="G500" i="5"/>
  <c r="H500" i="5"/>
  <c r="I500" i="5"/>
  <c r="J500" i="5"/>
  <c r="K500" i="5"/>
  <c r="L500" i="5"/>
  <c r="M500" i="5"/>
  <c r="AC500" i="5" s="1"/>
  <c r="N500" i="5"/>
  <c r="O500" i="5"/>
  <c r="P500" i="5"/>
  <c r="Q500" i="5"/>
  <c r="R500" i="5"/>
  <c r="S500" i="5"/>
  <c r="T500" i="5"/>
  <c r="U500" i="5"/>
  <c r="V500" i="5"/>
  <c r="W500" i="5"/>
  <c r="X500" i="5"/>
  <c r="AB500" i="5"/>
  <c r="B501" i="5"/>
  <c r="C501" i="5"/>
  <c r="D501" i="5"/>
  <c r="E501" i="5"/>
  <c r="F501" i="5"/>
  <c r="G501" i="5"/>
  <c r="H501" i="5"/>
  <c r="I501" i="5"/>
  <c r="J501" i="5"/>
  <c r="K501" i="5"/>
  <c r="L501" i="5"/>
  <c r="M501" i="5"/>
  <c r="N501" i="5"/>
  <c r="O501" i="5"/>
  <c r="P501" i="5"/>
  <c r="Q501" i="5"/>
  <c r="R501" i="5"/>
  <c r="S501" i="5"/>
  <c r="T501" i="5"/>
  <c r="U501" i="5"/>
  <c r="V501" i="5"/>
  <c r="W501" i="5"/>
  <c r="X501" i="5"/>
  <c r="AC501" i="5"/>
  <c r="B502" i="5"/>
  <c r="C502" i="5"/>
  <c r="D502" i="5"/>
  <c r="E502" i="5"/>
  <c r="F502" i="5"/>
  <c r="G502" i="5"/>
  <c r="H502" i="5"/>
  <c r="I502" i="5"/>
  <c r="J502" i="5"/>
  <c r="K502" i="5"/>
  <c r="L502" i="5"/>
  <c r="M502" i="5"/>
  <c r="AC502" i="5" s="1"/>
  <c r="N502" i="5"/>
  <c r="O502" i="5"/>
  <c r="P502" i="5"/>
  <c r="Q502" i="5"/>
  <c r="R502" i="5"/>
  <c r="S502" i="5"/>
  <c r="T502" i="5"/>
  <c r="U502" i="5"/>
  <c r="V502" i="5"/>
  <c r="W502" i="5"/>
  <c r="X502" i="5"/>
  <c r="AB502" i="5"/>
  <c r="B503" i="5"/>
  <c r="C503" i="5"/>
  <c r="D503" i="5"/>
  <c r="E503" i="5"/>
  <c r="F503" i="5"/>
  <c r="G503" i="5"/>
  <c r="H503" i="5"/>
  <c r="I503" i="5"/>
  <c r="J503" i="5"/>
  <c r="K503" i="5"/>
  <c r="L503" i="5"/>
  <c r="M503" i="5"/>
  <c r="N503" i="5"/>
  <c r="O503" i="5"/>
  <c r="P503" i="5"/>
  <c r="Q503" i="5"/>
  <c r="R503" i="5"/>
  <c r="S503" i="5"/>
  <c r="T503" i="5"/>
  <c r="U503" i="5"/>
  <c r="V503" i="5"/>
  <c r="W503" i="5"/>
  <c r="X503" i="5"/>
  <c r="AC503" i="5"/>
  <c r="B504" i="5"/>
  <c r="C504" i="5"/>
  <c r="D504" i="5"/>
  <c r="E504" i="5"/>
  <c r="F504" i="5"/>
  <c r="G504" i="5"/>
  <c r="H504" i="5"/>
  <c r="I504" i="5"/>
  <c r="J504" i="5"/>
  <c r="K504" i="5"/>
  <c r="L504" i="5"/>
  <c r="M504" i="5"/>
  <c r="AC504" i="5" s="1"/>
  <c r="N504" i="5"/>
  <c r="O504" i="5"/>
  <c r="P504" i="5"/>
  <c r="Q504" i="5"/>
  <c r="R504" i="5"/>
  <c r="S504" i="5"/>
  <c r="T504" i="5"/>
  <c r="U504" i="5"/>
  <c r="V504" i="5"/>
  <c r="W504" i="5"/>
  <c r="X504" i="5"/>
  <c r="AB504" i="5"/>
  <c r="B505" i="5"/>
  <c r="C505" i="5"/>
  <c r="D505" i="5"/>
  <c r="E505" i="5"/>
  <c r="F505" i="5"/>
  <c r="G505" i="5"/>
  <c r="H505" i="5"/>
  <c r="I505" i="5"/>
  <c r="J505" i="5"/>
  <c r="K505" i="5"/>
  <c r="L505" i="5"/>
  <c r="M505" i="5"/>
  <c r="N505" i="5"/>
  <c r="O505" i="5"/>
  <c r="P505" i="5"/>
  <c r="Q505" i="5"/>
  <c r="R505" i="5"/>
  <c r="S505" i="5"/>
  <c r="T505" i="5"/>
  <c r="U505" i="5"/>
  <c r="V505" i="5"/>
  <c r="W505" i="5"/>
  <c r="X505" i="5"/>
  <c r="AC505" i="5"/>
  <c r="B506" i="5"/>
  <c r="C506" i="5"/>
  <c r="D506" i="5"/>
  <c r="E506" i="5"/>
  <c r="F506" i="5"/>
  <c r="G506" i="5"/>
  <c r="H506" i="5"/>
  <c r="I506" i="5"/>
  <c r="J506" i="5"/>
  <c r="K506" i="5"/>
  <c r="L506" i="5"/>
  <c r="M506" i="5"/>
  <c r="AC506" i="5" s="1"/>
  <c r="N506" i="5"/>
  <c r="O506" i="5"/>
  <c r="P506" i="5"/>
  <c r="Q506" i="5"/>
  <c r="R506" i="5"/>
  <c r="S506" i="5"/>
  <c r="T506" i="5"/>
  <c r="U506" i="5"/>
  <c r="V506" i="5"/>
  <c r="W506" i="5"/>
  <c r="X506" i="5"/>
  <c r="AB506" i="5"/>
  <c r="B507" i="5"/>
  <c r="C507" i="5"/>
  <c r="D507" i="5"/>
  <c r="E507" i="5"/>
  <c r="F507" i="5"/>
  <c r="G507" i="5"/>
  <c r="H507" i="5"/>
  <c r="I507" i="5"/>
  <c r="J507" i="5"/>
  <c r="K507" i="5"/>
  <c r="L507" i="5"/>
  <c r="M507" i="5"/>
  <c r="N507" i="5"/>
  <c r="O507" i="5"/>
  <c r="P507" i="5"/>
  <c r="Q507" i="5"/>
  <c r="R507" i="5"/>
  <c r="S507" i="5"/>
  <c r="T507" i="5"/>
  <c r="U507" i="5"/>
  <c r="V507" i="5"/>
  <c r="W507" i="5"/>
  <c r="X507" i="5"/>
  <c r="AC507" i="5"/>
  <c r="B508" i="5"/>
  <c r="C508" i="5"/>
  <c r="D508" i="5"/>
  <c r="E508" i="5"/>
  <c r="F508" i="5"/>
  <c r="G508" i="5"/>
  <c r="H508" i="5"/>
  <c r="I508" i="5"/>
  <c r="J508" i="5"/>
  <c r="K508" i="5"/>
  <c r="L508" i="5"/>
  <c r="M508" i="5"/>
  <c r="AC508" i="5" s="1"/>
  <c r="N508" i="5"/>
  <c r="O508" i="5"/>
  <c r="P508" i="5"/>
  <c r="Q508" i="5"/>
  <c r="R508" i="5"/>
  <c r="S508" i="5"/>
  <c r="T508" i="5"/>
  <c r="U508" i="5"/>
  <c r="V508" i="5"/>
  <c r="W508" i="5"/>
  <c r="X508" i="5"/>
  <c r="AB508" i="5"/>
  <c r="B509" i="5"/>
  <c r="C509" i="5"/>
  <c r="D509" i="5"/>
  <c r="E509" i="5"/>
  <c r="F509" i="5"/>
  <c r="G509" i="5"/>
  <c r="H509" i="5"/>
  <c r="I509" i="5"/>
  <c r="J509" i="5"/>
  <c r="K509" i="5"/>
  <c r="L509" i="5"/>
  <c r="M509" i="5"/>
  <c r="N509" i="5"/>
  <c r="O509" i="5"/>
  <c r="P509" i="5"/>
  <c r="Q509" i="5"/>
  <c r="R509" i="5"/>
  <c r="S509" i="5"/>
  <c r="T509" i="5"/>
  <c r="U509" i="5"/>
  <c r="V509" i="5"/>
  <c r="W509" i="5"/>
  <c r="X509" i="5"/>
  <c r="AC509" i="5"/>
  <c r="B510" i="5"/>
  <c r="C510" i="5"/>
  <c r="D510" i="5"/>
  <c r="E510" i="5"/>
  <c r="F510" i="5"/>
  <c r="G510" i="5"/>
  <c r="H510" i="5"/>
  <c r="I510" i="5"/>
  <c r="J510" i="5"/>
  <c r="K510" i="5"/>
  <c r="L510" i="5"/>
  <c r="M510" i="5"/>
  <c r="AC510" i="5" s="1"/>
  <c r="N510" i="5"/>
  <c r="O510" i="5"/>
  <c r="P510" i="5"/>
  <c r="Q510" i="5"/>
  <c r="R510" i="5"/>
  <c r="S510" i="5"/>
  <c r="T510" i="5"/>
  <c r="U510" i="5"/>
  <c r="V510" i="5"/>
  <c r="W510" i="5"/>
  <c r="X510" i="5"/>
  <c r="AB510" i="5"/>
  <c r="B511" i="5"/>
  <c r="C511" i="5"/>
  <c r="D511" i="5"/>
  <c r="E511" i="5"/>
  <c r="F511" i="5"/>
  <c r="G511" i="5"/>
  <c r="H511" i="5"/>
  <c r="I511" i="5"/>
  <c r="J511" i="5"/>
  <c r="K511" i="5"/>
  <c r="L511" i="5"/>
  <c r="M511" i="5"/>
  <c r="N511" i="5"/>
  <c r="O511" i="5"/>
  <c r="P511" i="5"/>
  <c r="Q511" i="5"/>
  <c r="R511" i="5"/>
  <c r="S511" i="5"/>
  <c r="T511" i="5"/>
  <c r="U511" i="5"/>
  <c r="V511" i="5"/>
  <c r="W511" i="5"/>
  <c r="X511" i="5"/>
  <c r="AC511" i="5"/>
  <c r="B512" i="5"/>
  <c r="C512" i="5"/>
  <c r="D512" i="5"/>
  <c r="E512" i="5"/>
  <c r="F512" i="5"/>
  <c r="G512" i="5"/>
  <c r="H512" i="5"/>
  <c r="I512" i="5"/>
  <c r="J512" i="5"/>
  <c r="K512" i="5"/>
  <c r="L512" i="5"/>
  <c r="M512" i="5"/>
  <c r="AC512" i="5" s="1"/>
  <c r="N512" i="5"/>
  <c r="O512" i="5"/>
  <c r="P512" i="5"/>
  <c r="Q512" i="5"/>
  <c r="R512" i="5"/>
  <c r="S512" i="5"/>
  <c r="T512" i="5"/>
  <c r="U512" i="5"/>
  <c r="V512" i="5"/>
  <c r="W512" i="5"/>
  <c r="X512" i="5"/>
  <c r="AB512" i="5"/>
  <c r="B513" i="5"/>
  <c r="C513" i="5"/>
  <c r="D513" i="5"/>
  <c r="E513" i="5"/>
  <c r="F513" i="5"/>
  <c r="G513" i="5"/>
  <c r="H513" i="5"/>
  <c r="I513" i="5"/>
  <c r="J513" i="5"/>
  <c r="K513" i="5"/>
  <c r="L513" i="5"/>
  <c r="M513" i="5"/>
  <c r="N513" i="5"/>
  <c r="O513" i="5"/>
  <c r="P513" i="5"/>
  <c r="Q513" i="5"/>
  <c r="R513" i="5"/>
  <c r="S513" i="5"/>
  <c r="T513" i="5"/>
  <c r="U513" i="5"/>
  <c r="V513" i="5"/>
  <c r="W513" i="5"/>
  <c r="X513" i="5"/>
  <c r="AC513" i="5"/>
  <c r="B514" i="5"/>
  <c r="C514" i="5"/>
  <c r="D514" i="5"/>
  <c r="E514" i="5"/>
  <c r="F514" i="5"/>
  <c r="G514" i="5"/>
  <c r="H514" i="5"/>
  <c r="I514" i="5"/>
  <c r="J514" i="5"/>
  <c r="K514" i="5"/>
  <c r="L514" i="5"/>
  <c r="M514" i="5"/>
  <c r="AC514" i="5" s="1"/>
  <c r="N514" i="5"/>
  <c r="O514" i="5"/>
  <c r="P514" i="5"/>
  <c r="Q514" i="5"/>
  <c r="R514" i="5"/>
  <c r="S514" i="5"/>
  <c r="T514" i="5"/>
  <c r="U514" i="5"/>
  <c r="V514" i="5"/>
  <c r="W514" i="5"/>
  <c r="X514" i="5"/>
  <c r="AB514" i="5"/>
  <c r="B515" i="5"/>
  <c r="C515" i="5"/>
  <c r="D515" i="5"/>
  <c r="E515" i="5"/>
  <c r="F515" i="5"/>
  <c r="G515" i="5"/>
  <c r="H515" i="5"/>
  <c r="I515" i="5"/>
  <c r="J515" i="5"/>
  <c r="K515" i="5"/>
  <c r="L515" i="5"/>
  <c r="M515" i="5"/>
  <c r="N515" i="5"/>
  <c r="O515" i="5"/>
  <c r="P515" i="5"/>
  <c r="Q515" i="5"/>
  <c r="R515" i="5"/>
  <c r="S515" i="5"/>
  <c r="T515" i="5"/>
  <c r="U515" i="5"/>
  <c r="V515" i="5"/>
  <c r="W515" i="5"/>
  <c r="X515" i="5"/>
  <c r="AC515" i="5"/>
  <c r="B516" i="5"/>
  <c r="C516" i="5"/>
  <c r="D516" i="5"/>
  <c r="E516" i="5"/>
  <c r="F516" i="5"/>
  <c r="G516" i="5"/>
  <c r="H516" i="5"/>
  <c r="I516" i="5"/>
  <c r="J516" i="5"/>
  <c r="K516" i="5"/>
  <c r="L516" i="5"/>
  <c r="M516" i="5"/>
  <c r="AC516" i="5" s="1"/>
  <c r="N516" i="5"/>
  <c r="O516" i="5"/>
  <c r="P516" i="5"/>
  <c r="Q516" i="5"/>
  <c r="R516" i="5"/>
  <c r="S516" i="5"/>
  <c r="T516" i="5"/>
  <c r="U516" i="5"/>
  <c r="V516" i="5"/>
  <c r="W516" i="5"/>
  <c r="X516" i="5"/>
  <c r="AB516" i="5"/>
  <c r="B517" i="5"/>
  <c r="C517" i="5"/>
  <c r="D517" i="5"/>
  <c r="E517" i="5"/>
  <c r="F517" i="5"/>
  <c r="G517" i="5"/>
  <c r="H517" i="5"/>
  <c r="I517" i="5"/>
  <c r="J517" i="5"/>
  <c r="K517" i="5"/>
  <c r="L517" i="5"/>
  <c r="M517" i="5"/>
  <c r="N517" i="5"/>
  <c r="O517" i="5"/>
  <c r="P517" i="5"/>
  <c r="Q517" i="5"/>
  <c r="R517" i="5"/>
  <c r="S517" i="5"/>
  <c r="T517" i="5"/>
  <c r="U517" i="5"/>
  <c r="V517" i="5"/>
  <c r="W517" i="5"/>
  <c r="X517" i="5"/>
  <c r="AC517" i="5"/>
  <c r="B518" i="5"/>
  <c r="C518" i="5"/>
  <c r="D518" i="5"/>
  <c r="E518" i="5"/>
  <c r="F518" i="5"/>
  <c r="G518" i="5"/>
  <c r="H518" i="5"/>
  <c r="I518" i="5"/>
  <c r="J518" i="5"/>
  <c r="K518" i="5"/>
  <c r="L518" i="5"/>
  <c r="M518" i="5"/>
  <c r="AC518" i="5" s="1"/>
  <c r="N518" i="5"/>
  <c r="O518" i="5"/>
  <c r="P518" i="5"/>
  <c r="Q518" i="5"/>
  <c r="R518" i="5"/>
  <c r="S518" i="5"/>
  <c r="T518" i="5"/>
  <c r="U518" i="5"/>
  <c r="V518" i="5"/>
  <c r="W518" i="5"/>
  <c r="X518" i="5"/>
  <c r="AB518" i="5"/>
  <c r="B519" i="5"/>
  <c r="C519" i="5"/>
  <c r="D519" i="5"/>
  <c r="E519" i="5"/>
  <c r="F519" i="5"/>
  <c r="G519" i="5"/>
  <c r="H519" i="5"/>
  <c r="I519" i="5"/>
  <c r="J519" i="5"/>
  <c r="K519" i="5"/>
  <c r="L519" i="5"/>
  <c r="M519" i="5"/>
  <c r="N519" i="5"/>
  <c r="O519" i="5"/>
  <c r="P519" i="5"/>
  <c r="Q519" i="5"/>
  <c r="R519" i="5"/>
  <c r="S519" i="5"/>
  <c r="T519" i="5"/>
  <c r="U519" i="5"/>
  <c r="V519" i="5"/>
  <c r="W519" i="5"/>
  <c r="X519" i="5"/>
  <c r="AC519" i="5"/>
  <c r="B520" i="5"/>
  <c r="C520" i="5"/>
  <c r="D520" i="5"/>
  <c r="E520" i="5"/>
  <c r="F520" i="5"/>
  <c r="G520" i="5"/>
  <c r="H520" i="5"/>
  <c r="I520" i="5"/>
  <c r="J520" i="5"/>
  <c r="K520" i="5"/>
  <c r="L520" i="5"/>
  <c r="M520" i="5"/>
  <c r="AC520" i="5" s="1"/>
  <c r="N520" i="5"/>
  <c r="O520" i="5"/>
  <c r="P520" i="5"/>
  <c r="Q520" i="5"/>
  <c r="R520" i="5"/>
  <c r="S520" i="5"/>
  <c r="T520" i="5"/>
  <c r="U520" i="5"/>
  <c r="V520" i="5"/>
  <c r="W520" i="5"/>
  <c r="X520" i="5"/>
  <c r="AB520" i="5"/>
  <c r="B521" i="5"/>
  <c r="C521" i="5"/>
  <c r="D521" i="5"/>
  <c r="E521" i="5"/>
  <c r="F521" i="5"/>
  <c r="G521" i="5"/>
  <c r="H521" i="5"/>
  <c r="I521" i="5"/>
  <c r="J521" i="5"/>
  <c r="K521" i="5"/>
  <c r="L521" i="5"/>
  <c r="M521" i="5"/>
  <c r="N521" i="5"/>
  <c r="O521" i="5"/>
  <c r="P521" i="5"/>
  <c r="Q521" i="5"/>
  <c r="R521" i="5"/>
  <c r="S521" i="5"/>
  <c r="T521" i="5"/>
  <c r="U521" i="5"/>
  <c r="V521" i="5"/>
  <c r="W521" i="5"/>
  <c r="X521" i="5"/>
  <c r="AC521" i="5"/>
  <c r="B522" i="5"/>
  <c r="C522" i="5"/>
  <c r="D522" i="5"/>
  <c r="E522" i="5"/>
  <c r="F522" i="5"/>
  <c r="G522" i="5"/>
  <c r="H522" i="5"/>
  <c r="I522" i="5"/>
  <c r="J522" i="5"/>
  <c r="K522" i="5"/>
  <c r="L522" i="5"/>
  <c r="M522" i="5"/>
  <c r="AC522" i="5" s="1"/>
  <c r="N522" i="5"/>
  <c r="O522" i="5"/>
  <c r="P522" i="5"/>
  <c r="Q522" i="5"/>
  <c r="R522" i="5"/>
  <c r="S522" i="5"/>
  <c r="T522" i="5"/>
  <c r="U522" i="5"/>
  <c r="V522" i="5"/>
  <c r="W522" i="5"/>
  <c r="X522" i="5"/>
  <c r="AB522" i="5"/>
  <c r="B523" i="5"/>
  <c r="C523" i="5"/>
  <c r="D523" i="5"/>
  <c r="E523" i="5"/>
  <c r="F523" i="5"/>
  <c r="G523" i="5"/>
  <c r="H523" i="5"/>
  <c r="I523" i="5"/>
  <c r="J523" i="5"/>
  <c r="K523" i="5"/>
  <c r="L523" i="5"/>
  <c r="M523" i="5"/>
  <c r="N523" i="5"/>
  <c r="O523" i="5"/>
  <c r="P523" i="5"/>
  <c r="Q523" i="5"/>
  <c r="R523" i="5"/>
  <c r="S523" i="5"/>
  <c r="T523" i="5"/>
  <c r="U523" i="5"/>
  <c r="V523" i="5"/>
  <c r="W523" i="5"/>
  <c r="X523" i="5"/>
  <c r="AC523" i="5"/>
  <c r="B524" i="5"/>
  <c r="C524" i="5"/>
  <c r="D524" i="5"/>
  <c r="E524" i="5"/>
  <c r="F524" i="5"/>
  <c r="G524" i="5"/>
  <c r="H524" i="5"/>
  <c r="I524" i="5"/>
  <c r="J524" i="5"/>
  <c r="K524" i="5"/>
  <c r="L524" i="5"/>
  <c r="M524" i="5"/>
  <c r="AC524" i="5" s="1"/>
  <c r="N524" i="5"/>
  <c r="O524" i="5"/>
  <c r="P524" i="5"/>
  <c r="Q524" i="5"/>
  <c r="R524" i="5"/>
  <c r="S524" i="5"/>
  <c r="T524" i="5"/>
  <c r="U524" i="5"/>
  <c r="V524" i="5"/>
  <c r="W524" i="5"/>
  <c r="X524" i="5"/>
  <c r="AB524" i="5"/>
  <c r="B525" i="5"/>
  <c r="C525" i="5"/>
  <c r="D525" i="5"/>
  <c r="E525" i="5"/>
  <c r="F525" i="5"/>
  <c r="G525" i="5"/>
  <c r="H525" i="5"/>
  <c r="I525" i="5"/>
  <c r="J525" i="5"/>
  <c r="K525" i="5"/>
  <c r="L525" i="5"/>
  <c r="M525" i="5"/>
  <c r="N525" i="5"/>
  <c r="O525" i="5"/>
  <c r="P525" i="5"/>
  <c r="Q525" i="5"/>
  <c r="R525" i="5"/>
  <c r="S525" i="5"/>
  <c r="T525" i="5"/>
  <c r="U525" i="5"/>
  <c r="V525" i="5"/>
  <c r="W525" i="5"/>
  <c r="X525" i="5"/>
  <c r="AC525" i="5"/>
  <c r="B526" i="5"/>
  <c r="C526" i="5"/>
  <c r="D526" i="5"/>
  <c r="E526" i="5"/>
  <c r="F526" i="5"/>
  <c r="G526" i="5"/>
  <c r="H526" i="5"/>
  <c r="I526" i="5"/>
  <c r="J526" i="5"/>
  <c r="K526" i="5"/>
  <c r="L526" i="5"/>
  <c r="M526" i="5"/>
  <c r="AC526" i="5" s="1"/>
  <c r="N526" i="5"/>
  <c r="O526" i="5"/>
  <c r="P526" i="5"/>
  <c r="Q526" i="5"/>
  <c r="R526" i="5"/>
  <c r="S526" i="5"/>
  <c r="T526" i="5"/>
  <c r="U526" i="5"/>
  <c r="V526" i="5"/>
  <c r="W526" i="5"/>
  <c r="X526" i="5"/>
  <c r="AB526" i="5"/>
  <c r="B527" i="5"/>
  <c r="C527" i="5"/>
  <c r="D527" i="5"/>
  <c r="E527" i="5"/>
  <c r="F527" i="5"/>
  <c r="G527" i="5"/>
  <c r="H527" i="5"/>
  <c r="I527" i="5"/>
  <c r="J527" i="5"/>
  <c r="K527" i="5"/>
  <c r="L527" i="5"/>
  <c r="M527" i="5"/>
  <c r="N527" i="5"/>
  <c r="O527" i="5"/>
  <c r="P527" i="5"/>
  <c r="Q527" i="5"/>
  <c r="R527" i="5"/>
  <c r="S527" i="5"/>
  <c r="T527" i="5"/>
  <c r="U527" i="5"/>
  <c r="V527" i="5"/>
  <c r="W527" i="5"/>
  <c r="X527" i="5"/>
  <c r="AC527" i="5"/>
  <c r="B528" i="5"/>
  <c r="C528" i="5"/>
  <c r="D528" i="5"/>
  <c r="E528" i="5"/>
  <c r="F528" i="5"/>
  <c r="G528" i="5"/>
  <c r="H528" i="5"/>
  <c r="I528" i="5"/>
  <c r="J528" i="5"/>
  <c r="K528" i="5"/>
  <c r="L528" i="5"/>
  <c r="M528" i="5"/>
  <c r="AC528" i="5" s="1"/>
  <c r="N528" i="5"/>
  <c r="O528" i="5"/>
  <c r="P528" i="5"/>
  <c r="Q528" i="5"/>
  <c r="R528" i="5"/>
  <c r="S528" i="5"/>
  <c r="T528" i="5"/>
  <c r="U528" i="5"/>
  <c r="V528" i="5"/>
  <c r="W528" i="5"/>
  <c r="X528" i="5"/>
  <c r="AB528" i="5"/>
  <c r="B529" i="5"/>
  <c r="C529" i="5"/>
  <c r="D529" i="5"/>
  <c r="E529" i="5"/>
  <c r="F529" i="5"/>
  <c r="G529" i="5"/>
  <c r="H529" i="5"/>
  <c r="I529" i="5"/>
  <c r="J529" i="5"/>
  <c r="K529" i="5"/>
  <c r="L529" i="5"/>
  <c r="M529" i="5"/>
  <c r="N529" i="5"/>
  <c r="O529" i="5"/>
  <c r="P529" i="5"/>
  <c r="Q529" i="5"/>
  <c r="R529" i="5"/>
  <c r="S529" i="5"/>
  <c r="T529" i="5"/>
  <c r="U529" i="5"/>
  <c r="V529" i="5"/>
  <c r="W529" i="5"/>
  <c r="X529" i="5"/>
  <c r="AC529" i="5"/>
  <c r="B530" i="5"/>
  <c r="C530" i="5"/>
  <c r="D530" i="5"/>
  <c r="E530" i="5"/>
  <c r="F530" i="5"/>
  <c r="G530" i="5"/>
  <c r="H530" i="5"/>
  <c r="I530" i="5"/>
  <c r="J530" i="5"/>
  <c r="K530" i="5"/>
  <c r="L530" i="5"/>
  <c r="M530" i="5"/>
  <c r="AC530" i="5" s="1"/>
  <c r="N530" i="5"/>
  <c r="O530" i="5"/>
  <c r="P530" i="5"/>
  <c r="Q530" i="5"/>
  <c r="R530" i="5"/>
  <c r="S530" i="5"/>
  <c r="T530" i="5"/>
  <c r="U530" i="5"/>
  <c r="V530" i="5"/>
  <c r="W530" i="5"/>
  <c r="X530" i="5"/>
  <c r="AB530" i="5"/>
  <c r="B531" i="5"/>
  <c r="C531" i="5"/>
  <c r="D531" i="5"/>
  <c r="E531" i="5"/>
  <c r="F531" i="5"/>
  <c r="G531" i="5"/>
  <c r="H531" i="5"/>
  <c r="I531" i="5"/>
  <c r="J531" i="5"/>
  <c r="K531" i="5"/>
  <c r="L531" i="5"/>
  <c r="M531" i="5"/>
  <c r="N531" i="5"/>
  <c r="O531" i="5"/>
  <c r="P531" i="5"/>
  <c r="Q531" i="5"/>
  <c r="R531" i="5"/>
  <c r="S531" i="5"/>
  <c r="T531" i="5"/>
  <c r="U531" i="5"/>
  <c r="V531" i="5"/>
  <c r="W531" i="5"/>
  <c r="X531" i="5"/>
  <c r="AC531" i="5"/>
  <c r="B532" i="5"/>
  <c r="C532" i="5"/>
  <c r="D532" i="5"/>
  <c r="E532" i="5"/>
  <c r="F532" i="5"/>
  <c r="G532" i="5"/>
  <c r="H532" i="5"/>
  <c r="I532" i="5"/>
  <c r="J532" i="5"/>
  <c r="K532" i="5"/>
  <c r="L532" i="5"/>
  <c r="M532" i="5"/>
  <c r="AC532" i="5" s="1"/>
  <c r="N532" i="5"/>
  <c r="O532" i="5"/>
  <c r="P532" i="5"/>
  <c r="Q532" i="5"/>
  <c r="R532" i="5"/>
  <c r="S532" i="5"/>
  <c r="T532" i="5"/>
  <c r="U532" i="5"/>
  <c r="V532" i="5"/>
  <c r="W532" i="5"/>
  <c r="X532" i="5"/>
  <c r="AB532" i="5"/>
  <c r="B533" i="5"/>
  <c r="C533" i="5"/>
  <c r="D533" i="5"/>
  <c r="E533" i="5"/>
  <c r="F533" i="5"/>
  <c r="G533" i="5"/>
  <c r="H533" i="5"/>
  <c r="I533" i="5"/>
  <c r="J533" i="5"/>
  <c r="K533" i="5"/>
  <c r="L533" i="5"/>
  <c r="M533" i="5"/>
  <c r="N533" i="5"/>
  <c r="O533" i="5"/>
  <c r="P533" i="5"/>
  <c r="Q533" i="5"/>
  <c r="R533" i="5"/>
  <c r="S533" i="5"/>
  <c r="T533" i="5"/>
  <c r="U533" i="5"/>
  <c r="V533" i="5"/>
  <c r="W533" i="5"/>
  <c r="X533" i="5"/>
  <c r="AC533" i="5"/>
  <c r="B534" i="5"/>
  <c r="C534" i="5"/>
  <c r="D534" i="5"/>
  <c r="E534" i="5"/>
  <c r="F534" i="5"/>
  <c r="G534" i="5"/>
  <c r="H534" i="5"/>
  <c r="I534" i="5"/>
  <c r="J534" i="5"/>
  <c r="K534" i="5"/>
  <c r="L534" i="5"/>
  <c r="M534" i="5"/>
  <c r="AC534" i="5" s="1"/>
  <c r="N534" i="5"/>
  <c r="O534" i="5"/>
  <c r="P534" i="5"/>
  <c r="Q534" i="5"/>
  <c r="R534" i="5"/>
  <c r="S534" i="5"/>
  <c r="T534" i="5"/>
  <c r="U534" i="5"/>
  <c r="V534" i="5"/>
  <c r="W534" i="5"/>
  <c r="X534" i="5"/>
  <c r="AB534" i="5"/>
  <c r="B535" i="5"/>
  <c r="C535" i="5"/>
  <c r="D535" i="5"/>
  <c r="E535" i="5"/>
  <c r="F535" i="5"/>
  <c r="G535" i="5"/>
  <c r="H535" i="5"/>
  <c r="I535" i="5"/>
  <c r="J535" i="5"/>
  <c r="K535" i="5"/>
  <c r="L535" i="5"/>
  <c r="M535" i="5"/>
  <c r="N535" i="5"/>
  <c r="O535" i="5"/>
  <c r="P535" i="5"/>
  <c r="Q535" i="5"/>
  <c r="R535" i="5"/>
  <c r="S535" i="5"/>
  <c r="T535" i="5"/>
  <c r="U535" i="5"/>
  <c r="V535" i="5"/>
  <c r="W535" i="5"/>
  <c r="X535" i="5"/>
  <c r="AC535" i="5"/>
  <c r="B536" i="5"/>
  <c r="C536" i="5"/>
  <c r="D536" i="5"/>
  <c r="E536" i="5"/>
  <c r="F536" i="5"/>
  <c r="G536" i="5"/>
  <c r="H536" i="5"/>
  <c r="I536" i="5"/>
  <c r="J536" i="5"/>
  <c r="K536" i="5"/>
  <c r="L536" i="5"/>
  <c r="M536" i="5"/>
  <c r="AC536" i="5" s="1"/>
  <c r="N536" i="5"/>
  <c r="O536" i="5"/>
  <c r="P536" i="5"/>
  <c r="Q536" i="5"/>
  <c r="R536" i="5"/>
  <c r="S536" i="5"/>
  <c r="T536" i="5"/>
  <c r="U536" i="5"/>
  <c r="V536" i="5"/>
  <c r="W536" i="5"/>
  <c r="X536" i="5"/>
  <c r="AB536" i="5"/>
  <c r="B537" i="5"/>
  <c r="C537" i="5"/>
  <c r="D537" i="5"/>
  <c r="E537" i="5"/>
  <c r="F537" i="5"/>
  <c r="G537" i="5"/>
  <c r="H537" i="5"/>
  <c r="I537" i="5"/>
  <c r="J537" i="5"/>
  <c r="K537" i="5"/>
  <c r="L537" i="5"/>
  <c r="M537" i="5"/>
  <c r="N537" i="5"/>
  <c r="O537" i="5"/>
  <c r="P537" i="5"/>
  <c r="Q537" i="5"/>
  <c r="R537" i="5"/>
  <c r="S537" i="5"/>
  <c r="T537" i="5"/>
  <c r="U537" i="5"/>
  <c r="V537" i="5"/>
  <c r="W537" i="5"/>
  <c r="X537" i="5"/>
  <c r="AC537" i="5"/>
  <c r="B538" i="5"/>
  <c r="C538" i="5"/>
  <c r="D538" i="5"/>
  <c r="E538" i="5"/>
  <c r="F538" i="5"/>
  <c r="G538" i="5"/>
  <c r="H538" i="5"/>
  <c r="I538" i="5"/>
  <c r="J538" i="5"/>
  <c r="K538" i="5"/>
  <c r="L538" i="5"/>
  <c r="M538" i="5"/>
  <c r="AC538" i="5" s="1"/>
  <c r="N538" i="5"/>
  <c r="O538" i="5"/>
  <c r="P538" i="5"/>
  <c r="Q538" i="5"/>
  <c r="R538" i="5"/>
  <c r="S538" i="5"/>
  <c r="T538" i="5"/>
  <c r="U538" i="5"/>
  <c r="V538" i="5"/>
  <c r="W538" i="5"/>
  <c r="X538" i="5"/>
  <c r="AB538" i="5"/>
  <c r="B539" i="5"/>
  <c r="C539" i="5"/>
  <c r="D539" i="5"/>
  <c r="E539" i="5"/>
  <c r="F539" i="5"/>
  <c r="G539" i="5"/>
  <c r="H539" i="5"/>
  <c r="I539" i="5"/>
  <c r="J539" i="5"/>
  <c r="K539" i="5"/>
  <c r="L539" i="5"/>
  <c r="M539" i="5"/>
  <c r="N539" i="5"/>
  <c r="O539" i="5"/>
  <c r="P539" i="5"/>
  <c r="Q539" i="5"/>
  <c r="R539" i="5"/>
  <c r="S539" i="5"/>
  <c r="T539" i="5"/>
  <c r="U539" i="5"/>
  <c r="V539" i="5"/>
  <c r="W539" i="5"/>
  <c r="X539" i="5"/>
  <c r="AC539" i="5"/>
  <c r="B540" i="5"/>
  <c r="C540" i="5"/>
  <c r="D540" i="5"/>
  <c r="E540" i="5"/>
  <c r="F540" i="5"/>
  <c r="G540" i="5"/>
  <c r="H540" i="5"/>
  <c r="I540" i="5"/>
  <c r="J540" i="5"/>
  <c r="K540" i="5"/>
  <c r="L540" i="5"/>
  <c r="M540" i="5"/>
  <c r="AC540" i="5" s="1"/>
  <c r="N540" i="5"/>
  <c r="O540" i="5"/>
  <c r="P540" i="5"/>
  <c r="Q540" i="5"/>
  <c r="R540" i="5"/>
  <c r="S540" i="5"/>
  <c r="T540" i="5"/>
  <c r="U540" i="5"/>
  <c r="V540" i="5"/>
  <c r="W540" i="5"/>
  <c r="X540" i="5"/>
  <c r="AB540" i="5"/>
  <c r="B541" i="5"/>
  <c r="C541" i="5"/>
  <c r="D541" i="5"/>
  <c r="E541" i="5"/>
  <c r="F541" i="5"/>
  <c r="G541" i="5"/>
  <c r="H541" i="5"/>
  <c r="I541" i="5"/>
  <c r="J541" i="5"/>
  <c r="K541" i="5"/>
  <c r="L541" i="5"/>
  <c r="M541" i="5"/>
  <c r="N541" i="5"/>
  <c r="O541" i="5"/>
  <c r="P541" i="5"/>
  <c r="Q541" i="5"/>
  <c r="R541" i="5"/>
  <c r="S541" i="5"/>
  <c r="T541" i="5"/>
  <c r="U541" i="5"/>
  <c r="V541" i="5"/>
  <c r="W541" i="5"/>
  <c r="X541" i="5"/>
  <c r="AC541" i="5"/>
  <c r="B542" i="5"/>
  <c r="C542" i="5"/>
  <c r="D542" i="5"/>
  <c r="E542" i="5"/>
  <c r="F542" i="5"/>
  <c r="G542" i="5"/>
  <c r="H542" i="5"/>
  <c r="I542" i="5"/>
  <c r="J542" i="5"/>
  <c r="K542" i="5"/>
  <c r="L542" i="5"/>
  <c r="M542" i="5"/>
  <c r="AC542" i="5" s="1"/>
  <c r="N542" i="5"/>
  <c r="O542" i="5"/>
  <c r="P542" i="5"/>
  <c r="Q542" i="5"/>
  <c r="R542" i="5"/>
  <c r="S542" i="5"/>
  <c r="T542" i="5"/>
  <c r="U542" i="5"/>
  <c r="V542" i="5"/>
  <c r="W542" i="5"/>
  <c r="X542" i="5"/>
  <c r="AB542" i="5"/>
  <c r="B543" i="5"/>
  <c r="C543" i="5"/>
  <c r="D543" i="5"/>
  <c r="E543" i="5"/>
  <c r="F543" i="5"/>
  <c r="G543" i="5"/>
  <c r="H543" i="5"/>
  <c r="I543" i="5"/>
  <c r="J543" i="5"/>
  <c r="K543" i="5"/>
  <c r="L543" i="5"/>
  <c r="M543" i="5"/>
  <c r="N543" i="5"/>
  <c r="O543" i="5"/>
  <c r="P543" i="5"/>
  <c r="Q543" i="5"/>
  <c r="R543" i="5"/>
  <c r="S543" i="5"/>
  <c r="T543" i="5"/>
  <c r="U543" i="5"/>
  <c r="V543" i="5"/>
  <c r="W543" i="5"/>
  <c r="X543" i="5"/>
  <c r="AC543" i="5"/>
  <c r="B544" i="5"/>
  <c r="C544" i="5"/>
  <c r="D544" i="5"/>
  <c r="E544" i="5"/>
  <c r="F544" i="5"/>
  <c r="G544" i="5"/>
  <c r="H544" i="5"/>
  <c r="I544" i="5"/>
  <c r="J544" i="5"/>
  <c r="K544" i="5"/>
  <c r="L544" i="5"/>
  <c r="M544" i="5"/>
  <c r="AC544" i="5" s="1"/>
  <c r="N544" i="5"/>
  <c r="O544" i="5"/>
  <c r="P544" i="5"/>
  <c r="Q544" i="5"/>
  <c r="R544" i="5"/>
  <c r="S544" i="5"/>
  <c r="T544" i="5"/>
  <c r="U544" i="5"/>
  <c r="V544" i="5"/>
  <c r="W544" i="5"/>
  <c r="X544" i="5"/>
  <c r="AB544" i="5"/>
  <c r="B545" i="5"/>
  <c r="C545" i="5"/>
  <c r="D545" i="5"/>
  <c r="E545" i="5"/>
  <c r="F545" i="5"/>
  <c r="G545" i="5"/>
  <c r="H545" i="5"/>
  <c r="I545" i="5"/>
  <c r="J545" i="5"/>
  <c r="K545" i="5"/>
  <c r="L545" i="5"/>
  <c r="M545" i="5"/>
  <c r="N545" i="5"/>
  <c r="O545" i="5"/>
  <c r="P545" i="5"/>
  <c r="Q545" i="5"/>
  <c r="R545" i="5"/>
  <c r="S545" i="5"/>
  <c r="T545" i="5"/>
  <c r="U545" i="5"/>
  <c r="V545" i="5"/>
  <c r="W545" i="5"/>
  <c r="X545" i="5"/>
  <c r="AC545" i="5"/>
  <c r="B546" i="5"/>
  <c r="C546" i="5"/>
  <c r="D546" i="5"/>
  <c r="E546" i="5"/>
  <c r="F546" i="5"/>
  <c r="G546" i="5"/>
  <c r="H546" i="5"/>
  <c r="I546" i="5"/>
  <c r="J546" i="5"/>
  <c r="K546" i="5"/>
  <c r="L546" i="5"/>
  <c r="M546" i="5"/>
  <c r="AC546" i="5" s="1"/>
  <c r="N546" i="5"/>
  <c r="O546" i="5"/>
  <c r="P546" i="5"/>
  <c r="Q546" i="5"/>
  <c r="R546" i="5"/>
  <c r="S546" i="5"/>
  <c r="T546" i="5"/>
  <c r="U546" i="5"/>
  <c r="V546" i="5"/>
  <c r="W546" i="5"/>
  <c r="X546" i="5"/>
  <c r="AB546" i="5"/>
  <c r="B547" i="5"/>
  <c r="C547" i="5"/>
  <c r="D547" i="5"/>
  <c r="E547" i="5"/>
  <c r="F547" i="5"/>
  <c r="G547" i="5"/>
  <c r="H547" i="5"/>
  <c r="I547" i="5"/>
  <c r="J547" i="5"/>
  <c r="K547" i="5"/>
  <c r="L547" i="5"/>
  <c r="M547" i="5"/>
  <c r="N547" i="5"/>
  <c r="O547" i="5"/>
  <c r="P547" i="5"/>
  <c r="Q547" i="5"/>
  <c r="R547" i="5"/>
  <c r="S547" i="5"/>
  <c r="T547" i="5"/>
  <c r="U547" i="5"/>
  <c r="V547" i="5"/>
  <c r="W547" i="5"/>
  <c r="X547" i="5"/>
  <c r="AC547" i="5"/>
  <c r="B548" i="5"/>
  <c r="C548" i="5"/>
  <c r="D548" i="5"/>
  <c r="E548" i="5"/>
  <c r="F548" i="5"/>
  <c r="G548" i="5"/>
  <c r="H548" i="5"/>
  <c r="I548" i="5"/>
  <c r="J548" i="5"/>
  <c r="K548" i="5"/>
  <c r="L548" i="5"/>
  <c r="M548" i="5"/>
  <c r="AC548" i="5" s="1"/>
  <c r="N548" i="5"/>
  <c r="O548" i="5"/>
  <c r="P548" i="5"/>
  <c r="Q548" i="5"/>
  <c r="R548" i="5"/>
  <c r="S548" i="5"/>
  <c r="T548" i="5"/>
  <c r="U548" i="5"/>
  <c r="V548" i="5"/>
  <c r="W548" i="5"/>
  <c r="X548" i="5"/>
  <c r="AB548" i="5"/>
  <c r="B549" i="5"/>
  <c r="C549" i="5"/>
  <c r="D549" i="5"/>
  <c r="E549" i="5"/>
  <c r="F549" i="5"/>
  <c r="G549" i="5"/>
  <c r="H549" i="5"/>
  <c r="I549" i="5"/>
  <c r="J549" i="5"/>
  <c r="K549" i="5"/>
  <c r="L549" i="5"/>
  <c r="M549" i="5"/>
  <c r="N549" i="5"/>
  <c r="O549" i="5"/>
  <c r="P549" i="5"/>
  <c r="Q549" i="5"/>
  <c r="R549" i="5"/>
  <c r="S549" i="5"/>
  <c r="T549" i="5"/>
  <c r="U549" i="5"/>
  <c r="V549" i="5"/>
  <c r="W549" i="5"/>
  <c r="X549" i="5"/>
  <c r="AC549" i="5"/>
  <c r="B550" i="5"/>
  <c r="C550" i="5"/>
  <c r="D550" i="5"/>
  <c r="E550" i="5"/>
  <c r="F550" i="5"/>
  <c r="G550" i="5"/>
  <c r="H550" i="5"/>
  <c r="I550" i="5"/>
  <c r="J550" i="5"/>
  <c r="K550" i="5"/>
  <c r="L550" i="5"/>
  <c r="M550" i="5"/>
  <c r="AC550" i="5" s="1"/>
  <c r="N550" i="5"/>
  <c r="O550" i="5"/>
  <c r="P550" i="5"/>
  <c r="Q550" i="5"/>
  <c r="R550" i="5"/>
  <c r="S550" i="5"/>
  <c r="T550" i="5"/>
  <c r="U550" i="5"/>
  <c r="V550" i="5"/>
  <c r="W550" i="5"/>
  <c r="X550" i="5"/>
  <c r="AB550" i="5"/>
  <c r="B551" i="5"/>
  <c r="C551" i="5"/>
  <c r="D551" i="5"/>
  <c r="E551" i="5"/>
  <c r="F551" i="5"/>
  <c r="G551" i="5"/>
  <c r="H551" i="5"/>
  <c r="I551" i="5"/>
  <c r="J551" i="5"/>
  <c r="K551" i="5"/>
  <c r="L551" i="5"/>
  <c r="M551" i="5"/>
  <c r="N551" i="5"/>
  <c r="O551" i="5"/>
  <c r="P551" i="5"/>
  <c r="Q551" i="5"/>
  <c r="R551" i="5"/>
  <c r="S551" i="5"/>
  <c r="T551" i="5"/>
  <c r="U551" i="5"/>
  <c r="V551" i="5"/>
  <c r="W551" i="5"/>
  <c r="X551" i="5"/>
  <c r="AC551" i="5"/>
  <c r="B552" i="5"/>
  <c r="C552" i="5"/>
  <c r="D552" i="5"/>
  <c r="E552" i="5"/>
  <c r="F552" i="5"/>
  <c r="G552" i="5"/>
  <c r="H552" i="5"/>
  <c r="I552" i="5"/>
  <c r="J552" i="5"/>
  <c r="K552" i="5"/>
  <c r="L552" i="5"/>
  <c r="M552" i="5"/>
  <c r="AC552" i="5" s="1"/>
  <c r="N552" i="5"/>
  <c r="O552" i="5"/>
  <c r="P552" i="5"/>
  <c r="Q552" i="5"/>
  <c r="R552" i="5"/>
  <c r="S552" i="5"/>
  <c r="T552" i="5"/>
  <c r="U552" i="5"/>
  <c r="V552" i="5"/>
  <c r="W552" i="5"/>
  <c r="X552" i="5"/>
  <c r="AB552" i="5"/>
  <c r="B553" i="5"/>
  <c r="C553" i="5"/>
  <c r="D553" i="5"/>
  <c r="E553" i="5"/>
  <c r="F553" i="5"/>
  <c r="G553" i="5"/>
  <c r="H553" i="5"/>
  <c r="I553" i="5"/>
  <c r="J553" i="5"/>
  <c r="K553" i="5"/>
  <c r="L553" i="5"/>
  <c r="M553" i="5"/>
  <c r="N553" i="5"/>
  <c r="O553" i="5"/>
  <c r="P553" i="5"/>
  <c r="Q553" i="5"/>
  <c r="R553" i="5"/>
  <c r="S553" i="5"/>
  <c r="T553" i="5"/>
  <c r="U553" i="5"/>
  <c r="V553" i="5"/>
  <c r="W553" i="5"/>
  <c r="X553" i="5"/>
  <c r="AC553" i="5"/>
  <c r="B554" i="5"/>
  <c r="C554" i="5"/>
  <c r="D554" i="5"/>
  <c r="E554" i="5"/>
  <c r="F554" i="5"/>
  <c r="G554" i="5"/>
  <c r="H554" i="5"/>
  <c r="I554" i="5"/>
  <c r="J554" i="5"/>
  <c r="K554" i="5"/>
  <c r="L554" i="5"/>
  <c r="M554" i="5"/>
  <c r="AC554" i="5" s="1"/>
  <c r="N554" i="5"/>
  <c r="O554" i="5"/>
  <c r="P554" i="5"/>
  <c r="Q554" i="5"/>
  <c r="R554" i="5"/>
  <c r="S554" i="5"/>
  <c r="T554" i="5"/>
  <c r="U554" i="5"/>
  <c r="V554" i="5"/>
  <c r="W554" i="5"/>
  <c r="X554" i="5"/>
  <c r="AB554" i="5"/>
  <c r="B555" i="5"/>
  <c r="C555" i="5"/>
  <c r="D555" i="5"/>
  <c r="E555" i="5"/>
  <c r="F555" i="5"/>
  <c r="G555" i="5"/>
  <c r="H555" i="5"/>
  <c r="I555" i="5"/>
  <c r="J555" i="5"/>
  <c r="K555" i="5"/>
  <c r="L555" i="5"/>
  <c r="M555" i="5"/>
  <c r="N555" i="5"/>
  <c r="O555" i="5"/>
  <c r="P555" i="5"/>
  <c r="Q555" i="5"/>
  <c r="R555" i="5"/>
  <c r="S555" i="5"/>
  <c r="T555" i="5"/>
  <c r="U555" i="5"/>
  <c r="V555" i="5"/>
  <c r="W555" i="5"/>
  <c r="X555" i="5"/>
  <c r="AC555" i="5"/>
  <c r="B556" i="5"/>
  <c r="C556" i="5"/>
  <c r="D556" i="5"/>
  <c r="E556" i="5"/>
  <c r="E659" i="5" s="1"/>
  <c r="F556" i="5"/>
  <c r="G556" i="5"/>
  <c r="H556" i="5"/>
  <c r="I556" i="5"/>
  <c r="I659" i="5" s="1"/>
  <c r="J556" i="5"/>
  <c r="K556" i="5"/>
  <c r="L556" i="5"/>
  <c r="M556" i="5"/>
  <c r="AC556" i="5" s="1"/>
  <c r="N556" i="5"/>
  <c r="O556" i="5"/>
  <c r="P556" i="5"/>
  <c r="Q556" i="5"/>
  <c r="Q659" i="5" s="1"/>
  <c r="R556" i="5"/>
  <c r="S556" i="5"/>
  <c r="T556" i="5"/>
  <c r="U556" i="5"/>
  <c r="U659" i="5" s="1"/>
  <c r="V556" i="5"/>
  <c r="W556" i="5"/>
  <c r="X556" i="5"/>
  <c r="AB556" i="5"/>
  <c r="B557" i="5"/>
  <c r="C557" i="5"/>
  <c r="D557" i="5"/>
  <c r="E557" i="5"/>
  <c r="F557" i="5"/>
  <c r="G557" i="5"/>
  <c r="H557" i="5"/>
  <c r="I557" i="5"/>
  <c r="J557" i="5"/>
  <c r="K557" i="5"/>
  <c r="L557" i="5"/>
  <c r="M557" i="5"/>
  <c r="N557" i="5"/>
  <c r="O557" i="5"/>
  <c r="P557" i="5"/>
  <c r="Q557" i="5"/>
  <c r="R557" i="5"/>
  <c r="S557" i="5"/>
  <c r="T557" i="5"/>
  <c r="U557" i="5"/>
  <c r="V557" i="5"/>
  <c r="W557" i="5"/>
  <c r="X557" i="5"/>
  <c r="AC557" i="5"/>
  <c r="B558" i="5"/>
  <c r="C558" i="5"/>
  <c r="D558" i="5"/>
  <c r="E558" i="5"/>
  <c r="F558" i="5"/>
  <c r="G558" i="5"/>
  <c r="H558" i="5"/>
  <c r="I558" i="5"/>
  <c r="J558" i="5"/>
  <c r="K558" i="5"/>
  <c r="L558" i="5"/>
  <c r="M558" i="5"/>
  <c r="AC558" i="5" s="1"/>
  <c r="N558" i="5"/>
  <c r="O558" i="5"/>
  <c r="P558" i="5"/>
  <c r="Q558" i="5"/>
  <c r="R558" i="5"/>
  <c r="S558" i="5"/>
  <c r="T558" i="5"/>
  <c r="U558" i="5"/>
  <c r="V558" i="5"/>
  <c r="W558" i="5"/>
  <c r="X558" i="5"/>
  <c r="AB558" i="5"/>
  <c r="B559" i="5"/>
  <c r="C559" i="5"/>
  <c r="D559" i="5"/>
  <c r="E559" i="5"/>
  <c r="F559" i="5"/>
  <c r="G559" i="5"/>
  <c r="H559" i="5"/>
  <c r="I559" i="5"/>
  <c r="J559" i="5"/>
  <c r="K559" i="5"/>
  <c r="L559" i="5"/>
  <c r="M559" i="5"/>
  <c r="N559" i="5"/>
  <c r="O559" i="5"/>
  <c r="P559" i="5"/>
  <c r="Q559" i="5"/>
  <c r="R559" i="5"/>
  <c r="S559" i="5"/>
  <c r="T559" i="5"/>
  <c r="U559" i="5"/>
  <c r="V559" i="5"/>
  <c r="W559" i="5"/>
  <c r="X559" i="5"/>
  <c r="AC559" i="5"/>
  <c r="B560" i="5"/>
  <c r="C560" i="5"/>
  <c r="D560" i="5"/>
  <c r="E560" i="5"/>
  <c r="F560" i="5"/>
  <c r="G560" i="5"/>
  <c r="H560" i="5"/>
  <c r="I560" i="5"/>
  <c r="J560" i="5"/>
  <c r="K560" i="5"/>
  <c r="L560" i="5"/>
  <c r="M560" i="5"/>
  <c r="AC560" i="5" s="1"/>
  <c r="N560" i="5"/>
  <c r="O560" i="5"/>
  <c r="P560" i="5"/>
  <c r="Q560" i="5"/>
  <c r="R560" i="5"/>
  <c r="S560" i="5"/>
  <c r="T560" i="5"/>
  <c r="U560" i="5"/>
  <c r="V560" i="5"/>
  <c r="W560" i="5"/>
  <c r="X560" i="5"/>
  <c r="AB560" i="5"/>
  <c r="B561" i="5"/>
  <c r="C561" i="5"/>
  <c r="D561" i="5"/>
  <c r="E561" i="5"/>
  <c r="F561" i="5"/>
  <c r="G561" i="5"/>
  <c r="H561" i="5"/>
  <c r="I561" i="5"/>
  <c r="J561" i="5"/>
  <c r="K561" i="5"/>
  <c r="L561" i="5"/>
  <c r="M561" i="5"/>
  <c r="N561" i="5"/>
  <c r="O561" i="5"/>
  <c r="P561" i="5"/>
  <c r="Q561" i="5"/>
  <c r="R561" i="5"/>
  <c r="S561" i="5"/>
  <c r="T561" i="5"/>
  <c r="U561" i="5"/>
  <c r="V561" i="5"/>
  <c r="W561" i="5"/>
  <c r="X561" i="5"/>
  <c r="AC561" i="5"/>
  <c r="B562" i="5"/>
  <c r="C562" i="5"/>
  <c r="D562" i="5"/>
  <c r="E562" i="5"/>
  <c r="F562" i="5"/>
  <c r="G562" i="5"/>
  <c r="H562" i="5"/>
  <c r="I562" i="5"/>
  <c r="J562" i="5"/>
  <c r="K562" i="5"/>
  <c r="L562" i="5"/>
  <c r="M562" i="5"/>
  <c r="AC562" i="5" s="1"/>
  <c r="N562" i="5"/>
  <c r="O562" i="5"/>
  <c r="P562" i="5"/>
  <c r="Q562" i="5"/>
  <c r="R562" i="5"/>
  <c r="S562" i="5"/>
  <c r="T562" i="5"/>
  <c r="U562" i="5"/>
  <c r="V562" i="5"/>
  <c r="W562" i="5"/>
  <c r="X562" i="5"/>
  <c r="AB562" i="5"/>
  <c r="B563" i="5"/>
  <c r="C563" i="5"/>
  <c r="D563" i="5"/>
  <c r="E563" i="5"/>
  <c r="F563" i="5"/>
  <c r="G563" i="5"/>
  <c r="H563" i="5"/>
  <c r="I563" i="5"/>
  <c r="J563" i="5"/>
  <c r="K563" i="5"/>
  <c r="L563" i="5"/>
  <c r="M563" i="5"/>
  <c r="N563" i="5"/>
  <c r="O563" i="5"/>
  <c r="P563" i="5"/>
  <c r="Q563" i="5"/>
  <c r="R563" i="5"/>
  <c r="S563" i="5"/>
  <c r="T563" i="5"/>
  <c r="U563" i="5"/>
  <c r="V563" i="5"/>
  <c r="W563" i="5"/>
  <c r="X563" i="5"/>
  <c r="AC563" i="5"/>
  <c r="B564" i="5"/>
  <c r="C564" i="5"/>
  <c r="D564" i="5"/>
  <c r="E564" i="5"/>
  <c r="F564" i="5"/>
  <c r="G564" i="5"/>
  <c r="H564" i="5"/>
  <c r="I564" i="5"/>
  <c r="J564" i="5"/>
  <c r="K564" i="5"/>
  <c r="L564" i="5"/>
  <c r="M564" i="5"/>
  <c r="AC564" i="5" s="1"/>
  <c r="N564" i="5"/>
  <c r="O564" i="5"/>
  <c r="P564" i="5"/>
  <c r="Q564" i="5"/>
  <c r="R564" i="5"/>
  <c r="S564" i="5"/>
  <c r="T564" i="5"/>
  <c r="U564" i="5"/>
  <c r="V564" i="5"/>
  <c r="W564" i="5"/>
  <c r="X564" i="5"/>
  <c r="AB564" i="5"/>
  <c r="B565" i="5"/>
  <c r="C565" i="5"/>
  <c r="D565" i="5"/>
  <c r="E565" i="5"/>
  <c r="E660" i="5" s="1"/>
  <c r="F565" i="5"/>
  <c r="G565" i="5"/>
  <c r="H565" i="5"/>
  <c r="I565" i="5"/>
  <c r="I660" i="5" s="1"/>
  <c r="J565" i="5"/>
  <c r="K565" i="5"/>
  <c r="L565" i="5"/>
  <c r="M565" i="5"/>
  <c r="M660" i="5" s="1"/>
  <c r="N565" i="5"/>
  <c r="O565" i="5"/>
  <c r="P565" i="5"/>
  <c r="Q565" i="5"/>
  <c r="Q660" i="5" s="1"/>
  <c r="R565" i="5"/>
  <c r="S565" i="5"/>
  <c r="T565" i="5"/>
  <c r="U565" i="5"/>
  <c r="U660" i="5" s="1"/>
  <c r="V565" i="5"/>
  <c r="W565" i="5"/>
  <c r="X565" i="5"/>
  <c r="AC565" i="5"/>
  <c r="B566" i="5"/>
  <c r="C566" i="5"/>
  <c r="D566" i="5"/>
  <c r="E566" i="5"/>
  <c r="F566" i="5"/>
  <c r="G566" i="5"/>
  <c r="H566" i="5"/>
  <c r="I566" i="5"/>
  <c r="J566" i="5"/>
  <c r="K566" i="5"/>
  <c r="L566" i="5"/>
  <c r="M566" i="5"/>
  <c r="AC566" i="5" s="1"/>
  <c r="N566" i="5"/>
  <c r="O566" i="5"/>
  <c r="P566" i="5"/>
  <c r="Q566" i="5"/>
  <c r="R566" i="5"/>
  <c r="S566" i="5"/>
  <c r="T566" i="5"/>
  <c r="U566" i="5"/>
  <c r="V566" i="5"/>
  <c r="W566" i="5"/>
  <c r="X566" i="5"/>
  <c r="AB566" i="5"/>
  <c r="B567" i="5"/>
  <c r="C567" i="5"/>
  <c r="D567" i="5"/>
  <c r="E567" i="5"/>
  <c r="F567" i="5"/>
  <c r="G567" i="5"/>
  <c r="H567" i="5"/>
  <c r="I567" i="5"/>
  <c r="J567" i="5"/>
  <c r="K567" i="5"/>
  <c r="L567" i="5"/>
  <c r="M567" i="5"/>
  <c r="N567" i="5"/>
  <c r="O567" i="5"/>
  <c r="P567" i="5"/>
  <c r="Q567" i="5"/>
  <c r="R567" i="5"/>
  <c r="S567" i="5"/>
  <c r="T567" i="5"/>
  <c r="U567" i="5"/>
  <c r="V567" i="5"/>
  <c r="W567" i="5"/>
  <c r="X567" i="5"/>
  <c r="AC567" i="5"/>
  <c r="B568" i="5"/>
  <c r="C568" i="5"/>
  <c r="D568" i="5"/>
  <c r="E568" i="5"/>
  <c r="F568" i="5"/>
  <c r="G568" i="5"/>
  <c r="H568" i="5"/>
  <c r="I568" i="5"/>
  <c r="J568" i="5"/>
  <c r="K568" i="5"/>
  <c r="L568" i="5"/>
  <c r="M568" i="5"/>
  <c r="AC568" i="5" s="1"/>
  <c r="N568" i="5"/>
  <c r="O568" i="5"/>
  <c r="P568" i="5"/>
  <c r="Q568" i="5"/>
  <c r="R568" i="5"/>
  <c r="S568" i="5"/>
  <c r="T568" i="5"/>
  <c r="U568" i="5"/>
  <c r="V568" i="5"/>
  <c r="W568" i="5"/>
  <c r="X568" i="5"/>
  <c r="AB568" i="5"/>
  <c r="B569" i="5"/>
  <c r="C569" i="5"/>
  <c r="D569" i="5"/>
  <c r="E569" i="5"/>
  <c r="F569" i="5"/>
  <c r="G569" i="5"/>
  <c r="H569" i="5"/>
  <c r="I569" i="5"/>
  <c r="J569" i="5"/>
  <c r="K569" i="5"/>
  <c r="L569" i="5"/>
  <c r="M569" i="5"/>
  <c r="N569" i="5"/>
  <c r="O569" i="5"/>
  <c r="P569" i="5"/>
  <c r="Q569" i="5"/>
  <c r="R569" i="5"/>
  <c r="S569" i="5"/>
  <c r="T569" i="5"/>
  <c r="U569" i="5"/>
  <c r="V569" i="5"/>
  <c r="W569" i="5"/>
  <c r="X569" i="5"/>
  <c r="AC569" i="5"/>
  <c r="B570" i="5"/>
  <c r="C570" i="5"/>
  <c r="D570" i="5"/>
  <c r="E570" i="5"/>
  <c r="F570" i="5"/>
  <c r="G570" i="5"/>
  <c r="H570" i="5"/>
  <c r="I570" i="5"/>
  <c r="J570" i="5"/>
  <c r="K570" i="5"/>
  <c r="L570" i="5"/>
  <c r="M570" i="5"/>
  <c r="AC570" i="5" s="1"/>
  <c r="N570" i="5"/>
  <c r="O570" i="5"/>
  <c r="P570" i="5"/>
  <c r="Q570" i="5"/>
  <c r="R570" i="5"/>
  <c r="S570" i="5"/>
  <c r="T570" i="5"/>
  <c r="U570" i="5"/>
  <c r="V570" i="5"/>
  <c r="W570" i="5"/>
  <c r="X570" i="5"/>
  <c r="AB570" i="5"/>
  <c r="B571" i="5"/>
  <c r="C571" i="5"/>
  <c r="D571" i="5"/>
  <c r="E571" i="5"/>
  <c r="F571" i="5"/>
  <c r="G571" i="5"/>
  <c r="H571" i="5"/>
  <c r="I571" i="5"/>
  <c r="J571" i="5"/>
  <c r="K571" i="5"/>
  <c r="L571" i="5"/>
  <c r="M571" i="5"/>
  <c r="N571" i="5"/>
  <c r="O571" i="5"/>
  <c r="P571" i="5"/>
  <c r="Q571" i="5"/>
  <c r="R571" i="5"/>
  <c r="S571" i="5"/>
  <c r="T571" i="5"/>
  <c r="U571" i="5"/>
  <c r="V571" i="5"/>
  <c r="W571" i="5"/>
  <c r="X571" i="5"/>
  <c r="AC571" i="5"/>
  <c r="B572" i="5"/>
  <c r="C572" i="5"/>
  <c r="D572" i="5"/>
  <c r="E572" i="5"/>
  <c r="F572" i="5"/>
  <c r="G572" i="5"/>
  <c r="H572" i="5"/>
  <c r="I572" i="5"/>
  <c r="J572" i="5"/>
  <c r="K572" i="5"/>
  <c r="L572" i="5"/>
  <c r="M572" i="5"/>
  <c r="AC572" i="5" s="1"/>
  <c r="N572" i="5"/>
  <c r="O572" i="5"/>
  <c r="P572" i="5"/>
  <c r="Q572" i="5"/>
  <c r="R572" i="5"/>
  <c r="S572" i="5"/>
  <c r="T572" i="5"/>
  <c r="U572" i="5"/>
  <c r="V572" i="5"/>
  <c r="W572" i="5"/>
  <c r="X572" i="5"/>
  <c r="AB572" i="5"/>
  <c r="B573" i="5"/>
  <c r="C573" i="5"/>
  <c r="D573" i="5"/>
  <c r="E573" i="5"/>
  <c r="F573" i="5"/>
  <c r="G573" i="5"/>
  <c r="H573" i="5"/>
  <c r="I573" i="5"/>
  <c r="J573" i="5"/>
  <c r="K573" i="5"/>
  <c r="L573" i="5"/>
  <c r="M573" i="5"/>
  <c r="N573" i="5"/>
  <c r="O573" i="5"/>
  <c r="P573" i="5"/>
  <c r="Q573" i="5"/>
  <c r="R573" i="5"/>
  <c r="S573" i="5"/>
  <c r="T573" i="5"/>
  <c r="U573" i="5"/>
  <c r="V573" i="5"/>
  <c r="W573" i="5"/>
  <c r="X573" i="5"/>
  <c r="AC573" i="5"/>
  <c r="B574" i="5"/>
  <c r="C574" i="5"/>
  <c r="D574" i="5"/>
  <c r="E574" i="5"/>
  <c r="F574" i="5"/>
  <c r="G574" i="5"/>
  <c r="H574" i="5"/>
  <c r="I574" i="5"/>
  <c r="J574" i="5"/>
  <c r="K574" i="5"/>
  <c r="L574" i="5"/>
  <c r="M574" i="5"/>
  <c r="AC574" i="5" s="1"/>
  <c r="N574" i="5"/>
  <c r="O574" i="5"/>
  <c r="P574" i="5"/>
  <c r="Q574" i="5"/>
  <c r="R574" i="5"/>
  <c r="S574" i="5"/>
  <c r="T574" i="5"/>
  <c r="U574" i="5"/>
  <c r="V574" i="5"/>
  <c r="W574" i="5"/>
  <c r="X574" i="5"/>
  <c r="AB574" i="5"/>
  <c r="B575" i="5"/>
  <c r="C575" i="5"/>
  <c r="D575" i="5"/>
  <c r="E575" i="5"/>
  <c r="F575" i="5"/>
  <c r="G575" i="5"/>
  <c r="H575" i="5"/>
  <c r="I575" i="5"/>
  <c r="J575" i="5"/>
  <c r="K575" i="5"/>
  <c r="L575" i="5"/>
  <c r="M575" i="5"/>
  <c r="N575" i="5"/>
  <c r="O575" i="5"/>
  <c r="P575" i="5"/>
  <c r="Q575" i="5"/>
  <c r="R575" i="5"/>
  <c r="S575" i="5"/>
  <c r="T575" i="5"/>
  <c r="U575" i="5"/>
  <c r="V575" i="5"/>
  <c r="W575" i="5"/>
  <c r="X575" i="5"/>
  <c r="AC575" i="5"/>
  <c r="B576" i="5"/>
  <c r="C576" i="5"/>
  <c r="D576" i="5"/>
  <c r="E576" i="5"/>
  <c r="F576" i="5"/>
  <c r="G576" i="5"/>
  <c r="H576" i="5"/>
  <c r="I576" i="5"/>
  <c r="J576" i="5"/>
  <c r="K576" i="5"/>
  <c r="L576" i="5"/>
  <c r="M576" i="5"/>
  <c r="AC576" i="5" s="1"/>
  <c r="N576" i="5"/>
  <c r="O576" i="5"/>
  <c r="P576" i="5"/>
  <c r="Q576" i="5"/>
  <c r="R576" i="5"/>
  <c r="S576" i="5"/>
  <c r="T576" i="5"/>
  <c r="U576" i="5"/>
  <c r="V576" i="5"/>
  <c r="W576" i="5"/>
  <c r="X576" i="5"/>
  <c r="AB576" i="5"/>
  <c r="B577" i="5"/>
  <c r="C577" i="5"/>
  <c r="D577" i="5"/>
  <c r="E577" i="5"/>
  <c r="E661" i="5" s="1"/>
  <c r="F577" i="5"/>
  <c r="G577" i="5"/>
  <c r="H577" i="5"/>
  <c r="I577" i="5"/>
  <c r="I661" i="5" s="1"/>
  <c r="J577" i="5"/>
  <c r="K577" i="5"/>
  <c r="L577" i="5"/>
  <c r="M577" i="5"/>
  <c r="M661" i="5" s="1"/>
  <c r="N577" i="5"/>
  <c r="O577" i="5"/>
  <c r="P577" i="5"/>
  <c r="Q577" i="5"/>
  <c r="Q661" i="5" s="1"/>
  <c r="R577" i="5"/>
  <c r="S577" i="5"/>
  <c r="T577" i="5"/>
  <c r="U577" i="5"/>
  <c r="U661" i="5" s="1"/>
  <c r="V577" i="5"/>
  <c r="W577" i="5"/>
  <c r="X577" i="5"/>
  <c r="AC577" i="5"/>
  <c r="AC661" i="5" s="1"/>
  <c r="B578" i="5"/>
  <c r="C578" i="5"/>
  <c r="D578" i="5"/>
  <c r="E578" i="5"/>
  <c r="F578" i="5"/>
  <c r="G578" i="5"/>
  <c r="H578" i="5"/>
  <c r="I578" i="5"/>
  <c r="J578" i="5"/>
  <c r="K578" i="5"/>
  <c r="L578" i="5"/>
  <c r="M578" i="5"/>
  <c r="AC578" i="5" s="1"/>
  <c r="N578" i="5"/>
  <c r="O578" i="5"/>
  <c r="P578" i="5"/>
  <c r="Q578" i="5"/>
  <c r="R578" i="5"/>
  <c r="S578" i="5"/>
  <c r="T578" i="5"/>
  <c r="U578" i="5"/>
  <c r="V578" i="5"/>
  <c r="W578" i="5"/>
  <c r="X578" i="5"/>
  <c r="AB578" i="5"/>
  <c r="B579" i="5"/>
  <c r="C579" i="5"/>
  <c r="D579" i="5"/>
  <c r="E579" i="5"/>
  <c r="F579" i="5"/>
  <c r="G579" i="5"/>
  <c r="H579" i="5"/>
  <c r="I579" i="5"/>
  <c r="J579" i="5"/>
  <c r="K579" i="5"/>
  <c r="L579" i="5"/>
  <c r="M579" i="5"/>
  <c r="N579" i="5"/>
  <c r="O579" i="5"/>
  <c r="P579" i="5"/>
  <c r="Q579" i="5"/>
  <c r="R579" i="5"/>
  <c r="S579" i="5"/>
  <c r="T579" i="5"/>
  <c r="U579" i="5"/>
  <c r="V579" i="5"/>
  <c r="W579" i="5"/>
  <c r="X579" i="5"/>
  <c r="AC579" i="5"/>
  <c r="B580" i="5"/>
  <c r="C580" i="5"/>
  <c r="D580" i="5"/>
  <c r="E580" i="5"/>
  <c r="F580" i="5"/>
  <c r="G580" i="5"/>
  <c r="H580" i="5"/>
  <c r="I580" i="5"/>
  <c r="J580" i="5"/>
  <c r="K580" i="5"/>
  <c r="L580" i="5"/>
  <c r="M580" i="5"/>
  <c r="AC580" i="5" s="1"/>
  <c r="N580" i="5"/>
  <c r="O580" i="5"/>
  <c r="P580" i="5"/>
  <c r="Q580" i="5"/>
  <c r="R580" i="5"/>
  <c r="S580" i="5"/>
  <c r="T580" i="5"/>
  <c r="U580" i="5"/>
  <c r="V580" i="5"/>
  <c r="W580" i="5"/>
  <c r="X580" i="5"/>
  <c r="AB580" i="5"/>
  <c r="B581" i="5"/>
  <c r="C581" i="5"/>
  <c r="D581" i="5"/>
  <c r="E581" i="5"/>
  <c r="F581" i="5"/>
  <c r="G581" i="5"/>
  <c r="H581" i="5"/>
  <c r="I581" i="5"/>
  <c r="J581" i="5"/>
  <c r="K581" i="5"/>
  <c r="L581" i="5"/>
  <c r="M581" i="5"/>
  <c r="N581" i="5"/>
  <c r="O581" i="5"/>
  <c r="P581" i="5"/>
  <c r="Q581" i="5"/>
  <c r="R581" i="5"/>
  <c r="S581" i="5"/>
  <c r="T581" i="5"/>
  <c r="U581" i="5"/>
  <c r="V581" i="5"/>
  <c r="W581" i="5"/>
  <c r="X581" i="5"/>
  <c r="AC581" i="5"/>
  <c r="B582" i="5"/>
  <c r="C582" i="5"/>
  <c r="D582" i="5"/>
  <c r="E582" i="5"/>
  <c r="F582" i="5"/>
  <c r="G582" i="5"/>
  <c r="H582" i="5"/>
  <c r="I582" i="5"/>
  <c r="J582" i="5"/>
  <c r="K582" i="5"/>
  <c r="L582" i="5"/>
  <c r="M582" i="5"/>
  <c r="AC582" i="5" s="1"/>
  <c r="N582" i="5"/>
  <c r="O582" i="5"/>
  <c r="P582" i="5"/>
  <c r="Q582" i="5"/>
  <c r="R582" i="5"/>
  <c r="S582" i="5"/>
  <c r="T582" i="5"/>
  <c r="U582" i="5"/>
  <c r="V582" i="5"/>
  <c r="W582" i="5"/>
  <c r="X582" i="5"/>
  <c r="AB582" i="5"/>
  <c r="B583" i="5"/>
  <c r="C583" i="5"/>
  <c r="D583" i="5"/>
  <c r="E583" i="5"/>
  <c r="F583" i="5"/>
  <c r="G583" i="5"/>
  <c r="H583" i="5"/>
  <c r="I583" i="5"/>
  <c r="J583" i="5"/>
  <c r="K583" i="5"/>
  <c r="L583" i="5"/>
  <c r="M583" i="5"/>
  <c r="N583" i="5"/>
  <c r="O583" i="5"/>
  <c r="P583" i="5"/>
  <c r="Q583" i="5"/>
  <c r="R583" i="5"/>
  <c r="S583" i="5"/>
  <c r="T583" i="5"/>
  <c r="U583" i="5"/>
  <c r="V583" i="5"/>
  <c r="W583" i="5"/>
  <c r="X583" i="5"/>
  <c r="AC583" i="5"/>
  <c r="B584" i="5"/>
  <c r="C584" i="5"/>
  <c r="D584" i="5"/>
  <c r="E584" i="5"/>
  <c r="F584" i="5"/>
  <c r="G584" i="5"/>
  <c r="H584" i="5"/>
  <c r="I584" i="5"/>
  <c r="J584" i="5"/>
  <c r="K584" i="5"/>
  <c r="L584" i="5"/>
  <c r="M584" i="5"/>
  <c r="AC584" i="5" s="1"/>
  <c r="N584" i="5"/>
  <c r="O584" i="5"/>
  <c r="P584" i="5"/>
  <c r="Q584" i="5"/>
  <c r="R584" i="5"/>
  <c r="S584" i="5"/>
  <c r="T584" i="5"/>
  <c r="U584" i="5"/>
  <c r="V584" i="5"/>
  <c r="W584" i="5"/>
  <c r="X584" i="5"/>
  <c r="AB584" i="5"/>
  <c r="B585" i="5"/>
  <c r="C585" i="5"/>
  <c r="D585" i="5"/>
  <c r="E585" i="5"/>
  <c r="F585" i="5"/>
  <c r="G585" i="5"/>
  <c r="H585" i="5"/>
  <c r="I585" i="5"/>
  <c r="J585" i="5"/>
  <c r="K585" i="5"/>
  <c r="L585" i="5"/>
  <c r="M585" i="5"/>
  <c r="N585" i="5"/>
  <c r="O585" i="5"/>
  <c r="P585" i="5"/>
  <c r="Q585" i="5"/>
  <c r="R585" i="5"/>
  <c r="S585" i="5"/>
  <c r="T585" i="5"/>
  <c r="U585" i="5"/>
  <c r="V585" i="5"/>
  <c r="W585" i="5"/>
  <c r="X585" i="5"/>
  <c r="AC585" i="5"/>
  <c r="B586" i="5"/>
  <c r="C586" i="5"/>
  <c r="D586" i="5"/>
  <c r="E586" i="5"/>
  <c r="F586" i="5"/>
  <c r="G586" i="5"/>
  <c r="H586" i="5"/>
  <c r="I586" i="5"/>
  <c r="J586" i="5"/>
  <c r="K586" i="5"/>
  <c r="L586" i="5"/>
  <c r="M586" i="5"/>
  <c r="AC586" i="5" s="1"/>
  <c r="N586" i="5"/>
  <c r="O586" i="5"/>
  <c r="P586" i="5"/>
  <c r="Q586" i="5"/>
  <c r="R586" i="5"/>
  <c r="S586" i="5"/>
  <c r="T586" i="5"/>
  <c r="U586" i="5"/>
  <c r="V586" i="5"/>
  <c r="W586" i="5"/>
  <c r="X586" i="5"/>
  <c r="AB586" i="5"/>
  <c r="B587" i="5"/>
  <c r="C587" i="5"/>
  <c r="D587" i="5"/>
  <c r="E587" i="5"/>
  <c r="F587" i="5"/>
  <c r="G587" i="5"/>
  <c r="H587" i="5"/>
  <c r="I587" i="5"/>
  <c r="J587" i="5"/>
  <c r="K587" i="5"/>
  <c r="L587" i="5"/>
  <c r="M587" i="5"/>
  <c r="N587" i="5"/>
  <c r="O587" i="5"/>
  <c r="P587" i="5"/>
  <c r="Q587" i="5"/>
  <c r="R587" i="5"/>
  <c r="S587" i="5"/>
  <c r="T587" i="5"/>
  <c r="U587" i="5"/>
  <c r="V587" i="5"/>
  <c r="W587" i="5"/>
  <c r="X587" i="5"/>
  <c r="AC587" i="5"/>
  <c r="B588" i="5"/>
  <c r="C588" i="5"/>
  <c r="D588" i="5"/>
  <c r="E588" i="5"/>
  <c r="F588" i="5"/>
  <c r="G588" i="5"/>
  <c r="H588" i="5"/>
  <c r="I588" i="5"/>
  <c r="J588" i="5"/>
  <c r="K588" i="5"/>
  <c r="L588" i="5"/>
  <c r="M588" i="5"/>
  <c r="AC588" i="5" s="1"/>
  <c r="N588" i="5"/>
  <c r="O588" i="5"/>
  <c r="P588" i="5"/>
  <c r="Q588" i="5"/>
  <c r="R588" i="5"/>
  <c r="S588" i="5"/>
  <c r="T588" i="5"/>
  <c r="U588" i="5"/>
  <c r="V588" i="5"/>
  <c r="W588" i="5"/>
  <c r="X588" i="5"/>
  <c r="AB588" i="5"/>
  <c r="B589" i="5"/>
  <c r="C589" i="5"/>
  <c r="D589" i="5"/>
  <c r="E589" i="5"/>
  <c r="F589" i="5"/>
  <c r="G589" i="5"/>
  <c r="H589" i="5"/>
  <c r="I589" i="5"/>
  <c r="J589" i="5"/>
  <c r="K589" i="5"/>
  <c r="L589" i="5"/>
  <c r="M589" i="5"/>
  <c r="N589" i="5"/>
  <c r="O589" i="5"/>
  <c r="P589" i="5"/>
  <c r="Q589" i="5"/>
  <c r="R589" i="5"/>
  <c r="S589" i="5"/>
  <c r="T589" i="5"/>
  <c r="U589" i="5"/>
  <c r="V589" i="5"/>
  <c r="W589" i="5"/>
  <c r="X589" i="5"/>
  <c r="AC589" i="5"/>
  <c r="AC662" i="5" s="1"/>
  <c r="B590" i="5"/>
  <c r="C590" i="5"/>
  <c r="D590" i="5"/>
  <c r="E590" i="5"/>
  <c r="F590" i="5"/>
  <c r="G590" i="5"/>
  <c r="H590" i="5"/>
  <c r="I590" i="5"/>
  <c r="J590" i="5"/>
  <c r="K590" i="5"/>
  <c r="L590" i="5"/>
  <c r="M590" i="5"/>
  <c r="AC590" i="5" s="1"/>
  <c r="N590" i="5"/>
  <c r="O590" i="5"/>
  <c r="P590" i="5"/>
  <c r="Q590" i="5"/>
  <c r="R590" i="5"/>
  <c r="S590" i="5"/>
  <c r="T590" i="5"/>
  <c r="U590" i="5"/>
  <c r="V590" i="5"/>
  <c r="W590" i="5"/>
  <c r="X590" i="5"/>
  <c r="AB590" i="5"/>
  <c r="B591" i="5"/>
  <c r="C591" i="5"/>
  <c r="D591" i="5"/>
  <c r="E591" i="5"/>
  <c r="F591" i="5"/>
  <c r="G591" i="5"/>
  <c r="H591" i="5"/>
  <c r="I591" i="5"/>
  <c r="J591" i="5"/>
  <c r="K591" i="5"/>
  <c r="L591" i="5"/>
  <c r="M591" i="5"/>
  <c r="N591" i="5"/>
  <c r="O591" i="5"/>
  <c r="P591" i="5"/>
  <c r="Q591" i="5"/>
  <c r="R591" i="5"/>
  <c r="S591" i="5"/>
  <c r="T591" i="5"/>
  <c r="U591" i="5"/>
  <c r="V591" i="5"/>
  <c r="W591" i="5"/>
  <c r="X591" i="5"/>
  <c r="AC591" i="5"/>
  <c r="B592" i="5"/>
  <c r="C592" i="5"/>
  <c r="D592" i="5"/>
  <c r="E592" i="5"/>
  <c r="F592" i="5"/>
  <c r="G592" i="5"/>
  <c r="H592" i="5"/>
  <c r="I592" i="5"/>
  <c r="J592" i="5"/>
  <c r="K592" i="5"/>
  <c r="L592" i="5"/>
  <c r="M592" i="5"/>
  <c r="AC592" i="5" s="1"/>
  <c r="N592" i="5"/>
  <c r="O592" i="5"/>
  <c r="P592" i="5"/>
  <c r="Q592" i="5"/>
  <c r="R592" i="5"/>
  <c r="S592" i="5"/>
  <c r="T592" i="5"/>
  <c r="U592" i="5"/>
  <c r="V592" i="5"/>
  <c r="W592" i="5"/>
  <c r="X592" i="5"/>
  <c r="AB592" i="5"/>
  <c r="B593" i="5"/>
  <c r="C593" i="5"/>
  <c r="D593" i="5"/>
  <c r="E593" i="5"/>
  <c r="F593" i="5"/>
  <c r="G593" i="5"/>
  <c r="H593" i="5"/>
  <c r="I593" i="5"/>
  <c r="J593" i="5"/>
  <c r="K593" i="5"/>
  <c r="L593" i="5"/>
  <c r="M593" i="5"/>
  <c r="N593" i="5"/>
  <c r="O593" i="5"/>
  <c r="P593" i="5"/>
  <c r="Q593" i="5"/>
  <c r="R593" i="5"/>
  <c r="S593" i="5"/>
  <c r="T593" i="5"/>
  <c r="U593" i="5"/>
  <c r="V593" i="5"/>
  <c r="W593" i="5"/>
  <c r="X593" i="5"/>
  <c r="AC593" i="5"/>
  <c r="B594" i="5"/>
  <c r="C594" i="5"/>
  <c r="D594" i="5"/>
  <c r="E594" i="5"/>
  <c r="F594" i="5"/>
  <c r="G594" i="5"/>
  <c r="H594" i="5"/>
  <c r="I594" i="5"/>
  <c r="J594" i="5"/>
  <c r="K594" i="5"/>
  <c r="L594" i="5"/>
  <c r="M594" i="5"/>
  <c r="AC594" i="5" s="1"/>
  <c r="N594" i="5"/>
  <c r="O594" i="5"/>
  <c r="P594" i="5"/>
  <c r="Q594" i="5"/>
  <c r="R594" i="5"/>
  <c r="S594" i="5"/>
  <c r="T594" i="5"/>
  <c r="U594" i="5"/>
  <c r="V594" i="5"/>
  <c r="W594" i="5"/>
  <c r="X594" i="5"/>
  <c r="AB594" i="5"/>
  <c r="B595" i="5"/>
  <c r="C595" i="5"/>
  <c r="D595" i="5"/>
  <c r="E595" i="5"/>
  <c r="F595" i="5"/>
  <c r="G595" i="5"/>
  <c r="H595" i="5"/>
  <c r="I595" i="5"/>
  <c r="J595" i="5"/>
  <c r="K595" i="5"/>
  <c r="L595" i="5"/>
  <c r="M595" i="5"/>
  <c r="N595" i="5"/>
  <c r="O595" i="5"/>
  <c r="P595" i="5"/>
  <c r="Q595" i="5"/>
  <c r="R595" i="5"/>
  <c r="S595" i="5"/>
  <c r="T595" i="5"/>
  <c r="U595" i="5"/>
  <c r="V595" i="5"/>
  <c r="W595" i="5"/>
  <c r="X595" i="5"/>
  <c r="AC595" i="5"/>
  <c r="B596" i="5"/>
  <c r="C596" i="5"/>
  <c r="D596" i="5"/>
  <c r="E596" i="5"/>
  <c r="F596" i="5"/>
  <c r="G596" i="5"/>
  <c r="H596" i="5"/>
  <c r="I596" i="5"/>
  <c r="J596" i="5"/>
  <c r="K596" i="5"/>
  <c r="L596" i="5"/>
  <c r="M596" i="5"/>
  <c r="AC596" i="5" s="1"/>
  <c r="N596" i="5"/>
  <c r="O596" i="5"/>
  <c r="P596" i="5"/>
  <c r="Q596" i="5"/>
  <c r="R596" i="5"/>
  <c r="S596" i="5"/>
  <c r="T596" i="5"/>
  <c r="U596" i="5"/>
  <c r="V596" i="5"/>
  <c r="W596" i="5"/>
  <c r="X596" i="5"/>
  <c r="AB596" i="5"/>
  <c r="B597" i="5"/>
  <c r="C597" i="5"/>
  <c r="D597" i="5"/>
  <c r="E597" i="5"/>
  <c r="F597" i="5"/>
  <c r="G597" i="5"/>
  <c r="H597" i="5"/>
  <c r="I597" i="5"/>
  <c r="J597" i="5"/>
  <c r="K597" i="5"/>
  <c r="L597" i="5"/>
  <c r="M597" i="5"/>
  <c r="N597" i="5"/>
  <c r="O597" i="5"/>
  <c r="P597" i="5"/>
  <c r="Q597" i="5"/>
  <c r="R597" i="5"/>
  <c r="S597" i="5"/>
  <c r="T597" i="5"/>
  <c r="U597" i="5"/>
  <c r="V597" i="5"/>
  <c r="W597" i="5"/>
  <c r="X597" i="5"/>
  <c r="AC597" i="5"/>
  <c r="B598" i="5"/>
  <c r="C598" i="5"/>
  <c r="D598" i="5"/>
  <c r="E598" i="5"/>
  <c r="F598" i="5"/>
  <c r="G598" i="5"/>
  <c r="H598" i="5"/>
  <c r="I598" i="5"/>
  <c r="J598" i="5"/>
  <c r="K598" i="5"/>
  <c r="L598" i="5"/>
  <c r="M598" i="5"/>
  <c r="AC598" i="5" s="1"/>
  <c r="N598" i="5"/>
  <c r="O598" i="5"/>
  <c r="P598" i="5"/>
  <c r="Q598" i="5"/>
  <c r="R598" i="5"/>
  <c r="S598" i="5"/>
  <c r="T598" i="5"/>
  <c r="U598" i="5"/>
  <c r="V598" i="5"/>
  <c r="W598" i="5"/>
  <c r="X598" i="5"/>
  <c r="AB598" i="5"/>
  <c r="B599" i="5"/>
  <c r="C599" i="5"/>
  <c r="D599" i="5"/>
  <c r="E599" i="5"/>
  <c r="F599" i="5"/>
  <c r="G599" i="5"/>
  <c r="H599" i="5"/>
  <c r="I599" i="5"/>
  <c r="J599" i="5"/>
  <c r="K599" i="5"/>
  <c r="L599" i="5"/>
  <c r="M599" i="5"/>
  <c r="N599" i="5"/>
  <c r="O599" i="5"/>
  <c r="P599" i="5"/>
  <c r="Q599" i="5"/>
  <c r="R599" i="5"/>
  <c r="S599" i="5"/>
  <c r="T599" i="5"/>
  <c r="U599" i="5"/>
  <c r="V599" i="5"/>
  <c r="W599" i="5"/>
  <c r="X599" i="5"/>
  <c r="AC599" i="5"/>
  <c r="B600" i="5"/>
  <c r="C600" i="5"/>
  <c r="D600" i="5"/>
  <c r="E600" i="5"/>
  <c r="F600" i="5"/>
  <c r="G600" i="5"/>
  <c r="H600" i="5"/>
  <c r="I600" i="5"/>
  <c r="J600" i="5"/>
  <c r="K600" i="5"/>
  <c r="L600" i="5"/>
  <c r="M600" i="5"/>
  <c r="AC600" i="5" s="1"/>
  <c r="N600" i="5"/>
  <c r="O600" i="5"/>
  <c r="P600" i="5"/>
  <c r="Q600" i="5"/>
  <c r="R600" i="5"/>
  <c r="S600" i="5"/>
  <c r="T600" i="5"/>
  <c r="U600" i="5"/>
  <c r="V600" i="5"/>
  <c r="W600" i="5"/>
  <c r="X600" i="5"/>
  <c r="AB600" i="5"/>
  <c r="B601" i="5"/>
  <c r="C601" i="5"/>
  <c r="D601" i="5"/>
  <c r="E601" i="5"/>
  <c r="E663" i="5" s="1"/>
  <c r="F601" i="5"/>
  <c r="G601" i="5"/>
  <c r="H601" i="5"/>
  <c r="I601" i="5"/>
  <c r="I663" i="5" s="1"/>
  <c r="J601" i="5"/>
  <c r="K601" i="5"/>
  <c r="L601" i="5"/>
  <c r="M601" i="5"/>
  <c r="M663" i="5" s="1"/>
  <c r="N601" i="5"/>
  <c r="O601" i="5"/>
  <c r="P601" i="5"/>
  <c r="Q601" i="5"/>
  <c r="Q663" i="5" s="1"/>
  <c r="R601" i="5"/>
  <c r="S601" i="5"/>
  <c r="T601" i="5"/>
  <c r="U601" i="5"/>
  <c r="U663" i="5" s="1"/>
  <c r="V601" i="5"/>
  <c r="W601" i="5"/>
  <c r="X601" i="5"/>
  <c r="AC601" i="5"/>
  <c r="AC663" i="5" s="1"/>
  <c r="B602" i="5"/>
  <c r="C602" i="5"/>
  <c r="D602" i="5"/>
  <c r="E602" i="5"/>
  <c r="F602" i="5"/>
  <c r="G602" i="5"/>
  <c r="H602" i="5"/>
  <c r="I602" i="5"/>
  <c r="J602" i="5"/>
  <c r="K602" i="5"/>
  <c r="L602" i="5"/>
  <c r="M602" i="5"/>
  <c r="AC602" i="5" s="1"/>
  <c r="N602" i="5"/>
  <c r="O602" i="5"/>
  <c r="P602" i="5"/>
  <c r="Q602" i="5"/>
  <c r="R602" i="5"/>
  <c r="S602" i="5"/>
  <c r="T602" i="5"/>
  <c r="U602" i="5"/>
  <c r="V602" i="5"/>
  <c r="W602" i="5"/>
  <c r="X602" i="5"/>
  <c r="AB602" i="5"/>
  <c r="B603" i="5"/>
  <c r="C603" i="5"/>
  <c r="D603" i="5"/>
  <c r="E603" i="5"/>
  <c r="F603" i="5"/>
  <c r="G603" i="5"/>
  <c r="H603" i="5"/>
  <c r="I603" i="5"/>
  <c r="J603" i="5"/>
  <c r="K603" i="5"/>
  <c r="L603" i="5"/>
  <c r="M603" i="5"/>
  <c r="N603" i="5"/>
  <c r="O603" i="5"/>
  <c r="P603" i="5"/>
  <c r="Q603" i="5"/>
  <c r="R603" i="5"/>
  <c r="S603" i="5"/>
  <c r="T603" i="5"/>
  <c r="U603" i="5"/>
  <c r="V603" i="5"/>
  <c r="W603" i="5"/>
  <c r="X603" i="5"/>
  <c r="AC603" i="5"/>
  <c r="B604" i="5"/>
  <c r="C604" i="5"/>
  <c r="D604" i="5"/>
  <c r="E604" i="5"/>
  <c r="F604" i="5"/>
  <c r="G604" i="5"/>
  <c r="H604" i="5"/>
  <c r="I604" i="5"/>
  <c r="J604" i="5"/>
  <c r="K604" i="5"/>
  <c r="L604" i="5"/>
  <c r="M604" i="5"/>
  <c r="AC604" i="5" s="1"/>
  <c r="N604" i="5"/>
  <c r="O604" i="5"/>
  <c r="P604" i="5"/>
  <c r="Q604" i="5"/>
  <c r="R604" i="5"/>
  <c r="S604" i="5"/>
  <c r="T604" i="5"/>
  <c r="U604" i="5"/>
  <c r="V604" i="5"/>
  <c r="W604" i="5"/>
  <c r="X604" i="5"/>
  <c r="AB604" i="5"/>
  <c r="B605" i="5"/>
  <c r="C605" i="5"/>
  <c r="D605" i="5"/>
  <c r="E605" i="5"/>
  <c r="F605" i="5"/>
  <c r="G605" i="5"/>
  <c r="H605" i="5"/>
  <c r="I605" i="5"/>
  <c r="J605" i="5"/>
  <c r="K605" i="5"/>
  <c r="L605" i="5"/>
  <c r="M605" i="5"/>
  <c r="N605" i="5"/>
  <c r="O605" i="5"/>
  <c r="P605" i="5"/>
  <c r="Q605" i="5"/>
  <c r="R605" i="5"/>
  <c r="S605" i="5"/>
  <c r="T605" i="5"/>
  <c r="U605" i="5"/>
  <c r="V605" i="5"/>
  <c r="W605" i="5"/>
  <c r="X605" i="5"/>
  <c r="AC605" i="5"/>
  <c r="B606" i="5"/>
  <c r="C606" i="5"/>
  <c r="D606" i="5"/>
  <c r="E606" i="5"/>
  <c r="F606" i="5"/>
  <c r="G606" i="5"/>
  <c r="H606" i="5"/>
  <c r="I606" i="5"/>
  <c r="J606" i="5"/>
  <c r="K606" i="5"/>
  <c r="L606" i="5"/>
  <c r="M606" i="5"/>
  <c r="AC606" i="5" s="1"/>
  <c r="N606" i="5"/>
  <c r="O606" i="5"/>
  <c r="P606" i="5"/>
  <c r="Q606" i="5"/>
  <c r="R606" i="5"/>
  <c r="S606" i="5"/>
  <c r="T606" i="5"/>
  <c r="U606" i="5"/>
  <c r="V606" i="5"/>
  <c r="W606" i="5"/>
  <c r="X606" i="5"/>
  <c r="AB606" i="5"/>
  <c r="B607" i="5"/>
  <c r="C607" i="5"/>
  <c r="D607" i="5"/>
  <c r="E607" i="5"/>
  <c r="F607" i="5"/>
  <c r="G607" i="5"/>
  <c r="H607" i="5"/>
  <c r="I607" i="5"/>
  <c r="J607" i="5"/>
  <c r="K607" i="5"/>
  <c r="L607" i="5"/>
  <c r="M607" i="5"/>
  <c r="N607" i="5"/>
  <c r="O607" i="5"/>
  <c r="P607" i="5"/>
  <c r="Q607" i="5"/>
  <c r="R607" i="5"/>
  <c r="S607" i="5"/>
  <c r="T607" i="5"/>
  <c r="U607" i="5"/>
  <c r="V607" i="5"/>
  <c r="W607" i="5"/>
  <c r="X607" i="5"/>
  <c r="AC607" i="5"/>
  <c r="B608" i="5"/>
  <c r="C608" i="5"/>
  <c r="D608" i="5"/>
  <c r="E608" i="5"/>
  <c r="F608" i="5"/>
  <c r="G608" i="5"/>
  <c r="H608" i="5"/>
  <c r="I608" i="5"/>
  <c r="J608" i="5"/>
  <c r="K608" i="5"/>
  <c r="L608" i="5"/>
  <c r="M608" i="5"/>
  <c r="AC608" i="5" s="1"/>
  <c r="N608" i="5"/>
  <c r="O608" i="5"/>
  <c r="P608" i="5"/>
  <c r="Q608" i="5"/>
  <c r="R608" i="5"/>
  <c r="S608" i="5"/>
  <c r="T608" i="5"/>
  <c r="U608" i="5"/>
  <c r="V608" i="5"/>
  <c r="W608" i="5"/>
  <c r="X608" i="5"/>
  <c r="AB608" i="5"/>
  <c r="B609" i="5"/>
  <c r="C609" i="5"/>
  <c r="D609" i="5"/>
  <c r="E609" i="5"/>
  <c r="F609" i="5"/>
  <c r="G609" i="5"/>
  <c r="H609" i="5"/>
  <c r="I609" i="5"/>
  <c r="J609" i="5"/>
  <c r="K609" i="5"/>
  <c r="L609" i="5"/>
  <c r="M609" i="5"/>
  <c r="N609" i="5"/>
  <c r="O609" i="5"/>
  <c r="P609" i="5"/>
  <c r="Q609" i="5"/>
  <c r="R609" i="5"/>
  <c r="S609" i="5"/>
  <c r="T609" i="5"/>
  <c r="U609" i="5"/>
  <c r="V609" i="5"/>
  <c r="W609" i="5"/>
  <c r="X609" i="5"/>
  <c r="AC609" i="5"/>
  <c r="B610" i="5"/>
  <c r="C610" i="5"/>
  <c r="D610" i="5"/>
  <c r="E610" i="5"/>
  <c r="F610" i="5"/>
  <c r="G610" i="5"/>
  <c r="H610" i="5"/>
  <c r="I610" i="5"/>
  <c r="J610" i="5"/>
  <c r="K610" i="5"/>
  <c r="L610" i="5"/>
  <c r="M610" i="5"/>
  <c r="AC610" i="5" s="1"/>
  <c r="N610" i="5"/>
  <c r="O610" i="5"/>
  <c r="P610" i="5"/>
  <c r="Q610" i="5"/>
  <c r="R610" i="5"/>
  <c r="S610" i="5"/>
  <c r="T610" i="5"/>
  <c r="U610" i="5"/>
  <c r="V610" i="5"/>
  <c r="W610" i="5"/>
  <c r="X610" i="5"/>
  <c r="AB610" i="5"/>
  <c r="B611" i="5"/>
  <c r="C611" i="5"/>
  <c r="D611" i="5"/>
  <c r="E611" i="5"/>
  <c r="F611" i="5"/>
  <c r="G611" i="5"/>
  <c r="H611" i="5"/>
  <c r="I611" i="5"/>
  <c r="J611" i="5"/>
  <c r="K611" i="5"/>
  <c r="L611" i="5"/>
  <c r="M611" i="5"/>
  <c r="N611" i="5"/>
  <c r="O611" i="5"/>
  <c r="P611" i="5"/>
  <c r="Q611" i="5"/>
  <c r="R611" i="5"/>
  <c r="S611" i="5"/>
  <c r="T611" i="5"/>
  <c r="U611" i="5"/>
  <c r="V611" i="5"/>
  <c r="W611" i="5"/>
  <c r="X611" i="5"/>
  <c r="AC611" i="5"/>
  <c r="B612" i="5"/>
  <c r="C612" i="5"/>
  <c r="D612" i="5"/>
  <c r="E612" i="5"/>
  <c r="F612" i="5"/>
  <c r="G612" i="5"/>
  <c r="H612" i="5"/>
  <c r="I612" i="5"/>
  <c r="J612" i="5"/>
  <c r="K612" i="5"/>
  <c r="L612" i="5"/>
  <c r="M612" i="5"/>
  <c r="AC612" i="5" s="1"/>
  <c r="N612" i="5"/>
  <c r="O612" i="5"/>
  <c r="P612" i="5"/>
  <c r="Q612" i="5"/>
  <c r="R612" i="5"/>
  <c r="S612" i="5"/>
  <c r="T612" i="5"/>
  <c r="U612" i="5"/>
  <c r="V612" i="5"/>
  <c r="W612" i="5"/>
  <c r="X612" i="5"/>
  <c r="AB612" i="5"/>
  <c r="B614" i="5"/>
  <c r="C614" i="5"/>
  <c r="D614" i="5"/>
  <c r="E614" i="5"/>
  <c r="F614" i="5"/>
  <c r="G614" i="5"/>
  <c r="H614" i="5"/>
  <c r="I614" i="5"/>
  <c r="J614" i="5"/>
  <c r="L614" i="5"/>
  <c r="M614" i="5"/>
  <c r="N614" i="5"/>
  <c r="O614" i="5"/>
  <c r="P614" i="5"/>
  <c r="Q614" i="5"/>
  <c r="R614" i="5"/>
  <c r="S614" i="5"/>
  <c r="T614" i="5"/>
  <c r="U614" i="5"/>
  <c r="V614" i="5"/>
  <c r="W614" i="5"/>
  <c r="X614" i="5"/>
  <c r="Y614" i="5"/>
  <c r="Z614" i="5"/>
  <c r="AA614" i="5"/>
  <c r="AB614" i="5"/>
  <c r="AC614" i="5"/>
  <c r="B615" i="5"/>
  <c r="C615" i="5"/>
  <c r="D615" i="5"/>
  <c r="E615" i="5"/>
  <c r="F615" i="5"/>
  <c r="G615" i="5"/>
  <c r="H615" i="5"/>
  <c r="I615" i="5"/>
  <c r="J615" i="5"/>
  <c r="L615" i="5"/>
  <c r="M615" i="5"/>
  <c r="N615" i="5"/>
  <c r="O615" i="5"/>
  <c r="P615" i="5"/>
  <c r="Q615" i="5"/>
  <c r="R615" i="5"/>
  <c r="S615" i="5"/>
  <c r="T615" i="5"/>
  <c r="U615" i="5"/>
  <c r="V615" i="5"/>
  <c r="W615" i="5"/>
  <c r="X615" i="5"/>
  <c r="Y615" i="5"/>
  <c r="Z615" i="5"/>
  <c r="AA615" i="5"/>
  <c r="AB615" i="5"/>
  <c r="AC615" i="5"/>
  <c r="B616" i="5"/>
  <c r="C616" i="5"/>
  <c r="D616" i="5"/>
  <c r="E616" i="5"/>
  <c r="F616" i="5"/>
  <c r="G616" i="5"/>
  <c r="H616" i="5"/>
  <c r="I616" i="5"/>
  <c r="J616" i="5"/>
  <c r="L616" i="5"/>
  <c r="M616" i="5"/>
  <c r="N616" i="5"/>
  <c r="O616" i="5"/>
  <c r="P616" i="5"/>
  <c r="Q616" i="5"/>
  <c r="R616" i="5"/>
  <c r="S616" i="5"/>
  <c r="T616" i="5"/>
  <c r="U616" i="5"/>
  <c r="V616" i="5"/>
  <c r="W616" i="5"/>
  <c r="X616" i="5"/>
  <c r="Y616" i="5"/>
  <c r="Z616" i="5"/>
  <c r="AA616" i="5"/>
  <c r="AB616" i="5"/>
  <c r="AC616" i="5"/>
  <c r="B617" i="5"/>
  <c r="C617" i="5"/>
  <c r="D617" i="5"/>
  <c r="E617" i="5"/>
  <c r="F617" i="5"/>
  <c r="G617" i="5"/>
  <c r="H617" i="5"/>
  <c r="I617" i="5"/>
  <c r="J617" i="5"/>
  <c r="L617" i="5"/>
  <c r="M617" i="5"/>
  <c r="N617" i="5"/>
  <c r="O617" i="5"/>
  <c r="P617" i="5"/>
  <c r="Q617" i="5"/>
  <c r="R617" i="5"/>
  <c r="S617" i="5"/>
  <c r="T617" i="5"/>
  <c r="U617" i="5"/>
  <c r="V617" i="5"/>
  <c r="W617" i="5"/>
  <c r="X617" i="5"/>
  <c r="Z617" i="5"/>
  <c r="AA617" i="5"/>
  <c r="AB617" i="5"/>
  <c r="AC617" i="5"/>
  <c r="B618" i="5"/>
  <c r="C618" i="5"/>
  <c r="D618" i="5"/>
  <c r="E618" i="5"/>
  <c r="F618" i="5"/>
  <c r="G618" i="5"/>
  <c r="H618" i="5"/>
  <c r="I618" i="5"/>
  <c r="J618" i="5"/>
  <c r="L618" i="5"/>
  <c r="M618" i="5"/>
  <c r="N618" i="5"/>
  <c r="O618" i="5"/>
  <c r="P618" i="5"/>
  <c r="Q618" i="5"/>
  <c r="R618" i="5"/>
  <c r="S618" i="5"/>
  <c r="T618" i="5"/>
  <c r="U618" i="5"/>
  <c r="V618" i="5"/>
  <c r="W618" i="5"/>
  <c r="X618" i="5"/>
  <c r="AB618" i="5"/>
  <c r="AC618" i="5"/>
  <c r="B619" i="5"/>
  <c r="C619" i="5"/>
  <c r="D619" i="5"/>
  <c r="E619" i="5"/>
  <c r="F619" i="5"/>
  <c r="G619" i="5"/>
  <c r="H619" i="5"/>
  <c r="I619" i="5"/>
  <c r="J619" i="5"/>
  <c r="K619" i="5"/>
  <c r="L619" i="5"/>
  <c r="M619" i="5"/>
  <c r="N619" i="5"/>
  <c r="O619" i="5"/>
  <c r="P619" i="5"/>
  <c r="Q619" i="5"/>
  <c r="R619" i="5"/>
  <c r="S619" i="5"/>
  <c r="T619" i="5"/>
  <c r="U619" i="5"/>
  <c r="V619" i="5"/>
  <c r="W619" i="5"/>
  <c r="X619" i="5"/>
  <c r="B620" i="5"/>
  <c r="C620" i="5"/>
  <c r="D620" i="5"/>
  <c r="E620" i="5"/>
  <c r="F620" i="5"/>
  <c r="G620" i="5"/>
  <c r="H620" i="5"/>
  <c r="I620" i="5"/>
  <c r="J620" i="5"/>
  <c r="K620" i="5"/>
  <c r="L620" i="5"/>
  <c r="M620" i="5"/>
  <c r="N620" i="5"/>
  <c r="O620" i="5"/>
  <c r="P620" i="5"/>
  <c r="Q620" i="5"/>
  <c r="R620" i="5"/>
  <c r="S620" i="5"/>
  <c r="T620" i="5"/>
  <c r="U620" i="5"/>
  <c r="V620" i="5"/>
  <c r="W620" i="5"/>
  <c r="X620" i="5"/>
  <c r="B621" i="5"/>
  <c r="C621" i="5"/>
  <c r="D621" i="5"/>
  <c r="E621" i="5"/>
  <c r="F621" i="5"/>
  <c r="G621" i="5"/>
  <c r="H621" i="5"/>
  <c r="I621" i="5"/>
  <c r="J621" i="5"/>
  <c r="K621" i="5"/>
  <c r="L621" i="5"/>
  <c r="M621" i="5"/>
  <c r="N621" i="5"/>
  <c r="O621" i="5"/>
  <c r="P621" i="5"/>
  <c r="Q621" i="5"/>
  <c r="R621" i="5"/>
  <c r="S621" i="5"/>
  <c r="T621" i="5"/>
  <c r="U621" i="5"/>
  <c r="V621" i="5"/>
  <c r="W621" i="5"/>
  <c r="X621" i="5"/>
  <c r="B622" i="5"/>
  <c r="C622" i="5"/>
  <c r="D622" i="5"/>
  <c r="E622" i="5"/>
  <c r="F622" i="5"/>
  <c r="G622" i="5"/>
  <c r="H622" i="5"/>
  <c r="I622" i="5"/>
  <c r="J622" i="5"/>
  <c r="K622" i="5"/>
  <c r="L622" i="5"/>
  <c r="M622" i="5"/>
  <c r="N622" i="5"/>
  <c r="O622" i="5"/>
  <c r="P622" i="5"/>
  <c r="Q622" i="5"/>
  <c r="R622" i="5"/>
  <c r="S622" i="5"/>
  <c r="T622" i="5"/>
  <c r="U622" i="5"/>
  <c r="V622" i="5"/>
  <c r="W622" i="5"/>
  <c r="X622" i="5"/>
  <c r="B623" i="5"/>
  <c r="C623" i="5"/>
  <c r="D623" i="5"/>
  <c r="E623" i="5"/>
  <c r="F623" i="5"/>
  <c r="G623" i="5"/>
  <c r="H623" i="5"/>
  <c r="I623" i="5"/>
  <c r="J623" i="5"/>
  <c r="K623" i="5"/>
  <c r="L623" i="5"/>
  <c r="M623" i="5"/>
  <c r="N623" i="5"/>
  <c r="O623" i="5"/>
  <c r="P623" i="5"/>
  <c r="Q623" i="5"/>
  <c r="R623" i="5"/>
  <c r="S623" i="5"/>
  <c r="T623" i="5"/>
  <c r="U623" i="5"/>
  <c r="V623" i="5"/>
  <c r="W623" i="5"/>
  <c r="X623" i="5"/>
  <c r="B624" i="5"/>
  <c r="C624" i="5"/>
  <c r="D624" i="5"/>
  <c r="E624" i="5"/>
  <c r="F624" i="5"/>
  <c r="G624" i="5"/>
  <c r="H624" i="5"/>
  <c r="I624" i="5"/>
  <c r="J624" i="5"/>
  <c r="K624" i="5"/>
  <c r="L624" i="5"/>
  <c r="M624" i="5"/>
  <c r="N624" i="5"/>
  <c r="O624" i="5"/>
  <c r="P624" i="5"/>
  <c r="Q624" i="5"/>
  <c r="R624" i="5"/>
  <c r="S624" i="5"/>
  <c r="T624" i="5"/>
  <c r="U624" i="5"/>
  <c r="V624" i="5"/>
  <c r="W624" i="5"/>
  <c r="X624" i="5"/>
  <c r="AC624" i="5"/>
  <c r="B625" i="5"/>
  <c r="C625" i="5"/>
  <c r="D625" i="5"/>
  <c r="E625" i="5"/>
  <c r="F625" i="5"/>
  <c r="G625" i="5"/>
  <c r="H625" i="5"/>
  <c r="I625" i="5"/>
  <c r="J625" i="5"/>
  <c r="K625" i="5"/>
  <c r="L625" i="5"/>
  <c r="M625" i="5"/>
  <c r="N625" i="5"/>
  <c r="O625" i="5"/>
  <c r="P625" i="5"/>
  <c r="Q625" i="5"/>
  <c r="R625" i="5"/>
  <c r="S625" i="5"/>
  <c r="T625" i="5"/>
  <c r="U625" i="5"/>
  <c r="V625" i="5"/>
  <c r="W625" i="5"/>
  <c r="X625" i="5"/>
  <c r="AC625" i="5"/>
  <c r="B626" i="5"/>
  <c r="C626" i="5"/>
  <c r="D626" i="5"/>
  <c r="E626" i="5"/>
  <c r="F626" i="5"/>
  <c r="G626" i="5"/>
  <c r="H626" i="5"/>
  <c r="I626" i="5"/>
  <c r="J626" i="5"/>
  <c r="K626" i="5"/>
  <c r="L626" i="5"/>
  <c r="M626" i="5"/>
  <c r="N626" i="5"/>
  <c r="O626" i="5"/>
  <c r="P626" i="5"/>
  <c r="Q626" i="5"/>
  <c r="R626" i="5"/>
  <c r="S626" i="5"/>
  <c r="T626" i="5"/>
  <c r="U626" i="5"/>
  <c r="V626" i="5"/>
  <c r="W626" i="5"/>
  <c r="X626" i="5"/>
  <c r="AC626" i="5"/>
  <c r="B627" i="5"/>
  <c r="C627" i="5"/>
  <c r="D627" i="5"/>
  <c r="E627" i="5"/>
  <c r="F627" i="5"/>
  <c r="G627" i="5"/>
  <c r="H627" i="5"/>
  <c r="I627" i="5"/>
  <c r="J627" i="5"/>
  <c r="K627" i="5"/>
  <c r="L627" i="5"/>
  <c r="M627" i="5"/>
  <c r="N627" i="5"/>
  <c r="O627" i="5"/>
  <c r="P627" i="5"/>
  <c r="Q627" i="5"/>
  <c r="R627" i="5"/>
  <c r="S627" i="5"/>
  <c r="T627" i="5"/>
  <c r="U627" i="5"/>
  <c r="V627" i="5"/>
  <c r="W627" i="5"/>
  <c r="X627" i="5"/>
  <c r="AC627" i="5"/>
  <c r="B628" i="5"/>
  <c r="C628" i="5"/>
  <c r="D628" i="5"/>
  <c r="E628" i="5"/>
  <c r="F628" i="5"/>
  <c r="G628" i="5"/>
  <c r="H628" i="5"/>
  <c r="I628" i="5"/>
  <c r="J628" i="5"/>
  <c r="K628" i="5"/>
  <c r="L628" i="5"/>
  <c r="M628" i="5"/>
  <c r="N628" i="5"/>
  <c r="O628" i="5"/>
  <c r="P628" i="5"/>
  <c r="Q628" i="5"/>
  <c r="R628" i="5"/>
  <c r="S628" i="5"/>
  <c r="T628" i="5"/>
  <c r="U628" i="5"/>
  <c r="V628" i="5"/>
  <c r="W628" i="5"/>
  <c r="X628" i="5"/>
  <c r="AC628" i="5"/>
  <c r="B629" i="5"/>
  <c r="C629" i="5"/>
  <c r="D629" i="5"/>
  <c r="E629" i="5"/>
  <c r="F629" i="5"/>
  <c r="G629" i="5"/>
  <c r="H629" i="5"/>
  <c r="I629" i="5"/>
  <c r="J629" i="5"/>
  <c r="K629" i="5"/>
  <c r="L629" i="5"/>
  <c r="M629" i="5"/>
  <c r="N629" i="5"/>
  <c r="O629" i="5"/>
  <c r="P629" i="5"/>
  <c r="Q629" i="5"/>
  <c r="R629" i="5"/>
  <c r="S629" i="5"/>
  <c r="T629" i="5"/>
  <c r="U629" i="5"/>
  <c r="V629" i="5"/>
  <c r="W629" i="5"/>
  <c r="X629" i="5"/>
  <c r="AC629" i="5"/>
  <c r="B630" i="5"/>
  <c r="C630" i="5"/>
  <c r="D630" i="5"/>
  <c r="E630" i="5"/>
  <c r="F630" i="5"/>
  <c r="G630" i="5"/>
  <c r="H630" i="5"/>
  <c r="I630" i="5"/>
  <c r="J630" i="5"/>
  <c r="K630" i="5"/>
  <c r="L630" i="5"/>
  <c r="M630" i="5"/>
  <c r="N630" i="5"/>
  <c r="O630" i="5"/>
  <c r="P630" i="5"/>
  <c r="Q630" i="5"/>
  <c r="R630" i="5"/>
  <c r="S630" i="5"/>
  <c r="T630" i="5"/>
  <c r="U630" i="5"/>
  <c r="V630" i="5"/>
  <c r="W630" i="5"/>
  <c r="X630" i="5"/>
  <c r="AC630" i="5"/>
  <c r="B631" i="5"/>
  <c r="C631" i="5"/>
  <c r="D631" i="5"/>
  <c r="E631" i="5"/>
  <c r="F631" i="5"/>
  <c r="G631" i="5"/>
  <c r="H631" i="5"/>
  <c r="I631" i="5"/>
  <c r="J631" i="5"/>
  <c r="K631" i="5"/>
  <c r="L631" i="5"/>
  <c r="M631" i="5"/>
  <c r="N631" i="5"/>
  <c r="O631" i="5"/>
  <c r="P631" i="5"/>
  <c r="Q631" i="5"/>
  <c r="R631" i="5"/>
  <c r="S631" i="5"/>
  <c r="T631" i="5"/>
  <c r="U631" i="5"/>
  <c r="V631" i="5"/>
  <c r="W631" i="5"/>
  <c r="X631" i="5"/>
  <c r="B632" i="5"/>
  <c r="C632" i="5"/>
  <c r="D632" i="5"/>
  <c r="E632" i="5"/>
  <c r="F632" i="5"/>
  <c r="G632" i="5"/>
  <c r="H632" i="5"/>
  <c r="I632" i="5"/>
  <c r="J632" i="5"/>
  <c r="K632" i="5"/>
  <c r="L632" i="5"/>
  <c r="M632" i="5"/>
  <c r="N632" i="5"/>
  <c r="O632" i="5"/>
  <c r="P632" i="5"/>
  <c r="Q632" i="5"/>
  <c r="R632" i="5"/>
  <c r="S632" i="5"/>
  <c r="T632" i="5"/>
  <c r="U632" i="5"/>
  <c r="V632" i="5"/>
  <c r="W632" i="5"/>
  <c r="X632" i="5"/>
  <c r="B633" i="5"/>
  <c r="C633" i="5"/>
  <c r="D633" i="5"/>
  <c r="E633" i="5"/>
  <c r="F633" i="5"/>
  <c r="G633" i="5"/>
  <c r="H633" i="5"/>
  <c r="I633" i="5"/>
  <c r="J633" i="5"/>
  <c r="K633" i="5"/>
  <c r="L633" i="5"/>
  <c r="M633" i="5"/>
  <c r="N633" i="5"/>
  <c r="O633" i="5"/>
  <c r="P633" i="5"/>
  <c r="Q633" i="5"/>
  <c r="R633" i="5"/>
  <c r="S633" i="5"/>
  <c r="T633" i="5"/>
  <c r="U633" i="5"/>
  <c r="V633" i="5"/>
  <c r="W633" i="5"/>
  <c r="X633" i="5"/>
  <c r="AB633" i="5"/>
  <c r="AC633" i="5"/>
  <c r="B634" i="5"/>
  <c r="C634" i="5"/>
  <c r="D634" i="5"/>
  <c r="E634" i="5"/>
  <c r="F634" i="5"/>
  <c r="G634" i="5"/>
  <c r="H634" i="5"/>
  <c r="I634" i="5"/>
  <c r="J634" i="5"/>
  <c r="K634" i="5"/>
  <c r="L634" i="5"/>
  <c r="M634" i="5"/>
  <c r="N634" i="5"/>
  <c r="O634" i="5"/>
  <c r="P634" i="5"/>
  <c r="Q634" i="5"/>
  <c r="R634" i="5"/>
  <c r="S634" i="5"/>
  <c r="T634" i="5"/>
  <c r="U634" i="5"/>
  <c r="V634" i="5"/>
  <c r="W634" i="5"/>
  <c r="X634" i="5"/>
  <c r="AB634" i="5"/>
  <c r="AC634" i="5"/>
  <c r="B635" i="5"/>
  <c r="C635" i="5"/>
  <c r="D635" i="5"/>
  <c r="E635" i="5"/>
  <c r="F635" i="5"/>
  <c r="G635" i="5"/>
  <c r="H635" i="5"/>
  <c r="I635" i="5"/>
  <c r="J635" i="5"/>
  <c r="K635" i="5"/>
  <c r="L635" i="5"/>
  <c r="M635" i="5"/>
  <c r="N635" i="5"/>
  <c r="O635" i="5"/>
  <c r="P635" i="5"/>
  <c r="Q635" i="5"/>
  <c r="R635" i="5"/>
  <c r="S635" i="5"/>
  <c r="T635" i="5"/>
  <c r="U635" i="5"/>
  <c r="V635" i="5"/>
  <c r="W635" i="5"/>
  <c r="X635" i="5"/>
  <c r="B636" i="5"/>
  <c r="C636" i="5"/>
  <c r="D636" i="5"/>
  <c r="E636" i="5"/>
  <c r="F636" i="5"/>
  <c r="G636" i="5"/>
  <c r="H636" i="5"/>
  <c r="I636" i="5"/>
  <c r="J636" i="5"/>
  <c r="K636" i="5"/>
  <c r="L636" i="5"/>
  <c r="M636" i="5"/>
  <c r="N636" i="5"/>
  <c r="O636" i="5"/>
  <c r="P636" i="5"/>
  <c r="Q636" i="5"/>
  <c r="R636" i="5"/>
  <c r="S636" i="5"/>
  <c r="T636" i="5"/>
  <c r="U636" i="5"/>
  <c r="V636" i="5"/>
  <c r="W636" i="5"/>
  <c r="X636" i="5"/>
  <c r="B637" i="5"/>
  <c r="C637" i="5"/>
  <c r="D637" i="5"/>
  <c r="E637" i="5"/>
  <c r="F637" i="5"/>
  <c r="G637" i="5"/>
  <c r="H637" i="5"/>
  <c r="I637" i="5"/>
  <c r="J637" i="5"/>
  <c r="K637" i="5"/>
  <c r="L637" i="5"/>
  <c r="M637" i="5"/>
  <c r="N637" i="5"/>
  <c r="O637" i="5"/>
  <c r="P637" i="5"/>
  <c r="Q637" i="5"/>
  <c r="R637" i="5"/>
  <c r="S637" i="5"/>
  <c r="T637" i="5"/>
  <c r="U637" i="5"/>
  <c r="V637" i="5"/>
  <c r="W637" i="5"/>
  <c r="X637" i="5"/>
  <c r="B638" i="5"/>
  <c r="C638" i="5"/>
  <c r="D638" i="5"/>
  <c r="E638" i="5"/>
  <c r="F638" i="5"/>
  <c r="G638" i="5"/>
  <c r="H638" i="5"/>
  <c r="I638" i="5"/>
  <c r="J638" i="5"/>
  <c r="K638" i="5"/>
  <c r="L638" i="5"/>
  <c r="M638" i="5"/>
  <c r="N638" i="5"/>
  <c r="O638" i="5"/>
  <c r="P638" i="5"/>
  <c r="Q638" i="5"/>
  <c r="R638" i="5"/>
  <c r="S638" i="5"/>
  <c r="T638" i="5"/>
  <c r="U638" i="5"/>
  <c r="V638" i="5"/>
  <c r="W638" i="5"/>
  <c r="X638" i="5"/>
  <c r="B639" i="5"/>
  <c r="C639" i="5"/>
  <c r="D639" i="5"/>
  <c r="E639" i="5"/>
  <c r="F639" i="5"/>
  <c r="G639" i="5"/>
  <c r="H639" i="5"/>
  <c r="I639" i="5"/>
  <c r="J639" i="5"/>
  <c r="K639" i="5"/>
  <c r="L639" i="5"/>
  <c r="M639" i="5"/>
  <c r="N639" i="5"/>
  <c r="O639" i="5"/>
  <c r="P639" i="5"/>
  <c r="Q639" i="5"/>
  <c r="R639" i="5"/>
  <c r="S639" i="5"/>
  <c r="T639" i="5"/>
  <c r="U639" i="5"/>
  <c r="V639" i="5"/>
  <c r="W639" i="5"/>
  <c r="X639" i="5"/>
  <c r="A640" i="5"/>
  <c r="B640" i="5"/>
  <c r="C640" i="5"/>
  <c r="D640" i="5"/>
  <c r="E640" i="5"/>
  <c r="F640" i="5"/>
  <c r="G640" i="5"/>
  <c r="H640" i="5"/>
  <c r="I640" i="5"/>
  <c r="J640" i="5"/>
  <c r="K640" i="5"/>
  <c r="L640" i="5"/>
  <c r="M640" i="5"/>
  <c r="N640" i="5"/>
  <c r="O640" i="5"/>
  <c r="P640" i="5"/>
  <c r="Q640" i="5"/>
  <c r="R640" i="5"/>
  <c r="S640" i="5"/>
  <c r="T640" i="5"/>
  <c r="U640" i="5"/>
  <c r="V640" i="5"/>
  <c r="W640" i="5"/>
  <c r="X640" i="5"/>
  <c r="A641" i="5"/>
  <c r="B641" i="5"/>
  <c r="C641" i="5"/>
  <c r="D641" i="5"/>
  <c r="E641" i="5"/>
  <c r="F641" i="5"/>
  <c r="G641" i="5"/>
  <c r="H641" i="5"/>
  <c r="I641" i="5"/>
  <c r="J641" i="5"/>
  <c r="K641" i="5"/>
  <c r="L641" i="5"/>
  <c r="M641" i="5"/>
  <c r="N641" i="5"/>
  <c r="O641" i="5"/>
  <c r="P641" i="5"/>
  <c r="Q641" i="5"/>
  <c r="R641" i="5"/>
  <c r="S641" i="5"/>
  <c r="T641" i="5"/>
  <c r="U641" i="5"/>
  <c r="V641" i="5"/>
  <c r="W641" i="5"/>
  <c r="X641" i="5"/>
  <c r="A642" i="5"/>
  <c r="B642" i="5"/>
  <c r="C642" i="5"/>
  <c r="D642" i="5"/>
  <c r="E642" i="5"/>
  <c r="F642" i="5"/>
  <c r="G642" i="5"/>
  <c r="H642" i="5"/>
  <c r="I642" i="5"/>
  <c r="J642" i="5"/>
  <c r="K642" i="5"/>
  <c r="L642" i="5"/>
  <c r="M642" i="5"/>
  <c r="N642" i="5"/>
  <c r="O642" i="5"/>
  <c r="P642" i="5"/>
  <c r="Q642" i="5"/>
  <c r="R642" i="5"/>
  <c r="S642" i="5"/>
  <c r="T642" i="5"/>
  <c r="U642" i="5"/>
  <c r="V642" i="5"/>
  <c r="W642" i="5"/>
  <c r="X642" i="5"/>
  <c r="A643" i="5"/>
  <c r="B643" i="5"/>
  <c r="C643" i="5"/>
  <c r="D643" i="5"/>
  <c r="E643" i="5"/>
  <c r="F643" i="5"/>
  <c r="G643" i="5"/>
  <c r="H643" i="5"/>
  <c r="I643" i="5"/>
  <c r="J643" i="5"/>
  <c r="K643" i="5"/>
  <c r="L643" i="5"/>
  <c r="M643" i="5"/>
  <c r="N643" i="5"/>
  <c r="O643" i="5"/>
  <c r="P643" i="5"/>
  <c r="Q643" i="5"/>
  <c r="R643" i="5"/>
  <c r="S643" i="5"/>
  <c r="T643" i="5"/>
  <c r="U643" i="5"/>
  <c r="V643" i="5"/>
  <c r="W643" i="5"/>
  <c r="X643" i="5"/>
  <c r="A644" i="5"/>
  <c r="B644" i="5"/>
  <c r="C644" i="5"/>
  <c r="D644" i="5"/>
  <c r="E644" i="5"/>
  <c r="F644" i="5"/>
  <c r="G644" i="5"/>
  <c r="H644" i="5"/>
  <c r="I644" i="5"/>
  <c r="J644" i="5"/>
  <c r="K644" i="5"/>
  <c r="L644" i="5"/>
  <c r="M644" i="5"/>
  <c r="N644" i="5"/>
  <c r="O644" i="5"/>
  <c r="P644" i="5"/>
  <c r="Q644" i="5"/>
  <c r="R644" i="5"/>
  <c r="S644" i="5"/>
  <c r="T644" i="5"/>
  <c r="U644" i="5"/>
  <c r="V644" i="5"/>
  <c r="W644" i="5"/>
  <c r="X644" i="5"/>
  <c r="A645" i="5"/>
  <c r="B645" i="5"/>
  <c r="C645" i="5"/>
  <c r="D645" i="5"/>
  <c r="E645" i="5"/>
  <c r="F645" i="5"/>
  <c r="G645" i="5"/>
  <c r="H645" i="5"/>
  <c r="I645" i="5"/>
  <c r="J645" i="5"/>
  <c r="K645" i="5"/>
  <c r="L645" i="5"/>
  <c r="M645" i="5"/>
  <c r="N645" i="5"/>
  <c r="O645" i="5"/>
  <c r="P645" i="5"/>
  <c r="Q645" i="5"/>
  <c r="R645" i="5"/>
  <c r="S645" i="5"/>
  <c r="T645" i="5"/>
  <c r="U645" i="5"/>
  <c r="V645" i="5"/>
  <c r="W645" i="5"/>
  <c r="X645" i="5"/>
  <c r="A646" i="5"/>
  <c r="B646" i="5"/>
  <c r="C646" i="5"/>
  <c r="D646" i="5"/>
  <c r="E646" i="5"/>
  <c r="F646" i="5"/>
  <c r="G646" i="5"/>
  <c r="H646" i="5"/>
  <c r="I646" i="5"/>
  <c r="J646" i="5"/>
  <c r="K646" i="5"/>
  <c r="L646" i="5"/>
  <c r="M646" i="5"/>
  <c r="N646" i="5"/>
  <c r="O646" i="5"/>
  <c r="P646" i="5"/>
  <c r="Q646" i="5"/>
  <c r="R646" i="5"/>
  <c r="S646" i="5"/>
  <c r="T646" i="5"/>
  <c r="U646" i="5"/>
  <c r="V646" i="5"/>
  <c r="W646" i="5"/>
  <c r="X646" i="5"/>
  <c r="A647" i="5"/>
  <c r="B647" i="5"/>
  <c r="C647" i="5"/>
  <c r="D647" i="5"/>
  <c r="E647" i="5"/>
  <c r="F647" i="5"/>
  <c r="G647" i="5"/>
  <c r="H647" i="5"/>
  <c r="I647" i="5"/>
  <c r="J647" i="5"/>
  <c r="K647" i="5"/>
  <c r="L647" i="5"/>
  <c r="M647" i="5"/>
  <c r="N647" i="5"/>
  <c r="O647" i="5"/>
  <c r="P647" i="5"/>
  <c r="Q647" i="5"/>
  <c r="R647" i="5"/>
  <c r="S647" i="5"/>
  <c r="T647" i="5"/>
  <c r="U647" i="5"/>
  <c r="V647" i="5"/>
  <c r="W647" i="5"/>
  <c r="X647" i="5"/>
  <c r="A648" i="5"/>
  <c r="B648" i="5"/>
  <c r="C648" i="5"/>
  <c r="D648" i="5"/>
  <c r="E648" i="5"/>
  <c r="F648" i="5"/>
  <c r="G648" i="5"/>
  <c r="H648" i="5"/>
  <c r="I648" i="5"/>
  <c r="J648" i="5"/>
  <c r="K648" i="5"/>
  <c r="L648" i="5"/>
  <c r="M648" i="5"/>
  <c r="N648" i="5"/>
  <c r="O648" i="5"/>
  <c r="P648" i="5"/>
  <c r="Q648" i="5"/>
  <c r="R648" i="5"/>
  <c r="S648" i="5"/>
  <c r="T648" i="5"/>
  <c r="U648" i="5"/>
  <c r="V648" i="5"/>
  <c r="W648" i="5"/>
  <c r="X648" i="5"/>
  <c r="A649" i="5"/>
  <c r="B649" i="5"/>
  <c r="C649" i="5"/>
  <c r="D649" i="5"/>
  <c r="E649" i="5"/>
  <c r="F649" i="5"/>
  <c r="G649" i="5"/>
  <c r="H649" i="5"/>
  <c r="I649" i="5"/>
  <c r="J649" i="5"/>
  <c r="K649" i="5"/>
  <c r="L649" i="5"/>
  <c r="M649" i="5"/>
  <c r="N649" i="5"/>
  <c r="O649" i="5"/>
  <c r="P649" i="5"/>
  <c r="Q649" i="5"/>
  <c r="R649" i="5"/>
  <c r="S649" i="5"/>
  <c r="T649" i="5"/>
  <c r="U649" i="5"/>
  <c r="V649" i="5"/>
  <c r="W649" i="5"/>
  <c r="X649" i="5"/>
  <c r="A650" i="5"/>
  <c r="B650" i="5"/>
  <c r="C650" i="5"/>
  <c r="D650" i="5"/>
  <c r="E650" i="5"/>
  <c r="F650" i="5"/>
  <c r="G650" i="5"/>
  <c r="H650" i="5"/>
  <c r="I650" i="5"/>
  <c r="J650" i="5"/>
  <c r="K650" i="5"/>
  <c r="L650" i="5"/>
  <c r="M650" i="5"/>
  <c r="N650" i="5"/>
  <c r="O650" i="5"/>
  <c r="P650" i="5"/>
  <c r="Q650" i="5"/>
  <c r="R650" i="5"/>
  <c r="S650" i="5"/>
  <c r="T650" i="5"/>
  <c r="U650" i="5"/>
  <c r="V650" i="5"/>
  <c r="W650" i="5"/>
  <c r="X650" i="5"/>
  <c r="A651" i="5"/>
  <c r="B651" i="5"/>
  <c r="C651" i="5"/>
  <c r="D651" i="5"/>
  <c r="E651" i="5"/>
  <c r="F651" i="5"/>
  <c r="G651" i="5"/>
  <c r="H651" i="5"/>
  <c r="I651" i="5"/>
  <c r="J651" i="5"/>
  <c r="K651" i="5"/>
  <c r="L651" i="5"/>
  <c r="M651" i="5"/>
  <c r="N651" i="5"/>
  <c r="O651" i="5"/>
  <c r="P651" i="5"/>
  <c r="Q651" i="5"/>
  <c r="R651" i="5"/>
  <c r="S651" i="5"/>
  <c r="T651" i="5"/>
  <c r="U651" i="5"/>
  <c r="V651" i="5"/>
  <c r="W651" i="5"/>
  <c r="X651" i="5"/>
  <c r="A652" i="5"/>
  <c r="B652" i="5"/>
  <c r="C652" i="5"/>
  <c r="D652" i="5"/>
  <c r="E652" i="5"/>
  <c r="F652" i="5"/>
  <c r="G652" i="5"/>
  <c r="H652" i="5"/>
  <c r="I652" i="5"/>
  <c r="J652" i="5"/>
  <c r="K652" i="5"/>
  <c r="L652" i="5"/>
  <c r="M652" i="5"/>
  <c r="N652" i="5"/>
  <c r="O652" i="5"/>
  <c r="P652" i="5"/>
  <c r="Q652" i="5"/>
  <c r="R652" i="5"/>
  <c r="S652" i="5"/>
  <c r="T652" i="5"/>
  <c r="U652" i="5"/>
  <c r="V652" i="5"/>
  <c r="W652" i="5"/>
  <c r="X652" i="5"/>
  <c r="A653" i="5"/>
  <c r="B653" i="5"/>
  <c r="C653" i="5"/>
  <c r="D653" i="5"/>
  <c r="E653" i="5"/>
  <c r="F653" i="5"/>
  <c r="G653" i="5"/>
  <c r="H653" i="5"/>
  <c r="I653" i="5"/>
  <c r="J653" i="5"/>
  <c r="K653" i="5"/>
  <c r="L653" i="5"/>
  <c r="M653" i="5"/>
  <c r="N653" i="5"/>
  <c r="O653" i="5"/>
  <c r="P653" i="5"/>
  <c r="Q653" i="5"/>
  <c r="R653" i="5"/>
  <c r="S653" i="5"/>
  <c r="T653" i="5"/>
  <c r="U653" i="5"/>
  <c r="V653" i="5"/>
  <c r="W653" i="5"/>
  <c r="X653" i="5"/>
  <c r="A654" i="5"/>
  <c r="B654" i="5"/>
  <c r="C654" i="5"/>
  <c r="D654" i="5"/>
  <c r="E654" i="5"/>
  <c r="F654" i="5"/>
  <c r="G654" i="5"/>
  <c r="H654" i="5"/>
  <c r="I654" i="5"/>
  <c r="J654" i="5"/>
  <c r="K654" i="5"/>
  <c r="L654" i="5"/>
  <c r="M654" i="5"/>
  <c r="N654" i="5"/>
  <c r="O654" i="5"/>
  <c r="P654" i="5"/>
  <c r="Q654" i="5"/>
  <c r="R654" i="5"/>
  <c r="S654" i="5"/>
  <c r="T654" i="5"/>
  <c r="U654" i="5"/>
  <c r="V654" i="5"/>
  <c r="W654" i="5"/>
  <c r="X654" i="5"/>
  <c r="A655" i="5"/>
  <c r="B655" i="5"/>
  <c r="C655" i="5"/>
  <c r="D655" i="5"/>
  <c r="E655" i="5"/>
  <c r="F655" i="5"/>
  <c r="G655" i="5"/>
  <c r="H655" i="5"/>
  <c r="I655" i="5"/>
  <c r="J655" i="5"/>
  <c r="K655" i="5"/>
  <c r="L655" i="5"/>
  <c r="M655" i="5"/>
  <c r="N655" i="5"/>
  <c r="O655" i="5"/>
  <c r="P655" i="5"/>
  <c r="Q655" i="5"/>
  <c r="R655" i="5"/>
  <c r="S655" i="5"/>
  <c r="T655" i="5"/>
  <c r="U655" i="5"/>
  <c r="V655" i="5"/>
  <c r="W655" i="5"/>
  <c r="X655" i="5"/>
  <c r="A656" i="5"/>
  <c r="B656" i="5"/>
  <c r="C656" i="5"/>
  <c r="D656" i="5"/>
  <c r="E656" i="5"/>
  <c r="F656" i="5"/>
  <c r="G656" i="5"/>
  <c r="H656" i="5"/>
  <c r="I656" i="5"/>
  <c r="J656" i="5"/>
  <c r="K656" i="5"/>
  <c r="L656" i="5"/>
  <c r="M656" i="5"/>
  <c r="N656" i="5"/>
  <c r="O656" i="5"/>
  <c r="P656" i="5"/>
  <c r="Q656" i="5"/>
  <c r="R656" i="5"/>
  <c r="S656" i="5"/>
  <c r="T656" i="5"/>
  <c r="U656" i="5"/>
  <c r="V656" i="5"/>
  <c r="W656" i="5"/>
  <c r="X656" i="5"/>
  <c r="A657" i="5"/>
  <c r="B657" i="5"/>
  <c r="C657" i="5"/>
  <c r="D657" i="5"/>
  <c r="E657" i="5"/>
  <c r="F657" i="5"/>
  <c r="G657" i="5"/>
  <c r="H657" i="5"/>
  <c r="I657" i="5"/>
  <c r="J657" i="5"/>
  <c r="K657" i="5"/>
  <c r="L657" i="5"/>
  <c r="M657" i="5"/>
  <c r="N657" i="5"/>
  <c r="O657" i="5"/>
  <c r="P657" i="5"/>
  <c r="Q657" i="5"/>
  <c r="R657" i="5"/>
  <c r="S657" i="5"/>
  <c r="T657" i="5"/>
  <c r="U657" i="5"/>
  <c r="V657" i="5"/>
  <c r="W657" i="5"/>
  <c r="X657" i="5"/>
  <c r="A658" i="5"/>
  <c r="B658" i="5"/>
  <c r="C658" i="5"/>
  <c r="D658" i="5"/>
  <c r="F658" i="5"/>
  <c r="G658" i="5"/>
  <c r="H658" i="5"/>
  <c r="J658" i="5"/>
  <c r="K658" i="5"/>
  <c r="L658" i="5"/>
  <c r="N658" i="5"/>
  <c r="O658" i="5"/>
  <c r="P658" i="5"/>
  <c r="R658" i="5"/>
  <c r="S658" i="5"/>
  <c r="T658" i="5"/>
  <c r="U658" i="5"/>
  <c r="V658" i="5"/>
  <c r="W658" i="5"/>
  <c r="X658" i="5"/>
  <c r="A659" i="5"/>
  <c r="B659" i="5"/>
  <c r="C659" i="5"/>
  <c r="D659" i="5"/>
  <c r="F659" i="5"/>
  <c r="G659" i="5"/>
  <c r="H659" i="5"/>
  <c r="J659" i="5"/>
  <c r="K659" i="5"/>
  <c r="L659" i="5"/>
  <c r="N659" i="5"/>
  <c r="O659" i="5"/>
  <c r="P659" i="5"/>
  <c r="R659" i="5"/>
  <c r="S659" i="5"/>
  <c r="T659" i="5"/>
  <c r="V659" i="5"/>
  <c r="W659" i="5"/>
  <c r="X659" i="5"/>
  <c r="A660" i="5"/>
  <c r="B660" i="5"/>
  <c r="C660" i="5"/>
  <c r="D660" i="5"/>
  <c r="F660" i="5"/>
  <c r="G660" i="5"/>
  <c r="H660" i="5"/>
  <c r="J660" i="5"/>
  <c r="K660" i="5"/>
  <c r="L660" i="5"/>
  <c r="N660" i="5"/>
  <c r="O660" i="5"/>
  <c r="P660" i="5"/>
  <c r="R660" i="5"/>
  <c r="S660" i="5"/>
  <c r="T660" i="5"/>
  <c r="V660" i="5"/>
  <c r="W660" i="5"/>
  <c r="X660" i="5"/>
  <c r="A661" i="5"/>
  <c r="B661" i="5"/>
  <c r="C661" i="5"/>
  <c r="D661" i="5"/>
  <c r="F661" i="5"/>
  <c r="G661" i="5"/>
  <c r="H661" i="5"/>
  <c r="J661" i="5"/>
  <c r="K661" i="5"/>
  <c r="L661" i="5"/>
  <c r="N661" i="5"/>
  <c r="O661" i="5"/>
  <c r="P661" i="5"/>
  <c r="R661" i="5"/>
  <c r="S661" i="5"/>
  <c r="T661" i="5"/>
  <c r="V661" i="5"/>
  <c r="W661" i="5"/>
  <c r="X661" i="5"/>
  <c r="A662" i="5"/>
  <c r="B662" i="5"/>
  <c r="C662" i="5"/>
  <c r="D662" i="5"/>
  <c r="E662" i="5"/>
  <c r="F662" i="5"/>
  <c r="G662" i="5"/>
  <c r="H662" i="5"/>
  <c r="I662" i="5"/>
  <c r="J662" i="5"/>
  <c r="K662" i="5"/>
  <c r="L662" i="5"/>
  <c r="M662" i="5"/>
  <c r="N662" i="5"/>
  <c r="O662" i="5"/>
  <c r="P662" i="5"/>
  <c r="Q662" i="5"/>
  <c r="R662" i="5"/>
  <c r="S662" i="5"/>
  <c r="T662" i="5"/>
  <c r="U662" i="5"/>
  <c r="V662" i="5"/>
  <c r="W662" i="5"/>
  <c r="X662" i="5"/>
  <c r="A663" i="5"/>
  <c r="B663" i="5"/>
  <c r="C663" i="5"/>
  <c r="D663" i="5"/>
  <c r="F663" i="5"/>
  <c r="G663" i="5"/>
  <c r="H663" i="5"/>
  <c r="J663" i="5"/>
  <c r="K663" i="5"/>
  <c r="L663" i="5"/>
  <c r="N663" i="5"/>
  <c r="O663" i="5"/>
  <c r="P663" i="5"/>
  <c r="R663" i="5"/>
  <c r="S663" i="5"/>
  <c r="T663" i="5"/>
  <c r="V663" i="5"/>
  <c r="W663" i="5"/>
  <c r="X663" i="5"/>
  <c r="E9" i="4"/>
  <c r="J12" i="4"/>
  <c r="J13" i="4"/>
  <c r="J14" i="4"/>
  <c r="J15" i="4"/>
  <c r="J16" i="4"/>
  <c r="J17" i="4"/>
  <c r="J18" i="4"/>
  <c r="J19" i="4"/>
  <c r="J20" i="4"/>
  <c r="J21" i="4"/>
  <c r="J23" i="4"/>
  <c r="B24" i="4"/>
  <c r="C24" i="4"/>
  <c r="D24" i="4"/>
  <c r="E24" i="4"/>
  <c r="F24" i="4"/>
  <c r="G24" i="4"/>
  <c r="H24" i="4"/>
  <c r="I24" i="4"/>
  <c r="J24" i="4"/>
  <c r="B25" i="4"/>
  <c r="C25" i="4"/>
  <c r="D25" i="4"/>
  <c r="E25" i="4"/>
  <c r="F25" i="4"/>
  <c r="G25" i="4"/>
  <c r="H25" i="4"/>
  <c r="I25" i="4"/>
  <c r="J25" i="4"/>
  <c r="B26" i="4"/>
  <c r="C26" i="4"/>
  <c r="D26" i="4"/>
  <c r="E26" i="4"/>
  <c r="F26" i="4"/>
  <c r="G26" i="4"/>
  <c r="H26" i="4"/>
  <c r="I26" i="4"/>
  <c r="J26" i="4"/>
  <c r="B27" i="4"/>
  <c r="C27" i="4"/>
  <c r="D27" i="4"/>
  <c r="E27" i="4"/>
  <c r="F27" i="4"/>
  <c r="G27" i="4"/>
  <c r="H27" i="4"/>
  <c r="I27" i="4"/>
  <c r="J27" i="4"/>
  <c r="B28" i="4"/>
  <c r="C28" i="4"/>
  <c r="D28" i="4"/>
  <c r="E28" i="4"/>
  <c r="F28" i="4"/>
  <c r="G28" i="4"/>
  <c r="H28" i="4"/>
  <c r="I28" i="4"/>
  <c r="J28" i="4"/>
  <c r="B29" i="4"/>
  <c r="C29" i="4"/>
  <c r="D29" i="4"/>
  <c r="E29" i="4"/>
  <c r="F29" i="4"/>
  <c r="G29" i="4"/>
  <c r="H29" i="4"/>
  <c r="I29" i="4"/>
  <c r="J29" i="4"/>
  <c r="B30" i="4"/>
  <c r="C30" i="4"/>
  <c r="D30" i="4"/>
  <c r="E30" i="4"/>
  <c r="F30" i="4"/>
  <c r="G30" i="4"/>
  <c r="H30" i="4"/>
  <c r="I30" i="4"/>
  <c r="J30" i="4"/>
  <c r="B31" i="4"/>
  <c r="C31" i="4"/>
  <c r="D31" i="4"/>
  <c r="E31" i="4"/>
  <c r="F31" i="4"/>
  <c r="G31" i="4"/>
  <c r="H31" i="4"/>
  <c r="I31" i="4"/>
  <c r="J31" i="4"/>
  <c r="B32" i="4"/>
  <c r="C32" i="4"/>
  <c r="D32" i="4"/>
  <c r="E32" i="4"/>
  <c r="F32" i="4"/>
  <c r="G32" i="4"/>
  <c r="H32" i="4"/>
  <c r="I32" i="4"/>
  <c r="J32" i="4"/>
  <c r="B33" i="4"/>
  <c r="C33" i="4"/>
  <c r="D33" i="4"/>
  <c r="E33" i="4"/>
  <c r="F33" i="4"/>
  <c r="G33" i="4"/>
  <c r="H33" i="4"/>
  <c r="I33" i="4"/>
  <c r="J33" i="4"/>
  <c r="B34" i="4"/>
  <c r="C34" i="4"/>
  <c r="D34" i="4"/>
  <c r="E34" i="4"/>
  <c r="F34" i="4"/>
  <c r="G34" i="4"/>
  <c r="H34" i="4"/>
  <c r="I34" i="4"/>
  <c r="J34" i="4"/>
  <c r="B35" i="4"/>
  <c r="C35" i="4"/>
  <c r="D35" i="4"/>
  <c r="E35" i="4"/>
  <c r="F35" i="4"/>
  <c r="G35" i="4"/>
  <c r="H35" i="4"/>
  <c r="I35" i="4"/>
  <c r="J35" i="4"/>
  <c r="B36" i="4"/>
  <c r="C36" i="4"/>
  <c r="D36" i="4"/>
  <c r="E36" i="4"/>
  <c r="F36" i="4"/>
  <c r="G36" i="4"/>
  <c r="H36" i="4"/>
  <c r="I36" i="4"/>
  <c r="J36" i="4"/>
  <c r="B37" i="4"/>
  <c r="C37" i="4"/>
  <c r="D37" i="4"/>
  <c r="E37" i="4"/>
  <c r="F37" i="4"/>
  <c r="G37" i="4"/>
  <c r="H37" i="4"/>
  <c r="I37" i="4"/>
  <c r="J37" i="4"/>
  <c r="B38" i="4"/>
  <c r="C38" i="4"/>
  <c r="D38" i="4"/>
  <c r="E38" i="4"/>
  <c r="F38" i="4"/>
  <c r="G38" i="4"/>
  <c r="H38" i="4"/>
  <c r="I38" i="4"/>
  <c r="J38" i="4"/>
  <c r="B39" i="4"/>
  <c r="C39" i="4"/>
  <c r="D39" i="4"/>
  <c r="E39" i="4"/>
  <c r="F39" i="4"/>
  <c r="G39" i="4"/>
  <c r="H39" i="4"/>
  <c r="I39" i="4"/>
  <c r="J39" i="4"/>
  <c r="B40" i="4"/>
  <c r="C40" i="4"/>
  <c r="D40" i="4"/>
  <c r="E40" i="4"/>
  <c r="F40" i="4"/>
  <c r="G40" i="4"/>
  <c r="H40" i="4"/>
  <c r="I40" i="4"/>
  <c r="J40" i="4"/>
  <c r="B41" i="4"/>
  <c r="C41" i="4"/>
  <c r="D41" i="4"/>
  <c r="E41" i="4"/>
  <c r="F41" i="4"/>
  <c r="G41" i="4"/>
  <c r="H41" i="4"/>
  <c r="I41" i="4"/>
  <c r="J41" i="4"/>
  <c r="B42" i="4"/>
  <c r="C42" i="4"/>
  <c r="D42" i="4"/>
  <c r="E42" i="4"/>
  <c r="F42" i="4"/>
  <c r="G42" i="4"/>
  <c r="H42" i="4"/>
  <c r="I42" i="4"/>
  <c r="J42" i="4"/>
  <c r="B43" i="4"/>
  <c r="C43" i="4"/>
  <c r="D43" i="4"/>
  <c r="E43" i="4"/>
  <c r="F43" i="4"/>
  <c r="G43" i="4"/>
  <c r="H43" i="4"/>
  <c r="I43" i="4"/>
  <c r="J43" i="4"/>
  <c r="B44" i="4"/>
  <c r="C44" i="4"/>
  <c r="D44" i="4"/>
  <c r="E44" i="4"/>
  <c r="F44" i="4"/>
  <c r="G44" i="4"/>
  <c r="H44" i="4"/>
  <c r="I44" i="4"/>
  <c r="J44" i="4"/>
  <c r="B45" i="4"/>
  <c r="C45" i="4"/>
  <c r="D45" i="4"/>
  <c r="E45" i="4"/>
  <c r="F45" i="4"/>
  <c r="G45" i="4"/>
  <c r="H45" i="4"/>
  <c r="I45" i="4"/>
  <c r="J45" i="4"/>
  <c r="B46" i="4"/>
  <c r="C46" i="4"/>
  <c r="D46" i="4"/>
  <c r="E46" i="4"/>
  <c r="F46" i="4"/>
  <c r="G46" i="4"/>
  <c r="H46" i="4"/>
  <c r="I46" i="4"/>
  <c r="J46" i="4"/>
  <c r="B47" i="4"/>
  <c r="C47" i="4"/>
  <c r="D47" i="4"/>
  <c r="E47" i="4"/>
  <c r="F47" i="4"/>
  <c r="G47" i="4"/>
  <c r="H47" i="4"/>
  <c r="I47" i="4"/>
  <c r="J47" i="4"/>
  <c r="B48" i="4"/>
  <c r="C48" i="4"/>
  <c r="D48" i="4"/>
  <c r="E48" i="4"/>
  <c r="F48" i="4"/>
  <c r="G48" i="4"/>
  <c r="H48" i="4"/>
  <c r="I48" i="4"/>
  <c r="J48" i="4"/>
  <c r="B49" i="4"/>
  <c r="C49" i="4"/>
  <c r="D49" i="4"/>
  <c r="E49" i="4"/>
  <c r="F49" i="4"/>
  <c r="G49" i="4"/>
  <c r="H49" i="4"/>
  <c r="I49" i="4"/>
  <c r="J49" i="4"/>
  <c r="B50" i="4"/>
  <c r="C50" i="4"/>
  <c r="D50" i="4"/>
  <c r="E50" i="4"/>
  <c r="F50" i="4"/>
  <c r="G50" i="4"/>
  <c r="H50" i="4"/>
  <c r="I50" i="4"/>
  <c r="J50" i="4"/>
  <c r="B51" i="4"/>
  <c r="C51" i="4"/>
  <c r="D51" i="4"/>
  <c r="E51" i="4"/>
  <c r="F51" i="4"/>
  <c r="G51" i="4"/>
  <c r="H51" i="4"/>
  <c r="I51" i="4"/>
  <c r="J51" i="4"/>
  <c r="B52" i="4"/>
  <c r="C52" i="4"/>
  <c r="D52" i="4"/>
  <c r="E52" i="4"/>
  <c r="F52" i="4"/>
  <c r="G52" i="4"/>
  <c r="H52" i="4"/>
  <c r="I52" i="4"/>
  <c r="J52" i="4"/>
  <c r="B53" i="4"/>
  <c r="C53" i="4"/>
  <c r="D53" i="4"/>
  <c r="E53" i="4"/>
  <c r="F53" i="4"/>
  <c r="G53" i="4"/>
  <c r="H53" i="4"/>
  <c r="I53" i="4"/>
  <c r="J53" i="4"/>
  <c r="B54" i="4"/>
  <c r="C54" i="4"/>
  <c r="D54" i="4"/>
  <c r="E54" i="4"/>
  <c r="F54" i="4"/>
  <c r="G54" i="4"/>
  <c r="H54" i="4"/>
  <c r="I54" i="4"/>
  <c r="J54" i="4"/>
  <c r="B55" i="4"/>
  <c r="C55" i="4"/>
  <c r="D55" i="4"/>
  <c r="E55" i="4"/>
  <c r="F55" i="4"/>
  <c r="G55" i="4"/>
  <c r="H55" i="4"/>
  <c r="I55" i="4"/>
  <c r="J55" i="4"/>
  <c r="B56" i="4"/>
  <c r="C56" i="4"/>
  <c r="D56" i="4"/>
  <c r="E56" i="4"/>
  <c r="F56" i="4"/>
  <c r="G56" i="4"/>
  <c r="H56" i="4"/>
  <c r="I56" i="4"/>
  <c r="J56" i="4"/>
  <c r="B57" i="4"/>
  <c r="C57" i="4"/>
  <c r="D57" i="4"/>
  <c r="E57" i="4"/>
  <c r="F57" i="4"/>
  <c r="G57" i="4"/>
  <c r="H57" i="4"/>
  <c r="I57" i="4"/>
  <c r="J57" i="4"/>
  <c r="B58" i="4"/>
  <c r="C58" i="4"/>
  <c r="D58" i="4"/>
  <c r="E58" i="4"/>
  <c r="F58" i="4"/>
  <c r="G58" i="4"/>
  <c r="H58" i="4"/>
  <c r="I58" i="4"/>
  <c r="J58" i="4"/>
  <c r="B59" i="4"/>
  <c r="C59" i="4"/>
  <c r="D59" i="4"/>
  <c r="E59" i="4"/>
  <c r="F59" i="4"/>
  <c r="G59" i="4"/>
  <c r="H59" i="4"/>
  <c r="I59" i="4"/>
  <c r="J59" i="4"/>
  <c r="B60" i="4"/>
  <c r="C60" i="4"/>
  <c r="D60" i="4"/>
  <c r="E60" i="4"/>
  <c r="F60" i="4"/>
  <c r="G60" i="4"/>
  <c r="H60" i="4"/>
  <c r="I60" i="4"/>
  <c r="J60" i="4"/>
  <c r="B61" i="4"/>
  <c r="C61" i="4"/>
  <c r="D61" i="4"/>
  <c r="E61" i="4"/>
  <c r="F61" i="4"/>
  <c r="G61" i="4"/>
  <c r="H61" i="4"/>
  <c r="I61" i="4"/>
  <c r="J61" i="4"/>
  <c r="B62" i="4"/>
  <c r="C62" i="4"/>
  <c r="D62" i="4"/>
  <c r="E62" i="4"/>
  <c r="F62" i="4"/>
  <c r="G62" i="4"/>
  <c r="H62" i="4"/>
  <c r="I62" i="4"/>
  <c r="J62" i="4"/>
  <c r="B63" i="4"/>
  <c r="C63" i="4"/>
  <c r="D63" i="4"/>
  <c r="E63" i="4"/>
  <c r="F63" i="4"/>
  <c r="G63" i="4"/>
  <c r="H63" i="4"/>
  <c r="I63" i="4"/>
  <c r="J63" i="4"/>
  <c r="B64" i="4"/>
  <c r="C64" i="4"/>
  <c r="D64" i="4"/>
  <c r="E64" i="4"/>
  <c r="F64" i="4"/>
  <c r="G64" i="4"/>
  <c r="H64" i="4"/>
  <c r="I64" i="4"/>
  <c r="J64" i="4"/>
  <c r="B65" i="4"/>
  <c r="C65" i="4"/>
  <c r="D65" i="4"/>
  <c r="E65" i="4"/>
  <c r="F65" i="4"/>
  <c r="G65" i="4"/>
  <c r="H65" i="4"/>
  <c r="I65" i="4"/>
  <c r="J65" i="4"/>
  <c r="B66" i="4"/>
  <c r="C66" i="4"/>
  <c r="D66" i="4"/>
  <c r="E66" i="4"/>
  <c r="F66" i="4"/>
  <c r="G66" i="4"/>
  <c r="H66" i="4"/>
  <c r="I66" i="4"/>
  <c r="J66" i="4"/>
  <c r="B67" i="4"/>
  <c r="C67" i="4"/>
  <c r="D67" i="4"/>
  <c r="E67" i="4"/>
  <c r="F67" i="4"/>
  <c r="G67" i="4"/>
  <c r="H67" i="4"/>
  <c r="I67" i="4"/>
  <c r="J67" i="4"/>
  <c r="B68" i="4"/>
  <c r="C68" i="4"/>
  <c r="D68" i="4"/>
  <c r="E68" i="4"/>
  <c r="F68" i="4"/>
  <c r="G68" i="4"/>
  <c r="H68" i="4"/>
  <c r="I68" i="4"/>
  <c r="J68" i="4"/>
  <c r="B69" i="4"/>
  <c r="C69" i="4"/>
  <c r="D69" i="4"/>
  <c r="E69" i="4"/>
  <c r="F69" i="4"/>
  <c r="G69" i="4"/>
  <c r="H69" i="4"/>
  <c r="I69" i="4"/>
  <c r="J69" i="4"/>
  <c r="B70" i="4"/>
  <c r="C70" i="4"/>
  <c r="D70" i="4"/>
  <c r="E70" i="4"/>
  <c r="F70" i="4"/>
  <c r="G70" i="4"/>
  <c r="H70" i="4"/>
  <c r="I70" i="4"/>
  <c r="J70" i="4"/>
  <c r="B71" i="4"/>
  <c r="C71" i="4"/>
  <c r="D71" i="4"/>
  <c r="E71" i="4"/>
  <c r="F71" i="4"/>
  <c r="G71" i="4"/>
  <c r="H71" i="4"/>
  <c r="I71" i="4"/>
  <c r="J71" i="4"/>
  <c r="B72" i="4"/>
  <c r="C72" i="4"/>
  <c r="D72" i="4"/>
  <c r="E72" i="4"/>
  <c r="F72" i="4"/>
  <c r="G72" i="4"/>
  <c r="H72" i="4"/>
  <c r="I72" i="4"/>
  <c r="J72" i="4"/>
  <c r="B73" i="4"/>
  <c r="C73" i="4"/>
  <c r="D73" i="4"/>
  <c r="E73" i="4"/>
  <c r="F73" i="4"/>
  <c r="G73" i="4"/>
  <c r="H73" i="4"/>
  <c r="I73" i="4"/>
  <c r="J73" i="4"/>
  <c r="B74" i="4"/>
  <c r="C74" i="4"/>
  <c r="D74" i="4"/>
  <c r="E74" i="4"/>
  <c r="F74" i="4"/>
  <c r="G74" i="4"/>
  <c r="H74" i="4"/>
  <c r="I74" i="4"/>
  <c r="J74" i="4"/>
  <c r="B75" i="4"/>
  <c r="C75" i="4"/>
  <c r="D75" i="4"/>
  <c r="E75" i="4"/>
  <c r="F75" i="4"/>
  <c r="G75" i="4"/>
  <c r="H75" i="4"/>
  <c r="I75" i="4"/>
  <c r="J75" i="4"/>
  <c r="B76" i="4"/>
  <c r="C76" i="4"/>
  <c r="D76" i="4"/>
  <c r="E76" i="4"/>
  <c r="F76" i="4"/>
  <c r="G76" i="4"/>
  <c r="H76" i="4"/>
  <c r="I76" i="4"/>
  <c r="J76" i="4"/>
  <c r="B77" i="4"/>
  <c r="C77" i="4"/>
  <c r="D77" i="4"/>
  <c r="E77" i="4"/>
  <c r="F77" i="4"/>
  <c r="G77" i="4"/>
  <c r="H77" i="4"/>
  <c r="I77" i="4"/>
  <c r="J77" i="4"/>
  <c r="B78" i="4"/>
  <c r="C78" i="4"/>
  <c r="D78" i="4"/>
  <c r="E78" i="4"/>
  <c r="F78" i="4"/>
  <c r="G78" i="4"/>
  <c r="H78" i="4"/>
  <c r="I78" i="4"/>
  <c r="J78" i="4"/>
  <c r="B79" i="4"/>
  <c r="C79" i="4"/>
  <c r="D79" i="4"/>
  <c r="E79" i="4"/>
  <c r="F79" i="4"/>
  <c r="G79" i="4"/>
  <c r="H79" i="4"/>
  <c r="I79" i="4"/>
  <c r="J79" i="4"/>
  <c r="B80" i="4"/>
  <c r="C80" i="4"/>
  <c r="D80" i="4"/>
  <c r="E80" i="4"/>
  <c r="F80" i="4"/>
  <c r="G80" i="4"/>
  <c r="H80" i="4"/>
  <c r="I80" i="4"/>
  <c r="J80" i="4"/>
  <c r="B81" i="4"/>
  <c r="C81" i="4"/>
  <c r="D81" i="4"/>
  <c r="E81" i="4"/>
  <c r="F81" i="4"/>
  <c r="G81" i="4"/>
  <c r="H81" i="4"/>
  <c r="I81" i="4"/>
  <c r="J81" i="4"/>
  <c r="B82" i="4"/>
  <c r="C82" i="4"/>
  <c r="D82" i="4"/>
  <c r="E82" i="4"/>
  <c r="F82" i="4"/>
  <c r="G82" i="4"/>
  <c r="H82" i="4"/>
  <c r="I82" i="4"/>
  <c r="J82" i="4"/>
  <c r="B83" i="4"/>
  <c r="C83" i="4"/>
  <c r="D83" i="4"/>
  <c r="E83" i="4"/>
  <c r="F83" i="4"/>
  <c r="G83" i="4"/>
  <c r="H83" i="4"/>
  <c r="I83" i="4"/>
  <c r="J83" i="4"/>
  <c r="B84" i="4"/>
  <c r="C84" i="4"/>
  <c r="D84" i="4"/>
  <c r="E84" i="4"/>
  <c r="F84" i="4"/>
  <c r="G84" i="4"/>
  <c r="H84" i="4"/>
  <c r="I84" i="4"/>
  <c r="J84" i="4"/>
  <c r="B85" i="4"/>
  <c r="C85" i="4"/>
  <c r="D85" i="4"/>
  <c r="E85" i="4"/>
  <c r="F85" i="4"/>
  <c r="G85" i="4"/>
  <c r="H85" i="4"/>
  <c r="I85" i="4"/>
  <c r="J85" i="4"/>
  <c r="B86" i="4"/>
  <c r="C86" i="4"/>
  <c r="D86" i="4"/>
  <c r="E86" i="4"/>
  <c r="F86" i="4"/>
  <c r="G86" i="4"/>
  <c r="H86" i="4"/>
  <c r="I86" i="4"/>
  <c r="J86" i="4"/>
  <c r="B87" i="4"/>
  <c r="C87" i="4"/>
  <c r="D87" i="4"/>
  <c r="E87" i="4"/>
  <c r="F87" i="4"/>
  <c r="G87" i="4"/>
  <c r="H87" i="4"/>
  <c r="I87" i="4"/>
  <c r="J87" i="4"/>
  <c r="B88" i="4"/>
  <c r="C88" i="4"/>
  <c r="D88" i="4"/>
  <c r="E88" i="4"/>
  <c r="F88" i="4"/>
  <c r="G88" i="4"/>
  <c r="H88" i="4"/>
  <c r="I88" i="4"/>
  <c r="J88" i="4"/>
  <c r="B89" i="4"/>
  <c r="C89" i="4"/>
  <c r="D89" i="4"/>
  <c r="E89" i="4"/>
  <c r="F89" i="4"/>
  <c r="G89" i="4"/>
  <c r="H89" i="4"/>
  <c r="I89" i="4"/>
  <c r="J89" i="4"/>
  <c r="B90" i="4"/>
  <c r="C90" i="4"/>
  <c r="D90" i="4"/>
  <c r="E90" i="4"/>
  <c r="F90" i="4"/>
  <c r="G90" i="4"/>
  <c r="H90" i="4"/>
  <c r="I90" i="4"/>
  <c r="J90" i="4"/>
  <c r="B91" i="4"/>
  <c r="C91" i="4"/>
  <c r="D91" i="4"/>
  <c r="E91" i="4"/>
  <c r="F91" i="4"/>
  <c r="G91" i="4"/>
  <c r="H91" i="4"/>
  <c r="I91" i="4"/>
  <c r="J91" i="4"/>
  <c r="B92" i="4"/>
  <c r="C92" i="4"/>
  <c r="D92" i="4"/>
  <c r="E92" i="4"/>
  <c r="F92" i="4"/>
  <c r="G92" i="4"/>
  <c r="H92" i="4"/>
  <c r="I92" i="4"/>
  <c r="J92" i="4"/>
  <c r="B93" i="4"/>
  <c r="C93" i="4"/>
  <c r="D93" i="4"/>
  <c r="E93" i="4"/>
  <c r="F93" i="4"/>
  <c r="G93" i="4"/>
  <c r="H93" i="4"/>
  <c r="I93" i="4"/>
  <c r="J93" i="4"/>
  <c r="B94" i="4"/>
  <c r="C94" i="4"/>
  <c r="D94" i="4"/>
  <c r="E94" i="4"/>
  <c r="F94" i="4"/>
  <c r="G94" i="4"/>
  <c r="H94" i="4"/>
  <c r="I94" i="4"/>
  <c r="J94" i="4"/>
  <c r="B95" i="4"/>
  <c r="C95" i="4"/>
  <c r="D95" i="4"/>
  <c r="E95" i="4"/>
  <c r="F95" i="4"/>
  <c r="G95" i="4"/>
  <c r="H95" i="4"/>
  <c r="I95" i="4"/>
  <c r="J95" i="4"/>
  <c r="B96" i="4"/>
  <c r="C96" i="4"/>
  <c r="D96" i="4"/>
  <c r="E96" i="4"/>
  <c r="F96" i="4"/>
  <c r="G96" i="4"/>
  <c r="H96" i="4"/>
  <c r="I96" i="4"/>
  <c r="J96" i="4"/>
  <c r="B97" i="4"/>
  <c r="C97" i="4"/>
  <c r="D97" i="4"/>
  <c r="E97" i="4"/>
  <c r="F97" i="4"/>
  <c r="G97" i="4"/>
  <c r="H97" i="4"/>
  <c r="I97" i="4"/>
  <c r="J97" i="4"/>
  <c r="B98" i="4"/>
  <c r="C98" i="4"/>
  <c r="D98" i="4"/>
  <c r="E98" i="4"/>
  <c r="F98" i="4"/>
  <c r="G98" i="4"/>
  <c r="H98" i="4"/>
  <c r="I98" i="4"/>
  <c r="J98" i="4"/>
  <c r="B99" i="4"/>
  <c r="C99" i="4"/>
  <c r="D99" i="4"/>
  <c r="E99" i="4"/>
  <c r="F99" i="4"/>
  <c r="G99" i="4"/>
  <c r="H99" i="4"/>
  <c r="I99" i="4"/>
  <c r="J99" i="4"/>
  <c r="B100" i="4"/>
  <c r="C100" i="4"/>
  <c r="D100" i="4"/>
  <c r="E100" i="4"/>
  <c r="F100" i="4"/>
  <c r="G100" i="4"/>
  <c r="H100" i="4"/>
  <c r="I100" i="4"/>
  <c r="J100" i="4"/>
  <c r="B101" i="4"/>
  <c r="C101" i="4"/>
  <c r="D101" i="4"/>
  <c r="E101" i="4"/>
  <c r="F101" i="4"/>
  <c r="G101" i="4"/>
  <c r="H101" i="4"/>
  <c r="I101" i="4"/>
  <c r="J101" i="4"/>
  <c r="B102" i="4"/>
  <c r="C102" i="4"/>
  <c r="D102" i="4"/>
  <c r="E102" i="4"/>
  <c r="F102" i="4"/>
  <c r="G102" i="4"/>
  <c r="H102" i="4"/>
  <c r="I102" i="4"/>
  <c r="J102" i="4"/>
  <c r="B103" i="4"/>
  <c r="C103" i="4"/>
  <c r="D103" i="4"/>
  <c r="E103" i="4"/>
  <c r="F103" i="4"/>
  <c r="G103" i="4"/>
  <c r="H103" i="4"/>
  <c r="I103" i="4"/>
  <c r="J103" i="4"/>
  <c r="B104" i="4"/>
  <c r="C104" i="4"/>
  <c r="D104" i="4"/>
  <c r="E104" i="4"/>
  <c r="F104" i="4"/>
  <c r="G104" i="4"/>
  <c r="H104" i="4"/>
  <c r="I104" i="4"/>
  <c r="J104" i="4"/>
  <c r="B105" i="4"/>
  <c r="C105" i="4"/>
  <c r="D105" i="4"/>
  <c r="E105" i="4"/>
  <c r="F105" i="4"/>
  <c r="G105" i="4"/>
  <c r="H105" i="4"/>
  <c r="I105" i="4"/>
  <c r="J105" i="4"/>
  <c r="B106" i="4"/>
  <c r="C106" i="4"/>
  <c r="D106" i="4"/>
  <c r="E106" i="4"/>
  <c r="F106" i="4"/>
  <c r="G106" i="4"/>
  <c r="H106" i="4"/>
  <c r="I106" i="4"/>
  <c r="J106" i="4"/>
  <c r="B107" i="4"/>
  <c r="C107" i="4"/>
  <c r="D107" i="4"/>
  <c r="E107" i="4"/>
  <c r="F107" i="4"/>
  <c r="G107" i="4"/>
  <c r="H107" i="4"/>
  <c r="I107" i="4"/>
  <c r="J107" i="4"/>
  <c r="B108" i="4"/>
  <c r="C108" i="4"/>
  <c r="D108" i="4"/>
  <c r="E108" i="4"/>
  <c r="F108" i="4"/>
  <c r="G108" i="4"/>
  <c r="H108" i="4"/>
  <c r="I108" i="4"/>
  <c r="J108" i="4"/>
  <c r="B109" i="4"/>
  <c r="C109" i="4"/>
  <c r="D109" i="4"/>
  <c r="E109" i="4"/>
  <c r="F109" i="4"/>
  <c r="G109" i="4"/>
  <c r="H109" i="4"/>
  <c r="I109" i="4"/>
  <c r="J109" i="4"/>
  <c r="B110" i="4"/>
  <c r="C110" i="4"/>
  <c r="D110" i="4"/>
  <c r="E110" i="4"/>
  <c r="F110" i="4"/>
  <c r="G110" i="4"/>
  <c r="H110" i="4"/>
  <c r="I110" i="4"/>
  <c r="J110" i="4"/>
  <c r="B111" i="4"/>
  <c r="C111" i="4"/>
  <c r="D111" i="4"/>
  <c r="E111" i="4"/>
  <c r="F111" i="4"/>
  <c r="G111" i="4"/>
  <c r="H111" i="4"/>
  <c r="I111" i="4"/>
  <c r="J111" i="4"/>
  <c r="B112" i="4"/>
  <c r="C112" i="4"/>
  <c r="D112" i="4"/>
  <c r="E112" i="4"/>
  <c r="F112" i="4"/>
  <c r="G112" i="4"/>
  <c r="H112" i="4"/>
  <c r="I112" i="4"/>
  <c r="J112" i="4"/>
  <c r="B113" i="4"/>
  <c r="C113" i="4"/>
  <c r="D113" i="4"/>
  <c r="E113" i="4"/>
  <c r="F113" i="4"/>
  <c r="G113" i="4"/>
  <c r="H113" i="4"/>
  <c r="I113" i="4"/>
  <c r="J113" i="4"/>
  <c r="B114" i="4"/>
  <c r="C114" i="4"/>
  <c r="D114" i="4"/>
  <c r="E114" i="4"/>
  <c r="F114" i="4"/>
  <c r="G114" i="4"/>
  <c r="H114" i="4"/>
  <c r="I114" i="4"/>
  <c r="J114" i="4"/>
  <c r="B115" i="4"/>
  <c r="C115" i="4"/>
  <c r="D115" i="4"/>
  <c r="E115" i="4"/>
  <c r="F115" i="4"/>
  <c r="G115" i="4"/>
  <c r="H115" i="4"/>
  <c r="I115" i="4"/>
  <c r="J115" i="4"/>
  <c r="B116" i="4"/>
  <c r="C116" i="4"/>
  <c r="D116" i="4"/>
  <c r="E116" i="4"/>
  <c r="F116" i="4"/>
  <c r="G116" i="4"/>
  <c r="H116" i="4"/>
  <c r="I116" i="4"/>
  <c r="J116" i="4"/>
  <c r="B117" i="4"/>
  <c r="C117" i="4"/>
  <c r="D117" i="4"/>
  <c r="E117" i="4"/>
  <c r="F117" i="4"/>
  <c r="G117" i="4"/>
  <c r="H117" i="4"/>
  <c r="I117" i="4"/>
  <c r="J117" i="4"/>
  <c r="B118" i="4"/>
  <c r="C118" i="4"/>
  <c r="D118" i="4"/>
  <c r="E118" i="4"/>
  <c r="F118" i="4"/>
  <c r="G118" i="4"/>
  <c r="H118" i="4"/>
  <c r="I118" i="4"/>
  <c r="J118" i="4"/>
  <c r="B119" i="4"/>
  <c r="C119" i="4"/>
  <c r="D119" i="4"/>
  <c r="E119" i="4"/>
  <c r="F119" i="4"/>
  <c r="G119" i="4"/>
  <c r="H119" i="4"/>
  <c r="I119" i="4"/>
  <c r="J119" i="4"/>
  <c r="B120" i="4"/>
  <c r="C120" i="4"/>
  <c r="D120" i="4"/>
  <c r="E120" i="4"/>
  <c r="F120" i="4"/>
  <c r="G120" i="4"/>
  <c r="H120" i="4"/>
  <c r="I120" i="4"/>
  <c r="J120" i="4"/>
  <c r="B121" i="4"/>
  <c r="C121" i="4"/>
  <c r="D121" i="4"/>
  <c r="E121" i="4"/>
  <c r="F121" i="4"/>
  <c r="G121" i="4"/>
  <c r="H121" i="4"/>
  <c r="I121" i="4"/>
  <c r="J121" i="4"/>
  <c r="B122" i="4"/>
  <c r="C122" i="4"/>
  <c r="D122" i="4"/>
  <c r="E122" i="4"/>
  <c r="F122" i="4"/>
  <c r="G122" i="4"/>
  <c r="H122" i="4"/>
  <c r="I122" i="4"/>
  <c r="J122" i="4"/>
  <c r="B123" i="4"/>
  <c r="C123" i="4"/>
  <c r="D123" i="4"/>
  <c r="E123" i="4"/>
  <c r="F123" i="4"/>
  <c r="G123" i="4"/>
  <c r="H123" i="4"/>
  <c r="I123" i="4"/>
  <c r="J123" i="4"/>
  <c r="B124" i="4"/>
  <c r="C124" i="4"/>
  <c r="D124" i="4"/>
  <c r="E124" i="4"/>
  <c r="F124" i="4"/>
  <c r="G124" i="4"/>
  <c r="H124" i="4"/>
  <c r="I124" i="4"/>
  <c r="J124" i="4"/>
  <c r="B125" i="4"/>
  <c r="C125" i="4"/>
  <c r="D125" i="4"/>
  <c r="E125" i="4"/>
  <c r="F125" i="4"/>
  <c r="G125" i="4"/>
  <c r="H125" i="4"/>
  <c r="I125" i="4"/>
  <c r="J125" i="4"/>
  <c r="B126" i="4"/>
  <c r="C126" i="4"/>
  <c r="D126" i="4"/>
  <c r="E126" i="4"/>
  <c r="F126" i="4"/>
  <c r="G126" i="4"/>
  <c r="H126" i="4"/>
  <c r="I126" i="4"/>
  <c r="J126" i="4"/>
  <c r="B127" i="4"/>
  <c r="C127" i="4"/>
  <c r="D127" i="4"/>
  <c r="E127" i="4"/>
  <c r="F127" i="4"/>
  <c r="G127" i="4"/>
  <c r="H127" i="4"/>
  <c r="I127" i="4"/>
  <c r="J127" i="4"/>
  <c r="B128" i="4"/>
  <c r="C128" i="4"/>
  <c r="D128" i="4"/>
  <c r="E128" i="4"/>
  <c r="F128" i="4"/>
  <c r="G128" i="4"/>
  <c r="H128" i="4"/>
  <c r="I128" i="4"/>
  <c r="J128" i="4"/>
  <c r="B129" i="4"/>
  <c r="C129" i="4"/>
  <c r="D129" i="4"/>
  <c r="E129" i="4"/>
  <c r="F129" i="4"/>
  <c r="G129" i="4"/>
  <c r="H129" i="4"/>
  <c r="I129" i="4"/>
  <c r="J129" i="4"/>
  <c r="B130" i="4"/>
  <c r="C130" i="4"/>
  <c r="D130" i="4"/>
  <c r="E130" i="4"/>
  <c r="F130" i="4"/>
  <c r="G130" i="4"/>
  <c r="H130" i="4"/>
  <c r="I130" i="4"/>
  <c r="J130" i="4"/>
  <c r="B131" i="4"/>
  <c r="C131" i="4"/>
  <c r="D131" i="4"/>
  <c r="E131" i="4"/>
  <c r="F131" i="4"/>
  <c r="G131" i="4"/>
  <c r="H131" i="4"/>
  <c r="I131" i="4"/>
  <c r="J131" i="4"/>
  <c r="B132" i="4"/>
  <c r="C132" i="4"/>
  <c r="D132" i="4"/>
  <c r="E132" i="4"/>
  <c r="F132" i="4"/>
  <c r="G132" i="4"/>
  <c r="H132" i="4"/>
  <c r="I132" i="4"/>
  <c r="J132" i="4"/>
  <c r="B133" i="4"/>
  <c r="C133" i="4"/>
  <c r="D133" i="4"/>
  <c r="E133" i="4"/>
  <c r="F133" i="4"/>
  <c r="G133" i="4"/>
  <c r="H133" i="4"/>
  <c r="I133" i="4"/>
  <c r="J133" i="4"/>
  <c r="B134" i="4"/>
  <c r="C134" i="4"/>
  <c r="D134" i="4"/>
  <c r="E134" i="4"/>
  <c r="F134" i="4"/>
  <c r="G134" i="4"/>
  <c r="H134" i="4"/>
  <c r="I134" i="4"/>
  <c r="J134" i="4"/>
  <c r="B135" i="4"/>
  <c r="C135" i="4"/>
  <c r="D135" i="4"/>
  <c r="E135" i="4"/>
  <c r="F135" i="4"/>
  <c r="G135" i="4"/>
  <c r="H135" i="4"/>
  <c r="I135" i="4"/>
  <c r="J135" i="4"/>
  <c r="B136" i="4"/>
  <c r="C136" i="4"/>
  <c r="D136" i="4"/>
  <c r="E136" i="4"/>
  <c r="F136" i="4"/>
  <c r="G136" i="4"/>
  <c r="H136" i="4"/>
  <c r="I136" i="4"/>
  <c r="J136" i="4"/>
  <c r="B137" i="4"/>
  <c r="C137" i="4"/>
  <c r="D137" i="4"/>
  <c r="E137" i="4"/>
  <c r="F137" i="4"/>
  <c r="G137" i="4"/>
  <c r="H137" i="4"/>
  <c r="I137" i="4"/>
  <c r="J137" i="4"/>
  <c r="B138" i="4"/>
  <c r="C138" i="4"/>
  <c r="D138" i="4"/>
  <c r="E138" i="4"/>
  <c r="F138" i="4"/>
  <c r="G138" i="4"/>
  <c r="H138" i="4"/>
  <c r="I138" i="4"/>
  <c r="J138" i="4"/>
  <c r="B139" i="4"/>
  <c r="C139" i="4"/>
  <c r="D139" i="4"/>
  <c r="E139" i="4"/>
  <c r="F139" i="4"/>
  <c r="G139" i="4"/>
  <c r="H139" i="4"/>
  <c r="I139" i="4"/>
  <c r="J139" i="4"/>
  <c r="B140" i="4"/>
  <c r="C140" i="4"/>
  <c r="D140" i="4"/>
  <c r="E140" i="4"/>
  <c r="F140" i="4"/>
  <c r="G140" i="4"/>
  <c r="H140" i="4"/>
  <c r="I140" i="4"/>
  <c r="J140" i="4"/>
  <c r="B141" i="4"/>
  <c r="C141" i="4"/>
  <c r="D141" i="4"/>
  <c r="E141" i="4"/>
  <c r="F141" i="4"/>
  <c r="G141" i="4"/>
  <c r="H141" i="4"/>
  <c r="I141" i="4"/>
  <c r="J141" i="4"/>
  <c r="B142" i="4"/>
  <c r="C142" i="4"/>
  <c r="D142" i="4"/>
  <c r="E142" i="4"/>
  <c r="F142" i="4"/>
  <c r="G142" i="4"/>
  <c r="H142" i="4"/>
  <c r="I142" i="4"/>
  <c r="J142" i="4"/>
  <c r="B143" i="4"/>
  <c r="C143" i="4"/>
  <c r="D143" i="4"/>
  <c r="E143" i="4"/>
  <c r="F143" i="4"/>
  <c r="G143" i="4"/>
  <c r="H143" i="4"/>
  <c r="I143" i="4"/>
  <c r="J143" i="4"/>
  <c r="B144" i="4"/>
  <c r="C144" i="4"/>
  <c r="D144" i="4"/>
  <c r="E144" i="4"/>
  <c r="F144" i="4"/>
  <c r="G144" i="4"/>
  <c r="H144" i="4"/>
  <c r="I144" i="4"/>
  <c r="J144" i="4"/>
  <c r="B145" i="4"/>
  <c r="C145" i="4"/>
  <c r="D145" i="4"/>
  <c r="E145" i="4"/>
  <c r="F145" i="4"/>
  <c r="G145" i="4"/>
  <c r="H145" i="4"/>
  <c r="I145" i="4"/>
  <c r="J145" i="4"/>
  <c r="B146" i="4"/>
  <c r="C146" i="4"/>
  <c r="D146" i="4"/>
  <c r="E146" i="4"/>
  <c r="F146" i="4"/>
  <c r="G146" i="4"/>
  <c r="H146" i="4"/>
  <c r="I146" i="4"/>
  <c r="J146" i="4"/>
  <c r="B147" i="4"/>
  <c r="C147" i="4"/>
  <c r="D147" i="4"/>
  <c r="E147" i="4"/>
  <c r="F147" i="4"/>
  <c r="G147" i="4"/>
  <c r="H147" i="4"/>
  <c r="I147" i="4"/>
  <c r="J147" i="4"/>
  <c r="B148" i="4"/>
  <c r="C148" i="4"/>
  <c r="D148" i="4"/>
  <c r="E148" i="4"/>
  <c r="F148" i="4"/>
  <c r="G148" i="4"/>
  <c r="H148" i="4"/>
  <c r="I148" i="4"/>
  <c r="J148" i="4"/>
  <c r="B149" i="4"/>
  <c r="C149" i="4"/>
  <c r="D149" i="4"/>
  <c r="E149" i="4"/>
  <c r="F149" i="4"/>
  <c r="G149" i="4"/>
  <c r="H149" i="4"/>
  <c r="I149" i="4"/>
  <c r="J149" i="4"/>
  <c r="B150" i="4"/>
  <c r="C150" i="4"/>
  <c r="D150" i="4"/>
  <c r="E150" i="4"/>
  <c r="F150" i="4"/>
  <c r="G150" i="4"/>
  <c r="H150" i="4"/>
  <c r="I150" i="4"/>
  <c r="J150" i="4"/>
  <c r="B151" i="4"/>
  <c r="C151" i="4"/>
  <c r="D151" i="4"/>
  <c r="E151" i="4"/>
  <c r="F151" i="4"/>
  <c r="G151" i="4"/>
  <c r="H151" i="4"/>
  <c r="I151" i="4"/>
  <c r="J151" i="4"/>
  <c r="B152" i="4"/>
  <c r="C152" i="4"/>
  <c r="D152" i="4"/>
  <c r="E152" i="4"/>
  <c r="F152" i="4"/>
  <c r="G152" i="4"/>
  <c r="H152" i="4"/>
  <c r="I152" i="4"/>
  <c r="J152" i="4"/>
  <c r="B153" i="4"/>
  <c r="C153" i="4"/>
  <c r="D153" i="4"/>
  <c r="E153" i="4"/>
  <c r="F153" i="4"/>
  <c r="G153" i="4"/>
  <c r="H153" i="4"/>
  <c r="I153" i="4"/>
  <c r="J153" i="4"/>
  <c r="B154" i="4"/>
  <c r="C154" i="4"/>
  <c r="D154" i="4"/>
  <c r="E154" i="4"/>
  <c r="F154" i="4"/>
  <c r="G154" i="4"/>
  <c r="H154" i="4"/>
  <c r="I154" i="4"/>
  <c r="J154" i="4"/>
  <c r="B155" i="4"/>
  <c r="C155" i="4"/>
  <c r="D155" i="4"/>
  <c r="E155" i="4"/>
  <c r="F155" i="4"/>
  <c r="G155" i="4"/>
  <c r="H155" i="4"/>
  <c r="I155" i="4"/>
  <c r="J155" i="4"/>
  <c r="B156" i="4"/>
  <c r="C156" i="4"/>
  <c r="D156" i="4"/>
  <c r="E156" i="4"/>
  <c r="F156" i="4"/>
  <c r="G156" i="4"/>
  <c r="H156" i="4"/>
  <c r="I156" i="4"/>
  <c r="J156" i="4"/>
  <c r="B157" i="4"/>
  <c r="C157" i="4"/>
  <c r="D157" i="4"/>
  <c r="E157" i="4"/>
  <c r="F157" i="4"/>
  <c r="G157" i="4"/>
  <c r="H157" i="4"/>
  <c r="I157" i="4"/>
  <c r="J157" i="4"/>
  <c r="B158" i="4"/>
  <c r="C158" i="4"/>
  <c r="D158" i="4"/>
  <c r="E158" i="4"/>
  <c r="F158" i="4"/>
  <c r="G158" i="4"/>
  <c r="H158" i="4"/>
  <c r="I158" i="4"/>
  <c r="J158" i="4"/>
  <c r="B159" i="4"/>
  <c r="C159" i="4"/>
  <c r="D159" i="4"/>
  <c r="E159" i="4"/>
  <c r="F159" i="4"/>
  <c r="G159" i="4"/>
  <c r="H159" i="4"/>
  <c r="I159" i="4"/>
  <c r="J159" i="4"/>
  <c r="B160" i="4"/>
  <c r="C160" i="4"/>
  <c r="D160" i="4"/>
  <c r="E160" i="4"/>
  <c r="F160" i="4"/>
  <c r="G160" i="4"/>
  <c r="H160" i="4"/>
  <c r="I160" i="4"/>
  <c r="J160" i="4"/>
  <c r="B161" i="4"/>
  <c r="C161" i="4"/>
  <c r="D161" i="4"/>
  <c r="E161" i="4"/>
  <c r="F161" i="4"/>
  <c r="G161" i="4"/>
  <c r="H161" i="4"/>
  <c r="I161" i="4"/>
  <c r="J161" i="4"/>
  <c r="B162" i="4"/>
  <c r="C162" i="4"/>
  <c r="D162" i="4"/>
  <c r="E162" i="4"/>
  <c r="F162" i="4"/>
  <c r="G162" i="4"/>
  <c r="H162" i="4"/>
  <c r="I162" i="4"/>
  <c r="J162" i="4"/>
  <c r="B163" i="4"/>
  <c r="C163" i="4"/>
  <c r="D163" i="4"/>
  <c r="E163" i="4"/>
  <c r="F163" i="4"/>
  <c r="G163" i="4"/>
  <c r="H163" i="4"/>
  <c r="I163" i="4"/>
  <c r="J163" i="4"/>
  <c r="B164" i="4"/>
  <c r="C164" i="4"/>
  <c r="D164" i="4"/>
  <c r="E164" i="4"/>
  <c r="F164" i="4"/>
  <c r="G164" i="4"/>
  <c r="H164" i="4"/>
  <c r="I164" i="4"/>
  <c r="J164" i="4"/>
  <c r="B165" i="4"/>
  <c r="C165" i="4"/>
  <c r="D165" i="4"/>
  <c r="E165" i="4"/>
  <c r="F165" i="4"/>
  <c r="G165" i="4"/>
  <c r="H165" i="4"/>
  <c r="I165" i="4"/>
  <c r="J165" i="4"/>
  <c r="B166" i="4"/>
  <c r="C166" i="4"/>
  <c r="D166" i="4"/>
  <c r="E166" i="4"/>
  <c r="F166" i="4"/>
  <c r="G166" i="4"/>
  <c r="H166" i="4"/>
  <c r="I166" i="4"/>
  <c r="J166" i="4"/>
  <c r="B167" i="4"/>
  <c r="C167" i="4"/>
  <c r="D167" i="4"/>
  <c r="E167" i="4"/>
  <c r="F167" i="4"/>
  <c r="G167" i="4"/>
  <c r="H167" i="4"/>
  <c r="I167" i="4"/>
  <c r="J167" i="4"/>
  <c r="B168" i="4"/>
  <c r="C168" i="4"/>
  <c r="D168" i="4"/>
  <c r="E168" i="4"/>
  <c r="F168" i="4"/>
  <c r="G168" i="4"/>
  <c r="H168" i="4"/>
  <c r="I168" i="4"/>
  <c r="J168" i="4"/>
  <c r="B169" i="4"/>
  <c r="C169" i="4"/>
  <c r="D169" i="4"/>
  <c r="E169" i="4"/>
  <c r="F169" i="4"/>
  <c r="G169" i="4"/>
  <c r="H169" i="4"/>
  <c r="I169" i="4"/>
  <c r="J169" i="4"/>
  <c r="B170" i="4"/>
  <c r="C170" i="4"/>
  <c r="D170" i="4"/>
  <c r="E170" i="4"/>
  <c r="F170" i="4"/>
  <c r="G170" i="4"/>
  <c r="H170" i="4"/>
  <c r="I170" i="4"/>
  <c r="J170" i="4"/>
  <c r="B171" i="4"/>
  <c r="C171" i="4"/>
  <c r="D171" i="4"/>
  <c r="E171" i="4"/>
  <c r="F171" i="4"/>
  <c r="G171" i="4"/>
  <c r="H171" i="4"/>
  <c r="I171" i="4"/>
  <c r="J171" i="4"/>
  <c r="B172" i="4"/>
  <c r="C172" i="4"/>
  <c r="D172" i="4"/>
  <c r="E172" i="4"/>
  <c r="F172" i="4"/>
  <c r="G172" i="4"/>
  <c r="H172" i="4"/>
  <c r="I172" i="4"/>
  <c r="J172" i="4"/>
  <c r="B173" i="4"/>
  <c r="C173" i="4"/>
  <c r="D173" i="4"/>
  <c r="E173" i="4"/>
  <c r="F173" i="4"/>
  <c r="G173" i="4"/>
  <c r="H173" i="4"/>
  <c r="I173" i="4"/>
  <c r="J173" i="4"/>
  <c r="B174" i="4"/>
  <c r="C174" i="4"/>
  <c r="D174" i="4"/>
  <c r="E174" i="4"/>
  <c r="F174" i="4"/>
  <c r="G174" i="4"/>
  <c r="H174" i="4"/>
  <c r="I174" i="4"/>
  <c r="J174" i="4"/>
  <c r="B175" i="4"/>
  <c r="C175" i="4"/>
  <c r="D175" i="4"/>
  <c r="E175" i="4"/>
  <c r="F175" i="4"/>
  <c r="G175" i="4"/>
  <c r="H175" i="4"/>
  <c r="I175" i="4"/>
  <c r="J175" i="4"/>
  <c r="B176" i="4"/>
  <c r="C176" i="4"/>
  <c r="D176" i="4"/>
  <c r="E176" i="4"/>
  <c r="F176" i="4"/>
  <c r="G176" i="4"/>
  <c r="H176" i="4"/>
  <c r="I176" i="4"/>
  <c r="J176" i="4"/>
  <c r="B177" i="4"/>
  <c r="C177" i="4"/>
  <c r="D177" i="4"/>
  <c r="E177" i="4"/>
  <c r="F177" i="4"/>
  <c r="G177" i="4"/>
  <c r="H177" i="4"/>
  <c r="I177" i="4"/>
  <c r="J177" i="4"/>
  <c r="B178" i="4"/>
  <c r="C178" i="4"/>
  <c r="D178" i="4"/>
  <c r="E178" i="4"/>
  <c r="F178" i="4"/>
  <c r="G178" i="4"/>
  <c r="H178" i="4"/>
  <c r="I178" i="4"/>
  <c r="J178" i="4"/>
  <c r="B179" i="4"/>
  <c r="C179" i="4"/>
  <c r="D179" i="4"/>
  <c r="E179" i="4"/>
  <c r="F179" i="4"/>
  <c r="G179" i="4"/>
  <c r="H179" i="4"/>
  <c r="I179" i="4"/>
  <c r="J179" i="4"/>
  <c r="B180" i="4"/>
  <c r="C180" i="4"/>
  <c r="D180" i="4"/>
  <c r="E180" i="4"/>
  <c r="F180" i="4"/>
  <c r="G180" i="4"/>
  <c r="H180" i="4"/>
  <c r="I180" i="4"/>
  <c r="J180" i="4"/>
  <c r="B181" i="4"/>
  <c r="C181" i="4"/>
  <c r="D181" i="4"/>
  <c r="E181" i="4"/>
  <c r="F181" i="4"/>
  <c r="G181" i="4"/>
  <c r="H181" i="4"/>
  <c r="I181" i="4"/>
  <c r="J181" i="4"/>
  <c r="B182" i="4"/>
  <c r="C182" i="4"/>
  <c r="D182" i="4"/>
  <c r="E182" i="4"/>
  <c r="F182" i="4"/>
  <c r="G182" i="4"/>
  <c r="H182" i="4"/>
  <c r="I182" i="4"/>
  <c r="J182" i="4"/>
  <c r="B183" i="4"/>
  <c r="C183" i="4"/>
  <c r="D183" i="4"/>
  <c r="E183" i="4"/>
  <c r="F183" i="4"/>
  <c r="G183" i="4"/>
  <c r="H183" i="4"/>
  <c r="I183" i="4"/>
  <c r="J183" i="4"/>
  <c r="B184" i="4"/>
  <c r="C184" i="4"/>
  <c r="D184" i="4"/>
  <c r="E184" i="4"/>
  <c r="F184" i="4"/>
  <c r="G184" i="4"/>
  <c r="H184" i="4"/>
  <c r="I184" i="4"/>
  <c r="J184" i="4"/>
  <c r="B185" i="4"/>
  <c r="C185" i="4"/>
  <c r="D185" i="4"/>
  <c r="E185" i="4"/>
  <c r="F185" i="4"/>
  <c r="G185" i="4"/>
  <c r="H185" i="4"/>
  <c r="I185" i="4"/>
  <c r="J185" i="4"/>
  <c r="B186" i="4"/>
  <c r="C186" i="4"/>
  <c r="D186" i="4"/>
  <c r="E186" i="4"/>
  <c r="F186" i="4"/>
  <c r="G186" i="4"/>
  <c r="H186" i="4"/>
  <c r="I186" i="4"/>
  <c r="J186" i="4"/>
  <c r="B187" i="4"/>
  <c r="C187" i="4"/>
  <c r="D187" i="4"/>
  <c r="E187" i="4"/>
  <c r="F187" i="4"/>
  <c r="G187" i="4"/>
  <c r="H187" i="4"/>
  <c r="I187" i="4"/>
  <c r="J187" i="4"/>
  <c r="B188" i="4"/>
  <c r="C188" i="4"/>
  <c r="D188" i="4"/>
  <c r="E188" i="4"/>
  <c r="F188" i="4"/>
  <c r="G188" i="4"/>
  <c r="H188" i="4"/>
  <c r="I188" i="4"/>
  <c r="J188" i="4"/>
  <c r="B189" i="4"/>
  <c r="C189" i="4"/>
  <c r="D189" i="4"/>
  <c r="E189" i="4"/>
  <c r="F189" i="4"/>
  <c r="G189" i="4"/>
  <c r="H189" i="4"/>
  <c r="I189" i="4"/>
  <c r="J189" i="4"/>
  <c r="B190" i="4"/>
  <c r="C190" i="4"/>
  <c r="D190" i="4"/>
  <c r="E190" i="4"/>
  <c r="F190" i="4"/>
  <c r="G190" i="4"/>
  <c r="H190" i="4"/>
  <c r="I190" i="4"/>
  <c r="J190" i="4"/>
  <c r="B191" i="4"/>
  <c r="C191" i="4"/>
  <c r="D191" i="4"/>
  <c r="E191" i="4"/>
  <c r="F191" i="4"/>
  <c r="G191" i="4"/>
  <c r="H191" i="4"/>
  <c r="I191" i="4"/>
  <c r="J191" i="4"/>
  <c r="B192" i="4"/>
  <c r="C192" i="4"/>
  <c r="D192" i="4"/>
  <c r="E192" i="4"/>
  <c r="F192" i="4"/>
  <c r="G192" i="4"/>
  <c r="H192" i="4"/>
  <c r="I192" i="4"/>
  <c r="J192" i="4"/>
  <c r="B193" i="4"/>
  <c r="C193" i="4"/>
  <c r="D193" i="4"/>
  <c r="E193" i="4"/>
  <c r="F193" i="4"/>
  <c r="G193" i="4"/>
  <c r="H193" i="4"/>
  <c r="I193" i="4"/>
  <c r="J193" i="4"/>
  <c r="B194" i="4"/>
  <c r="C194" i="4"/>
  <c r="D194" i="4"/>
  <c r="E194" i="4"/>
  <c r="F194" i="4"/>
  <c r="G194" i="4"/>
  <c r="H194" i="4"/>
  <c r="I194" i="4"/>
  <c r="J194" i="4"/>
  <c r="B195" i="4"/>
  <c r="C195" i="4"/>
  <c r="D195" i="4"/>
  <c r="E195" i="4"/>
  <c r="F195" i="4"/>
  <c r="G195" i="4"/>
  <c r="H195" i="4"/>
  <c r="I195" i="4"/>
  <c r="J195" i="4"/>
  <c r="B196" i="4"/>
  <c r="C196" i="4"/>
  <c r="D196" i="4"/>
  <c r="E196" i="4"/>
  <c r="F196" i="4"/>
  <c r="G196" i="4"/>
  <c r="H196" i="4"/>
  <c r="I196" i="4"/>
  <c r="J196" i="4"/>
  <c r="B197" i="4"/>
  <c r="C197" i="4"/>
  <c r="D197" i="4"/>
  <c r="E197" i="4"/>
  <c r="F197" i="4"/>
  <c r="G197" i="4"/>
  <c r="H197" i="4"/>
  <c r="I197" i="4"/>
  <c r="J197" i="4"/>
  <c r="B198" i="4"/>
  <c r="C198" i="4"/>
  <c r="D198" i="4"/>
  <c r="E198" i="4"/>
  <c r="F198" i="4"/>
  <c r="G198" i="4"/>
  <c r="H198" i="4"/>
  <c r="I198" i="4"/>
  <c r="J198" i="4"/>
  <c r="B199" i="4"/>
  <c r="C199" i="4"/>
  <c r="D199" i="4"/>
  <c r="E199" i="4"/>
  <c r="F199" i="4"/>
  <c r="G199" i="4"/>
  <c r="H199" i="4"/>
  <c r="I199" i="4"/>
  <c r="J199" i="4"/>
  <c r="B200" i="4"/>
  <c r="C200" i="4"/>
  <c r="D200" i="4"/>
  <c r="E200" i="4"/>
  <c r="F200" i="4"/>
  <c r="G200" i="4"/>
  <c r="H200" i="4"/>
  <c r="I200" i="4"/>
  <c r="J200" i="4"/>
  <c r="B201" i="4"/>
  <c r="C201" i="4"/>
  <c r="D201" i="4"/>
  <c r="E201" i="4"/>
  <c r="F201" i="4"/>
  <c r="G201" i="4"/>
  <c r="H201" i="4"/>
  <c r="I201" i="4"/>
  <c r="J201" i="4"/>
  <c r="B202" i="4"/>
  <c r="C202" i="4"/>
  <c r="D202" i="4"/>
  <c r="E202" i="4"/>
  <c r="F202" i="4"/>
  <c r="G202" i="4"/>
  <c r="H202" i="4"/>
  <c r="I202" i="4"/>
  <c r="J202" i="4"/>
  <c r="B203" i="4"/>
  <c r="C203" i="4"/>
  <c r="D203" i="4"/>
  <c r="E203" i="4"/>
  <c r="F203" i="4"/>
  <c r="G203" i="4"/>
  <c r="H203" i="4"/>
  <c r="I203" i="4"/>
  <c r="J203" i="4"/>
  <c r="B204" i="4"/>
  <c r="C204" i="4"/>
  <c r="D204" i="4"/>
  <c r="E204" i="4"/>
  <c r="F204" i="4"/>
  <c r="G204" i="4"/>
  <c r="H204" i="4"/>
  <c r="I204" i="4"/>
  <c r="J204" i="4"/>
  <c r="B205" i="4"/>
  <c r="C205" i="4"/>
  <c r="D205" i="4"/>
  <c r="E205" i="4"/>
  <c r="F205" i="4"/>
  <c r="G205" i="4"/>
  <c r="H205" i="4"/>
  <c r="I205" i="4"/>
  <c r="J205" i="4"/>
  <c r="B206" i="4"/>
  <c r="C206" i="4"/>
  <c r="D206" i="4"/>
  <c r="E206" i="4"/>
  <c r="F206" i="4"/>
  <c r="G206" i="4"/>
  <c r="H206" i="4"/>
  <c r="I206" i="4"/>
  <c r="J206" i="4"/>
  <c r="B207" i="4"/>
  <c r="C207" i="4"/>
  <c r="D207" i="4"/>
  <c r="E207" i="4"/>
  <c r="F207" i="4"/>
  <c r="G207" i="4"/>
  <c r="H207" i="4"/>
  <c r="I207" i="4"/>
  <c r="J207" i="4"/>
  <c r="B208" i="4"/>
  <c r="C208" i="4"/>
  <c r="D208" i="4"/>
  <c r="E208" i="4"/>
  <c r="F208" i="4"/>
  <c r="G208" i="4"/>
  <c r="H208" i="4"/>
  <c r="I208" i="4"/>
  <c r="J208" i="4"/>
  <c r="B209" i="4"/>
  <c r="C209" i="4"/>
  <c r="D209" i="4"/>
  <c r="E209" i="4"/>
  <c r="F209" i="4"/>
  <c r="G209" i="4"/>
  <c r="H209" i="4"/>
  <c r="I209" i="4"/>
  <c r="J209" i="4"/>
  <c r="B210" i="4"/>
  <c r="C210" i="4"/>
  <c r="D210" i="4"/>
  <c r="E210" i="4"/>
  <c r="F210" i="4"/>
  <c r="G210" i="4"/>
  <c r="H210" i="4"/>
  <c r="I210" i="4"/>
  <c r="J210" i="4"/>
  <c r="B211" i="4"/>
  <c r="C211" i="4"/>
  <c r="D211" i="4"/>
  <c r="E211" i="4"/>
  <c r="F211" i="4"/>
  <c r="G211" i="4"/>
  <c r="H211" i="4"/>
  <c r="I211" i="4"/>
  <c r="J211" i="4"/>
  <c r="B212" i="4"/>
  <c r="C212" i="4"/>
  <c r="D212" i="4"/>
  <c r="E212" i="4"/>
  <c r="F212" i="4"/>
  <c r="G212" i="4"/>
  <c r="H212" i="4"/>
  <c r="I212" i="4"/>
  <c r="J212" i="4"/>
  <c r="B213" i="4"/>
  <c r="C213" i="4"/>
  <c r="D213" i="4"/>
  <c r="E213" i="4"/>
  <c r="F213" i="4"/>
  <c r="G213" i="4"/>
  <c r="H213" i="4"/>
  <c r="I213" i="4"/>
  <c r="J213" i="4"/>
  <c r="B214" i="4"/>
  <c r="C214" i="4"/>
  <c r="D214" i="4"/>
  <c r="E214" i="4"/>
  <c r="F214" i="4"/>
  <c r="G214" i="4"/>
  <c r="H214" i="4"/>
  <c r="I214" i="4"/>
  <c r="J214" i="4"/>
  <c r="B215" i="4"/>
  <c r="C215" i="4"/>
  <c r="D215" i="4"/>
  <c r="E215" i="4"/>
  <c r="F215" i="4"/>
  <c r="G215" i="4"/>
  <c r="H215" i="4"/>
  <c r="I215" i="4"/>
  <c r="J215" i="4"/>
  <c r="B216" i="4"/>
  <c r="C216" i="4"/>
  <c r="D216" i="4"/>
  <c r="E216" i="4"/>
  <c r="F216" i="4"/>
  <c r="G216" i="4"/>
  <c r="H216" i="4"/>
  <c r="I216" i="4"/>
  <c r="J216" i="4"/>
  <c r="B217" i="4"/>
  <c r="C217" i="4"/>
  <c r="D217" i="4"/>
  <c r="E217" i="4"/>
  <c r="F217" i="4"/>
  <c r="G217" i="4"/>
  <c r="H217" i="4"/>
  <c r="I217" i="4"/>
  <c r="J217" i="4"/>
  <c r="B218" i="4"/>
  <c r="C218" i="4"/>
  <c r="D218" i="4"/>
  <c r="E218" i="4"/>
  <c r="F218" i="4"/>
  <c r="G218" i="4"/>
  <c r="H218" i="4"/>
  <c r="I218" i="4"/>
  <c r="J218" i="4"/>
  <c r="B219" i="4"/>
  <c r="C219" i="4"/>
  <c r="D219" i="4"/>
  <c r="E219" i="4"/>
  <c r="F219" i="4"/>
  <c r="G219" i="4"/>
  <c r="H219" i="4"/>
  <c r="I219" i="4"/>
  <c r="J219" i="4"/>
  <c r="B220" i="4"/>
  <c r="C220" i="4"/>
  <c r="D220" i="4"/>
  <c r="E220" i="4"/>
  <c r="F220" i="4"/>
  <c r="G220" i="4"/>
  <c r="H220" i="4"/>
  <c r="I220" i="4"/>
  <c r="J220" i="4"/>
  <c r="B221" i="4"/>
  <c r="C221" i="4"/>
  <c r="D221" i="4"/>
  <c r="E221" i="4"/>
  <c r="F221" i="4"/>
  <c r="G221" i="4"/>
  <c r="H221" i="4"/>
  <c r="I221" i="4"/>
  <c r="J221" i="4"/>
  <c r="B222" i="4"/>
  <c r="C222" i="4"/>
  <c r="D222" i="4"/>
  <c r="E222" i="4"/>
  <c r="F222" i="4"/>
  <c r="G222" i="4"/>
  <c r="H222" i="4"/>
  <c r="I222" i="4"/>
  <c r="J222" i="4"/>
  <c r="B223" i="4"/>
  <c r="C223" i="4"/>
  <c r="D223" i="4"/>
  <c r="E223" i="4"/>
  <c r="F223" i="4"/>
  <c r="G223" i="4"/>
  <c r="H223" i="4"/>
  <c r="I223" i="4"/>
  <c r="J223" i="4"/>
  <c r="B224" i="4"/>
  <c r="C224" i="4"/>
  <c r="D224" i="4"/>
  <c r="E224" i="4"/>
  <c r="F224" i="4"/>
  <c r="G224" i="4"/>
  <c r="H224" i="4"/>
  <c r="I224" i="4"/>
  <c r="J224" i="4"/>
  <c r="B225" i="4"/>
  <c r="C225" i="4"/>
  <c r="D225" i="4"/>
  <c r="E225" i="4"/>
  <c r="F225" i="4"/>
  <c r="G225" i="4"/>
  <c r="H225" i="4"/>
  <c r="I225" i="4"/>
  <c r="J225" i="4"/>
  <c r="B226" i="4"/>
  <c r="C226" i="4"/>
  <c r="D226" i="4"/>
  <c r="E226" i="4"/>
  <c r="F226" i="4"/>
  <c r="G226" i="4"/>
  <c r="H226" i="4"/>
  <c r="I226" i="4"/>
  <c r="J226" i="4"/>
  <c r="B227" i="4"/>
  <c r="C227" i="4"/>
  <c r="D227" i="4"/>
  <c r="E227" i="4"/>
  <c r="F227" i="4"/>
  <c r="G227" i="4"/>
  <c r="H227" i="4"/>
  <c r="I227" i="4"/>
  <c r="J227" i="4"/>
  <c r="B228" i="4"/>
  <c r="C228" i="4"/>
  <c r="D228" i="4"/>
  <c r="E228" i="4"/>
  <c r="F228" i="4"/>
  <c r="G228" i="4"/>
  <c r="H228" i="4"/>
  <c r="I228" i="4"/>
  <c r="J228" i="4"/>
  <c r="B229" i="4"/>
  <c r="C229" i="4"/>
  <c r="D229" i="4"/>
  <c r="E229" i="4"/>
  <c r="F229" i="4"/>
  <c r="G229" i="4"/>
  <c r="H229" i="4"/>
  <c r="I229" i="4"/>
  <c r="J229" i="4"/>
  <c r="B230" i="4"/>
  <c r="C230" i="4"/>
  <c r="D230" i="4"/>
  <c r="E230" i="4"/>
  <c r="F230" i="4"/>
  <c r="G230" i="4"/>
  <c r="H230" i="4"/>
  <c r="I230" i="4"/>
  <c r="J230" i="4"/>
  <c r="B231" i="4"/>
  <c r="C231" i="4"/>
  <c r="D231" i="4"/>
  <c r="E231" i="4"/>
  <c r="F231" i="4"/>
  <c r="G231" i="4"/>
  <c r="H231" i="4"/>
  <c r="I231" i="4"/>
  <c r="J231" i="4"/>
  <c r="B232" i="4"/>
  <c r="C232" i="4"/>
  <c r="D232" i="4"/>
  <c r="E232" i="4"/>
  <c r="F232" i="4"/>
  <c r="G232" i="4"/>
  <c r="H232" i="4"/>
  <c r="I232" i="4"/>
  <c r="J232" i="4"/>
  <c r="B233" i="4"/>
  <c r="C233" i="4"/>
  <c r="D233" i="4"/>
  <c r="E233" i="4"/>
  <c r="F233" i="4"/>
  <c r="G233" i="4"/>
  <c r="H233" i="4"/>
  <c r="I233" i="4"/>
  <c r="J233" i="4"/>
  <c r="B234" i="4"/>
  <c r="C234" i="4"/>
  <c r="D234" i="4"/>
  <c r="E234" i="4"/>
  <c r="F234" i="4"/>
  <c r="G234" i="4"/>
  <c r="H234" i="4"/>
  <c r="I234" i="4"/>
  <c r="J234" i="4"/>
  <c r="B235" i="4"/>
  <c r="C235" i="4"/>
  <c r="D235" i="4"/>
  <c r="E235" i="4"/>
  <c r="F235" i="4"/>
  <c r="G235" i="4"/>
  <c r="H235" i="4"/>
  <c r="I235" i="4"/>
  <c r="J235" i="4"/>
  <c r="B236" i="4"/>
  <c r="C236" i="4"/>
  <c r="D236" i="4"/>
  <c r="E236" i="4"/>
  <c r="F236" i="4"/>
  <c r="G236" i="4"/>
  <c r="H236" i="4"/>
  <c r="I236" i="4"/>
  <c r="J236" i="4"/>
  <c r="B237" i="4"/>
  <c r="C237" i="4"/>
  <c r="D237" i="4"/>
  <c r="E237" i="4"/>
  <c r="F237" i="4"/>
  <c r="G237" i="4"/>
  <c r="H237" i="4"/>
  <c r="I237" i="4"/>
  <c r="J237" i="4"/>
  <c r="B238" i="4"/>
  <c r="C238" i="4"/>
  <c r="D238" i="4"/>
  <c r="E238" i="4"/>
  <c r="F238" i="4"/>
  <c r="G238" i="4"/>
  <c r="H238" i="4"/>
  <c r="I238" i="4"/>
  <c r="J238" i="4"/>
  <c r="B239" i="4"/>
  <c r="C239" i="4"/>
  <c r="D239" i="4"/>
  <c r="E239" i="4"/>
  <c r="F239" i="4"/>
  <c r="G239" i="4"/>
  <c r="H239" i="4"/>
  <c r="I239" i="4"/>
  <c r="J239" i="4"/>
  <c r="B240" i="4"/>
  <c r="C240" i="4"/>
  <c r="D240" i="4"/>
  <c r="E240" i="4"/>
  <c r="F240" i="4"/>
  <c r="G240" i="4"/>
  <c r="H240" i="4"/>
  <c r="I240" i="4"/>
  <c r="J240" i="4"/>
  <c r="B241" i="4"/>
  <c r="C241" i="4"/>
  <c r="D241" i="4"/>
  <c r="E241" i="4"/>
  <c r="F241" i="4"/>
  <c r="G241" i="4"/>
  <c r="H241" i="4"/>
  <c r="I241" i="4"/>
  <c r="J241" i="4"/>
  <c r="B242" i="4"/>
  <c r="C242" i="4"/>
  <c r="D242" i="4"/>
  <c r="E242" i="4"/>
  <c r="F242" i="4"/>
  <c r="G242" i="4"/>
  <c r="H242" i="4"/>
  <c r="I242" i="4"/>
  <c r="J242" i="4"/>
  <c r="B243" i="4"/>
  <c r="C243" i="4"/>
  <c r="D243" i="4"/>
  <c r="E243" i="4"/>
  <c r="F243" i="4"/>
  <c r="G243" i="4"/>
  <c r="H243" i="4"/>
  <c r="I243" i="4"/>
  <c r="J243" i="4"/>
  <c r="B244" i="4"/>
  <c r="C244" i="4"/>
  <c r="D244" i="4"/>
  <c r="E244" i="4"/>
  <c r="F244" i="4"/>
  <c r="G244" i="4"/>
  <c r="H244" i="4"/>
  <c r="I244" i="4"/>
  <c r="J244" i="4"/>
  <c r="B245" i="4"/>
  <c r="C245" i="4"/>
  <c r="D245" i="4"/>
  <c r="E245" i="4"/>
  <c r="F245" i="4"/>
  <c r="G245" i="4"/>
  <c r="H245" i="4"/>
  <c r="I245" i="4"/>
  <c r="J245" i="4"/>
  <c r="B246" i="4"/>
  <c r="C246" i="4"/>
  <c r="D246" i="4"/>
  <c r="E246" i="4"/>
  <c r="F246" i="4"/>
  <c r="G246" i="4"/>
  <c r="H246" i="4"/>
  <c r="I246" i="4"/>
  <c r="J246" i="4"/>
  <c r="B247" i="4"/>
  <c r="C247" i="4"/>
  <c r="D247" i="4"/>
  <c r="E247" i="4"/>
  <c r="F247" i="4"/>
  <c r="G247" i="4"/>
  <c r="H247" i="4"/>
  <c r="I247" i="4"/>
  <c r="J247" i="4"/>
  <c r="B248" i="4"/>
  <c r="C248" i="4"/>
  <c r="D248" i="4"/>
  <c r="E248" i="4"/>
  <c r="F248" i="4"/>
  <c r="G248" i="4"/>
  <c r="H248" i="4"/>
  <c r="I248" i="4"/>
  <c r="J248" i="4"/>
  <c r="B249" i="4"/>
  <c r="C249" i="4"/>
  <c r="D249" i="4"/>
  <c r="E249" i="4"/>
  <c r="F249" i="4"/>
  <c r="G249" i="4"/>
  <c r="H249" i="4"/>
  <c r="I249" i="4"/>
  <c r="J249" i="4"/>
  <c r="B250" i="4"/>
  <c r="C250" i="4"/>
  <c r="D250" i="4"/>
  <c r="E250" i="4"/>
  <c r="F250" i="4"/>
  <c r="G250" i="4"/>
  <c r="H250" i="4"/>
  <c r="I250" i="4"/>
  <c r="J250" i="4"/>
  <c r="B251" i="4"/>
  <c r="C251" i="4"/>
  <c r="D251" i="4"/>
  <c r="E251" i="4"/>
  <c r="F251" i="4"/>
  <c r="G251" i="4"/>
  <c r="H251" i="4"/>
  <c r="I251" i="4"/>
  <c r="J251" i="4"/>
  <c r="B252" i="4"/>
  <c r="C252" i="4"/>
  <c r="D252" i="4"/>
  <c r="E252" i="4"/>
  <c r="F252" i="4"/>
  <c r="G252" i="4"/>
  <c r="H252" i="4"/>
  <c r="I252" i="4"/>
  <c r="J252" i="4"/>
  <c r="B253" i="4"/>
  <c r="C253" i="4"/>
  <c r="D253" i="4"/>
  <c r="E253" i="4"/>
  <c r="F253" i="4"/>
  <c r="G253" i="4"/>
  <c r="H253" i="4"/>
  <c r="I253" i="4"/>
  <c r="J253" i="4"/>
  <c r="B254" i="4"/>
  <c r="C254" i="4"/>
  <c r="D254" i="4"/>
  <c r="E254" i="4"/>
  <c r="F254" i="4"/>
  <c r="G254" i="4"/>
  <c r="H254" i="4"/>
  <c r="I254" i="4"/>
  <c r="J254" i="4"/>
  <c r="B255" i="4"/>
  <c r="C255" i="4"/>
  <c r="D255" i="4"/>
  <c r="E255" i="4"/>
  <c r="F255" i="4"/>
  <c r="G255" i="4"/>
  <c r="H255" i="4"/>
  <c r="I255" i="4"/>
  <c r="J255" i="4"/>
  <c r="B256" i="4"/>
  <c r="C256" i="4"/>
  <c r="D256" i="4"/>
  <c r="E256" i="4"/>
  <c r="F256" i="4"/>
  <c r="G256" i="4"/>
  <c r="H256" i="4"/>
  <c r="I256" i="4"/>
  <c r="J256" i="4"/>
  <c r="B257" i="4"/>
  <c r="C257" i="4"/>
  <c r="D257" i="4"/>
  <c r="E257" i="4"/>
  <c r="F257" i="4"/>
  <c r="G257" i="4"/>
  <c r="H257" i="4"/>
  <c r="I257" i="4"/>
  <c r="J257" i="4"/>
  <c r="B258" i="4"/>
  <c r="C258" i="4"/>
  <c r="D258" i="4"/>
  <c r="E258" i="4"/>
  <c r="F258" i="4"/>
  <c r="G258" i="4"/>
  <c r="H258" i="4"/>
  <c r="I258" i="4"/>
  <c r="J258" i="4"/>
  <c r="B259" i="4"/>
  <c r="C259" i="4"/>
  <c r="D259" i="4"/>
  <c r="E259" i="4"/>
  <c r="F259" i="4"/>
  <c r="G259" i="4"/>
  <c r="H259" i="4"/>
  <c r="I259" i="4"/>
  <c r="J259" i="4"/>
  <c r="B260" i="4"/>
  <c r="C260" i="4"/>
  <c r="D260" i="4"/>
  <c r="E260" i="4"/>
  <c r="F260" i="4"/>
  <c r="G260" i="4"/>
  <c r="H260" i="4"/>
  <c r="I260" i="4"/>
  <c r="J260" i="4"/>
  <c r="B261" i="4"/>
  <c r="C261" i="4"/>
  <c r="D261" i="4"/>
  <c r="E261" i="4"/>
  <c r="F261" i="4"/>
  <c r="G261" i="4"/>
  <c r="H261" i="4"/>
  <c r="I261" i="4"/>
  <c r="J261" i="4"/>
  <c r="B262" i="4"/>
  <c r="C262" i="4"/>
  <c r="D262" i="4"/>
  <c r="E262" i="4"/>
  <c r="F262" i="4"/>
  <c r="G262" i="4"/>
  <c r="H262" i="4"/>
  <c r="I262" i="4"/>
  <c r="J262" i="4"/>
  <c r="B263" i="4"/>
  <c r="C263" i="4"/>
  <c r="D263" i="4"/>
  <c r="E263" i="4"/>
  <c r="F263" i="4"/>
  <c r="G263" i="4"/>
  <c r="H263" i="4"/>
  <c r="I263" i="4"/>
  <c r="J263" i="4"/>
  <c r="B264" i="4"/>
  <c r="C264" i="4"/>
  <c r="D264" i="4"/>
  <c r="E264" i="4"/>
  <c r="F264" i="4"/>
  <c r="G264" i="4"/>
  <c r="H264" i="4"/>
  <c r="I264" i="4"/>
  <c r="J264" i="4"/>
  <c r="B265" i="4"/>
  <c r="C265" i="4"/>
  <c r="D265" i="4"/>
  <c r="E265" i="4"/>
  <c r="F265" i="4"/>
  <c r="G265" i="4"/>
  <c r="H265" i="4"/>
  <c r="I265" i="4"/>
  <c r="J265" i="4"/>
  <c r="B266" i="4"/>
  <c r="C266" i="4"/>
  <c r="D266" i="4"/>
  <c r="E266" i="4"/>
  <c r="F266" i="4"/>
  <c r="G266" i="4"/>
  <c r="H266" i="4"/>
  <c r="I266" i="4"/>
  <c r="J266" i="4"/>
  <c r="B267" i="4"/>
  <c r="C267" i="4"/>
  <c r="D267" i="4"/>
  <c r="E267" i="4"/>
  <c r="F267" i="4"/>
  <c r="G267" i="4"/>
  <c r="H267" i="4"/>
  <c r="I267" i="4"/>
  <c r="J267" i="4"/>
  <c r="B268" i="4"/>
  <c r="C268" i="4"/>
  <c r="D268" i="4"/>
  <c r="E268" i="4"/>
  <c r="F268" i="4"/>
  <c r="G268" i="4"/>
  <c r="H268" i="4"/>
  <c r="I268" i="4"/>
  <c r="J268" i="4"/>
  <c r="B269" i="4"/>
  <c r="C269" i="4"/>
  <c r="D269" i="4"/>
  <c r="E269" i="4"/>
  <c r="F269" i="4"/>
  <c r="G269" i="4"/>
  <c r="H269" i="4"/>
  <c r="I269" i="4"/>
  <c r="J269" i="4"/>
  <c r="B270" i="4"/>
  <c r="C270" i="4"/>
  <c r="D270" i="4"/>
  <c r="E270" i="4"/>
  <c r="F270" i="4"/>
  <c r="G270" i="4"/>
  <c r="H270" i="4"/>
  <c r="I270" i="4"/>
  <c r="J270" i="4"/>
  <c r="B271" i="4"/>
  <c r="C271" i="4"/>
  <c r="D271" i="4"/>
  <c r="E271" i="4"/>
  <c r="F271" i="4"/>
  <c r="G271" i="4"/>
  <c r="H271" i="4"/>
  <c r="I271" i="4"/>
  <c r="J271" i="4"/>
  <c r="B272" i="4"/>
  <c r="C272" i="4"/>
  <c r="D272" i="4"/>
  <c r="E272" i="4"/>
  <c r="F272" i="4"/>
  <c r="G272" i="4"/>
  <c r="H272" i="4"/>
  <c r="I272" i="4"/>
  <c r="J272" i="4"/>
  <c r="B273" i="4"/>
  <c r="C273" i="4"/>
  <c r="D273" i="4"/>
  <c r="E273" i="4"/>
  <c r="F273" i="4"/>
  <c r="G273" i="4"/>
  <c r="H273" i="4"/>
  <c r="I273" i="4"/>
  <c r="J273" i="4"/>
  <c r="B274" i="4"/>
  <c r="C274" i="4"/>
  <c r="D274" i="4"/>
  <c r="E274" i="4"/>
  <c r="F274" i="4"/>
  <c r="G274" i="4"/>
  <c r="H274" i="4"/>
  <c r="I274" i="4"/>
  <c r="J274" i="4"/>
  <c r="B275" i="4"/>
  <c r="C275" i="4"/>
  <c r="D275" i="4"/>
  <c r="E275" i="4"/>
  <c r="F275" i="4"/>
  <c r="G275" i="4"/>
  <c r="H275" i="4"/>
  <c r="I275" i="4"/>
  <c r="J275" i="4"/>
  <c r="B276" i="4"/>
  <c r="C276" i="4"/>
  <c r="D276" i="4"/>
  <c r="E276" i="4"/>
  <c r="F276" i="4"/>
  <c r="G276" i="4"/>
  <c r="H276" i="4"/>
  <c r="I276" i="4"/>
  <c r="J276" i="4"/>
  <c r="B277" i="4"/>
  <c r="C277" i="4"/>
  <c r="D277" i="4"/>
  <c r="E277" i="4"/>
  <c r="F277" i="4"/>
  <c r="G277" i="4"/>
  <c r="H277" i="4"/>
  <c r="I277" i="4"/>
  <c r="J277" i="4"/>
  <c r="B278" i="4"/>
  <c r="C278" i="4"/>
  <c r="D278" i="4"/>
  <c r="E278" i="4"/>
  <c r="F278" i="4"/>
  <c r="G278" i="4"/>
  <c r="H278" i="4"/>
  <c r="I278" i="4"/>
  <c r="J278" i="4"/>
  <c r="B279" i="4"/>
  <c r="C279" i="4"/>
  <c r="D279" i="4"/>
  <c r="E279" i="4"/>
  <c r="F279" i="4"/>
  <c r="G279" i="4"/>
  <c r="H279" i="4"/>
  <c r="I279" i="4"/>
  <c r="J279" i="4"/>
  <c r="B280" i="4"/>
  <c r="C280" i="4"/>
  <c r="D280" i="4"/>
  <c r="E280" i="4"/>
  <c r="F280" i="4"/>
  <c r="G280" i="4"/>
  <c r="H280" i="4"/>
  <c r="I280" i="4"/>
  <c r="J280" i="4"/>
  <c r="B281" i="4"/>
  <c r="C281" i="4"/>
  <c r="D281" i="4"/>
  <c r="E281" i="4"/>
  <c r="F281" i="4"/>
  <c r="G281" i="4"/>
  <c r="H281" i="4"/>
  <c r="I281" i="4"/>
  <c r="J281" i="4"/>
  <c r="B282" i="4"/>
  <c r="C282" i="4"/>
  <c r="D282" i="4"/>
  <c r="E282" i="4"/>
  <c r="F282" i="4"/>
  <c r="G282" i="4"/>
  <c r="H282" i="4"/>
  <c r="I282" i="4"/>
  <c r="J282" i="4"/>
  <c r="B283" i="4"/>
  <c r="C283" i="4"/>
  <c r="D283" i="4"/>
  <c r="E283" i="4"/>
  <c r="F283" i="4"/>
  <c r="G283" i="4"/>
  <c r="H283" i="4"/>
  <c r="I283" i="4"/>
  <c r="J283" i="4"/>
  <c r="B284" i="4"/>
  <c r="C284" i="4"/>
  <c r="D284" i="4"/>
  <c r="E284" i="4"/>
  <c r="F284" i="4"/>
  <c r="G284" i="4"/>
  <c r="H284" i="4"/>
  <c r="I284" i="4"/>
  <c r="J284" i="4"/>
  <c r="B285" i="4"/>
  <c r="C285" i="4"/>
  <c r="D285" i="4"/>
  <c r="E285" i="4"/>
  <c r="F285" i="4"/>
  <c r="G285" i="4"/>
  <c r="H285" i="4"/>
  <c r="I285" i="4"/>
  <c r="J285" i="4"/>
  <c r="B286" i="4"/>
  <c r="C286" i="4"/>
  <c r="D286" i="4"/>
  <c r="E286" i="4"/>
  <c r="F286" i="4"/>
  <c r="G286" i="4"/>
  <c r="H286" i="4"/>
  <c r="I286" i="4"/>
  <c r="J286" i="4"/>
  <c r="B287" i="4"/>
  <c r="C287" i="4"/>
  <c r="D287" i="4"/>
  <c r="E287" i="4"/>
  <c r="F287" i="4"/>
  <c r="G287" i="4"/>
  <c r="H287" i="4"/>
  <c r="I287" i="4"/>
  <c r="J287" i="4"/>
  <c r="B288" i="4"/>
  <c r="C288" i="4"/>
  <c r="D288" i="4"/>
  <c r="E288" i="4"/>
  <c r="F288" i="4"/>
  <c r="G288" i="4"/>
  <c r="H288" i="4"/>
  <c r="I288" i="4"/>
  <c r="J288" i="4"/>
  <c r="B289" i="4"/>
  <c r="C289" i="4"/>
  <c r="D289" i="4"/>
  <c r="E289" i="4"/>
  <c r="F289" i="4"/>
  <c r="G289" i="4"/>
  <c r="H289" i="4"/>
  <c r="I289" i="4"/>
  <c r="J289" i="4"/>
  <c r="B290" i="4"/>
  <c r="C290" i="4"/>
  <c r="D290" i="4"/>
  <c r="E290" i="4"/>
  <c r="F290" i="4"/>
  <c r="G290" i="4"/>
  <c r="H290" i="4"/>
  <c r="I290" i="4"/>
  <c r="J290" i="4"/>
  <c r="B291" i="4"/>
  <c r="C291" i="4"/>
  <c r="D291" i="4"/>
  <c r="E291" i="4"/>
  <c r="F291" i="4"/>
  <c r="G291" i="4"/>
  <c r="H291" i="4"/>
  <c r="I291" i="4"/>
  <c r="J291" i="4"/>
  <c r="B292" i="4"/>
  <c r="C292" i="4"/>
  <c r="D292" i="4"/>
  <c r="E292" i="4"/>
  <c r="F292" i="4"/>
  <c r="G292" i="4"/>
  <c r="H292" i="4"/>
  <c r="I292" i="4"/>
  <c r="J292" i="4"/>
  <c r="B293" i="4"/>
  <c r="C293" i="4"/>
  <c r="D293" i="4"/>
  <c r="E293" i="4"/>
  <c r="F293" i="4"/>
  <c r="G293" i="4"/>
  <c r="H293" i="4"/>
  <c r="I293" i="4"/>
  <c r="J293" i="4"/>
  <c r="B294" i="4"/>
  <c r="C294" i="4"/>
  <c r="D294" i="4"/>
  <c r="E294" i="4"/>
  <c r="F294" i="4"/>
  <c r="G294" i="4"/>
  <c r="H294" i="4"/>
  <c r="I294" i="4"/>
  <c r="J294" i="4"/>
  <c r="B295" i="4"/>
  <c r="C295" i="4"/>
  <c r="D295" i="4"/>
  <c r="E295" i="4"/>
  <c r="F295" i="4"/>
  <c r="G295" i="4"/>
  <c r="H295" i="4"/>
  <c r="I295" i="4"/>
  <c r="J295" i="4"/>
  <c r="B296" i="4"/>
  <c r="C296" i="4"/>
  <c r="D296" i="4"/>
  <c r="E296" i="4"/>
  <c r="F296" i="4"/>
  <c r="G296" i="4"/>
  <c r="H296" i="4"/>
  <c r="I296" i="4"/>
  <c r="J296" i="4"/>
  <c r="B297" i="4"/>
  <c r="C297" i="4"/>
  <c r="D297" i="4"/>
  <c r="E297" i="4"/>
  <c r="F297" i="4"/>
  <c r="G297" i="4"/>
  <c r="H297" i="4"/>
  <c r="I297" i="4"/>
  <c r="J297" i="4"/>
  <c r="B298" i="4"/>
  <c r="C298" i="4"/>
  <c r="D298" i="4"/>
  <c r="E298" i="4"/>
  <c r="F298" i="4"/>
  <c r="G298" i="4"/>
  <c r="H298" i="4"/>
  <c r="I298" i="4"/>
  <c r="J298" i="4"/>
  <c r="B299" i="4"/>
  <c r="C299" i="4"/>
  <c r="D299" i="4"/>
  <c r="E299" i="4"/>
  <c r="F299" i="4"/>
  <c r="G299" i="4"/>
  <c r="H299" i="4"/>
  <c r="I299" i="4"/>
  <c r="J299" i="4"/>
  <c r="B300" i="4"/>
  <c r="C300" i="4"/>
  <c r="D300" i="4"/>
  <c r="E300" i="4"/>
  <c r="F300" i="4"/>
  <c r="G300" i="4"/>
  <c r="H300" i="4"/>
  <c r="I300" i="4"/>
  <c r="J300" i="4"/>
  <c r="B301" i="4"/>
  <c r="C301" i="4"/>
  <c r="D301" i="4"/>
  <c r="E301" i="4"/>
  <c r="F301" i="4"/>
  <c r="G301" i="4"/>
  <c r="H301" i="4"/>
  <c r="I301" i="4"/>
  <c r="J301" i="4"/>
  <c r="B302" i="4"/>
  <c r="C302" i="4"/>
  <c r="D302" i="4"/>
  <c r="E302" i="4"/>
  <c r="F302" i="4"/>
  <c r="G302" i="4"/>
  <c r="H302" i="4"/>
  <c r="I302" i="4"/>
  <c r="J302" i="4"/>
  <c r="B303" i="4"/>
  <c r="C303" i="4"/>
  <c r="D303" i="4"/>
  <c r="E303" i="4"/>
  <c r="F303" i="4"/>
  <c r="G303" i="4"/>
  <c r="H303" i="4"/>
  <c r="I303" i="4"/>
  <c r="J303" i="4"/>
  <c r="B304" i="4"/>
  <c r="C304" i="4"/>
  <c r="D304" i="4"/>
  <c r="E304" i="4"/>
  <c r="F304" i="4"/>
  <c r="G304" i="4"/>
  <c r="H304" i="4"/>
  <c r="I304" i="4"/>
  <c r="J304" i="4"/>
  <c r="B305" i="4"/>
  <c r="C305" i="4"/>
  <c r="D305" i="4"/>
  <c r="E305" i="4"/>
  <c r="F305" i="4"/>
  <c r="G305" i="4"/>
  <c r="H305" i="4"/>
  <c r="I305" i="4"/>
  <c r="J305" i="4"/>
  <c r="B306" i="4"/>
  <c r="C306" i="4"/>
  <c r="D306" i="4"/>
  <c r="E306" i="4"/>
  <c r="F306" i="4"/>
  <c r="G306" i="4"/>
  <c r="H306" i="4"/>
  <c r="I306" i="4"/>
  <c r="J306" i="4"/>
  <c r="B307" i="4"/>
  <c r="C307" i="4"/>
  <c r="D307" i="4"/>
  <c r="E307" i="4"/>
  <c r="F307" i="4"/>
  <c r="G307" i="4"/>
  <c r="H307" i="4"/>
  <c r="I307" i="4"/>
  <c r="J307" i="4"/>
  <c r="B308" i="4"/>
  <c r="C308" i="4"/>
  <c r="D308" i="4"/>
  <c r="E308" i="4"/>
  <c r="F308" i="4"/>
  <c r="G308" i="4"/>
  <c r="H308" i="4"/>
  <c r="I308" i="4"/>
  <c r="J308" i="4"/>
  <c r="B309" i="4"/>
  <c r="C309" i="4"/>
  <c r="D309" i="4"/>
  <c r="E309" i="4"/>
  <c r="F309" i="4"/>
  <c r="G309" i="4"/>
  <c r="H309" i="4"/>
  <c r="I309" i="4"/>
  <c r="J309" i="4"/>
  <c r="B310" i="4"/>
  <c r="C310" i="4"/>
  <c r="D310" i="4"/>
  <c r="E310" i="4"/>
  <c r="F310" i="4"/>
  <c r="G310" i="4"/>
  <c r="H310" i="4"/>
  <c r="I310" i="4"/>
  <c r="J310" i="4"/>
  <c r="B311" i="4"/>
  <c r="C311" i="4"/>
  <c r="D311" i="4"/>
  <c r="E311" i="4"/>
  <c r="F311" i="4"/>
  <c r="G311" i="4"/>
  <c r="H311" i="4"/>
  <c r="I311" i="4"/>
  <c r="J311" i="4"/>
  <c r="B312" i="4"/>
  <c r="C312" i="4"/>
  <c r="D312" i="4"/>
  <c r="E312" i="4"/>
  <c r="F312" i="4"/>
  <c r="G312" i="4"/>
  <c r="H312" i="4"/>
  <c r="I312" i="4"/>
  <c r="J312" i="4"/>
  <c r="B313" i="4"/>
  <c r="C313" i="4"/>
  <c r="D313" i="4"/>
  <c r="E313" i="4"/>
  <c r="F313" i="4"/>
  <c r="G313" i="4"/>
  <c r="H313" i="4"/>
  <c r="I313" i="4"/>
  <c r="J313" i="4"/>
  <c r="B314" i="4"/>
  <c r="C314" i="4"/>
  <c r="D314" i="4"/>
  <c r="E314" i="4"/>
  <c r="F314" i="4"/>
  <c r="G314" i="4"/>
  <c r="H314" i="4"/>
  <c r="I314" i="4"/>
  <c r="J314" i="4"/>
  <c r="B315" i="4"/>
  <c r="C315" i="4"/>
  <c r="D315" i="4"/>
  <c r="E315" i="4"/>
  <c r="F315" i="4"/>
  <c r="G315" i="4"/>
  <c r="H315" i="4"/>
  <c r="I315" i="4"/>
  <c r="J315" i="4"/>
  <c r="B316" i="4"/>
  <c r="C316" i="4"/>
  <c r="D316" i="4"/>
  <c r="E316" i="4"/>
  <c r="F316" i="4"/>
  <c r="G316" i="4"/>
  <c r="H316" i="4"/>
  <c r="I316" i="4"/>
  <c r="J316" i="4"/>
  <c r="B317" i="4"/>
  <c r="C317" i="4"/>
  <c r="D317" i="4"/>
  <c r="E317" i="4"/>
  <c r="F317" i="4"/>
  <c r="G317" i="4"/>
  <c r="H317" i="4"/>
  <c r="I317" i="4"/>
  <c r="J317" i="4"/>
  <c r="B318" i="4"/>
  <c r="C318" i="4"/>
  <c r="D318" i="4"/>
  <c r="E318" i="4"/>
  <c r="F318" i="4"/>
  <c r="G318" i="4"/>
  <c r="H318" i="4"/>
  <c r="I318" i="4"/>
  <c r="J318" i="4"/>
  <c r="B319" i="4"/>
  <c r="C319" i="4"/>
  <c r="D319" i="4"/>
  <c r="E319" i="4"/>
  <c r="F319" i="4"/>
  <c r="G319" i="4"/>
  <c r="H319" i="4"/>
  <c r="I319" i="4"/>
  <c r="J319" i="4"/>
  <c r="B320" i="4"/>
  <c r="C320" i="4"/>
  <c r="D320" i="4"/>
  <c r="E320" i="4"/>
  <c r="F320" i="4"/>
  <c r="G320" i="4"/>
  <c r="H320" i="4"/>
  <c r="I320" i="4"/>
  <c r="J320" i="4"/>
  <c r="B321" i="4"/>
  <c r="C321" i="4"/>
  <c r="D321" i="4"/>
  <c r="E321" i="4"/>
  <c r="F321" i="4"/>
  <c r="G321" i="4"/>
  <c r="H321" i="4"/>
  <c r="I321" i="4"/>
  <c r="J321" i="4"/>
  <c r="B322" i="4"/>
  <c r="C322" i="4"/>
  <c r="D322" i="4"/>
  <c r="E322" i="4"/>
  <c r="F322" i="4"/>
  <c r="G322" i="4"/>
  <c r="H322" i="4"/>
  <c r="I322" i="4"/>
  <c r="J322" i="4"/>
  <c r="B323" i="4"/>
  <c r="C323" i="4"/>
  <c r="D323" i="4"/>
  <c r="E323" i="4"/>
  <c r="F323" i="4"/>
  <c r="G323" i="4"/>
  <c r="H323" i="4"/>
  <c r="I323" i="4"/>
  <c r="J323" i="4"/>
  <c r="B324" i="4"/>
  <c r="C324" i="4"/>
  <c r="D324" i="4"/>
  <c r="E324" i="4"/>
  <c r="F324" i="4"/>
  <c r="G324" i="4"/>
  <c r="H324" i="4"/>
  <c r="I324" i="4"/>
  <c r="J324" i="4"/>
  <c r="B325" i="4"/>
  <c r="C325" i="4"/>
  <c r="D325" i="4"/>
  <c r="E325" i="4"/>
  <c r="F325" i="4"/>
  <c r="G325" i="4"/>
  <c r="H325" i="4"/>
  <c r="I325" i="4"/>
  <c r="J325" i="4"/>
  <c r="B326" i="4"/>
  <c r="C326" i="4"/>
  <c r="D326" i="4"/>
  <c r="E326" i="4"/>
  <c r="F326" i="4"/>
  <c r="G326" i="4"/>
  <c r="H326" i="4"/>
  <c r="I326" i="4"/>
  <c r="J326" i="4"/>
  <c r="B327" i="4"/>
  <c r="C327" i="4"/>
  <c r="D327" i="4"/>
  <c r="E327" i="4"/>
  <c r="F327" i="4"/>
  <c r="G327" i="4"/>
  <c r="H327" i="4"/>
  <c r="I327" i="4"/>
  <c r="J327" i="4"/>
  <c r="B328" i="4"/>
  <c r="C328" i="4"/>
  <c r="D328" i="4"/>
  <c r="E328" i="4"/>
  <c r="F328" i="4"/>
  <c r="G328" i="4"/>
  <c r="H328" i="4"/>
  <c r="I328" i="4"/>
  <c r="J328" i="4"/>
  <c r="B329" i="4"/>
  <c r="C329" i="4"/>
  <c r="D329" i="4"/>
  <c r="E329" i="4"/>
  <c r="F329" i="4"/>
  <c r="G329" i="4"/>
  <c r="H329" i="4"/>
  <c r="I329" i="4"/>
  <c r="J329" i="4"/>
  <c r="B330" i="4"/>
  <c r="C330" i="4"/>
  <c r="D330" i="4"/>
  <c r="E330" i="4"/>
  <c r="F330" i="4"/>
  <c r="G330" i="4"/>
  <c r="H330" i="4"/>
  <c r="I330" i="4"/>
  <c r="J330" i="4"/>
  <c r="B331" i="4"/>
  <c r="C331" i="4"/>
  <c r="D331" i="4"/>
  <c r="E331" i="4"/>
  <c r="F331" i="4"/>
  <c r="G331" i="4"/>
  <c r="H331" i="4"/>
  <c r="I331" i="4"/>
  <c r="J331" i="4"/>
  <c r="B332" i="4"/>
  <c r="C332" i="4"/>
  <c r="D332" i="4"/>
  <c r="E332" i="4"/>
  <c r="F332" i="4"/>
  <c r="G332" i="4"/>
  <c r="H332" i="4"/>
  <c r="I332" i="4"/>
  <c r="J332" i="4"/>
  <c r="B333" i="4"/>
  <c r="C333" i="4"/>
  <c r="D333" i="4"/>
  <c r="E333" i="4"/>
  <c r="F333" i="4"/>
  <c r="G333" i="4"/>
  <c r="H333" i="4"/>
  <c r="I333" i="4"/>
  <c r="J333" i="4"/>
  <c r="B334" i="4"/>
  <c r="C334" i="4"/>
  <c r="D334" i="4"/>
  <c r="E334" i="4"/>
  <c r="F334" i="4"/>
  <c r="G334" i="4"/>
  <c r="H334" i="4"/>
  <c r="I334" i="4"/>
  <c r="J334" i="4"/>
  <c r="B335" i="4"/>
  <c r="C335" i="4"/>
  <c r="D335" i="4"/>
  <c r="E335" i="4"/>
  <c r="F335" i="4"/>
  <c r="G335" i="4"/>
  <c r="H335" i="4"/>
  <c r="I335" i="4"/>
  <c r="J335" i="4"/>
  <c r="B336" i="4"/>
  <c r="C336" i="4"/>
  <c r="D336" i="4"/>
  <c r="E336" i="4"/>
  <c r="F336" i="4"/>
  <c r="G336" i="4"/>
  <c r="H336" i="4"/>
  <c r="I336" i="4"/>
  <c r="J336" i="4"/>
  <c r="B337" i="4"/>
  <c r="C337" i="4"/>
  <c r="D337" i="4"/>
  <c r="E337" i="4"/>
  <c r="F337" i="4"/>
  <c r="G337" i="4"/>
  <c r="H337" i="4"/>
  <c r="I337" i="4"/>
  <c r="J337" i="4"/>
  <c r="B338" i="4"/>
  <c r="C338" i="4"/>
  <c r="D338" i="4"/>
  <c r="E338" i="4"/>
  <c r="F338" i="4"/>
  <c r="G338" i="4"/>
  <c r="H338" i="4"/>
  <c r="I338" i="4"/>
  <c r="J338" i="4"/>
  <c r="B339" i="4"/>
  <c r="C339" i="4"/>
  <c r="D339" i="4"/>
  <c r="E339" i="4"/>
  <c r="F339" i="4"/>
  <c r="G339" i="4"/>
  <c r="H339" i="4"/>
  <c r="I339" i="4"/>
  <c r="J339" i="4"/>
  <c r="B340" i="4"/>
  <c r="C340" i="4"/>
  <c r="D340" i="4"/>
  <c r="E340" i="4"/>
  <c r="F340" i="4"/>
  <c r="G340" i="4"/>
  <c r="H340" i="4"/>
  <c r="I340" i="4"/>
  <c r="J340" i="4"/>
  <c r="B341" i="4"/>
  <c r="C341" i="4"/>
  <c r="D341" i="4"/>
  <c r="E341" i="4"/>
  <c r="F341" i="4"/>
  <c r="G341" i="4"/>
  <c r="H341" i="4"/>
  <c r="I341" i="4"/>
  <c r="J341" i="4"/>
  <c r="B342" i="4"/>
  <c r="C342" i="4"/>
  <c r="D342" i="4"/>
  <c r="E342" i="4"/>
  <c r="F342" i="4"/>
  <c r="G342" i="4"/>
  <c r="H342" i="4"/>
  <c r="I342" i="4"/>
  <c r="J342" i="4"/>
  <c r="B343" i="4"/>
  <c r="C343" i="4"/>
  <c r="D343" i="4"/>
  <c r="E343" i="4"/>
  <c r="F343" i="4"/>
  <c r="G343" i="4"/>
  <c r="H343" i="4"/>
  <c r="I343" i="4"/>
  <c r="J343" i="4"/>
  <c r="B344" i="4"/>
  <c r="C344" i="4"/>
  <c r="D344" i="4"/>
  <c r="E344" i="4"/>
  <c r="F344" i="4"/>
  <c r="G344" i="4"/>
  <c r="H344" i="4"/>
  <c r="I344" i="4"/>
  <c r="J344" i="4"/>
  <c r="B345" i="4"/>
  <c r="C345" i="4"/>
  <c r="D345" i="4"/>
  <c r="E345" i="4"/>
  <c r="F345" i="4"/>
  <c r="G345" i="4"/>
  <c r="H345" i="4"/>
  <c r="I345" i="4"/>
  <c r="J345" i="4"/>
  <c r="B346" i="4"/>
  <c r="C346" i="4"/>
  <c r="D346" i="4"/>
  <c r="E346" i="4"/>
  <c r="F346" i="4"/>
  <c r="G346" i="4"/>
  <c r="H346" i="4"/>
  <c r="I346" i="4"/>
  <c r="J346" i="4"/>
  <c r="B347" i="4"/>
  <c r="C347" i="4"/>
  <c r="D347" i="4"/>
  <c r="E347" i="4"/>
  <c r="F347" i="4"/>
  <c r="G347" i="4"/>
  <c r="H347" i="4"/>
  <c r="I347" i="4"/>
  <c r="J347" i="4"/>
  <c r="B348" i="4"/>
  <c r="C348" i="4"/>
  <c r="D348" i="4"/>
  <c r="E348" i="4"/>
  <c r="F348" i="4"/>
  <c r="G348" i="4"/>
  <c r="H348" i="4"/>
  <c r="I348" i="4"/>
  <c r="J348" i="4"/>
  <c r="B349" i="4"/>
  <c r="C349" i="4"/>
  <c r="D349" i="4"/>
  <c r="E349" i="4"/>
  <c r="F349" i="4"/>
  <c r="G349" i="4"/>
  <c r="H349" i="4"/>
  <c r="I349" i="4"/>
  <c r="J349" i="4"/>
  <c r="B350" i="4"/>
  <c r="C350" i="4"/>
  <c r="D350" i="4"/>
  <c r="E350" i="4"/>
  <c r="F350" i="4"/>
  <c r="G350" i="4"/>
  <c r="H350" i="4"/>
  <c r="I350" i="4"/>
  <c r="J350" i="4"/>
  <c r="B351" i="4"/>
  <c r="C351" i="4"/>
  <c r="D351" i="4"/>
  <c r="E351" i="4"/>
  <c r="F351" i="4"/>
  <c r="G351" i="4"/>
  <c r="H351" i="4"/>
  <c r="I351" i="4"/>
  <c r="J351" i="4"/>
  <c r="B352" i="4"/>
  <c r="C352" i="4"/>
  <c r="D352" i="4"/>
  <c r="E352" i="4"/>
  <c r="F352" i="4"/>
  <c r="G352" i="4"/>
  <c r="H352" i="4"/>
  <c r="I352" i="4"/>
  <c r="J352" i="4"/>
  <c r="B353" i="4"/>
  <c r="C353" i="4"/>
  <c r="D353" i="4"/>
  <c r="E353" i="4"/>
  <c r="F353" i="4"/>
  <c r="G353" i="4"/>
  <c r="H353" i="4"/>
  <c r="I353" i="4"/>
  <c r="J353" i="4"/>
  <c r="B354" i="4"/>
  <c r="C354" i="4"/>
  <c r="D354" i="4"/>
  <c r="E354" i="4"/>
  <c r="F354" i="4"/>
  <c r="G354" i="4"/>
  <c r="H354" i="4"/>
  <c r="I354" i="4"/>
  <c r="J354" i="4"/>
  <c r="B355" i="4"/>
  <c r="C355" i="4"/>
  <c r="D355" i="4"/>
  <c r="E355" i="4"/>
  <c r="F355" i="4"/>
  <c r="G355" i="4"/>
  <c r="H355" i="4"/>
  <c r="I355" i="4"/>
  <c r="J355" i="4"/>
  <c r="B356" i="4"/>
  <c r="C356" i="4"/>
  <c r="D356" i="4"/>
  <c r="E356" i="4"/>
  <c r="F356" i="4"/>
  <c r="G356" i="4"/>
  <c r="H356" i="4"/>
  <c r="I356" i="4"/>
  <c r="J356" i="4"/>
  <c r="B357" i="4"/>
  <c r="C357" i="4"/>
  <c r="D357" i="4"/>
  <c r="E357" i="4"/>
  <c r="F357" i="4"/>
  <c r="G357" i="4"/>
  <c r="H357" i="4"/>
  <c r="I357" i="4"/>
  <c r="J357" i="4"/>
  <c r="B358" i="4"/>
  <c r="C358" i="4"/>
  <c r="D358" i="4"/>
  <c r="E358" i="4"/>
  <c r="F358" i="4"/>
  <c r="G358" i="4"/>
  <c r="H358" i="4"/>
  <c r="I358" i="4"/>
  <c r="J358" i="4"/>
  <c r="B359" i="4"/>
  <c r="C359" i="4"/>
  <c r="D359" i="4"/>
  <c r="E359" i="4"/>
  <c r="F359" i="4"/>
  <c r="G359" i="4"/>
  <c r="H359" i="4"/>
  <c r="I359" i="4"/>
  <c r="J359" i="4"/>
  <c r="B360" i="4"/>
  <c r="C360" i="4"/>
  <c r="D360" i="4"/>
  <c r="E360" i="4"/>
  <c r="F360" i="4"/>
  <c r="G360" i="4"/>
  <c r="H360" i="4"/>
  <c r="I360" i="4"/>
  <c r="J360" i="4"/>
  <c r="B361" i="4"/>
  <c r="C361" i="4"/>
  <c r="D361" i="4"/>
  <c r="E361" i="4"/>
  <c r="F361" i="4"/>
  <c r="G361" i="4"/>
  <c r="H361" i="4"/>
  <c r="I361" i="4"/>
  <c r="J361" i="4"/>
  <c r="B362" i="4"/>
  <c r="C362" i="4"/>
  <c r="D362" i="4"/>
  <c r="E362" i="4"/>
  <c r="F362" i="4"/>
  <c r="G362" i="4"/>
  <c r="H362" i="4"/>
  <c r="I362" i="4"/>
  <c r="J362" i="4"/>
  <c r="B363" i="4"/>
  <c r="C363" i="4"/>
  <c r="D363" i="4"/>
  <c r="E363" i="4"/>
  <c r="F363" i="4"/>
  <c r="G363" i="4"/>
  <c r="H363" i="4"/>
  <c r="I363" i="4"/>
  <c r="J363" i="4"/>
  <c r="B364" i="4"/>
  <c r="C364" i="4"/>
  <c r="D364" i="4"/>
  <c r="E364" i="4"/>
  <c r="F364" i="4"/>
  <c r="G364" i="4"/>
  <c r="H364" i="4"/>
  <c r="I364" i="4"/>
  <c r="J364" i="4"/>
  <c r="B365" i="4"/>
  <c r="C365" i="4"/>
  <c r="D365" i="4"/>
  <c r="E365" i="4"/>
  <c r="F365" i="4"/>
  <c r="G365" i="4"/>
  <c r="H365" i="4"/>
  <c r="I365" i="4"/>
  <c r="J365" i="4"/>
  <c r="B366" i="4"/>
  <c r="C366" i="4"/>
  <c r="D366" i="4"/>
  <c r="E366" i="4"/>
  <c r="F366" i="4"/>
  <c r="G366" i="4"/>
  <c r="H366" i="4"/>
  <c r="I366" i="4"/>
  <c r="J366" i="4"/>
  <c r="B367" i="4"/>
  <c r="C367" i="4"/>
  <c r="D367" i="4"/>
  <c r="E367" i="4"/>
  <c r="F367" i="4"/>
  <c r="G367" i="4"/>
  <c r="H367" i="4"/>
  <c r="I367" i="4"/>
  <c r="J367" i="4"/>
  <c r="B368" i="4"/>
  <c r="C368" i="4"/>
  <c r="D368" i="4"/>
  <c r="E368" i="4"/>
  <c r="F368" i="4"/>
  <c r="G368" i="4"/>
  <c r="H368" i="4"/>
  <c r="I368" i="4"/>
  <c r="J368" i="4"/>
  <c r="B369" i="4"/>
  <c r="C369" i="4"/>
  <c r="D369" i="4"/>
  <c r="E369" i="4"/>
  <c r="F369" i="4"/>
  <c r="G369" i="4"/>
  <c r="H369" i="4"/>
  <c r="I369" i="4"/>
  <c r="J369" i="4"/>
  <c r="B370" i="4"/>
  <c r="C370" i="4"/>
  <c r="D370" i="4"/>
  <c r="E370" i="4"/>
  <c r="F370" i="4"/>
  <c r="G370" i="4"/>
  <c r="H370" i="4"/>
  <c r="I370" i="4"/>
  <c r="J370" i="4"/>
  <c r="B371" i="4"/>
  <c r="C371" i="4"/>
  <c r="D371" i="4"/>
  <c r="E371" i="4"/>
  <c r="F371" i="4"/>
  <c r="G371" i="4"/>
  <c r="H371" i="4"/>
  <c r="I371" i="4"/>
  <c r="J371" i="4"/>
  <c r="B372" i="4"/>
  <c r="C372" i="4"/>
  <c r="D372" i="4"/>
  <c r="E372" i="4"/>
  <c r="F372" i="4"/>
  <c r="G372" i="4"/>
  <c r="H372" i="4"/>
  <c r="I372" i="4"/>
  <c r="J372" i="4"/>
  <c r="B373" i="4"/>
  <c r="C373" i="4"/>
  <c r="D373" i="4"/>
  <c r="E373" i="4"/>
  <c r="F373" i="4"/>
  <c r="G373" i="4"/>
  <c r="H373" i="4"/>
  <c r="I373" i="4"/>
  <c r="J373" i="4"/>
  <c r="B374" i="4"/>
  <c r="C374" i="4"/>
  <c r="D374" i="4"/>
  <c r="E374" i="4"/>
  <c r="F374" i="4"/>
  <c r="G374" i="4"/>
  <c r="H374" i="4"/>
  <c r="I374" i="4"/>
  <c r="J374" i="4"/>
  <c r="B375" i="4"/>
  <c r="C375" i="4"/>
  <c r="D375" i="4"/>
  <c r="E375" i="4"/>
  <c r="F375" i="4"/>
  <c r="G375" i="4"/>
  <c r="H375" i="4"/>
  <c r="I375" i="4"/>
  <c r="J375" i="4"/>
  <c r="B376" i="4"/>
  <c r="C376" i="4"/>
  <c r="D376" i="4"/>
  <c r="E376" i="4"/>
  <c r="F376" i="4"/>
  <c r="G376" i="4"/>
  <c r="H376" i="4"/>
  <c r="I376" i="4"/>
  <c r="J376" i="4"/>
  <c r="B377" i="4"/>
  <c r="C377" i="4"/>
  <c r="D377" i="4"/>
  <c r="E377" i="4"/>
  <c r="F377" i="4"/>
  <c r="G377" i="4"/>
  <c r="H377" i="4"/>
  <c r="I377" i="4"/>
  <c r="J377" i="4"/>
  <c r="B378" i="4"/>
  <c r="C378" i="4"/>
  <c r="D378" i="4"/>
  <c r="E378" i="4"/>
  <c r="F378" i="4"/>
  <c r="G378" i="4"/>
  <c r="H378" i="4"/>
  <c r="I378" i="4"/>
  <c r="J378" i="4"/>
  <c r="B379" i="4"/>
  <c r="C379" i="4"/>
  <c r="D379" i="4"/>
  <c r="E379" i="4"/>
  <c r="F379" i="4"/>
  <c r="G379" i="4"/>
  <c r="H379" i="4"/>
  <c r="I379" i="4"/>
  <c r="J379" i="4"/>
  <c r="B380" i="4"/>
  <c r="C380" i="4"/>
  <c r="D380" i="4"/>
  <c r="E380" i="4"/>
  <c r="F380" i="4"/>
  <c r="G380" i="4"/>
  <c r="H380" i="4"/>
  <c r="I380" i="4"/>
  <c r="J380" i="4"/>
  <c r="B381" i="4"/>
  <c r="C381" i="4"/>
  <c r="D381" i="4"/>
  <c r="E381" i="4"/>
  <c r="F381" i="4"/>
  <c r="G381" i="4"/>
  <c r="H381" i="4"/>
  <c r="I381" i="4"/>
  <c r="J381" i="4"/>
  <c r="B382" i="4"/>
  <c r="C382" i="4"/>
  <c r="D382" i="4"/>
  <c r="E382" i="4"/>
  <c r="F382" i="4"/>
  <c r="G382" i="4"/>
  <c r="H382" i="4"/>
  <c r="I382" i="4"/>
  <c r="J382" i="4"/>
  <c r="B383" i="4"/>
  <c r="C383" i="4"/>
  <c r="D383" i="4"/>
  <c r="E383" i="4"/>
  <c r="F383" i="4"/>
  <c r="G383" i="4"/>
  <c r="H383" i="4"/>
  <c r="I383" i="4"/>
  <c r="J383" i="4"/>
  <c r="B384" i="4"/>
  <c r="C384" i="4"/>
  <c r="D384" i="4"/>
  <c r="E384" i="4"/>
  <c r="F384" i="4"/>
  <c r="G384" i="4"/>
  <c r="H384" i="4"/>
  <c r="I384" i="4"/>
  <c r="J384" i="4"/>
  <c r="B385" i="4"/>
  <c r="C385" i="4"/>
  <c r="D385" i="4"/>
  <c r="E385" i="4"/>
  <c r="F385" i="4"/>
  <c r="G385" i="4"/>
  <c r="H385" i="4"/>
  <c r="I385" i="4"/>
  <c r="J385" i="4"/>
  <c r="B386" i="4"/>
  <c r="C386" i="4"/>
  <c r="D386" i="4"/>
  <c r="E386" i="4"/>
  <c r="F386" i="4"/>
  <c r="G386" i="4"/>
  <c r="H386" i="4"/>
  <c r="I386" i="4"/>
  <c r="J386" i="4"/>
  <c r="B387" i="4"/>
  <c r="C387" i="4"/>
  <c r="D387" i="4"/>
  <c r="E387" i="4"/>
  <c r="F387" i="4"/>
  <c r="G387" i="4"/>
  <c r="H387" i="4"/>
  <c r="I387" i="4"/>
  <c r="J387" i="4"/>
  <c r="B388" i="4"/>
  <c r="C388" i="4"/>
  <c r="D388" i="4"/>
  <c r="E388" i="4"/>
  <c r="F388" i="4"/>
  <c r="G388" i="4"/>
  <c r="H388" i="4"/>
  <c r="I388" i="4"/>
  <c r="J388" i="4"/>
  <c r="B389" i="4"/>
  <c r="C389" i="4"/>
  <c r="D389" i="4"/>
  <c r="E389" i="4"/>
  <c r="F389" i="4"/>
  <c r="G389" i="4"/>
  <c r="H389" i="4"/>
  <c r="I389" i="4"/>
  <c r="J389" i="4"/>
  <c r="B390" i="4"/>
  <c r="C390" i="4"/>
  <c r="D390" i="4"/>
  <c r="E390" i="4"/>
  <c r="F390" i="4"/>
  <c r="G390" i="4"/>
  <c r="H390" i="4"/>
  <c r="I390" i="4"/>
  <c r="J390" i="4"/>
  <c r="B391" i="4"/>
  <c r="C391" i="4"/>
  <c r="D391" i="4"/>
  <c r="E391" i="4"/>
  <c r="F391" i="4"/>
  <c r="G391" i="4"/>
  <c r="H391" i="4"/>
  <c r="I391" i="4"/>
  <c r="J391" i="4"/>
  <c r="B392" i="4"/>
  <c r="C392" i="4"/>
  <c r="D392" i="4"/>
  <c r="E392" i="4"/>
  <c r="F392" i="4"/>
  <c r="G392" i="4"/>
  <c r="H392" i="4"/>
  <c r="I392" i="4"/>
  <c r="J392" i="4"/>
  <c r="B393" i="4"/>
  <c r="C393" i="4"/>
  <c r="D393" i="4"/>
  <c r="E393" i="4"/>
  <c r="F393" i="4"/>
  <c r="G393" i="4"/>
  <c r="H393" i="4"/>
  <c r="I393" i="4"/>
  <c r="J393" i="4"/>
  <c r="B394" i="4"/>
  <c r="C394" i="4"/>
  <c r="D394" i="4"/>
  <c r="E394" i="4"/>
  <c r="F394" i="4"/>
  <c r="G394" i="4"/>
  <c r="H394" i="4"/>
  <c r="I394" i="4"/>
  <c r="J394" i="4"/>
  <c r="B395" i="4"/>
  <c r="C395" i="4"/>
  <c r="D395" i="4"/>
  <c r="E395" i="4"/>
  <c r="F395" i="4"/>
  <c r="G395" i="4"/>
  <c r="H395" i="4"/>
  <c r="I395" i="4"/>
  <c r="J395" i="4"/>
  <c r="B396" i="4"/>
  <c r="C396" i="4"/>
  <c r="D396" i="4"/>
  <c r="E396" i="4"/>
  <c r="F396" i="4"/>
  <c r="G396" i="4"/>
  <c r="H396" i="4"/>
  <c r="I396" i="4"/>
  <c r="J396" i="4"/>
  <c r="B397" i="4"/>
  <c r="C397" i="4"/>
  <c r="D397" i="4"/>
  <c r="E397" i="4"/>
  <c r="F397" i="4"/>
  <c r="G397" i="4"/>
  <c r="H397" i="4"/>
  <c r="I397" i="4"/>
  <c r="J397" i="4"/>
  <c r="B398" i="4"/>
  <c r="C398" i="4"/>
  <c r="D398" i="4"/>
  <c r="E398" i="4"/>
  <c r="F398" i="4"/>
  <c r="G398" i="4"/>
  <c r="H398" i="4"/>
  <c r="I398" i="4"/>
  <c r="J398" i="4"/>
  <c r="B399" i="4"/>
  <c r="C399" i="4"/>
  <c r="D399" i="4"/>
  <c r="E399" i="4"/>
  <c r="F399" i="4"/>
  <c r="G399" i="4"/>
  <c r="H399" i="4"/>
  <c r="I399" i="4"/>
  <c r="J399" i="4"/>
  <c r="B400" i="4"/>
  <c r="C400" i="4"/>
  <c r="D400" i="4"/>
  <c r="E400" i="4"/>
  <c r="F400" i="4"/>
  <c r="G400" i="4"/>
  <c r="H400" i="4"/>
  <c r="I400" i="4"/>
  <c r="J400" i="4"/>
  <c r="B401" i="4"/>
  <c r="C401" i="4"/>
  <c r="D401" i="4"/>
  <c r="E401" i="4"/>
  <c r="F401" i="4"/>
  <c r="G401" i="4"/>
  <c r="H401" i="4"/>
  <c r="I401" i="4"/>
  <c r="J401" i="4"/>
  <c r="B402" i="4"/>
  <c r="C402" i="4"/>
  <c r="D402" i="4"/>
  <c r="E402" i="4"/>
  <c r="F402" i="4"/>
  <c r="G402" i="4"/>
  <c r="H402" i="4"/>
  <c r="I402" i="4"/>
  <c r="J402" i="4"/>
  <c r="B403" i="4"/>
  <c r="C403" i="4"/>
  <c r="D403" i="4"/>
  <c r="E403" i="4"/>
  <c r="F403" i="4"/>
  <c r="G403" i="4"/>
  <c r="H403" i="4"/>
  <c r="I403" i="4"/>
  <c r="J403" i="4"/>
  <c r="B404" i="4"/>
  <c r="C404" i="4"/>
  <c r="D404" i="4"/>
  <c r="E404" i="4"/>
  <c r="F404" i="4"/>
  <c r="G404" i="4"/>
  <c r="H404" i="4"/>
  <c r="I404" i="4"/>
  <c r="J404" i="4"/>
  <c r="B405" i="4"/>
  <c r="C405" i="4"/>
  <c r="D405" i="4"/>
  <c r="E405" i="4"/>
  <c r="F405" i="4"/>
  <c r="G405" i="4"/>
  <c r="H405" i="4"/>
  <c r="I405" i="4"/>
  <c r="J405" i="4"/>
  <c r="B406" i="4"/>
  <c r="C406" i="4"/>
  <c r="D406" i="4"/>
  <c r="E406" i="4"/>
  <c r="F406" i="4"/>
  <c r="G406" i="4"/>
  <c r="H406" i="4"/>
  <c r="I406" i="4"/>
  <c r="J406" i="4"/>
  <c r="B407" i="4"/>
  <c r="C407" i="4"/>
  <c r="D407" i="4"/>
  <c r="E407" i="4"/>
  <c r="F407" i="4"/>
  <c r="G407" i="4"/>
  <c r="H407" i="4"/>
  <c r="I407" i="4"/>
  <c r="J407" i="4"/>
  <c r="B408" i="4"/>
  <c r="C408" i="4"/>
  <c r="D408" i="4"/>
  <c r="E408" i="4"/>
  <c r="F408" i="4"/>
  <c r="G408" i="4"/>
  <c r="H408" i="4"/>
  <c r="I408" i="4"/>
  <c r="J408" i="4"/>
  <c r="B409" i="4"/>
  <c r="C409" i="4"/>
  <c r="D409" i="4"/>
  <c r="E409" i="4"/>
  <c r="F409" i="4"/>
  <c r="G409" i="4"/>
  <c r="H409" i="4"/>
  <c r="I409" i="4"/>
  <c r="J409" i="4"/>
  <c r="B410" i="4"/>
  <c r="C410" i="4"/>
  <c r="D410" i="4"/>
  <c r="D646" i="4" s="1"/>
  <c r="E410" i="4"/>
  <c r="F410" i="4"/>
  <c r="G410" i="4"/>
  <c r="H410" i="4"/>
  <c r="H646" i="4" s="1"/>
  <c r="I410" i="4"/>
  <c r="J410" i="4"/>
  <c r="B411" i="4"/>
  <c r="C411" i="4"/>
  <c r="C646" i="4" s="1"/>
  <c r="D411" i="4"/>
  <c r="E411" i="4"/>
  <c r="F411" i="4"/>
  <c r="G411" i="4"/>
  <c r="G646" i="4" s="1"/>
  <c r="H411" i="4"/>
  <c r="I411" i="4"/>
  <c r="J411" i="4"/>
  <c r="B412" i="4"/>
  <c r="B646" i="4" s="1"/>
  <c r="C412" i="4"/>
  <c r="D412" i="4"/>
  <c r="E412" i="4"/>
  <c r="F412" i="4"/>
  <c r="F646" i="4" s="1"/>
  <c r="G412" i="4"/>
  <c r="H412" i="4"/>
  <c r="I412" i="4"/>
  <c r="J412" i="4"/>
  <c r="B413" i="4"/>
  <c r="C413" i="4"/>
  <c r="D413" i="4"/>
  <c r="E413" i="4"/>
  <c r="F413" i="4"/>
  <c r="G413" i="4"/>
  <c r="H413" i="4"/>
  <c r="I413" i="4"/>
  <c r="J413" i="4"/>
  <c r="B414" i="4"/>
  <c r="C414" i="4"/>
  <c r="D414" i="4"/>
  <c r="E414" i="4"/>
  <c r="F414" i="4"/>
  <c r="G414" i="4"/>
  <c r="H414" i="4"/>
  <c r="I414" i="4"/>
  <c r="J414" i="4"/>
  <c r="B415" i="4"/>
  <c r="C415" i="4"/>
  <c r="D415" i="4"/>
  <c r="E415" i="4"/>
  <c r="F415" i="4"/>
  <c r="G415" i="4"/>
  <c r="H415" i="4"/>
  <c r="I415" i="4"/>
  <c r="J415" i="4"/>
  <c r="B416" i="4"/>
  <c r="C416" i="4"/>
  <c r="D416" i="4"/>
  <c r="E416" i="4"/>
  <c r="F416" i="4"/>
  <c r="G416" i="4"/>
  <c r="H416" i="4"/>
  <c r="I416" i="4"/>
  <c r="J416" i="4"/>
  <c r="B417" i="4"/>
  <c r="C417" i="4"/>
  <c r="D417" i="4"/>
  <c r="E417" i="4"/>
  <c r="F417" i="4"/>
  <c r="G417" i="4"/>
  <c r="H417" i="4"/>
  <c r="I417" i="4"/>
  <c r="J417" i="4"/>
  <c r="B418" i="4"/>
  <c r="C418" i="4"/>
  <c r="D418" i="4"/>
  <c r="E418" i="4"/>
  <c r="F418" i="4"/>
  <c r="G418" i="4"/>
  <c r="H418" i="4"/>
  <c r="I418" i="4"/>
  <c r="J418" i="4"/>
  <c r="B419" i="4"/>
  <c r="C419" i="4"/>
  <c r="D419" i="4"/>
  <c r="E419" i="4"/>
  <c r="F419" i="4"/>
  <c r="G419" i="4"/>
  <c r="H419" i="4"/>
  <c r="I419" i="4"/>
  <c r="J419" i="4"/>
  <c r="B420" i="4"/>
  <c r="B647" i="4" s="1"/>
  <c r="C420" i="4"/>
  <c r="D420" i="4"/>
  <c r="E420" i="4"/>
  <c r="F420" i="4"/>
  <c r="F647" i="4" s="1"/>
  <c r="G420" i="4"/>
  <c r="H420" i="4"/>
  <c r="I420" i="4"/>
  <c r="J420" i="4"/>
  <c r="B421" i="4"/>
  <c r="C421" i="4"/>
  <c r="D421" i="4"/>
  <c r="E421" i="4"/>
  <c r="E647" i="4" s="1"/>
  <c r="F421" i="4"/>
  <c r="G421" i="4"/>
  <c r="H421" i="4"/>
  <c r="I421" i="4"/>
  <c r="I647" i="4" s="1"/>
  <c r="J421" i="4"/>
  <c r="B422" i="4"/>
  <c r="C422" i="4"/>
  <c r="D422" i="4"/>
  <c r="D647" i="4" s="1"/>
  <c r="E422" i="4"/>
  <c r="F422" i="4"/>
  <c r="G422" i="4"/>
  <c r="H422" i="4"/>
  <c r="H647" i="4" s="1"/>
  <c r="I422" i="4"/>
  <c r="J422" i="4"/>
  <c r="B423" i="4"/>
  <c r="C423" i="4"/>
  <c r="D423" i="4"/>
  <c r="E423" i="4"/>
  <c r="F423" i="4"/>
  <c r="G423" i="4"/>
  <c r="H423" i="4"/>
  <c r="I423" i="4"/>
  <c r="J423" i="4"/>
  <c r="B424" i="4"/>
  <c r="C424" i="4"/>
  <c r="D424" i="4"/>
  <c r="E424" i="4"/>
  <c r="F424" i="4"/>
  <c r="G424" i="4"/>
  <c r="H424" i="4"/>
  <c r="I424" i="4"/>
  <c r="J424" i="4"/>
  <c r="B425" i="4"/>
  <c r="C425" i="4"/>
  <c r="D425" i="4"/>
  <c r="E425" i="4"/>
  <c r="F425" i="4"/>
  <c r="G425" i="4"/>
  <c r="H425" i="4"/>
  <c r="I425" i="4"/>
  <c r="J425" i="4"/>
  <c r="B426" i="4"/>
  <c r="C426" i="4"/>
  <c r="D426" i="4"/>
  <c r="E426" i="4"/>
  <c r="F426" i="4"/>
  <c r="G426" i="4"/>
  <c r="H426" i="4"/>
  <c r="I426" i="4"/>
  <c r="J426" i="4"/>
  <c r="B427" i="4"/>
  <c r="C427" i="4"/>
  <c r="D427" i="4"/>
  <c r="E427" i="4"/>
  <c r="F427" i="4"/>
  <c r="G427" i="4"/>
  <c r="H427" i="4"/>
  <c r="I427" i="4"/>
  <c r="J427" i="4"/>
  <c r="B428" i="4"/>
  <c r="C428" i="4"/>
  <c r="D428" i="4"/>
  <c r="E428" i="4"/>
  <c r="F428" i="4"/>
  <c r="G428" i="4"/>
  <c r="H428" i="4"/>
  <c r="I428" i="4"/>
  <c r="J428" i="4"/>
  <c r="B429" i="4"/>
  <c r="C429" i="4"/>
  <c r="D429" i="4"/>
  <c r="E429" i="4"/>
  <c r="F429" i="4"/>
  <c r="G429" i="4"/>
  <c r="H429" i="4"/>
  <c r="I429" i="4"/>
  <c r="J429" i="4"/>
  <c r="B430" i="4"/>
  <c r="C430" i="4"/>
  <c r="D430" i="4"/>
  <c r="E430" i="4"/>
  <c r="F430" i="4"/>
  <c r="G430" i="4"/>
  <c r="H430" i="4"/>
  <c r="I430" i="4"/>
  <c r="J430" i="4"/>
  <c r="B431" i="4"/>
  <c r="C431" i="4"/>
  <c r="D431" i="4"/>
  <c r="E431" i="4"/>
  <c r="F431" i="4"/>
  <c r="G431" i="4"/>
  <c r="H431" i="4"/>
  <c r="I431" i="4"/>
  <c r="J431" i="4"/>
  <c r="B432" i="4"/>
  <c r="B648" i="4" s="1"/>
  <c r="C432" i="4"/>
  <c r="D432" i="4"/>
  <c r="E432" i="4"/>
  <c r="F432" i="4"/>
  <c r="F648" i="4" s="1"/>
  <c r="G432" i="4"/>
  <c r="H432" i="4"/>
  <c r="I432" i="4"/>
  <c r="J432" i="4"/>
  <c r="B433" i="4"/>
  <c r="C433" i="4"/>
  <c r="D433" i="4"/>
  <c r="E433" i="4"/>
  <c r="F433" i="4"/>
  <c r="G433" i="4"/>
  <c r="H433" i="4"/>
  <c r="I433" i="4"/>
  <c r="J433" i="4"/>
  <c r="B434" i="4"/>
  <c r="C434" i="4"/>
  <c r="D434" i="4"/>
  <c r="D648" i="4" s="1"/>
  <c r="E434" i="4"/>
  <c r="F434" i="4"/>
  <c r="G434" i="4"/>
  <c r="H434" i="4"/>
  <c r="H648" i="4" s="1"/>
  <c r="I434" i="4"/>
  <c r="J434" i="4"/>
  <c r="B435" i="4"/>
  <c r="C435" i="4"/>
  <c r="C648" i="4" s="1"/>
  <c r="D435" i="4"/>
  <c r="E435" i="4"/>
  <c r="F435" i="4"/>
  <c r="G435" i="4"/>
  <c r="G648" i="4" s="1"/>
  <c r="H435" i="4"/>
  <c r="I435" i="4"/>
  <c r="J435" i="4"/>
  <c r="B436" i="4"/>
  <c r="C436" i="4"/>
  <c r="D436" i="4"/>
  <c r="E436" i="4"/>
  <c r="F436" i="4"/>
  <c r="G436" i="4"/>
  <c r="H436" i="4"/>
  <c r="I436" i="4"/>
  <c r="J436" i="4"/>
  <c r="B437" i="4"/>
  <c r="C437" i="4"/>
  <c r="D437" i="4"/>
  <c r="E437" i="4"/>
  <c r="F437" i="4"/>
  <c r="G437" i="4"/>
  <c r="H437" i="4"/>
  <c r="I437" i="4"/>
  <c r="J437" i="4"/>
  <c r="B438" i="4"/>
  <c r="C438" i="4"/>
  <c r="D438" i="4"/>
  <c r="E438" i="4"/>
  <c r="F438" i="4"/>
  <c r="G438" i="4"/>
  <c r="H438" i="4"/>
  <c r="I438" i="4"/>
  <c r="J438" i="4"/>
  <c r="B439" i="4"/>
  <c r="C439" i="4"/>
  <c r="D439" i="4"/>
  <c r="E439" i="4"/>
  <c r="F439" i="4"/>
  <c r="G439" i="4"/>
  <c r="H439" i="4"/>
  <c r="I439" i="4"/>
  <c r="J439" i="4"/>
  <c r="B440" i="4"/>
  <c r="C440" i="4"/>
  <c r="D440" i="4"/>
  <c r="E440" i="4"/>
  <c r="F440" i="4"/>
  <c r="G440" i="4"/>
  <c r="H440" i="4"/>
  <c r="I440" i="4"/>
  <c r="J440" i="4"/>
  <c r="B441" i="4"/>
  <c r="C441" i="4"/>
  <c r="D441" i="4"/>
  <c r="E441" i="4"/>
  <c r="F441" i="4"/>
  <c r="G441" i="4"/>
  <c r="H441" i="4"/>
  <c r="I441" i="4"/>
  <c r="J441" i="4"/>
  <c r="B442" i="4"/>
  <c r="C442" i="4"/>
  <c r="D442" i="4"/>
  <c r="E442" i="4"/>
  <c r="F442" i="4"/>
  <c r="G442" i="4"/>
  <c r="H442" i="4"/>
  <c r="I442" i="4"/>
  <c r="J442" i="4"/>
  <c r="B443" i="4"/>
  <c r="C443" i="4"/>
  <c r="D443" i="4"/>
  <c r="E443" i="4"/>
  <c r="F443" i="4"/>
  <c r="G443" i="4"/>
  <c r="H443" i="4"/>
  <c r="I443" i="4"/>
  <c r="J443" i="4"/>
  <c r="B444" i="4"/>
  <c r="B649" i="4" s="1"/>
  <c r="C444" i="4"/>
  <c r="D444" i="4"/>
  <c r="E444" i="4"/>
  <c r="F444" i="4"/>
  <c r="F649" i="4" s="1"/>
  <c r="G444" i="4"/>
  <c r="H444" i="4"/>
  <c r="I444" i="4"/>
  <c r="J444" i="4"/>
  <c r="B445" i="4"/>
  <c r="C445" i="4"/>
  <c r="D445" i="4"/>
  <c r="E445" i="4"/>
  <c r="E649" i="4" s="1"/>
  <c r="F445" i="4"/>
  <c r="G445" i="4"/>
  <c r="H445" i="4"/>
  <c r="I445" i="4"/>
  <c r="I649" i="4" s="1"/>
  <c r="J445" i="4"/>
  <c r="B446" i="4"/>
  <c r="C446" i="4"/>
  <c r="D446" i="4"/>
  <c r="D649" i="4" s="1"/>
  <c r="E446" i="4"/>
  <c r="F446" i="4"/>
  <c r="G446" i="4"/>
  <c r="H446" i="4"/>
  <c r="H649" i="4" s="1"/>
  <c r="I446" i="4"/>
  <c r="J446" i="4"/>
  <c r="B447" i="4"/>
  <c r="C447" i="4"/>
  <c r="D447" i="4"/>
  <c r="E447" i="4"/>
  <c r="F447" i="4"/>
  <c r="G447" i="4"/>
  <c r="H447" i="4"/>
  <c r="I447" i="4"/>
  <c r="J447" i="4"/>
  <c r="B448" i="4"/>
  <c r="C448" i="4"/>
  <c r="D448" i="4"/>
  <c r="E448" i="4"/>
  <c r="F448" i="4"/>
  <c r="G448" i="4"/>
  <c r="H448" i="4"/>
  <c r="I448" i="4"/>
  <c r="J448" i="4"/>
  <c r="B449" i="4"/>
  <c r="C449" i="4"/>
  <c r="D449" i="4"/>
  <c r="E449" i="4"/>
  <c r="F449" i="4"/>
  <c r="G449" i="4"/>
  <c r="H449" i="4"/>
  <c r="I449" i="4"/>
  <c r="J449" i="4"/>
  <c r="B450" i="4"/>
  <c r="C450" i="4"/>
  <c r="D450" i="4"/>
  <c r="E450" i="4"/>
  <c r="F450" i="4"/>
  <c r="G450" i="4"/>
  <c r="H450" i="4"/>
  <c r="I450" i="4"/>
  <c r="J450" i="4"/>
  <c r="B451" i="4"/>
  <c r="C451" i="4"/>
  <c r="D451" i="4"/>
  <c r="E451" i="4"/>
  <c r="F451" i="4"/>
  <c r="G451" i="4"/>
  <c r="H451" i="4"/>
  <c r="I451" i="4"/>
  <c r="J451" i="4"/>
  <c r="B452" i="4"/>
  <c r="C452" i="4"/>
  <c r="D452" i="4"/>
  <c r="E452" i="4"/>
  <c r="F452" i="4"/>
  <c r="G452" i="4"/>
  <c r="H452" i="4"/>
  <c r="I452" i="4"/>
  <c r="J452" i="4"/>
  <c r="B453" i="4"/>
  <c r="C453" i="4"/>
  <c r="D453" i="4"/>
  <c r="E453" i="4"/>
  <c r="F453" i="4"/>
  <c r="G453" i="4"/>
  <c r="H453" i="4"/>
  <c r="I453" i="4"/>
  <c r="J453" i="4"/>
  <c r="B454" i="4"/>
  <c r="C454" i="4"/>
  <c r="D454" i="4"/>
  <c r="E454" i="4"/>
  <c r="F454" i="4"/>
  <c r="G454" i="4"/>
  <c r="H454" i="4"/>
  <c r="I454" i="4"/>
  <c r="J454" i="4"/>
  <c r="B455" i="4"/>
  <c r="C455" i="4"/>
  <c r="D455" i="4"/>
  <c r="E455" i="4"/>
  <c r="F455" i="4"/>
  <c r="G455" i="4"/>
  <c r="H455" i="4"/>
  <c r="I455" i="4"/>
  <c r="J455" i="4"/>
  <c r="B456" i="4"/>
  <c r="B650" i="4" s="1"/>
  <c r="C456" i="4"/>
  <c r="D456" i="4"/>
  <c r="E456" i="4"/>
  <c r="F456" i="4"/>
  <c r="F650" i="4" s="1"/>
  <c r="G456" i="4"/>
  <c r="H456" i="4"/>
  <c r="I456" i="4"/>
  <c r="J456" i="4"/>
  <c r="B457" i="4"/>
  <c r="C457" i="4"/>
  <c r="D457" i="4"/>
  <c r="E457" i="4"/>
  <c r="F457" i="4"/>
  <c r="G457" i="4"/>
  <c r="H457" i="4"/>
  <c r="I457" i="4"/>
  <c r="J457" i="4"/>
  <c r="B458" i="4"/>
  <c r="C458" i="4"/>
  <c r="D458" i="4"/>
  <c r="D650" i="4" s="1"/>
  <c r="E458" i="4"/>
  <c r="F458" i="4"/>
  <c r="G458" i="4"/>
  <c r="H458" i="4"/>
  <c r="H650" i="4" s="1"/>
  <c r="I458" i="4"/>
  <c r="J458" i="4"/>
  <c r="B459" i="4"/>
  <c r="C459" i="4"/>
  <c r="C650" i="4" s="1"/>
  <c r="D459" i="4"/>
  <c r="E459" i="4"/>
  <c r="F459" i="4"/>
  <c r="G459" i="4"/>
  <c r="G650" i="4" s="1"/>
  <c r="H459" i="4"/>
  <c r="I459" i="4"/>
  <c r="J459" i="4"/>
  <c r="B460" i="4"/>
  <c r="C460" i="4"/>
  <c r="D460" i="4"/>
  <c r="E460" i="4"/>
  <c r="F460" i="4"/>
  <c r="G460" i="4"/>
  <c r="H460" i="4"/>
  <c r="I460" i="4"/>
  <c r="J460" i="4"/>
  <c r="B461" i="4"/>
  <c r="C461" i="4"/>
  <c r="D461" i="4"/>
  <c r="E461" i="4"/>
  <c r="F461" i="4"/>
  <c r="G461" i="4"/>
  <c r="H461" i="4"/>
  <c r="I461" i="4"/>
  <c r="J461" i="4"/>
  <c r="B462" i="4"/>
  <c r="C462" i="4"/>
  <c r="D462" i="4"/>
  <c r="E462" i="4"/>
  <c r="F462" i="4"/>
  <c r="G462" i="4"/>
  <c r="H462" i="4"/>
  <c r="I462" i="4"/>
  <c r="J462" i="4"/>
  <c r="B463" i="4"/>
  <c r="C463" i="4"/>
  <c r="D463" i="4"/>
  <c r="E463" i="4"/>
  <c r="F463" i="4"/>
  <c r="G463" i="4"/>
  <c r="H463" i="4"/>
  <c r="I463" i="4"/>
  <c r="J463" i="4"/>
  <c r="B464" i="4"/>
  <c r="C464" i="4"/>
  <c r="D464" i="4"/>
  <c r="E464" i="4"/>
  <c r="F464" i="4"/>
  <c r="G464" i="4"/>
  <c r="H464" i="4"/>
  <c r="I464" i="4"/>
  <c r="J464" i="4"/>
  <c r="B465" i="4"/>
  <c r="C465" i="4"/>
  <c r="D465" i="4"/>
  <c r="E465" i="4"/>
  <c r="F465" i="4"/>
  <c r="G465" i="4"/>
  <c r="H465" i="4"/>
  <c r="I465" i="4"/>
  <c r="J465" i="4"/>
  <c r="B466" i="4"/>
  <c r="C466" i="4"/>
  <c r="D466" i="4"/>
  <c r="E466" i="4"/>
  <c r="F466" i="4"/>
  <c r="G466" i="4"/>
  <c r="H466" i="4"/>
  <c r="I466" i="4"/>
  <c r="J466" i="4"/>
  <c r="B467" i="4"/>
  <c r="C467" i="4"/>
  <c r="D467" i="4"/>
  <c r="E467" i="4"/>
  <c r="F467" i="4"/>
  <c r="G467" i="4"/>
  <c r="H467" i="4"/>
  <c r="I467" i="4"/>
  <c r="J467" i="4"/>
  <c r="B468" i="4"/>
  <c r="B651" i="4" s="1"/>
  <c r="C468" i="4"/>
  <c r="D468" i="4"/>
  <c r="E468" i="4"/>
  <c r="F468" i="4"/>
  <c r="F651" i="4" s="1"/>
  <c r="G468" i="4"/>
  <c r="H468" i="4"/>
  <c r="I468" i="4"/>
  <c r="J468" i="4"/>
  <c r="B469" i="4"/>
  <c r="C469" i="4"/>
  <c r="D469" i="4"/>
  <c r="E469" i="4"/>
  <c r="E651" i="4" s="1"/>
  <c r="F469" i="4"/>
  <c r="G469" i="4"/>
  <c r="H469" i="4"/>
  <c r="I469" i="4"/>
  <c r="I651" i="4" s="1"/>
  <c r="J469" i="4"/>
  <c r="B470" i="4"/>
  <c r="C470" i="4"/>
  <c r="D470" i="4"/>
  <c r="D651" i="4" s="1"/>
  <c r="E470" i="4"/>
  <c r="F470" i="4"/>
  <c r="G470" i="4"/>
  <c r="H470" i="4"/>
  <c r="H651" i="4" s="1"/>
  <c r="I470" i="4"/>
  <c r="J470" i="4"/>
  <c r="B471" i="4"/>
  <c r="C471" i="4"/>
  <c r="D471" i="4"/>
  <c r="E471" i="4"/>
  <c r="F471" i="4"/>
  <c r="G471" i="4"/>
  <c r="H471" i="4"/>
  <c r="I471" i="4"/>
  <c r="J471" i="4"/>
  <c r="B472" i="4"/>
  <c r="C472" i="4"/>
  <c r="D472" i="4"/>
  <c r="E472" i="4"/>
  <c r="F472" i="4"/>
  <c r="G472" i="4"/>
  <c r="H472" i="4"/>
  <c r="I472" i="4"/>
  <c r="J472" i="4"/>
  <c r="B473" i="4"/>
  <c r="C473" i="4"/>
  <c r="D473" i="4"/>
  <c r="E473" i="4"/>
  <c r="F473" i="4"/>
  <c r="G473" i="4"/>
  <c r="H473" i="4"/>
  <c r="I473" i="4"/>
  <c r="J473" i="4"/>
  <c r="B474" i="4"/>
  <c r="C474" i="4"/>
  <c r="D474" i="4"/>
  <c r="E474" i="4"/>
  <c r="F474" i="4"/>
  <c r="G474" i="4"/>
  <c r="H474" i="4"/>
  <c r="I474" i="4"/>
  <c r="J474" i="4"/>
  <c r="B475" i="4"/>
  <c r="C475" i="4"/>
  <c r="D475" i="4"/>
  <c r="E475" i="4"/>
  <c r="F475" i="4"/>
  <c r="G475" i="4"/>
  <c r="H475" i="4"/>
  <c r="I475" i="4"/>
  <c r="J475" i="4"/>
  <c r="B476" i="4"/>
  <c r="C476" i="4"/>
  <c r="D476" i="4"/>
  <c r="E476" i="4"/>
  <c r="F476" i="4"/>
  <c r="G476" i="4"/>
  <c r="H476" i="4"/>
  <c r="I476" i="4"/>
  <c r="J476" i="4"/>
  <c r="B477" i="4"/>
  <c r="C477" i="4"/>
  <c r="D477" i="4"/>
  <c r="E477" i="4"/>
  <c r="F477" i="4"/>
  <c r="G477" i="4"/>
  <c r="H477" i="4"/>
  <c r="I477" i="4"/>
  <c r="J477" i="4"/>
  <c r="B478" i="4"/>
  <c r="C478" i="4"/>
  <c r="D478" i="4"/>
  <c r="E478" i="4"/>
  <c r="F478" i="4"/>
  <c r="G478" i="4"/>
  <c r="H478" i="4"/>
  <c r="I478" i="4"/>
  <c r="J478" i="4"/>
  <c r="B479" i="4"/>
  <c r="C479" i="4"/>
  <c r="D479" i="4"/>
  <c r="E479" i="4"/>
  <c r="F479" i="4"/>
  <c r="G479" i="4"/>
  <c r="H479" i="4"/>
  <c r="I479" i="4"/>
  <c r="J479" i="4"/>
  <c r="B480" i="4"/>
  <c r="B652" i="4" s="1"/>
  <c r="C480" i="4"/>
  <c r="D480" i="4"/>
  <c r="E480" i="4"/>
  <c r="F480" i="4"/>
  <c r="F652" i="4" s="1"/>
  <c r="G480" i="4"/>
  <c r="H480" i="4"/>
  <c r="I480" i="4"/>
  <c r="J480" i="4"/>
  <c r="B481" i="4"/>
  <c r="C481" i="4"/>
  <c r="D481" i="4"/>
  <c r="E481" i="4"/>
  <c r="F481" i="4"/>
  <c r="G481" i="4"/>
  <c r="H481" i="4"/>
  <c r="I481" i="4"/>
  <c r="J481" i="4"/>
  <c r="B482" i="4"/>
  <c r="C482" i="4"/>
  <c r="D482" i="4"/>
  <c r="D652" i="4" s="1"/>
  <c r="E482" i="4"/>
  <c r="F482" i="4"/>
  <c r="G482" i="4"/>
  <c r="H482" i="4"/>
  <c r="H652" i="4" s="1"/>
  <c r="I482" i="4"/>
  <c r="J482" i="4"/>
  <c r="B483" i="4"/>
  <c r="C483" i="4"/>
  <c r="C652" i="4" s="1"/>
  <c r="D483" i="4"/>
  <c r="E483" i="4"/>
  <c r="F483" i="4"/>
  <c r="G483" i="4"/>
  <c r="G652" i="4" s="1"/>
  <c r="H483" i="4"/>
  <c r="I483" i="4"/>
  <c r="J483" i="4"/>
  <c r="B484" i="4"/>
  <c r="C484" i="4"/>
  <c r="D484" i="4"/>
  <c r="E484" i="4"/>
  <c r="F484" i="4"/>
  <c r="G484" i="4"/>
  <c r="H484" i="4"/>
  <c r="I484" i="4"/>
  <c r="J484" i="4"/>
  <c r="B485" i="4"/>
  <c r="C485" i="4"/>
  <c r="D485" i="4"/>
  <c r="E485" i="4"/>
  <c r="F485" i="4"/>
  <c r="G485" i="4"/>
  <c r="H485" i="4"/>
  <c r="I485" i="4"/>
  <c r="J485" i="4"/>
  <c r="B486" i="4"/>
  <c r="C486" i="4"/>
  <c r="D486" i="4"/>
  <c r="E486" i="4"/>
  <c r="F486" i="4"/>
  <c r="G486" i="4"/>
  <c r="H486" i="4"/>
  <c r="I486" i="4"/>
  <c r="J486" i="4"/>
  <c r="B487" i="4"/>
  <c r="C487" i="4"/>
  <c r="D487" i="4"/>
  <c r="E487" i="4"/>
  <c r="F487" i="4"/>
  <c r="G487" i="4"/>
  <c r="H487" i="4"/>
  <c r="I487" i="4"/>
  <c r="J487" i="4"/>
  <c r="B488" i="4"/>
  <c r="C488" i="4"/>
  <c r="D488" i="4"/>
  <c r="E488" i="4"/>
  <c r="F488" i="4"/>
  <c r="G488" i="4"/>
  <c r="H488" i="4"/>
  <c r="I488" i="4"/>
  <c r="J488" i="4"/>
  <c r="B489" i="4"/>
  <c r="C489" i="4"/>
  <c r="D489" i="4"/>
  <c r="E489" i="4"/>
  <c r="F489" i="4"/>
  <c r="G489" i="4"/>
  <c r="H489" i="4"/>
  <c r="I489" i="4"/>
  <c r="J489" i="4"/>
  <c r="B490" i="4"/>
  <c r="C490" i="4"/>
  <c r="D490" i="4"/>
  <c r="E490" i="4"/>
  <c r="F490" i="4"/>
  <c r="G490" i="4"/>
  <c r="H490" i="4"/>
  <c r="I490" i="4"/>
  <c r="J490" i="4"/>
  <c r="B491" i="4"/>
  <c r="C491" i="4"/>
  <c r="D491" i="4"/>
  <c r="E491" i="4"/>
  <c r="F491" i="4"/>
  <c r="G491" i="4"/>
  <c r="H491" i="4"/>
  <c r="I491" i="4"/>
  <c r="J491" i="4"/>
  <c r="B492" i="4"/>
  <c r="B653" i="4" s="1"/>
  <c r="C492" i="4"/>
  <c r="D492" i="4"/>
  <c r="E492" i="4"/>
  <c r="F492" i="4"/>
  <c r="F653" i="4" s="1"/>
  <c r="G492" i="4"/>
  <c r="H492" i="4"/>
  <c r="I492" i="4"/>
  <c r="J492" i="4"/>
  <c r="B493" i="4"/>
  <c r="C493" i="4"/>
  <c r="D493" i="4"/>
  <c r="E493" i="4"/>
  <c r="E653" i="4" s="1"/>
  <c r="F493" i="4"/>
  <c r="G493" i="4"/>
  <c r="H493" i="4"/>
  <c r="I493" i="4"/>
  <c r="I653" i="4" s="1"/>
  <c r="J493" i="4"/>
  <c r="B494" i="4"/>
  <c r="C494" i="4"/>
  <c r="D494" i="4"/>
  <c r="D653" i="4" s="1"/>
  <c r="E494" i="4"/>
  <c r="F494" i="4"/>
  <c r="G494" i="4"/>
  <c r="H494" i="4"/>
  <c r="H653" i="4" s="1"/>
  <c r="I494" i="4"/>
  <c r="J494" i="4"/>
  <c r="B495" i="4"/>
  <c r="C495" i="4"/>
  <c r="D495" i="4"/>
  <c r="E495" i="4"/>
  <c r="F495" i="4"/>
  <c r="G495" i="4"/>
  <c r="H495" i="4"/>
  <c r="I495" i="4"/>
  <c r="J495" i="4"/>
  <c r="B496" i="4"/>
  <c r="C496" i="4"/>
  <c r="D496" i="4"/>
  <c r="E496" i="4"/>
  <c r="F496" i="4"/>
  <c r="G496" i="4"/>
  <c r="H496" i="4"/>
  <c r="I496" i="4"/>
  <c r="J496" i="4"/>
  <c r="B497" i="4"/>
  <c r="C497" i="4"/>
  <c r="D497" i="4"/>
  <c r="E497" i="4"/>
  <c r="F497" i="4"/>
  <c r="G497" i="4"/>
  <c r="H497" i="4"/>
  <c r="I497" i="4"/>
  <c r="J497" i="4"/>
  <c r="B498" i="4"/>
  <c r="C498" i="4"/>
  <c r="D498" i="4"/>
  <c r="E498" i="4"/>
  <c r="F498" i="4"/>
  <c r="G498" i="4"/>
  <c r="H498" i="4"/>
  <c r="I498" i="4"/>
  <c r="J498" i="4"/>
  <c r="B499" i="4"/>
  <c r="C499" i="4"/>
  <c r="D499" i="4"/>
  <c r="E499" i="4"/>
  <c r="F499" i="4"/>
  <c r="G499" i="4"/>
  <c r="H499" i="4"/>
  <c r="I499" i="4"/>
  <c r="J499" i="4"/>
  <c r="B500" i="4"/>
  <c r="C500" i="4"/>
  <c r="D500" i="4"/>
  <c r="E500" i="4"/>
  <c r="F500" i="4"/>
  <c r="G500" i="4"/>
  <c r="H500" i="4"/>
  <c r="I500" i="4"/>
  <c r="J500" i="4"/>
  <c r="B501" i="4"/>
  <c r="C501" i="4"/>
  <c r="D501" i="4"/>
  <c r="E501" i="4"/>
  <c r="F501" i="4"/>
  <c r="G501" i="4"/>
  <c r="H501" i="4"/>
  <c r="I501" i="4"/>
  <c r="J501" i="4"/>
  <c r="B502" i="4"/>
  <c r="C502" i="4"/>
  <c r="D502" i="4"/>
  <c r="E502" i="4"/>
  <c r="F502" i="4"/>
  <c r="G502" i="4"/>
  <c r="H502" i="4"/>
  <c r="I502" i="4"/>
  <c r="J502" i="4"/>
  <c r="B503" i="4"/>
  <c r="C503" i="4"/>
  <c r="D503" i="4"/>
  <c r="E503" i="4"/>
  <c r="F503" i="4"/>
  <c r="G503" i="4"/>
  <c r="H503" i="4"/>
  <c r="I503" i="4"/>
  <c r="J503" i="4"/>
  <c r="B504" i="4"/>
  <c r="B654" i="4" s="1"/>
  <c r="C504" i="4"/>
  <c r="D504" i="4"/>
  <c r="E504" i="4"/>
  <c r="F504" i="4"/>
  <c r="F654" i="4" s="1"/>
  <c r="G504" i="4"/>
  <c r="H504" i="4"/>
  <c r="I504" i="4"/>
  <c r="J504" i="4"/>
  <c r="B505" i="4"/>
  <c r="C505" i="4"/>
  <c r="D505" i="4"/>
  <c r="E505" i="4"/>
  <c r="F505" i="4"/>
  <c r="G505" i="4"/>
  <c r="H505" i="4"/>
  <c r="I505" i="4"/>
  <c r="J505" i="4"/>
  <c r="B506" i="4"/>
  <c r="C506" i="4"/>
  <c r="D506" i="4"/>
  <c r="D654" i="4" s="1"/>
  <c r="E506" i="4"/>
  <c r="F506" i="4"/>
  <c r="G506" i="4"/>
  <c r="H506" i="4"/>
  <c r="H654" i="4" s="1"/>
  <c r="I506" i="4"/>
  <c r="J506" i="4"/>
  <c r="B507" i="4"/>
  <c r="C507" i="4"/>
  <c r="C654" i="4" s="1"/>
  <c r="D507" i="4"/>
  <c r="E507" i="4"/>
  <c r="F507" i="4"/>
  <c r="G507" i="4"/>
  <c r="G654" i="4" s="1"/>
  <c r="H507" i="4"/>
  <c r="I507" i="4"/>
  <c r="J507" i="4"/>
  <c r="B508" i="4"/>
  <c r="C508" i="4"/>
  <c r="D508" i="4"/>
  <c r="E508" i="4"/>
  <c r="F508" i="4"/>
  <c r="G508" i="4"/>
  <c r="H508" i="4"/>
  <c r="I508" i="4"/>
  <c r="J508" i="4"/>
  <c r="B509" i="4"/>
  <c r="C509" i="4"/>
  <c r="D509" i="4"/>
  <c r="E509" i="4"/>
  <c r="F509" i="4"/>
  <c r="G509" i="4"/>
  <c r="H509" i="4"/>
  <c r="I509" i="4"/>
  <c r="J509" i="4"/>
  <c r="B510" i="4"/>
  <c r="C510" i="4"/>
  <c r="D510" i="4"/>
  <c r="E510" i="4"/>
  <c r="F510" i="4"/>
  <c r="G510" i="4"/>
  <c r="H510" i="4"/>
  <c r="I510" i="4"/>
  <c r="J510" i="4"/>
  <c r="B511" i="4"/>
  <c r="C511" i="4"/>
  <c r="D511" i="4"/>
  <c r="E511" i="4"/>
  <c r="F511" i="4"/>
  <c r="G511" i="4"/>
  <c r="H511" i="4"/>
  <c r="I511" i="4"/>
  <c r="J511" i="4"/>
  <c r="B512" i="4"/>
  <c r="C512" i="4"/>
  <c r="D512" i="4"/>
  <c r="E512" i="4"/>
  <c r="F512" i="4"/>
  <c r="G512" i="4"/>
  <c r="H512" i="4"/>
  <c r="I512" i="4"/>
  <c r="J512" i="4"/>
  <c r="B513" i="4"/>
  <c r="C513" i="4"/>
  <c r="D513" i="4"/>
  <c r="E513" i="4"/>
  <c r="F513" i="4"/>
  <c r="G513" i="4"/>
  <c r="H513" i="4"/>
  <c r="I513" i="4"/>
  <c r="J513" i="4"/>
  <c r="B514" i="4"/>
  <c r="C514" i="4"/>
  <c r="D514" i="4"/>
  <c r="E514" i="4"/>
  <c r="F514" i="4"/>
  <c r="G514" i="4"/>
  <c r="H514" i="4"/>
  <c r="I514" i="4"/>
  <c r="J514" i="4"/>
  <c r="B515" i="4"/>
  <c r="C515" i="4"/>
  <c r="D515" i="4"/>
  <c r="E515" i="4"/>
  <c r="F515" i="4"/>
  <c r="G515" i="4"/>
  <c r="H515" i="4"/>
  <c r="I515" i="4"/>
  <c r="J515" i="4"/>
  <c r="B516" i="4"/>
  <c r="B655" i="4" s="1"/>
  <c r="C516" i="4"/>
  <c r="D516" i="4"/>
  <c r="E516" i="4"/>
  <c r="F516" i="4"/>
  <c r="F655" i="4" s="1"/>
  <c r="G516" i="4"/>
  <c r="H516" i="4"/>
  <c r="I516" i="4"/>
  <c r="J516" i="4"/>
  <c r="B517" i="4"/>
  <c r="C517" i="4"/>
  <c r="D517" i="4"/>
  <c r="E517" i="4"/>
  <c r="E655" i="4" s="1"/>
  <c r="F517" i="4"/>
  <c r="G517" i="4"/>
  <c r="H517" i="4"/>
  <c r="I517" i="4"/>
  <c r="I655" i="4" s="1"/>
  <c r="J517" i="4"/>
  <c r="B518" i="4"/>
  <c r="C518" i="4"/>
  <c r="D518" i="4"/>
  <c r="D655" i="4" s="1"/>
  <c r="E518" i="4"/>
  <c r="F518" i="4"/>
  <c r="G518" i="4"/>
  <c r="H518" i="4"/>
  <c r="H655" i="4" s="1"/>
  <c r="I518" i="4"/>
  <c r="J518" i="4"/>
  <c r="B519" i="4"/>
  <c r="C519" i="4"/>
  <c r="D519" i="4"/>
  <c r="E519" i="4"/>
  <c r="F519" i="4"/>
  <c r="G519" i="4"/>
  <c r="H519" i="4"/>
  <c r="I519" i="4"/>
  <c r="J519" i="4"/>
  <c r="B520" i="4"/>
  <c r="C520" i="4"/>
  <c r="D520" i="4"/>
  <c r="E520" i="4"/>
  <c r="F520" i="4"/>
  <c r="G520" i="4"/>
  <c r="H520" i="4"/>
  <c r="I520" i="4"/>
  <c r="J520" i="4"/>
  <c r="B521" i="4"/>
  <c r="C521" i="4"/>
  <c r="D521" i="4"/>
  <c r="E521" i="4"/>
  <c r="F521" i="4"/>
  <c r="G521" i="4"/>
  <c r="H521" i="4"/>
  <c r="I521" i="4"/>
  <c r="J521" i="4"/>
  <c r="B522" i="4"/>
  <c r="C522" i="4"/>
  <c r="D522" i="4"/>
  <c r="E522" i="4"/>
  <c r="F522" i="4"/>
  <c r="G522" i="4"/>
  <c r="H522" i="4"/>
  <c r="I522" i="4"/>
  <c r="J522" i="4"/>
  <c r="B523" i="4"/>
  <c r="C523" i="4"/>
  <c r="D523" i="4"/>
  <c r="E523" i="4"/>
  <c r="F523" i="4"/>
  <c r="G523" i="4"/>
  <c r="H523" i="4"/>
  <c r="I523" i="4"/>
  <c r="J523" i="4"/>
  <c r="B524" i="4"/>
  <c r="C524" i="4"/>
  <c r="D524" i="4"/>
  <c r="E524" i="4"/>
  <c r="F524" i="4"/>
  <c r="G524" i="4"/>
  <c r="H524" i="4"/>
  <c r="I524" i="4"/>
  <c r="J524" i="4"/>
  <c r="B525" i="4"/>
  <c r="C525" i="4"/>
  <c r="D525" i="4"/>
  <c r="E525" i="4"/>
  <c r="F525" i="4"/>
  <c r="G525" i="4"/>
  <c r="H525" i="4"/>
  <c r="I525" i="4"/>
  <c r="J525" i="4"/>
  <c r="B526" i="4"/>
  <c r="C526" i="4"/>
  <c r="D526" i="4"/>
  <c r="E526" i="4"/>
  <c r="F526" i="4"/>
  <c r="G526" i="4"/>
  <c r="H526" i="4"/>
  <c r="I526" i="4"/>
  <c r="J526" i="4"/>
  <c r="B527" i="4"/>
  <c r="C527" i="4"/>
  <c r="D527" i="4"/>
  <c r="E527" i="4"/>
  <c r="F527" i="4"/>
  <c r="G527" i="4"/>
  <c r="H527" i="4"/>
  <c r="I527" i="4"/>
  <c r="J527" i="4"/>
  <c r="B528" i="4"/>
  <c r="B656" i="4" s="1"/>
  <c r="C528" i="4"/>
  <c r="D528" i="4"/>
  <c r="E528" i="4"/>
  <c r="F528" i="4"/>
  <c r="F656" i="4" s="1"/>
  <c r="G528" i="4"/>
  <c r="H528" i="4"/>
  <c r="I528" i="4"/>
  <c r="J528" i="4"/>
  <c r="B529" i="4"/>
  <c r="C529" i="4"/>
  <c r="D529" i="4"/>
  <c r="E529" i="4"/>
  <c r="F529" i="4"/>
  <c r="G529" i="4"/>
  <c r="H529" i="4"/>
  <c r="I529" i="4"/>
  <c r="J529" i="4"/>
  <c r="B530" i="4"/>
  <c r="C530" i="4"/>
  <c r="D530" i="4"/>
  <c r="D656" i="4" s="1"/>
  <c r="E530" i="4"/>
  <c r="F530" i="4"/>
  <c r="G530" i="4"/>
  <c r="H530" i="4"/>
  <c r="H656" i="4" s="1"/>
  <c r="I530" i="4"/>
  <c r="J530" i="4"/>
  <c r="B531" i="4"/>
  <c r="C531" i="4"/>
  <c r="C656" i="4" s="1"/>
  <c r="D531" i="4"/>
  <c r="E531" i="4"/>
  <c r="F531" i="4"/>
  <c r="G531" i="4"/>
  <c r="G656" i="4" s="1"/>
  <c r="H531" i="4"/>
  <c r="I531" i="4"/>
  <c r="J531" i="4"/>
  <c r="B532" i="4"/>
  <c r="C532" i="4"/>
  <c r="D532" i="4"/>
  <c r="E532" i="4"/>
  <c r="F532" i="4"/>
  <c r="G532" i="4"/>
  <c r="H532" i="4"/>
  <c r="I532" i="4"/>
  <c r="J532" i="4"/>
  <c r="B533" i="4"/>
  <c r="C533" i="4"/>
  <c r="D533" i="4"/>
  <c r="E533" i="4"/>
  <c r="F533" i="4"/>
  <c r="G533" i="4"/>
  <c r="H533" i="4"/>
  <c r="I533" i="4"/>
  <c r="J533" i="4"/>
  <c r="B534" i="4"/>
  <c r="C534" i="4"/>
  <c r="D534" i="4"/>
  <c r="E534" i="4"/>
  <c r="F534" i="4"/>
  <c r="G534" i="4"/>
  <c r="H534" i="4"/>
  <c r="I534" i="4"/>
  <c r="J534" i="4"/>
  <c r="B535" i="4"/>
  <c r="C535" i="4"/>
  <c r="D535" i="4"/>
  <c r="E535" i="4"/>
  <c r="F535" i="4"/>
  <c r="G535" i="4"/>
  <c r="H535" i="4"/>
  <c r="I535" i="4"/>
  <c r="J535" i="4"/>
  <c r="B536" i="4"/>
  <c r="C536" i="4"/>
  <c r="D536" i="4"/>
  <c r="E536" i="4"/>
  <c r="F536" i="4"/>
  <c r="G536" i="4"/>
  <c r="H536" i="4"/>
  <c r="I536" i="4"/>
  <c r="J536" i="4"/>
  <c r="B537" i="4"/>
  <c r="C537" i="4"/>
  <c r="D537" i="4"/>
  <c r="E537" i="4"/>
  <c r="F537" i="4"/>
  <c r="G537" i="4"/>
  <c r="H537" i="4"/>
  <c r="I537" i="4"/>
  <c r="J537" i="4"/>
  <c r="B538" i="4"/>
  <c r="C538" i="4"/>
  <c r="D538" i="4"/>
  <c r="E538" i="4"/>
  <c r="F538" i="4"/>
  <c r="G538" i="4"/>
  <c r="H538" i="4"/>
  <c r="I538" i="4"/>
  <c r="J538" i="4"/>
  <c r="B539" i="4"/>
  <c r="C539" i="4"/>
  <c r="D539" i="4"/>
  <c r="E539" i="4"/>
  <c r="F539" i="4"/>
  <c r="G539" i="4"/>
  <c r="H539" i="4"/>
  <c r="I539" i="4"/>
  <c r="J539" i="4"/>
  <c r="B540" i="4"/>
  <c r="B657" i="4" s="1"/>
  <c r="C540" i="4"/>
  <c r="D540" i="4"/>
  <c r="E540" i="4"/>
  <c r="F540" i="4"/>
  <c r="F657" i="4" s="1"/>
  <c r="G540" i="4"/>
  <c r="H540" i="4"/>
  <c r="I540" i="4"/>
  <c r="J540" i="4"/>
  <c r="B541" i="4"/>
  <c r="C541" i="4"/>
  <c r="D541" i="4"/>
  <c r="E541" i="4"/>
  <c r="E657" i="4" s="1"/>
  <c r="F541" i="4"/>
  <c r="G541" i="4"/>
  <c r="H541" i="4"/>
  <c r="I541" i="4"/>
  <c r="I657" i="4" s="1"/>
  <c r="J541" i="4"/>
  <c r="B542" i="4"/>
  <c r="C542" i="4"/>
  <c r="D542" i="4"/>
  <c r="D657" i="4" s="1"/>
  <c r="E542" i="4"/>
  <c r="F542" i="4"/>
  <c r="G542" i="4"/>
  <c r="H542" i="4"/>
  <c r="H657" i="4" s="1"/>
  <c r="I542" i="4"/>
  <c r="J542" i="4"/>
  <c r="B543" i="4"/>
  <c r="C543" i="4"/>
  <c r="D543" i="4"/>
  <c r="E543" i="4"/>
  <c r="F543" i="4"/>
  <c r="G543" i="4"/>
  <c r="H543" i="4"/>
  <c r="I543" i="4"/>
  <c r="J543" i="4"/>
  <c r="B544" i="4"/>
  <c r="C544" i="4"/>
  <c r="D544" i="4"/>
  <c r="E544" i="4"/>
  <c r="F544" i="4"/>
  <c r="G544" i="4"/>
  <c r="H544" i="4"/>
  <c r="I544" i="4"/>
  <c r="J544" i="4"/>
  <c r="B545" i="4"/>
  <c r="C545" i="4"/>
  <c r="D545" i="4"/>
  <c r="E545" i="4"/>
  <c r="F545" i="4"/>
  <c r="G545" i="4"/>
  <c r="H545" i="4"/>
  <c r="I545" i="4"/>
  <c r="J545" i="4"/>
  <c r="B546" i="4"/>
  <c r="C546" i="4"/>
  <c r="D546" i="4"/>
  <c r="E546" i="4"/>
  <c r="F546" i="4"/>
  <c r="G546" i="4"/>
  <c r="H546" i="4"/>
  <c r="I546" i="4"/>
  <c r="J546" i="4"/>
  <c r="B547" i="4"/>
  <c r="C547" i="4"/>
  <c r="D547" i="4"/>
  <c r="E547" i="4"/>
  <c r="F547" i="4"/>
  <c r="G547" i="4"/>
  <c r="H547" i="4"/>
  <c r="I547" i="4"/>
  <c r="J547" i="4"/>
  <c r="B548" i="4"/>
  <c r="C548" i="4"/>
  <c r="D548" i="4"/>
  <c r="E548" i="4"/>
  <c r="F548" i="4"/>
  <c r="G548" i="4"/>
  <c r="H548" i="4"/>
  <c r="I548" i="4"/>
  <c r="J548" i="4"/>
  <c r="B549" i="4"/>
  <c r="C549" i="4"/>
  <c r="D549" i="4"/>
  <c r="E549" i="4"/>
  <c r="F549" i="4"/>
  <c r="G549" i="4"/>
  <c r="H549" i="4"/>
  <c r="I549" i="4"/>
  <c r="J549" i="4"/>
  <c r="B550" i="4"/>
  <c r="C550" i="4"/>
  <c r="D550" i="4"/>
  <c r="E550" i="4"/>
  <c r="F550" i="4"/>
  <c r="G550" i="4"/>
  <c r="H550" i="4"/>
  <c r="I550" i="4"/>
  <c r="J550" i="4"/>
  <c r="B551" i="4"/>
  <c r="C551" i="4"/>
  <c r="D551" i="4"/>
  <c r="E551" i="4"/>
  <c r="F551" i="4"/>
  <c r="G551" i="4"/>
  <c r="H551" i="4"/>
  <c r="I551" i="4"/>
  <c r="J551" i="4"/>
  <c r="B552" i="4"/>
  <c r="B658" i="4" s="1"/>
  <c r="C552" i="4"/>
  <c r="D552" i="4"/>
  <c r="E552" i="4"/>
  <c r="F552" i="4"/>
  <c r="F658" i="4" s="1"/>
  <c r="G552" i="4"/>
  <c r="H552" i="4"/>
  <c r="I552" i="4"/>
  <c r="J552" i="4"/>
  <c r="B553" i="4"/>
  <c r="C553" i="4"/>
  <c r="D553" i="4"/>
  <c r="E553" i="4"/>
  <c r="F553" i="4"/>
  <c r="G553" i="4"/>
  <c r="H553" i="4"/>
  <c r="I553" i="4"/>
  <c r="J553" i="4"/>
  <c r="B554" i="4"/>
  <c r="C554" i="4"/>
  <c r="D554" i="4"/>
  <c r="D658" i="4" s="1"/>
  <c r="E554" i="4"/>
  <c r="F554" i="4"/>
  <c r="G554" i="4"/>
  <c r="H554" i="4"/>
  <c r="H658" i="4" s="1"/>
  <c r="I554" i="4"/>
  <c r="J554" i="4"/>
  <c r="B555" i="4"/>
  <c r="C555" i="4"/>
  <c r="C658" i="4" s="1"/>
  <c r="D555" i="4"/>
  <c r="E555" i="4"/>
  <c r="F555" i="4"/>
  <c r="G555" i="4"/>
  <c r="G658" i="4" s="1"/>
  <c r="H555" i="4"/>
  <c r="I555" i="4"/>
  <c r="J555" i="4"/>
  <c r="B556" i="4"/>
  <c r="C556" i="4"/>
  <c r="D556" i="4"/>
  <c r="E556" i="4"/>
  <c r="F556" i="4"/>
  <c r="G556" i="4"/>
  <c r="H556" i="4"/>
  <c r="I556" i="4"/>
  <c r="J556" i="4"/>
  <c r="B557" i="4"/>
  <c r="C557" i="4"/>
  <c r="D557" i="4"/>
  <c r="E557" i="4"/>
  <c r="F557" i="4"/>
  <c r="G557" i="4"/>
  <c r="H557" i="4"/>
  <c r="I557" i="4"/>
  <c r="J557" i="4"/>
  <c r="B558" i="4"/>
  <c r="C558" i="4"/>
  <c r="D558" i="4"/>
  <c r="E558" i="4"/>
  <c r="F558" i="4"/>
  <c r="G558" i="4"/>
  <c r="H558" i="4"/>
  <c r="I558" i="4"/>
  <c r="J558" i="4"/>
  <c r="B559" i="4"/>
  <c r="C559" i="4"/>
  <c r="D559" i="4"/>
  <c r="E559" i="4"/>
  <c r="F559" i="4"/>
  <c r="G559" i="4"/>
  <c r="H559" i="4"/>
  <c r="I559" i="4"/>
  <c r="J559" i="4"/>
  <c r="B560" i="4"/>
  <c r="C560" i="4"/>
  <c r="D560" i="4"/>
  <c r="E560" i="4"/>
  <c r="F560" i="4"/>
  <c r="G560" i="4"/>
  <c r="H560" i="4"/>
  <c r="I560" i="4"/>
  <c r="J560" i="4"/>
  <c r="B561" i="4"/>
  <c r="C561" i="4"/>
  <c r="D561" i="4"/>
  <c r="E561" i="4"/>
  <c r="F561" i="4"/>
  <c r="G561" i="4"/>
  <c r="H561" i="4"/>
  <c r="I561" i="4"/>
  <c r="J561" i="4"/>
  <c r="B562" i="4"/>
  <c r="C562" i="4"/>
  <c r="D562" i="4"/>
  <c r="E562" i="4"/>
  <c r="F562" i="4"/>
  <c r="G562" i="4"/>
  <c r="H562" i="4"/>
  <c r="I562" i="4"/>
  <c r="J562" i="4"/>
  <c r="B563" i="4"/>
  <c r="C563" i="4"/>
  <c r="D563" i="4"/>
  <c r="E563" i="4"/>
  <c r="F563" i="4"/>
  <c r="G563" i="4"/>
  <c r="H563" i="4"/>
  <c r="I563" i="4"/>
  <c r="J563" i="4"/>
  <c r="B564" i="4"/>
  <c r="B659" i="4" s="1"/>
  <c r="C564" i="4"/>
  <c r="D564" i="4"/>
  <c r="E564" i="4"/>
  <c r="F564" i="4"/>
  <c r="F659" i="4" s="1"/>
  <c r="G564" i="4"/>
  <c r="H564" i="4"/>
  <c r="I564" i="4"/>
  <c r="J564" i="4"/>
  <c r="B565" i="4"/>
  <c r="C565" i="4"/>
  <c r="D565" i="4"/>
  <c r="E565" i="4"/>
  <c r="E659" i="4" s="1"/>
  <c r="F565" i="4"/>
  <c r="G565" i="4"/>
  <c r="H565" i="4"/>
  <c r="I565" i="4"/>
  <c r="I659" i="4" s="1"/>
  <c r="J565" i="4"/>
  <c r="B566" i="4"/>
  <c r="C566" i="4"/>
  <c r="D566" i="4"/>
  <c r="D659" i="4" s="1"/>
  <c r="E566" i="4"/>
  <c r="F566" i="4"/>
  <c r="G566" i="4"/>
  <c r="H566" i="4"/>
  <c r="H659" i="4" s="1"/>
  <c r="I566" i="4"/>
  <c r="J566" i="4"/>
  <c r="B567" i="4"/>
  <c r="C567" i="4"/>
  <c r="D567" i="4"/>
  <c r="E567" i="4"/>
  <c r="F567" i="4"/>
  <c r="G567" i="4"/>
  <c r="H567" i="4"/>
  <c r="I567" i="4"/>
  <c r="J567" i="4"/>
  <c r="B568" i="4"/>
  <c r="C568" i="4"/>
  <c r="D568" i="4"/>
  <c r="E568" i="4"/>
  <c r="F568" i="4"/>
  <c r="G568" i="4"/>
  <c r="H568" i="4"/>
  <c r="I568" i="4"/>
  <c r="J568" i="4"/>
  <c r="B569" i="4"/>
  <c r="C569" i="4"/>
  <c r="D569" i="4"/>
  <c r="E569" i="4"/>
  <c r="F569" i="4"/>
  <c r="G569" i="4"/>
  <c r="H569" i="4"/>
  <c r="I569" i="4"/>
  <c r="J569" i="4"/>
  <c r="B570" i="4"/>
  <c r="C570" i="4"/>
  <c r="D570" i="4"/>
  <c r="E570" i="4"/>
  <c r="F570" i="4"/>
  <c r="G570" i="4"/>
  <c r="H570" i="4"/>
  <c r="I570" i="4"/>
  <c r="J570" i="4"/>
  <c r="B571" i="4"/>
  <c r="C571" i="4"/>
  <c r="D571" i="4"/>
  <c r="E571" i="4"/>
  <c r="F571" i="4"/>
  <c r="G571" i="4"/>
  <c r="H571" i="4"/>
  <c r="I571" i="4"/>
  <c r="J571" i="4"/>
  <c r="B572" i="4"/>
  <c r="C572" i="4"/>
  <c r="D572" i="4"/>
  <c r="E572" i="4"/>
  <c r="F572" i="4"/>
  <c r="G572" i="4"/>
  <c r="H572" i="4"/>
  <c r="I572" i="4"/>
  <c r="J572" i="4"/>
  <c r="B573" i="4"/>
  <c r="C573" i="4"/>
  <c r="D573" i="4"/>
  <c r="E573" i="4"/>
  <c r="F573" i="4"/>
  <c r="G573" i="4"/>
  <c r="H573" i="4"/>
  <c r="I573" i="4"/>
  <c r="J573" i="4"/>
  <c r="B574" i="4"/>
  <c r="C574" i="4"/>
  <c r="D574" i="4"/>
  <c r="E574" i="4"/>
  <c r="F574" i="4"/>
  <c r="G574" i="4"/>
  <c r="H574" i="4"/>
  <c r="I574" i="4"/>
  <c r="J574" i="4"/>
  <c r="B575" i="4"/>
  <c r="C575" i="4"/>
  <c r="D575" i="4"/>
  <c r="E575" i="4"/>
  <c r="F575" i="4"/>
  <c r="G575" i="4"/>
  <c r="H575" i="4"/>
  <c r="I575" i="4"/>
  <c r="J575" i="4"/>
  <c r="B576" i="4"/>
  <c r="B660" i="4" s="1"/>
  <c r="C576" i="4"/>
  <c r="D576" i="4"/>
  <c r="E576" i="4"/>
  <c r="F576" i="4"/>
  <c r="F660" i="4" s="1"/>
  <c r="G576" i="4"/>
  <c r="H576" i="4"/>
  <c r="I576" i="4"/>
  <c r="J576" i="4"/>
  <c r="B577" i="4"/>
  <c r="C577" i="4"/>
  <c r="D577" i="4"/>
  <c r="E577" i="4"/>
  <c r="F577" i="4"/>
  <c r="G577" i="4"/>
  <c r="H577" i="4"/>
  <c r="I577" i="4"/>
  <c r="J577" i="4"/>
  <c r="B578" i="4"/>
  <c r="C578" i="4"/>
  <c r="D578" i="4"/>
  <c r="D660" i="4" s="1"/>
  <c r="E578" i="4"/>
  <c r="F578" i="4"/>
  <c r="G578" i="4"/>
  <c r="H578" i="4"/>
  <c r="H660" i="4" s="1"/>
  <c r="I578" i="4"/>
  <c r="J578" i="4"/>
  <c r="B579" i="4"/>
  <c r="C579" i="4"/>
  <c r="C660" i="4" s="1"/>
  <c r="D579" i="4"/>
  <c r="E579" i="4"/>
  <c r="F579" i="4"/>
  <c r="G579" i="4"/>
  <c r="G660" i="4" s="1"/>
  <c r="H579" i="4"/>
  <c r="I579" i="4"/>
  <c r="J579" i="4"/>
  <c r="B580" i="4"/>
  <c r="C580" i="4"/>
  <c r="D580" i="4"/>
  <c r="E580" i="4"/>
  <c r="F580" i="4"/>
  <c r="G580" i="4"/>
  <c r="H580" i="4"/>
  <c r="I580" i="4"/>
  <c r="J580" i="4"/>
  <c r="B581" i="4"/>
  <c r="C581" i="4"/>
  <c r="D581" i="4"/>
  <c r="E581" i="4"/>
  <c r="F581" i="4"/>
  <c r="G581" i="4"/>
  <c r="H581" i="4"/>
  <c r="I581" i="4"/>
  <c r="J581" i="4"/>
  <c r="B582" i="4"/>
  <c r="C582" i="4"/>
  <c r="D582" i="4"/>
  <c r="E582" i="4"/>
  <c r="F582" i="4"/>
  <c r="G582" i="4"/>
  <c r="H582" i="4"/>
  <c r="I582" i="4"/>
  <c r="J582" i="4"/>
  <c r="B583" i="4"/>
  <c r="C583" i="4"/>
  <c r="D583" i="4"/>
  <c r="E583" i="4"/>
  <c r="F583" i="4"/>
  <c r="G583" i="4"/>
  <c r="H583" i="4"/>
  <c r="I583" i="4"/>
  <c r="J583" i="4"/>
  <c r="B584" i="4"/>
  <c r="C584" i="4"/>
  <c r="D584" i="4"/>
  <c r="E584" i="4"/>
  <c r="F584" i="4"/>
  <c r="G584" i="4"/>
  <c r="H584" i="4"/>
  <c r="I584" i="4"/>
  <c r="J584" i="4"/>
  <c r="B585" i="4"/>
  <c r="C585" i="4"/>
  <c r="D585" i="4"/>
  <c r="E585" i="4"/>
  <c r="F585" i="4"/>
  <c r="G585" i="4"/>
  <c r="H585" i="4"/>
  <c r="I585" i="4"/>
  <c r="J585" i="4"/>
  <c r="B586" i="4"/>
  <c r="C586" i="4"/>
  <c r="D586" i="4"/>
  <c r="E586" i="4"/>
  <c r="F586" i="4"/>
  <c r="G586" i="4"/>
  <c r="H586" i="4"/>
  <c r="I586" i="4"/>
  <c r="J586" i="4"/>
  <c r="B587" i="4"/>
  <c r="C587" i="4"/>
  <c r="D587" i="4"/>
  <c r="E587" i="4"/>
  <c r="F587" i="4"/>
  <c r="G587" i="4"/>
  <c r="H587" i="4"/>
  <c r="I587" i="4"/>
  <c r="J587" i="4"/>
  <c r="B588" i="4"/>
  <c r="B661" i="4" s="1"/>
  <c r="C588" i="4"/>
  <c r="D588" i="4"/>
  <c r="E588" i="4"/>
  <c r="F588" i="4"/>
  <c r="F661" i="4" s="1"/>
  <c r="G588" i="4"/>
  <c r="H588" i="4"/>
  <c r="I588" i="4"/>
  <c r="J588" i="4"/>
  <c r="B589" i="4"/>
  <c r="C589" i="4"/>
  <c r="D589" i="4"/>
  <c r="E589" i="4"/>
  <c r="E661" i="4" s="1"/>
  <c r="F589" i="4"/>
  <c r="G589" i="4"/>
  <c r="H589" i="4"/>
  <c r="I589" i="4"/>
  <c r="I661" i="4" s="1"/>
  <c r="J589" i="4"/>
  <c r="B590" i="4"/>
  <c r="C590" i="4"/>
  <c r="D590" i="4"/>
  <c r="D661" i="4" s="1"/>
  <c r="E590" i="4"/>
  <c r="F590" i="4"/>
  <c r="G590" i="4"/>
  <c r="H590" i="4"/>
  <c r="H661" i="4" s="1"/>
  <c r="I590" i="4"/>
  <c r="J590" i="4"/>
  <c r="B591" i="4"/>
  <c r="C591" i="4"/>
  <c r="D591" i="4"/>
  <c r="E591" i="4"/>
  <c r="F591" i="4"/>
  <c r="G591" i="4"/>
  <c r="H591" i="4"/>
  <c r="I591" i="4"/>
  <c r="J591" i="4"/>
  <c r="B592" i="4"/>
  <c r="C592" i="4"/>
  <c r="D592" i="4"/>
  <c r="E592" i="4"/>
  <c r="F592" i="4"/>
  <c r="G592" i="4"/>
  <c r="H592" i="4"/>
  <c r="I592" i="4"/>
  <c r="J592" i="4"/>
  <c r="B593" i="4"/>
  <c r="C593" i="4"/>
  <c r="D593" i="4"/>
  <c r="E593" i="4"/>
  <c r="F593" i="4"/>
  <c r="G593" i="4"/>
  <c r="H593" i="4"/>
  <c r="I593" i="4"/>
  <c r="J593" i="4"/>
  <c r="B594" i="4"/>
  <c r="C594" i="4"/>
  <c r="D594" i="4"/>
  <c r="E594" i="4"/>
  <c r="F594" i="4"/>
  <c r="G594" i="4"/>
  <c r="H594" i="4"/>
  <c r="I594" i="4"/>
  <c r="J594" i="4"/>
  <c r="B595" i="4"/>
  <c r="C595" i="4"/>
  <c r="D595" i="4"/>
  <c r="E595" i="4"/>
  <c r="F595" i="4"/>
  <c r="G595" i="4"/>
  <c r="H595" i="4"/>
  <c r="I595" i="4"/>
  <c r="J595" i="4"/>
  <c r="B596" i="4"/>
  <c r="C596" i="4"/>
  <c r="D596" i="4"/>
  <c r="E596" i="4"/>
  <c r="F596" i="4"/>
  <c r="G596" i="4"/>
  <c r="H596" i="4"/>
  <c r="I596" i="4"/>
  <c r="J596" i="4"/>
  <c r="B597" i="4"/>
  <c r="C597" i="4"/>
  <c r="D597" i="4"/>
  <c r="E597" i="4"/>
  <c r="F597" i="4"/>
  <c r="G597" i="4"/>
  <c r="H597" i="4"/>
  <c r="I597" i="4"/>
  <c r="J597" i="4"/>
  <c r="B598" i="4"/>
  <c r="C598" i="4"/>
  <c r="D598" i="4"/>
  <c r="E598" i="4"/>
  <c r="F598" i="4"/>
  <c r="G598" i="4"/>
  <c r="H598" i="4"/>
  <c r="I598" i="4"/>
  <c r="J598" i="4"/>
  <c r="B599" i="4"/>
  <c r="C599" i="4"/>
  <c r="D599" i="4"/>
  <c r="E599" i="4"/>
  <c r="F599" i="4"/>
  <c r="G599" i="4"/>
  <c r="H599" i="4"/>
  <c r="I599" i="4"/>
  <c r="J599" i="4"/>
  <c r="B600" i="4"/>
  <c r="B662" i="4" s="1"/>
  <c r="C600" i="4"/>
  <c r="D600" i="4"/>
  <c r="E600" i="4"/>
  <c r="F600" i="4"/>
  <c r="F662" i="4" s="1"/>
  <c r="G600" i="4"/>
  <c r="H600" i="4"/>
  <c r="I600" i="4"/>
  <c r="J600" i="4"/>
  <c r="B601" i="4"/>
  <c r="C601" i="4"/>
  <c r="D601" i="4"/>
  <c r="E601" i="4"/>
  <c r="F601" i="4"/>
  <c r="G601" i="4"/>
  <c r="H601" i="4"/>
  <c r="I601" i="4"/>
  <c r="J601" i="4"/>
  <c r="B602" i="4"/>
  <c r="C602" i="4"/>
  <c r="D602" i="4"/>
  <c r="D662" i="4" s="1"/>
  <c r="E602" i="4"/>
  <c r="F602" i="4"/>
  <c r="G602" i="4"/>
  <c r="H602" i="4"/>
  <c r="H662" i="4" s="1"/>
  <c r="I602" i="4"/>
  <c r="J602" i="4"/>
  <c r="B603" i="4"/>
  <c r="C603" i="4"/>
  <c r="C662" i="4" s="1"/>
  <c r="D603" i="4"/>
  <c r="E603" i="4"/>
  <c r="F603" i="4"/>
  <c r="G603" i="4"/>
  <c r="G662" i="4" s="1"/>
  <c r="H603" i="4"/>
  <c r="I603" i="4"/>
  <c r="J603" i="4"/>
  <c r="B604" i="4"/>
  <c r="C604" i="4"/>
  <c r="D604" i="4"/>
  <c r="E604" i="4"/>
  <c r="F604" i="4"/>
  <c r="G604" i="4"/>
  <c r="H604" i="4"/>
  <c r="I604" i="4"/>
  <c r="J604" i="4"/>
  <c r="B605" i="4"/>
  <c r="C605" i="4"/>
  <c r="D605" i="4"/>
  <c r="E605" i="4"/>
  <c r="F605" i="4"/>
  <c r="G605" i="4"/>
  <c r="H605" i="4"/>
  <c r="I605" i="4"/>
  <c r="J605" i="4"/>
  <c r="B606" i="4"/>
  <c r="C606" i="4"/>
  <c r="D606" i="4"/>
  <c r="E606" i="4"/>
  <c r="F606" i="4"/>
  <c r="G606" i="4"/>
  <c r="H606" i="4"/>
  <c r="I606" i="4"/>
  <c r="J606" i="4"/>
  <c r="B607" i="4"/>
  <c r="C607" i="4"/>
  <c r="D607" i="4"/>
  <c r="E607" i="4"/>
  <c r="F607" i="4"/>
  <c r="G607" i="4"/>
  <c r="H607" i="4"/>
  <c r="I607" i="4"/>
  <c r="J607" i="4"/>
  <c r="B608" i="4"/>
  <c r="C608" i="4"/>
  <c r="D608" i="4"/>
  <c r="E608" i="4"/>
  <c r="F608" i="4"/>
  <c r="G608" i="4"/>
  <c r="H608" i="4"/>
  <c r="I608" i="4"/>
  <c r="J608" i="4"/>
  <c r="B609" i="4"/>
  <c r="C609" i="4"/>
  <c r="D609" i="4"/>
  <c r="E609" i="4"/>
  <c r="F609" i="4"/>
  <c r="G609" i="4"/>
  <c r="H609" i="4"/>
  <c r="I609" i="4"/>
  <c r="J609" i="4"/>
  <c r="B610" i="4"/>
  <c r="C610" i="4"/>
  <c r="D610" i="4"/>
  <c r="E610" i="4"/>
  <c r="F610" i="4"/>
  <c r="G610" i="4"/>
  <c r="H610" i="4"/>
  <c r="I610" i="4"/>
  <c r="J610" i="4"/>
  <c r="B611" i="4"/>
  <c r="C611" i="4"/>
  <c r="D611" i="4"/>
  <c r="E611" i="4"/>
  <c r="F611" i="4"/>
  <c r="G611" i="4"/>
  <c r="H611" i="4"/>
  <c r="I611" i="4"/>
  <c r="J611" i="4"/>
  <c r="B613" i="4"/>
  <c r="C613" i="4"/>
  <c r="D613" i="4"/>
  <c r="E613" i="4"/>
  <c r="F613" i="4"/>
  <c r="G613" i="4"/>
  <c r="H613" i="4"/>
  <c r="I613" i="4"/>
  <c r="J613" i="4"/>
  <c r="B614" i="4"/>
  <c r="C614" i="4"/>
  <c r="D614" i="4"/>
  <c r="E614" i="4"/>
  <c r="F614" i="4"/>
  <c r="G614" i="4"/>
  <c r="H614" i="4"/>
  <c r="I614" i="4"/>
  <c r="J614" i="4"/>
  <c r="B615" i="4"/>
  <c r="C615" i="4"/>
  <c r="D615" i="4"/>
  <c r="E615" i="4"/>
  <c r="F615" i="4"/>
  <c r="G615" i="4"/>
  <c r="H615" i="4"/>
  <c r="I615" i="4"/>
  <c r="J615" i="4"/>
  <c r="B616" i="4"/>
  <c r="C616" i="4"/>
  <c r="D616" i="4"/>
  <c r="E616" i="4"/>
  <c r="F616" i="4"/>
  <c r="G616" i="4"/>
  <c r="H616" i="4"/>
  <c r="I616" i="4"/>
  <c r="J616" i="4"/>
  <c r="B617" i="4"/>
  <c r="C617" i="4"/>
  <c r="D617" i="4"/>
  <c r="E617" i="4"/>
  <c r="F617" i="4"/>
  <c r="G617" i="4"/>
  <c r="H617" i="4"/>
  <c r="I617" i="4"/>
  <c r="J617" i="4"/>
  <c r="B618" i="4"/>
  <c r="C618" i="4"/>
  <c r="D618" i="4"/>
  <c r="E618" i="4"/>
  <c r="F618" i="4"/>
  <c r="G618" i="4"/>
  <c r="H618" i="4"/>
  <c r="I618" i="4"/>
  <c r="J618" i="4"/>
  <c r="B619" i="4"/>
  <c r="C619" i="4"/>
  <c r="D619" i="4"/>
  <c r="E619" i="4"/>
  <c r="F619" i="4"/>
  <c r="G619" i="4"/>
  <c r="H619" i="4"/>
  <c r="I619" i="4"/>
  <c r="J619" i="4"/>
  <c r="B620" i="4"/>
  <c r="C620" i="4"/>
  <c r="D620" i="4"/>
  <c r="E620" i="4"/>
  <c r="F620" i="4"/>
  <c r="G620" i="4"/>
  <c r="H620" i="4"/>
  <c r="I620" i="4"/>
  <c r="J620" i="4"/>
  <c r="B621" i="4"/>
  <c r="C621" i="4"/>
  <c r="D621" i="4"/>
  <c r="E621" i="4"/>
  <c r="F621" i="4"/>
  <c r="G621" i="4"/>
  <c r="H621" i="4"/>
  <c r="I621" i="4"/>
  <c r="J621" i="4"/>
  <c r="B622" i="4"/>
  <c r="C622" i="4"/>
  <c r="D622" i="4"/>
  <c r="E622" i="4"/>
  <c r="F622" i="4"/>
  <c r="G622" i="4"/>
  <c r="H622" i="4"/>
  <c r="I622" i="4"/>
  <c r="J622" i="4"/>
  <c r="B623" i="4"/>
  <c r="C623" i="4"/>
  <c r="D623" i="4"/>
  <c r="E623" i="4"/>
  <c r="F623" i="4"/>
  <c r="G623" i="4"/>
  <c r="H623" i="4"/>
  <c r="I623" i="4"/>
  <c r="J623" i="4"/>
  <c r="B624" i="4"/>
  <c r="C624" i="4"/>
  <c r="D624" i="4"/>
  <c r="E624" i="4"/>
  <c r="F624" i="4"/>
  <c r="G624" i="4"/>
  <c r="H624" i="4"/>
  <c r="I624" i="4"/>
  <c r="J624" i="4"/>
  <c r="B625" i="4"/>
  <c r="C625" i="4"/>
  <c r="D625" i="4"/>
  <c r="E625" i="4"/>
  <c r="F625" i="4"/>
  <c r="G625" i="4"/>
  <c r="H625" i="4"/>
  <c r="I625" i="4"/>
  <c r="J625" i="4"/>
  <c r="B626" i="4"/>
  <c r="C626" i="4"/>
  <c r="D626" i="4"/>
  <c r="E626" i="4"/>
  <c r="F626" i="4"/>
  <c r="G626" i="4"/>
  <c r="H626" i="4"/>
  <c r="I626" i="4"/>
  <c r="J626" i="4"/>
  <c r="B627" i="4"/>
  <c r="C627" i="4"/>
  <c r="D627" i="4"/>
  <c r="E627" i="4"/>
  <c r="F627" i="4"/>
  <c r="G627" i="4"/>
  <c r="H627" i="4"/>
  <c r="I627" i="4"/>
  <c r="J627" i="4"/>
  <c r="B628" i="4"/>
  <c r="C628" i="4"/>
  <c r="D628" i="4"/>
  <c r="E628" i="4"/>
  <c r="F628" i="4"/>
  <c r="G628" i="4"/>
  <c r="H628" i="4"/>
  <c r="I628" i="4"/>
  <c r="J628" i="4"/>
  <c r="B629" i="4"/>
  <c r="C629" i="4"/>
  <c r="D629" i="4"/>
  <c r="E629" i="4"/>
  <c r="F629" i="4"/>
  <c r="G629" i="4"/>
  <c r="H629" i="4"/>
  <c r="I629" i="4"/>
  <c r="J629" i="4"/>
  <c r="B630" i="4"/>
  <c r="C630" i="4"/>
  <c r="D630" i="4"/>
  <c r="E630" i="4"/>
  <c r="F630" i="4"/>
  <c r="G630" i="4"/>
  <c r="H630" i="4"/>
  <c r="I630" i="4"/>
  <c r="J630" i="4"/>
  <c r="B631" i="4"/>
  <c r="C631" i="4"/>
  <c r="D631" i="4"/>
  <c r="E631" i="4"/>
  <c r="F631" i="4"/>
  <c r="G631" i="4"/>
  <c r="H631" i="4"/>
  <c r="I631" i="4"/>
  <c r="J631" i="4"/>
  <c r="B632" i="4"/>
  <c r="C632" i="4"/>
  <c r="D632" i="4"/>
  <c r="E632" i="4"/>
  <c r="F632" i="4"/>
  <c r="G632" i="4"/>
  <c r="H632" i="4"/>
  <c r="I632" i="4"/>
  <c r="J632" i="4"/>
  <c r="B633" i="4"/>
  <c r="C633" i="4"/>
  <c r="D633" i="4"/>
  <c r="E633" i="4"/>
  <c r="F633" i="4"/>
  <c r="G633" i="4"/>
  <c r="H633" i="4"/>
  <c r="I633" i="4"/>
  <c r="J633" i="4"/>
  <c r="B634" i="4"/>
  <c r="C634" i="4"/>
  <c r="D634" i="4"/>
  <c r="E634" i="4"/>
  <c r="F634" i="4"/>
  <c r="G634" i="4"/>
  <c r="H634" i="4"/>
  <c r="I634" i="4"/>
  <c r="J634" i="4"/>
  <c r="B635" i="4"/>
  <c r="C635" i="4"/>
  <c r="D635" i="4"/>
  <c r="E635" i="4"/>
  <c r="F635" i="4"/>
  <c r="G635" i="4"/>
  <c r="H635" i="4"/>
  <c r="I635" i="4"/>
  <c r="J635" i="4"/>
  <c r="B636" i="4"/>
  <c r="C636" i="4"/>
  <c r="D636" i="4"/>
  <c r="E636" i="4"/>
  <c r="F636" i="4"/>
  <c r="G636" i="4"/>
  <c r="H636" i="4"/>
  <c r="I636" i="4"/>
  <c r="J636" i="4"/>
  <c r="B637" i="4"/>
  <c r="C637" i="4"/>
  <c r="D637" i="4"/>
  <c r="E637" i="4"/>
  <c r="F637" i="4"/>
  <c r="G637" i="4"/>
  <c r="H637" i="4"/>
  <c r="I637" i="4"/>
  <c r="J637" i="4"/>
  <c r="B638" i="4"/>
  <c r="C638" i="4"/>
  <c r="D638" i="4"/>
  <c r="E638" i="4"/>
  <c r="F638" i="4"/>
  <c r="G638" i="4"/>
  <c r="H638" i="4"/>
  <c r="I638" i="4"/>
  <c r="J638" i="4"/>
  <c r="A639" i="4"/>
  <c r="B639" i="4"/>
  <c r="C639" i="4"/>
  <c r="D639" i="4"/>
  <c r="E639" i="4"/>
  <c r="F639" i="4"/>
  <c r="G639" i="4"/>
  <c r="H639" i="4"/>
  <c r="I639" i="4"/>
  <c r="J639" i="4"/>
  <c r="A640" i="4"/>
  <c r="B640" i="4"/>
  <c r="C640" i="4"/>
  <c r="D640" i="4"/>
  <c r="E640" i="4"/>
  <c r="F640" i="4"/>
  <c r="G640" i="4"/>
  <c r="H640" i="4"/>
  <c r="I640" i="4"/>
  <c r="J640" i="4"/>
  <c r="A641" i="4"/>
  <c r="B641" i="4"/>
  <c r="C641" i="4"/>
  <c r="D641" i="4"/>
  <c r="E641" i="4"/>
  <c r="F641" i="4"/>
  <c r="G641" i="4"/>
  <c r="H641" i="4"/>
  <c r="I641" i="4"/>
  <c r="J641" i="4"/>
  <c r="A642" i="4"/>
  <c r="B642" i="4"/>
  <c r="C642" i="4"/>
  <c r="D642" i="4"/>
  <c r="E642" i="4"/>
  <c r="F642" i="4"/>
  <c r="G642" i="4"/>
  <c r="H642" i="4"/>
  <c r="I642" i="4"/>
  <c r="J642" i="4"/>
  <c r="A643" i="4"/>
  <c r="B643" i="4"/>
  <c r="C643" i="4"/>
  <c r="D643" i="4"/>
  <c r="E643" i="4"/>
  <c r="F643" i="4"/>
  <c r="G643" i="4"/>
  <c r="H643" i="4"/>
  <c r="I643" i="4"/>
  <c r="J643" i="4"/>
  <c r="A644" i="4"/>
  <c r="B644" i="4"/>
  <c r="C644" i="4"/>
  <c r="D644" i="4"/>
  <c r="E644" i="4"/>
  <c r="F644" i="4"/>
  <c r="G644" i="4"/>
  <c r="H644" i="4"/>
  <c r="I644" i="4"/>
  <c r="J644" i="4"/>
  <c r="A645" i="4"/>
  <c r="B645" i="4"/>
  <c r="C645" i="4"/>
  <c r="D645" i="4"/>
  <c r="E645" i="4"/>
  <c r="F645" i="4"/>
  <c r="G645" i="4"/>
  <c r="H645" i="4"/>
  <c r="I645" i="4"/>
  <c r="J645" i="4"/>
  <c r="A646" i="4"/>
  <c r="E646" i="4"/>
  <c r="I646" i="4"/>
  <c r="J646" i="4"/>
  <c r="A647" i="4"/>
  <c r="C647" i="4"/>
  <c r="G647" i="4"/>
  <c r="J647" i="4"/>
  <c r="A648" i="4"/>
  <c r="E648" i="4"/>
  <c r="I648" i="4"/>
  <c r="J648" i="4"/>
  <c r="A649" i="4"/>
  <c r="C649" i="4"/>
  <c r="G649" i="4"/>
  <c r="J649" i="4"/>
  <c r="A650" i="4"/>
  <c r="E650" i="4"/>
  <c r="I650" i="4"/>
  <c r="J650" i="4"/>
  <c r="A651" i="4"/>
  <c r="C651" i="4"/>
  <c r="G651" i="4"/>
  <c r="J651" i="4"/>
  <c r="A652" i="4"/>
  <c r="E652" i="4"/>
  <c r="I652" i="4"/>
  <c r="J652" i="4"/>
  <c r="A653" i="4"/>
  <c r="C653" i="4"/>
  <c r="G653" i="4"/>
  <c r="J653" i="4"/>
  <c r="A654" i="4"/>
  <c r="E654" i="4"/>
  <c r="I654" i="4"/>
  <c r="J654" i="4"/>
  <c r="A655" i="4"/>
  <c r="C655" i="4"/>
  <c r="G655" i="4"/>
  <c r="J655" i="4"/>
  <c r="A656" i="4"/>
  <c r="E656" i="4"/>
  <c r="I656" i="4"/>
  <c r="J656" i="4"/>
  <c r="A657" i="4"/>
  <c r="C657" i="4"/>
  <c r="G657" i="4"/>
  <c r="J657" i="4"/>
  <c r="A658" i="4"/>
  <c r="E658" i="4"/>
  <c r="I658" i="4"/>
  <c r="J658" i="4"/>
  <c r="A659" i="4"/>
  <c r="C659" i="4"/>
  <c r="G659" i="4"/>
  <c r="J659" i="4"/>
  <c r="A660" i="4"/>
  <c r="E660" i="4"/>
  <c r="I660" i="4"/>
  <c r="J660" i="4"/>
  <c r="A661" i="4"/>
  <c r="C661" i="4"/>
  <c r="G661" i="4"/>
  <c r="J661" i="4"/>
  <c r="A662" i="4"/>
  <c r="E662" i="4"/>
  <c r="I662" i="4"/>
  <c r="J662" i="4"/>
  <c r="D9" i="3"/>
  <c r="B24" i="3"/>
  <c r="C24" i="3"/>
  <c r="D24" i="3"/>
  <c r="E24" i="3"/>
  <c r="F24" i="3"/>
  <c r="G24" i="3"/>
  <c r="H24" i="3"/>
  <c r="I24" i="3"/>
  <c r="J24" i="3"/>
  <c r="K24" i="3"/>
  <c r="B25" i="3"/>
  <c r="C25" i="3"/>
  <c r="D25" i="3"/>
  <c r="E25" i="3"/>
  <c r="F25" i="3"/>
  <c r="G25" i="3"/>
  <c r="H25" i="3"/>
  <c r="I25" i="3"/>
  <c r="J25" i="3"/>
  <c r="K25" i="3"/>
  <c r="B26" i="3"/>
  <c r="C26" i="3"/>
  <c r="D26" i="3"/>
  <c r="E26" i="3"/>
  <c r="F26" i="3"/>
  <c r="G26" i="3"/>
  <c r="H26" i="3"/>
  <c r="I26" i="3"/>
  <c r="J26" i="3"/>
  <c r="K26" i="3"/>
  <c r="B27" i="3"/>
  <c r="C27" i="3"/>
  <c r="D27" i="3"/>
  <c r="E27" i="3"/>
  <c r="F27" i="3"/>
  <c r="G27" i="3"/>
  <c r="H27" i="3"/>
  <c r="I27" i="3"/>
  <c r="J27" i="3"/>
  <c r="K27" i="3"/>
  <c r="B28" i="3"/>
  <c r="C28" i="3"/>
  <c r="D28" i="3"/>
  <c r="E28" i="3"/>
  <c r="F28" i="3"/>
  <c r="G28" i="3"/>
  <c r="H28" i="3"/>
  <c r="I28" i="3"/>
  <c r="J28" i="3"/>
  <c r="K28" i="3"/>
  <c r="B29" i="3"/>
  <c r="C29" i="3"/>
  <c r="D29" i="3"/>
  <c r="E29" i="3"/>
  <c r="F29" i="3"/>
  <c r="G29" i="3"/>
  <c r="H29" i="3"/>
  <c r="I29" i="3"/>
  <c r="J29" i="3"/>
  <c r="K29" i="3"/>
  <c r="B30" i="3"/>
  <c r="C30" i="3"/>
  <c r="D30" i="3"/>
  <c r="E30" i="3"/>
  <c r="F30" i="3"/>
  <c r="G30" i="3"/>
  <c r="H30" i="3"/>
  <c r="I30" i="3"/>
  <c r="J30" i="3"/>
  <c r="K30" i="3"/>
  <c r="B31" i="3"/>
  <c r="C31" i="3"/>
  <c r="D31" i="3"/>
  <c r="E31" i="3"/>
  <c r="F31" i="3"/>
  <c r="G31" i="3"/>
  <c r="H31" i="3"/>
  <c r="I31" i="3"/>
  <c r="J31" i="3"/>
  <c r="K31" i="3"/>
  <c r="B32" i="3"/>
  <c r="C32" i="3"/>
  <c r="D32" i="3"/>
  <c r="E32" i="3"/>
  <c r="F32" i="3"/>
  <c r="G32" i="3"/>
  <c r="H32" i="3"/>
  <c r="I32" i="3"/>
  <c r="J32" i="3"/>
  <c r="K32" i="3"/>
  <c r="B33" i="3"/>
  <c r="C33" i="3"/>
  <c r="D33" i="3"/>
  <c r="E33" i="3"/>
  <c r="F33" i="3"/>
  <c r="G33" i="3"/>
  <c r="H33" i="3"/>
  <c r="I33" i="3"/>
  <c r="J33" i="3"/>
  <c r="K33" i="3"/>
  <c r="B34" i="3"/>
  <c r="C34" i="3"/>
  <c r="D34" i="3"/>
  <c r="E34" i="3"/>
  <c r="F34" i="3"/>
  <c r="G34" i="3"/>
  <c r="H34" i="3"/>
  <c r="I34" i="3"/>
  <c r="J34" i="3"/>
  <c r="K34" i="3"/>
  <c r="B35" i="3"/>
  <c r="C35" i="3"/>
  <c r="D35" i="3"/>
  <c r="E35" i="3"/>
  <c r="F35" i="3"/>
  <c r="G35" i="3"/>
  <c r="H35" i="3"/>
  <c r="I35" i="3"/>
  <c r="J35" i="3"/>
  <c r="K35" i="3"/>
  <c r="B36" i="3"/>
  <c r="C36" i="3"/>
  <c r="D36" i="3"/>
  <c r="E36" i="3"/>
  <c r="F36" i="3"/>
  <c r="G36" i="3"/>
  <c r="H36" i="3"/>
  <c r="I36" i="3"/>
  <c r="J36" i="3"/>
  <c r="K36" i="3"/>
  <c r="B37" i="3"/>
  <c r="C37" i="3"/>
  <c r="D37" i="3"/>
  <c r="E37" i="3"/>
  <c r="F37" i="3"/>
  <c r="G37" i="3"/>
  <c r="H37" i="3"/>
  <c r="I37" i="3"/>
  <c r="J37" i="3"/>
  <c r="K37" i="3"/>
  <c r="B38" i="3"/>
  <c r="C38" i="3"/>
  <c r="D38" i="3"/>
  <c r="E38" i="3"/>
  <c r="F38" i="3"/>
  <c r="G38" i="3"/>
  <c r="H38" i="3"/>
  <c r="I38" i="3"/>
  <c r="J38" i="3"/>
  <c r="K38" i="3"/>
  <c r="B39" i="3"/>
  <c r="C39" i="3"/>
  <c r="D39" i="3"/>
  <c r="E39" i="3"/>
  <c r="F39" i="3"/>
  <c r="G39" i="3"/>
  <c r="H39" i="3"/>
  <c r="I39" i="3"/>
  <c r="J39" i="3"/>
  <c r="K39" i="3"/>
  <c r="B40" i="3"/>
  <c r="C40" i="3"/>
  <c r="D40" i="3"/>
  <c r="E40" i="3"/>
  <c r="F40" i="3"/>
  <c r="G40" i="3"/>
  <c r="H40" i="3"/>
  <c r="I40" i="3"/>
  <c r="J40" i="3"/>
  <c r="K40" i="3"/>
  <c r="B41" i="3"/>
  <c r="C41" i="3"/>
  <c r="D41" i="3"/>
  <c r="E41" i="3"/>
  <c r="F41" i="3"/>
  <c r="G41" i="3"/>
  <c r="H41" i="3"/>
  <c r="I41" i="3"/>
  <c r="J41" i="3"/>
  <c r="K41" i="3"/>
  <c r="B42" i="3"/>
  <c r="C42" i="3"/>
  <c r="D42" i="3"/>
  <c r="E42" i="3"/>
  <c r="F42" i="3"/>
  <c r="G42" i="3"/>
  <c r="H42" i="3"/>
  <c r="I42" i="3"/>
  <c r="J42" i="3"/>
  <c r="K42" i="3"/>
  <c r="B43" i="3"/>
  <c r="C43" i="3"/>
  <c r="D43" i="3"/>
  <c r="E43" i="3"/>
  <c r="F43" i="3"/>
  <c r="G43" i="3"/>
  <c r="H43" i="3"/>
  <c r="I43" i="3"/>
  <c r="J43" i="3"/>
  <c r="K43" i="3"/>
  <c r="B44" i="3"/>
  <c r="C44" i="3"/>
  <c r="D44" i="3"/>
  <c r="E44" i="3"/>
  <c r="F44" i="3"/>
  <c r="G44" i="3"/>
  <c r="H44" i="3"/>
  <c r="I44" i="3"/>
  <c r="J44" i="3"/>
  <c r="K44" i="3"/>
  <c r="B45" i="3"/>
  <c r="C45" i="3"/>
  <c r="D45" i="3"/>
  <c r="E45" i="3"/>
  <c r="F45" i="3"/>
  <c r="G45" i="3"/>
  <c r="H45" i="3"/>
  <c r="I45" i="3"/>
  <c r="J45" i="3"/>
  <c r="K45" i="3"/>
  <c r="B46" i="3"/>
  <c r="C46" i="3"/>
  <c r="D46" i="3"/>
  <c r="E46" i="3"/>
  <c r="F46" i="3"/>
  <c r="G46" i="3"/>
  <c r="H46" i="3"/>
  <c r="I46" i="3"/>
  <c r="J46" i="3"/>
  <c r="K46" i="3"/>
  <c r="B47" i="3"/>
  <c r="C47" i="3"/>
  <c r="D47" i="3"/>
  <c r="E47" i="3"/>
  <c r="F47" i="3"/>
  <c r="G47" i="3"/>
  <c r="H47" i="3"/>
  <c r="I47" i="3"/>
  <c r="J47" i="3"/>
  <c r="K47" i="3"/>
  <c r="B48" i="3"/>
  <c r="C48" i="3"/>
  <c r="D48" i="3"/>
  <c r="E48" i="3"/>
  <c r="F48" i="3"/>
  <c r="G48" i="3"/>
  <c r="H48" i="3"/>
  <c r="I48" i="3"/>
  <c r="J48" i="3"/>
  <c r="K48" i="3"/>
  <c r="B49" i="3"/>
  <c r="C49" i="3"/>
  <c r="D49" i="3"/>
  <c r="E49" i="3"/>
  <c r="F49" i="3"/>
  <c r="G49" i="3"/>
  <c r="H49" i="3"/>
  <c r="I49" i="3"/>
  <c r="J49" i="3"/>
  <c r="K49" i="3"/>
  <c r="B50" i="3"/>
  <c r="C50" i="3"/>
  <c r="D50" i="3"/>
  <c r="E50" i="3"/>
  <c r="F50" i="3"/>
  <c r="G50" i="3"/>
  <c r="H50" i="3"/>
  <c r="I50" i="3"/>
  <c r="J50" i="3"/>
  <c r="K50" i="3"/>
  <c r="B51" i="3"/>
  <c r="C51" i="3"/>
  <c r="D51" i="3"/>
  <c r="E51" i="3"/>
  <c r="F51" i="3"/>
  <c r="G51" i="3"/>
  <c r="H51" i="3"/>
  <c r="I51" i="3"/>
  <c r="J51" i="3"/>
  <c r="K51" i="3"/>
  <c r="B52" i="3"/>
  <c r="C52" i="3"/>
  <c r="D52" i="3"/>
  <c r="E52" i="3"/>
  <c r="F52" i="3"/>
  <c r="G52" i="3"/>
  <c r="H52" i="3"/>
  <c r="I52" i="3"/>
  <c r="J52" i="3"/>
  <c r="K52" i="3"/>
  <c r="B53" i="3"/>
  <c r="C53" i="3"/>
  <c r="D53" i="3"/>
  <c r="E53" i="3"/>
  <c r="F53" i="3"/>
  <c r="G53" i="3"/>
  <c r="H53" i="3"/>
  <c r="I53" i="3"/>
  <c r="J53" i="3"/>
  <c r="K53" i="3"/>
  <c r="B54" i="3"/>
  <c r="C54" i="3"/>
  <c r="D54" i="3"/>
  <c r="E54" i="3"/>
  <c r="F54" i="3"/>
  <c r="G54" i="3"/>
  <c r="H54" i="3"/>
  <c r="I54" i="3"/>
  <c r="J54" i="3"/>
  <c r="K54" i="3"/>
  <c r="B55" i="3"/>
  <c r="C55" i="3"/>
  <c r="D55" i="3"/>
  <c r="E55" i="3"/>
  <c r="F55" i="3"/>
  <c r="G55" i="3"/>
  <c r="H55" i="3"/>
  <c r="I55" i="3"/>
  <c r="J55" i="3"/>
  <c r="K55" i="3"/>
  <c r="B56" i="3"/>
  <c r="C56" i="3"/>
  <c r="D56" i="3"/>
  <c r="E56" i="3"/>
  <c r="F56" i="3"/>
  <c r="G56" i="3"/>
  <c r="H56" i="3"/>
  <c r="I56" i="3"/>
  <c r="J56" i="3"/>
  <c r="K56" i="3"/>
  <c r="B57" i="3"/>
  <c r="C57" i="3"/>
  <c r="D57" i="3"/>
  <c r="E57" i="3"/>
  <c r="F57" i="3"/>
  <c r="G57" i="3"/>
  <c r="H57" i="3"/>
  <c r="I57" i="3"/>
  <c r="J57" i="3"/>
  <c r="K57" i="3"/>
  <c r="B58" i="3"/>
  <c r="C58" i="3"/>
  <c r="D58" i="3"/>
  <c r="E58" i="3"/>
  <c r="F58" i="3"/>
  <c r="G58" i="3"/>
  <c r="H58" i="3"/>
  <c r="I58" i="3"/>
  <c r="J58" i="3"/>
  <c r="K58" i="3"/>
  <c r="B59" i="3"/>
  <c r="C59" i="3"/>
  <c r="D59" i="3"/>
  <c r="E59" i="3"/>
  <c r="F59" i="3"/>
  <c r="G59" i="3"/>
  <c r="H59" i="3"/>
  <c r="I59" i="3"/>
  <c r="J59" i="3"/>
  <c r="K59" i="3"/>
  <c r="B60" i="3"/>
  <c r="C60" i="3"/>
  <c r="D60" i="3"/>
  <c r="E60" i="3"/>
  <c r="F60" i="3"/>
  <c r="G60" i="3"/>
  <c r="H60" i="3"/>
  <c r="I60" i="3"/>
  <c r="J60" i="3"/>
  <c r="K60" i="3"/>
  <c r="B61" i="3"/>
  <c r="C61" i="3"/>
  <c r="D61" i="3"/>
  <c r="E61" i="3"/>
  <c r="F61" i="3"/>
  <c r="G61" i="3"/>
  <c r="H61" i="3"/>
  <c r="I61" i="3"/>
  <c r="J61" i="3"/>
  <c r="K61" i="3"/>
  <c r="B62" i="3"/>
  <c r="C62" i="3"/>
  <c r="D62" i="3"/>
  <c r="E62" i="3"/>
  <c r="F62" i="3"/>
  <c r="G62" i="3"/>
  <c r="H62" i="3"/>
  <c r="I62" i="3"/>
  <c r="J62" i="3"/>
  <c r="K62" i="3"/>
  <c r="B63" i="3"/>
  <c r="C63" i="3"/>
  <c r="D63" i="3"/>
  <c r="E63" i="3"/>
  <c r="F63" i="3"/>
  <c r="G63" i="3"/>
  <c r="H63" i="3"/>
  <c r="I63" i="3"/>
  <c r="J63" i="3"/>
  <c r="K63" i="3"/>
  <c r="B64" i="3"/>
  <c r="C64" i="3"/>
  <c r="D64" i="3"/>
  <c r="E64" i="3"/>
  <c r="F64" i="3"/>
  <c r="G64" i="3"/>
  <c r="H64" i="3"/>
  <c r="I64" i="3"/>
  <c r="J64" i="3"/>
  <c r="K64" i="3"/>
  <c r="B65" i="3"/>
  <c r="C65" i="3"/>
  <c r="D65" i="3"/>
  <c r="E65" i="3"/>
  <c r="F65" i="3"/>
  <c r="G65" i="3"/>
  <c r="H65" i="3"/>
  <c r="I65" i="3"/>
  <c r="J65" i="3"/>
  <c r="K65" i="3"/>
  <c r="B66" i="3"/>
  <c r="C66" i="3"/>
  <c r="D66" i="3"/>
  <c r="E66" i="3"/>
  <c r="F66" i="3"/>
  <c r="G66" i="3"/>
  <c r="H66" i="3"/>
  <c r="I66" i="3"/>
  <c r="J66" i="3"/>
  <c r="K66" i="3"/>
  <c r="B67" i="3"/>
  <c r="C67" i="3"/>
  <c r="D67" i="3"/>
  <c r="E67" i="3"/>
  <c r="F67" i="3"/>
  <c r="G67" i="3"/>
  <c r="H67" i="3"/>
  <c r="I67" i="3"/>
  <c r="J67" i="3"/>
  <c r="K67" i="3"/>
  <c r="B68" i="3"/>
  <c r="C68" i="3"/>
  <c r="D68" i="3"/>
  <c r="E68" i="3"/>
  <c r="F68" i="3"/>
  <c r="G68" i="3"/>
  <c r="H68" i="3"/>
  <c r="I68" i="3"/>
  <c r="J68" i="3"/>
  <c r="K68" i="3"/>
  <c r="B69" i="3"/>
  <c r="C69" i="3"/>
  <c r="D69" i="3"/>
  <c r="E69" i="3"/>
  <c r="F69" i="3"/>
  <c r="G69" i="3"/>
  <c r="H69" i="3"/>
  <c r="I69" i="3"/>
  <c r="J69" i="3"/>
  <c r="K69" i="3"/>
  <c r="B70" i="3"/>
  <c r="C70" i="3"/>
  <c r="D70" i="3"/>
  <c r="E70" i="3"/>
  <c r="F70" i="3"/>
  <c r="G70" i="3"/>
  <c r="H70" i="3"/>
  <c r="I70" i="3"/>
  <c r="J70" i="3"/>
  <c r="K70" i="3"/>
  <c r="B71" i="3"/>
  <c r="C71" i="3"/>
  <c r="D71" i="3"/>
  <c r="E71" i="3"/>
  <c r="F71" i="3"/>
  <c r="G71" i="3"/>
  <c r="H71" i="3"/>
  <c r="I71" i="3"/>
  <c r="J71" i="3"/>
  <c r="K71" i="3"/>
  <c r="B72" i="3"/>
  <c r="C72" i="3"/>
  <c r="D72" i="3"/>
  <c r="E72" i="3"/>
  <c r="F72" i="3"/>
  <c r="G72" i="3"/>
  <c r="H72" i="3"/>
  <c r="I72" i="3"/>
  <c r="J72" i="3"/>
  <c r="K72" i="3"/>
  <c r="B73" i="3"/>
  <c r="C73" i="3"/>
  <c r="D73" i="3"/>
  <c r="E73" i="3"/>
  <c r="F73" i="3"/>
  <c r="G73" i="3"/>
  <c r="H73" i="3"/>
  <c r="I73" i="3"/>
  <c r="J73" i="3"/>
  <c r="K73" i="3"/>
  <c r="B74" i="3"/>
  <c r="C74" i="3"/>
  <c r="D74" i="3"/>
  <c r="E74" i="3"/>
  <c r="F74" i="3"/>
  <c r="G74" i="3"/>
  <c r="H74" i="3"/>
  <c r="I74" i="3"/>
  <c r="J74" i="3"/>
  <c r="K74" i="3"/>
  <c r="B75" i="3"/>
  <c r="C75" i="3"/>
  <c r="D75" i="3"/>
  <c r="E75" i="3"/>
  <c r="F75" i="3"/>
  <c r="G75" i="3"/>
  <c r="H75" i="3"/>
  <c r="I75" i="3"/>
  <c r="J75" i="3"/>
  <c r="K75" i="3"/>
  <c r="B76" i="3"/>
  <c r="C76" i="3"/>
  <c r="D76" i="3"/>
  <c r="E76" i="3"/>
  <c r="F76" i="3"/>
  <c r="G76" i="3"/>
  <c r="H76" i="3"/>
  <c r="I76" i="3"/>
  <c r="J76" i="3"/>
  <c r="K76" i="3"/>
  <c r="B77" i="3"/>
  <c r="C77" i="3"/>
  <c r="D77" i="3"/>
  <c r="E77" i="3"/>
  <c r="F77" i="3"/>
  <c r="G77" i="3"/>
  <c r="H77" i="3"/>
  <c r="I77" i="3"/>
  <c r="J77" i="3"/>
  <c r="K77" i="3"/>
  <c r="B78" i="3"/>
  <c r="C78" i="3"/>
  <c r="D78" i="3"/>
  <c r="E78" i="3"/>
  <c r="F78" i="3"/>
  <c r="G78" i="3"/>
  <c r="H78" i="3"/>
  <c r="I78" i="3"/>
  <c r="J78" i="3"/>
  <c r="K78" i="3"/>
  <c r="B79" i="3"/>
  <c r="C79" i="3"/>
  <c r="D79" i="3"/>
  <c r="E79" i="3"/>
  <c r="F79" i="3"/>
  <c r="G79" i="3"/>
  <c r="H79" i="3"/>
  <c r="I79" i="3"/>
  <c r="J79" i="3"/>
  <c r="K79" i="3"/>
  <c r="B80" i="3"/>
  <c r="C80" i="3"/>
  <c r="D80" i="3"/>
  <c r="E80" i="3"/>
  <c r="F80" i="3"/>
  <c r="G80" i="3"/>
  <c r="H80" i="3"/>
  <c r="I80" i="3"/>
  <c r="J80" i="3"/>
  <c r="K80" i="3"/>
  <c r="B81" i="3"/>
  <c r="C81" i="3"/>
  <c r="D81" i="3"/>
  <c r="E81" i="3"/>
  <c r="F81" i="3"/>
  <c r="G81" i="3"/>
  <c r="H81" i="3"/>
  <c r="I81" i="3"/>
  <c r="J81" i="3"/>
  <c r="K81" i="3"/>
  <c r="B82" i="3"/>
  <c r="C82" i="3"/>
  <c r="D82" i="3"/>
  <c r="E82" i="3"/>
  <c r="F82" i="3"/>
  <c r="G82" i="3"/>
  <c r="H82" i="3"/>
  <c r="I82" i="3"/>
  <c r="J82" i="3"/>
  <c r="K82" i="3"/>
  <c r="B83" i="3"/>
  <c r="C83" i="3"/>
  <c r="D83" i="3"/>
  <c r="E83" i="3"/>
  <c r="F83" i="3"/>
  <c r="G83" i="3"/>
  <c r="H83" i="3"/>
  <c r="I83" i="3"/>
  <c r="J83" i="3"/>
  <c r="K83" i="3"/>
  <c r="B84" i="3"/>
  <c r="C84" i="3"/>
  <c r="D84" i="3"/>
  <c r="E84" i="3"/>
  <c r="F84" i="3"/>
  <c r="G84" i="3"/>
  <c r="H84" i="3"/>
  <c r="I84" i="3"/>
  <c r="J84" i="3"/>
  <c r="K84" i="3"/>
  <c r="B85" i="3"/>
  <c r="C85" i="3"/>
  <c r="D85" i="3"/>
  <c r="E85" i="3"/>
  <c r="F85" i="3"/>
  <c r="G85" i="3"/>
  <c r="H85" i="3"/>
  <c r="I85" i="3"/>
  <c r="J85" i="3"/>
  <c r="K85" i="3"/>
  <c r="B86" i="3"/>
  <c r="C86" i="3"/>
  <c r="D86" i="3"/>
  <c r="E86" i="3"/>
  <c r="F86" i="3"/>
  <c r="G86" i="3"/>
  <c r="H86" i="3"/>
  <c r="I86" i="3"/>
  <c r="J86" i="3"/>
  <c r="K86" i="3"/>
  <c r="B87" i="3"/>
  <c r="C87" i="3"/>
  <c r="D87" i="3"/>
  <c r="E87" i="3"/>
  <c r="F87" i="3"/>
  <c r="G87" i="3"/>
  <c r="H87" i="3"/>
  <c r="I87" i="3"/>
  <c r="J87" i="3"/>
  <c r="K87" i="3"/>
  <c r="B88" i="3"/>
  <c r="C88" i="3"/>
  <c r="D88" i="3"/>
  <c r="E88" i="3"/>
  <c r="F88" i="3"/>
  <c r="G88" i="3"/>
  <c r="H88" i="3"/>
  <c r="I88" i="3"/>
  <c r="J88" i="3"/>
  <c r="K88" i="3"/>
  <c r="B89" i="3"/>
  <c r="C89" i="3"/>
  <c r="D89" i="3"/>
  <c r="E89" i="3"/>
  <c r="F89" i="3"/>
  <c r="G89" i="3"/>
  <c r="H89" i="3"/>
  <c r="I89" i="3"/>
  <c r="J89" i="3"/>
  <c r="K89" i="3"/>
  <c r="B90" i="3"/>
  <c r="C90" i="3"/>
  <c r="D90" i="3"/>
  <c r="E90" i="3"/>
  <c r="F90" i="3"/>
  <c r="G90" i="3"/>
  <c r="H90" i="3"/>
  <c r="I90" i="3"/>
  <c r="J90" i="3"/>
  <c r="K90" i="3"/>
  <c r="B91" i="3"/>
  <c r="C91" i="3"/>
  <c r="D91" i="3"/>
  <c r="E91" i="3"/>
  <c r="F91" i="3"/>
  <c r="G91" i="3"/>
  <c r="H91" i="3"/>
  <c r="I91" i="3"/>
  <c r="J91" i="3"/>
  <c r="K91" i="3"/>
  <c r="B92" i="3"/>
  <c r="C92" i="3"/>
  <c r="D92" i="3"/>
  <c r="E92" i="3"/>
  <c r="F92" i="3"/>
  <c r="G92" i="3"/>
  <c r="H92" i="3"/>
  <c r="I92" i="3"/>
  <c r="J92" i="3"/>
  <c r="K92" i="3"/>
  <c r="B93" i="3"/>
  <c r="C93" i="3"/>
  <c r="D93" i="3"/>
  <c r="E93" i="3"/>
  <c r="F93" i="3"/>
  <c r="G93" i="3"/>
  <c r="H93" i="3"/>
  <c r="I93" i="3"/>
  <c r="J93" i="3"/>
  <c r="K93" i="3"/>
  <c r="B94" i="3"/>
  <c r="C94" i="3"/>
  <c r="D94" i="3"/>
  <c r="E94" i="3"/>
  <c r="F94" i="3"/>
  <c r="G94" i="3"/>
  <c r="H94" i="3"/>
  <c r="I94" i="3"/>
  <c r="J94" i="3"/>
  <c r="K94" i="3"/>
  <c r="B95" i="3"/>
  <c r="C95" i="3"/>
  <c r="D95" i="3"/>
  <c r="E95" i="3"/>
  <c r="F95" i="3"/>
  <c r="G95" i="3"/>
  <c r="H95" i="3"/>
  <c r="I95" i="3"/>
  <c r="J95" i="3"/>
  <c r="K95" i="3"/>
  <c r="B96" i="3"/>
  <c r="C96" i="3"/>
  <c r="D96" i="3"/>
  <c r="E96" i="3"/>
  <c r="F96" i="3"/>
  <c r="G96" i="3"/>
  <c r="H96" i="3"/>
  <c r="I96" i="3"/>
  <c r="J96" i="3"/>
  <c r="K96" i="3"/>
  <c r="B97" i="3"/>
  <c r="C97" i="3"/>
  <c r="D97" i="3"/>
  <c r="E97" i="3"/>
  <c r="F97" i="3"/>
  <c r="G97" i="3"/>
  <c r="H97" i="3"/>
  <c r="I97" i="3"/>
  <c r="J97" i="3"/>
  <c r="K97" i="3"/>
  <c r="B98" i="3"/>
  <c r="C98" i="3"/>
  <c r="D98" i="3"/>
  <c r="E98" i="3"/>
  <c r="F98" i="3"/>
  <c r="G98" i="3"/>
  <c r="H98" i="3"/>
  <c r="I98" i="3"/>
  <c r="J98" i="3"/>
  <c r="K98" i="3"/>
  <c r="B99" i="3"/>
  <c r="C99" i="3"/>
  <c r="D99" i="3"/>
  <c r="E99" i="3"/>
  <c r="F99" i="3"/>
  <c r="G99" i="3"/>
  <c r="H99" i="3"/>
  <c r="I99" i="3"/>
  <c r="J99" i="3"/>
  <c r="K99" i="3"/>
  <c r="B100" i="3"/>
  <c r="C100" i="3"/>
  <c r="D100" i="3"/>
  <c r="E100" i="3"/>
  <c r="F100" i="3"/>
  <c r="G100" i="3"/>
  <c r="H100" i="3"/>
  <c r="I100" i="3"/>
  <c r="J100" i="3"/>
  <c r="K100" i="3"/>
  <c r="B101" i="3"/>
  <c r="C101" i="3"/>
  <c r="D101" i="3"/>
  <c r="E101" i="3"/>
  <c r="F101" i="3"/>
  <c r="G101" i="3"/>
  <c r="H101" i="3"/>
  <c r="I101" i="3"/>
  <c r="J101" i="3"/>
  <c r="K101" i="3"/>
  <c r="B102" i="3"/>
  <c r="C102" i="3"/>
  <c r="D102" i="3"/>
  <c r="E102" i="3"/>
  <c r="F102" i="3"/>
  <c r="G102" i="3"/>
  <c r="H102" i="3"/>
  <c r="I102" i="3"/>
  <c r="J102" i="3"/>
  <c r="K102" i="3"/>
  <c r="B103" i="3"/>
  <c r="C103" i="3"/>
  <c r="D103" i="3"/>
  <c r="E103" i="3"/>
  <c r="F103" i="3"/>
  <c r="G103" i="3"/>
  <c r="H103" i="3"/>
  <c r="I103" i="3"/>
  <c r="J103" i="3"/>
  <c r="K103" i="3"/>
  <c r="B104" i="3"/>
  <c r="C104" i="3"/>
  <c r="D104" i="3"/>
  <c r="E104" i="3"/>
  <c r="F104" i="3"/>
  <c r="G104" i="3"/>
  <c r="H104" i="3"/>
  <c r="I104" i="3"/>
  <c r="J104" i="3"/>
  <c r="K104" i="3"/>
  <c r="B105" i="3"/>
  <c r="C105" i="3"/>
  <c r="D105" i="3"/>
  <c r="E105" i="3"/>
  <c r="F105" i="3"/>
  <c r="G105" i="3"/>
  <c r="H105" i="3"/>
  <c r="I105" i="3"/>
  <c r="J105" i="3"/>
  <c r="K105" i="3"/>
  <c r="B106" i="3"/>
  <c r="C106" i="3"/>
  <c r="D106" i="3"/>
  <c r="E106" i="3"/>
  <c r="F106" i="3"/>
  <c r="G106" i="3"/>
  <c r="H106" i="3"/>
  <c r="I106" i="3"/>
  <c r="J106" i="3"/>
  <c r="K106" i="3"/>
  <c r="B107" i="3"/>
  <c r="C107" i="3"/>
  <c r="D107" i="3"/>
  <c r="E107" i="3"/>
  <c r="F107" i="3"/>
  <c r="G107" i="3"/>
  <c r="H107" i="3"/>
  <c r="I107" i="3"/>
  <c r="J107" i="3"/>
  <c r="K107" i="3"/>
  <c r="B108" i="3"/>
  <c r="C108" i="3"/>
  <c r="D108" i="3"/>
  <c r="E108" i="3"/>
  <c r="F108" i="3"/>
  <c r="G108" i="3"/>
  <c r="H108" i="3"/>
  <c r="I108" i="3"/>
  <c r="J108" i="3"/>
  <c r="K108" i="3"/>
  <c r="B109" i="3"/>
  <c r="C109" i="3"/>
  <c r="D109" i="3"/>
  <c r="E109" i="3"/>
  <c r="F109" i="3"/>
  <c r="G109" i="3"/>
  <c r="H109" i="3"/>
  <c r="I109" i="3"/>
  <c r="J109" i="3"/>
  <c r="K109" i="3"/>
  <c r="B110" i="3"/>
  <c r="C110" i="3"/>
  <c r="D110" i="3"/>
  <c r="E110" i="3"/>
  <c r="F110" i="3"/>
  <c r="G110" i="3"/>
  <c r="H110" i="3"/>
  <c r="I110" i="3"/>
  <c r="J110" i="3"/>
  <c r="K110" i="3"/>
  <c r="B111" i="3"/>
  <c r="C111" i="3"/>
  <c r="D111" i="3"/>
  <c r="E111" i="3"/>
  <c r="F111" i="3"/>
  <c r="G111" i="3"/>
  <c r="H111" i="3"/>
  <c r="I111" i="3"/>
  <c r="J111" i="3"/>
  <c r="K111" i="3"/>
  <c r="B112" i="3"/>
  <c r="C112" i="3"/>
  <c r="D112" i="3"/>
  <c r="E112" i="3"/>
  <c r="F112" i="3"/>
  <c r="G112" i="3"/>
  <c r="H112" i="3"/>
  <c r="I112" i="3"/>
  <c r="J112" i="3"/>
  <c r="K112" i="3"/>
  <c r="B113" i="3"/>
  <c r="C113" i="3"/>
  <c r="D113" i="3"/>
  <c r="E113" i="3"/>
  <c r="F113" i="3"/>
  <c r="G113" i="3"/>
  <c r="H113" i="3"/>
  <c r="I113" i="3"/>
  <c r="J113" i="3"/>
  <c r="K113" i="3"/>
  <c r="B114" i="3"/>
  <c r="C114" i="3"/>
  <c r="D114" i="3"/>
  <c r="E114" i="3"/>
  <c r="F114" i="3"/>
  <c r="G114" i="3"/>
  <c r="H114" i="3"/>
  <c r="I114" i="3"/>
  <c r="J114" i="3"/>
  <c r="K114" i="3"/>
  <c r="B115" i="3"/>
  <c r="C115" i="3"/>
  <c r="D115" i="3"/>
  <c r="E115" i="3"/>
  <c r="F115" i="3"/>
  <c r="G115" i="3"/>
  <c r="H115" i="3"/>
  <c r="I115" i="3"/>
  <c r="J115" i="3"/>
  <c r="K115" i="3"/>
  <c r="B116" i="3"/>
  <c r="C116" i="3"/>
  <c r="D116" i="3"/>
  <c r="E116" i="3"/>
  <c r="F116" i="3"/>
  <c r="G116" i="3"/>
  <c r="H116" i="3"/>
  <c r="I116" i="3"/>
  <c r="J116" i="3"/>
  <c r="K116" i="3"/>
  <c r="B117" i="3"/>
  <c r="C117" i="3"/>
  <c r="D117" i="3"/>
  <c r="E117" i="3"/>
  <c r="F117" i="3"/>
  <c r="G117" i="3"/>
  <c r="H117" i="3"/>
  <c r="I117" i="3"/>
  <c r="J117" i="3"/>
  <c r="K117" i="3"/>
  <c r="B118" i="3"/>
  <c r="C118" i="3"/>
  <c r="D118" i="3"/>
  <c r="E118" i="3"/>
  <c r="F118" i="3"/>
  <c r="G118" i="3"/>
  <c r="H118" i="3"/>
  <c r="I118" i="3"/>
  <c r="J118" i="3"/>
  <c r="K118" i="3"/>
  <c r="B119" i="3"/>
  <c r="C119" i="3"/>
  <c r="D119" i="3"/>
  <c r="E119" i="3"/>
  <c r="F119" i="3"/>
  <c r="G119" i="3"/>
  <c r="H119" i="3"/>
  <c r="I119" i="3"/>
  <c r="J119" i="3"/>
  <c r="K119" i="3"/>
  <c r="B120" i="3"/>
  <c r="C120" i="3"/>
  <c r="D120" i="3"/>
  <c r="E120" i="3"/>
  <c r="F120" i="3"/>
  <c r="G120" i="3"/>
  <c r="H120" i="3"/>
  <c r="I120" i="3"/>
  <c r="J120" i="3"/>
  <c r="K120" i="3"/>
  <c r="B121" i="3"/>
  <c r="C121" i="3"/>
  <c r="D121" i="3"/>
  <c r="E121" i="3"/>
  <c r="F121" i="3"/>
  <c r="G121" i="3"/>
  <c r="H121" i="3"/>
  <c r="I121" i="3"/>
  <c r="J121" i="3"/>
  <c r="K121" i="3"/>
  <c r="B122" i="3"/>
  <c r="C122" i="3"/>
  <c r="D122" i="3"/>
  <c r="E122" i="3"/>
  <c r="F122" i="3"/>
  <c r="G122" i="3"/>
  <c r="H122" i="3"/>
  <c r="I122" i="3"/>
  <c r="J122" i="3"/>
  <c r="K122" i="3"/>
  <c r="B123" i="3"/>
  <c r="C123" i="3"/>
  <c r="D123" i="3"/>
  <c r="E123" i="3"/>
  <c r="F123" i="3"/>
  <c r="G123" i="3"/>
  <c r="H123" i="3"/>
  <c r="I123" i="3"/>
  <c r="J123" i="3"/>
  <c r="K123" i="3"/>
  <c r="B124" i="3"/>
  <c r="C124" i="3"/>
  <c r="D124" i="3"/>
  <c r="E124" i="3"/>
  <c r="F124" i="3"/>
  <c r="G124" i="3"/>
  <c r="H124" i="3"/>
  <c r="I124" i="3"/>
  <c r="J124" i="3"/>
  <c r="K124" i="3"/>
  <c r="B125" i="3"/>
  <c r="C125" i="3"/>
  <c r="D125" i="3"/>
  <c r="E125" i="3"/>
  <c r="F125" i="3"/>
  <c r="G125" i="3"/>
  <c r="H125" i="3"/>
  <c r="I125" i="3"/>
  <c r="J125" i="3"/>
  <c r="K125" i="3"/>
  <c r="B126" i="3"/>
  <c r="C126" i="3"/>
  <c r="D126" i="3"/>
  <c r="E126" i="3"/>
  <c r="F126" i="3"/>
  <c r="G126" i="3"/>
  <c r="H126" i="3"/>
  <c r="I126" i="3"/>
  <c r="J126" i="3"/>
  <c r="K126" i="3"/>
  <c r="B127" i="3"/>
  <c r="C127" i="3"/>
  <c r="D127" i="3"/>
  <c r="E127" i="3"/>
  <c r="F127" i="3"/>
  <c r="G127" i="3"/>
  <c r="H127" i="3"/>
  <c r="I127" i="3"/>
  <c r="J127" i="3"/>
  <c r="K127" i="3"/>
  <c r="B128" i="3"/>
  <c r="C128" i="3"/>
  <c r="D128" i="3"/>
  <c r="E128" i="3"/>
  <c r="F128" i="3"/>
  <c r="G128" i="3"/>
  <c r="H128" i="3"/>
  <c r="I128" i="3"/>
  <c r="J128" i="3"/>
  <c r="K128" i="3"/>
  <c r="B129" i="3"/>
  <c r="C129" i="3"/>
  <c r="D129" i="3"/>
  <c r="E129" i="3"/>
  <c r="F129" i="3"/>
  <c r="G129" i="3"/>
  <c r="H129" i="3"/>
  <c r="I129" i="3"/>
  <c r="J129" i="3"/>
  <c r="K129" i="3"/>
  <c r="B130" i="3"/>
  <c r="C130" i="3"/>
  <c r="D130" i="3"/>
  <c r="E130" i="3"/>
  <c r="F130" i="3"/>
  <c r="G130" i="3"/>
  <c r="H130" i="3"/>
  <c r="I130" i="3"/>
  <c r="J130" i="3"/>
  <c r="K130" i="3"/>
  <c r="B131" i="3"/>
  <c r="C131" i="3"/>
  <c r="D131" i="3"/>
  <c r="E131" i="3"/>
  <c r="F131" i="3"/>
  <c r="G131" i="3"/>
  <c r="H131" i="3"/>
  <c r="I131" i="3"/>
  <c r="J131" i="3"/>
  <c r="K131" i="3"/>
  <c r="B132" i="3"/>
  <c r="C132" i="3"/>
  <c r="D132" i="3"/>
  <c r="E132" i="3"/>
  <c r="F132" i="3"/>
  <c r="G132" i="3"/>
  <c r="H132" i="3"/>
  <c r="I132" i="3"/>
  <c r="J132" i="3"/>
  <c r="K132" i="3"/>
  <c r="B133" i="3"/>
  <c r="C133" i="3"/>
  <c r="D133" i="3"/>
  <c r="E133" i="3"/>
  <c r="F133" i="3"/>
  <c r="G133" i="3"/>
  <c r="H133" i="3"/>
  <c r="I133" i="3"/>
  <c r="J133" i="3"/>
  <c r="K133" i="3"/>
  <c r="B134" i="3"/>
  <c r="C134" i="3"/>
  <c r="D134" i="3"/>
  <c r="E134" i="3"/>
  <c r="F134" i="3"/>
  <c r="G134" i="3"/>
  <c r="H134" i="3"/>
  <c r="I134" i="3"/>
  <c r="J134" i="3"/>
  <c r="K134" i="3"/>
  <c r="B135" i="3"/>
  <c r="C135" i="3"/>
  <c r="D135" i="3"/>
  <c r="E135" i="3"/>
  <c r="F135" i="3"/>
  <c r="G135" i="3"/>
  <c r="H135" i="3"/>
  <c r="I135" i="3"/>
  <c r="J135" i="3"/>
  <c r="K135" i="3"/>
  <c r="B136" i="3"/>
  <c r="C136" i="3"/>
  <c r="D136" i="3"/>
  <c r="E136" i="3"/>
  <c r="F136" i="3"/>
  <c r="G136" i="3"/>
  <c r="H136" i="3"/>
  <c r="I136" i="3"/>
  <c r="J136" i="3"/>
  <c r="K136" i="3"/>
  <c r="B137" i="3"/>
  <c r="C137" i="3"/>
  <c r="D137" i="3"/>
  <c r="E137" i="3"/>
  <c r="F137" i="3"/>
  <c r="G137" i="3"/>
  <c r="H137" i="3"/>
  <c r="I137" i="3"/>
  <c r="J137" i="3"/>
  <c r="K137" i="3"/>
  <c r="B138" i="3"/>
  <c r="C138" i="3"/>
  <c r="D138" i="3"/>
  <c r="E138" i="3"/>
  <c r="F138" i="3"/>
  <c r="G138" i="3"/>
  <c r="H138" i="3"/>
  <c r="I138" i="3"/>
  <c r="J138" i="3"/>
  <c r="K138" i="3"/>
  <c r="B139" i="3"/>
  <c r="C139" i="3"/>
  <c r="D139" i="3"/>
  <c r="E139" i="3"/>
  <c r="F139" i="3"/>
  <c r="G139" i="3"/>
  <c r="H139" i="3"/>
  <c r="I139" i="3"/>
  <c r="J139" i="3"/>
  <c r="K139" i="3"/>
  <c r="B140" i="3"/>
  <c r="C140" i="3"/>
  <c r="D140" i="3"/>
  <c r="E140" i="3"/>
  <c r="F140" i="3"/>
  <c r="G140" i="3"/>
  <c r="H140" i="3"/>
  <c r="I140" i="3"/>
  <c r="J140" i="3"/>
  <c r="K140" i="3"/>
  <c r="B141" i="3"/>
  <c r="C141" i="3"/>
  <c r="D141" i="3"/>
  <c r="E141" i="3"/>
  <c r="F141" i="3"/>
  <c r="G141" i="3"/>
  <c r="H141" i="3"/>
  <c r="I141" i="3"/>
  <c r="J141" i="3"/>
  <c r="K141" i="3"/>
  <c r="B142" i="3"/>
  <c r="C142" i="3"/>
  <c r="D142" i="3"/>
  <c r="E142" i="3"/>
  <c r="F142" i="3"/>
  <c r="G142" i="3"/>
  <c r="H142" i="3"/>
  <c r="I142" i="3"/>
  <c r="J142" i="3"/>
  <c r="K142" i="3"/>
  <c r="B143" i="3"/>
  <c r="C143" i="3"/>
  <c r="D143" i="3"/>
  <c r="E143" i="3"/>
  <c r="F143" i="3"/>
  <c r="G143" i="3"/>
  <c r="H143" i="3"/>
  <c r="I143" i="3"/>
  <c r="J143" i="3"/>
  <c r="K143" i="3"/>
  <c r="B144" i="3"/>
  <c r="C144" i="3"/>
  <c r="D144" i="3"/>
  <c r="E144" i="3"/>
  <c r="F144" i="3"/>
  <c r="G144" i="3"/>
  <c r="H144" i="3"/>
  <c r="I144" i="3"/>
  <c r="J144" i="3"/>
  <c r="K144" i="3"/>
  <c r="B145" i="3"/>
  <c r="C145" i="3"/>
  <c r="D145" i="3"/>
  <c r="E145" i="3"/>
  <c r="F145" i="3"/>
  <c r="G145" i="3"/>
  <c r="H145" i="3"/>
  <c r="I145" i="3"/>
  <c r="J145" i="3"/>
  <c r="K145" i="3"/>
  <c r="B146" i="3"/>
  <c r="C146" i="3"/>
  <c r="D146" i="3"/>
  <c r="E146" i="3"/>
  <c r="F146" i="3"/>
  <c r="G146" i="3"/>
  <c r="H146" i="3"/>
  <c r="I146" i="3"/>
  <c r="J146" i="3"/>
  <c r="K146" i="3"/>
  <c r="B147" i="3"/>
  <c r="C147" i="3"/>
  <c r="D147" i="3"/>
  <c r="E147" i="3"/>
  <c r="F147" i="3"/>
  <c r="G147" i="3"/>
  <c r="H147" i="3"/>
  <c r="I147" i="3"/>
  <c r="J147" i="3"/>
  <c r="K147" i="3"/>
  <c r="B148" i="3"/>
  <c r="C148" i="3"/>
  <c r="D148" i="3"/>
  <c r="E148" i="3"/>
  <c r="F148" i="3"/>
  <c r="G148" i="3"/>
  <c r="H148" i="3"/>
  <c r="I148" i="3"/>
  <c r="J148" i="3"/>
  <c r="K148" i="3"/>
  <c r="B149" i="3"/>
  <c r="C149" i="3"/>
  <c r="D149" i="3"/>
  <c r="E149" i="3"/>
  <c r="F149" i="3"/>
  <c r="G149" i="3"/>
  <c r="H149" i="3"/>
  <c r="I149" i="3"/>
  <c r="J149" i="3"/>
  <c r="K149" i="3"/>
  <c r="B150" i="3"/>
  <c r="C150" i="3"/>
  <c r="D150" i="3"/>
  <c r="E150" i="3"/>
  <c r="F150" i="3"/>
  <c r="G150" i="3"/>
  <c r="H150" i="3"/>
  <c r="I150" i="3"/>
  <c r="J150" i="3"/>
  <c r="K150" i="3"/>
  <c r="B151" i="3"/>
  <c r="C151" i="3"/>
  <c r="D151" i="3"/>
  <c r="E151" i="3"/>
  <c r="F151" i="3"/>
  <c r="G151" i="3"/>
  <c r="H151" i="3"/>
  <c r="I151" i="3"/>
  <c r="J151" i="3"/>
  <c r="K151" i="3"/>
  <c r="B152" i="3"/>
  <c r="C152" i="3"/>
  <c r="D152" i="3"/>
  <c r="E152" i="3"/>
  <c r="F152" i="3"/>
  <c r="G152" i="3"/>
  <c r="H152" i="3"/>
  <c r="I152" i="3"/>
  <c r="J152" i="3"/>
  <c r="K152" i="3"/>
  <c r="B153" i="3"/>
  <c r="C153" i="3"/>
  <c r="D153" i="3"/>
  <c r="E153" i="3"/>
  <c r="F153" i="3"/>
  <c r="G153" i="3"/>
  <c r="H153" i="3"/>
  <c r="I153" i="3"/>
  <c r="J153" i="3"/>
  <c r="K153" i="3"/>
  <c r="B154" i="3"/>
  <c r="C154" i="3"/>
  <c r="D154" i="3"/>
  <c r="E154" i="3"/>
  <c r="F154" i="3"/>
  <c r="G154" i="3"/>
  <c r="H154" i="3"/>
  <c r="I154" i="3"/>
  <c r="J154" i="3"/>
  <c r="K154" i="3"/>
  <c r="B155" i="3"/>
  <c r="C155" i="3"/>
  <c r="D155" i="3"/>
  <c r="E155" i="3"/>
  <c r="F155" i="3"/>
  <c r="G155" i="3"/>
  <c r="H155" i="3"/>
  <c r="I155" i="3"/>
  <c r="J155" i="3"/>
  <c r="K155" i="3"/>
  <c r="B156" i="3"/>
  <c r="C156" i="3"/>
  <c r="D156" i="3"/>
  <c r="E156" i="3"/>
  <c r="F156" i="3"/>
  <c r="G156" i="3"/>
  <c r="H156" i="3"/>
  <c r="I156" i="3"/>
  <c r="J156" i="3"/>
  <c r="K156" i="3"/>
  <c r="B157" i="3"/>
  <c r="C157" i="3"/>
  <c r="D157" i="3"/>
  <c r="E157" i="3"/>
  <c r="F157" i="3"/>
  <c r="G157" i="3"/>
  <c r="H157" i="3"/>
  <c r="I157" i="3"/>
  <c r="J157" i="3"/>
  <c r="K157" i="3"/>
  <c r="B158" i="3"/>
  <c r="C158" i="3"/>
  <c r="D158" i="3"/>
  <c r="E158" i="3"/>
  <c r="F158" i="3"/>
  <c r="G158" i="3"/>
  <c r="H158" i="3"/>
  <c r="I158" i="3"/>
  <c r="J158" i="3"/>
  <c r="K158" i="3"/>
  <c r="B159" i="3"/>
  <c r="C159" i="3"/>
  <c r="D159" i="3"/>
  <c r="E159" i="3"/>
  <c r="F159" i="3"/>
  <c r="G159" i="3"/>
  <c r="H159" i="3"/>
  <c r="I159" i="3"/>
  <c r="J159" i="3"/>
  <c r="K159" i="3"/>
  <c r="B160" i="3"/>
  <c r="C160" i="3"/>
  <c r="D160" i="3"/>
  <c r="E160" i="3"/>
  <c r="F160" i="3"/>
  <c r="G160" i="3"/>
  <c r="H160" i="3"/>
  <c r="I160" i="3"/>
  <c r="J160" i="3"/>
  <c r="K160" i="3"/>
  <c r="B161" i="3"/>
  <c r="C161" i="3"/>
  <c r="D161" i="3"/>
  <c r="E161" i="3"/>
  <c r="F161" i="3"/>
  <c r="G161" i="3"/>
  <c r="H161" i="3"/>
  <c r="I161" i="3"/>
  <c r="J161" i="3"/>
  <c r="K161" i="3"/>
  <c r="B162" i="3"/>
  <c r="C162" i="3"/>
  <c r="D162" i="3"/>
  <c r="E162" i="3"/>
  <c r="F162" i="3"/>
  <c r="G162" i="3"/>
  <c r="H162" i="3"/>
  <c r="I162" i="3"/>
  <c r="J162" i="3"/>
  <c r="K162" i="3"/>
  <c r="B163" i="3"/>
  <c r="C163" i="3"/>
  <c r="D163" i="3"/>
  <c r="E163" i="3"/>
  <c r="F163" i="3"/>
  <c r="G163" i="3"/>
  <c r="H163" i="3"/>
  <c r="I163" i="3"/>
  <c r="J163" i="3"/>
  <c r="K163" i="3"/>
  <c r="B164" i="3"/>
  <c r="C164" i="3"/>
  <c r="D164" i="3"/>
  <c r="E164" i="3"/>
  <c r="F164" i="3"/>
  <c r="G164" i="3"/>
  <c r="H164" i="3"/>
  <c r="I164" i="3"/>
  <c r="J164" i="3"/>
  <c r="K164" i="3"/>
  <c r="B165" i="3"/>
  <c r="C165" i="3"/>
  <c r="D165" i="3"/>
  <c r="E165" i="3"/>
  <c r="F165" i="3"/>
  <c r="G165" i="3"/>
  <c r="H165" i="3"/>
  <c r="I165" i="3"/>
  <c r="J165" i="3"/>
  <c r="K165" i="3"/>
  <c r="B166" i="3"/>
  <c r="C166" i="3"/>
  <c r="D166" i="3"/>
  <c r="E166" i="3"/>
  <c r="F166" i="3"/>
  <c r="G166" i="3"/>
  <c r="H166" i="3"/>
  <c r="I166" i="3"/>
  <c r="J166" i="3"/>
  <c r="K166" i="3"/>
  <c r="B167" i="3"/>
  <c r="C167" i="3"/>
  <c r="D167" i="3"/>
  <c r="E167" i="3"/>
  <c r="F167" i="3"/>
  <c r="G167" i="3"/>
  <c r="H167" i="3"/>
  <c r="I167" i="3"/>
  <c r="J167" i="3"/>
  <c r="K167" i="3"/>
  <c r="B168" i="3"/>
  <c r="C168" i="3"/>
  <c r="D168" i="3"/>
  <c r="E168" i="3"/>
  <c r="F168" i="3"/>
  <c r="G168" i="3"/>
  <c r="H168" i="3"/>
  <c r="I168" i="3"/>
  <c r="J168" i="3"/>
  <c r="K168" i="3"/>
  <c r="B169" i="3"/>
  <c r="C169" i="3"/>
  <c r="D169" i="3"/>
  <c r="E169" i="3"/>
  <c r="F169" i="3"/>
  <c r="G169" i="3"/>
  <c r="H169" i="3"/>
  <c r="I169" i="3"/>
  <c r="J169" i="3"/>
  <c r="K169" i="3"/>
  <c r="B170" i="3"/>
  <c r="C170" i="3"/>
  <c r="D170" i="3"/>
  <c r="E170" i="3"/>
  <c r="F170" i="3"/>
  <c r="G170" i="3"/>
  <c r="H170" i="3"/>
  <c r="I170" i="3"/>
  <c r="J170" i="3"/>
  <c r="K170" i="3"/>
  <c r="B171" i="3"/>
  <c r="C171" i="3"/>
  <c r="D171" i="3"/>
  <c r="E171" i="3"/>
  <c r="F171" i="3"/>
  <c r="G171" i="3"/>
  <c r="H171" i="3"/>
  <c r="I171" i="3"/>
  <c r="J171" i="3"/>
  <c r="K171" i="3"/>
  <c r="B172" i="3"/>
  <c r="C172" i="3"/>
  <c r="D172" i="3"/>
  <c r="E172" i="3"/>
  <c r="F172" i="3"/>
  <c r="G172" i="3"/>
  <c r="H172" i="3"/>
  <c r="I172" i="3"/>
  <c r="J172" i="3"/>
  <c r="K172" i="3"/>
  <c r="B173" i="3"/>
  <c r="C173" i="3"/>
  <c r="D173" i="3"/>
  <c r="E173" i="3"/>
  <c r="F173" i="3"/>
  <c r="G173" i="3"/>
  <c r="H173" i="3"/>
  <c r="I173" i="3"/>
  <c r="J173" i="3"/>
  <c r="K173" i="3"/>
  <c r="B174" i="3"/>
  <c r="C174" i="3"/>
  <c r="D174" i="3"/>
  <c r="E174" i="3"/>
  <c r="F174" i="3"/>
  <c r="G174" i="3"/>
  <c r="H174" i="3"/>
  <c r="I174" i="3"/>
  <c r="J174" i="3"/>
  <c r="K174" i="3"/>
  <c r="B175" i="3"/>
  <c r="C175" i="3"/>
  <c r="D175" i="3"/>
  <c r="E175" i="3"/>
  <c r="F175" i="3"/>
  <c r="G175" i="3"/>
  <c r="H175" i="3"/>
  <c r="I175" i="3"/>
  <c r="J175" i="3"/>
  <c r="K175" i="3"/>
  <c r="B176" i="3"/>
  <c r="C176" i="3"/>
  <c r="D176" i="3"/>
  <c r="E176" i="3"/>
  <c r="F176" i="3"/>
  <c r="G176" i="3"/>
  <c r="H176" i="3"/>
  <c r="I176" i="3"/>
  <c r="J176" i="3"/>
  <c r="K176" i="3"/>
  <c r="B177" i="3"/>
  <c r="C177" i="3"/>
  <c r="D177" i="3"/>
  <c r="E177" i="3"/>
  <c r="F177" i="3"/>
  <c r="G177" i="3"/>
  <c r="H177" i="3"/>
  <c r="I177" i="3"/>
  <c r="J177" i="3"/>
  <c r="K177" i="3"/>
  <c r="B178" i="3"/>
  <c r="C178" i="3"/>
  <c r="D178" i="3"/>
  <c r="E178" i="3"/>
  <c r="F178" i="3"/>
  <c r="G178" i="3"/>
  <c r="H178" i="3"/>
  <c r="I178" i="3"/>
  <c r="J178" i="3"/>
  <c r="K178" i="3"/>
  <c r="B179" i="3"/>
  <c r="C179" i="3"/>
  <c r="D179" i="3"/>
  <c r="E179" i="3"/>
  <c r="F179" i="3"/>
  <c r="G179" i="3"/>
  <c r="H179" i="3"/>
  <c r="I179" i="3"/>
  <c r="J179" i="3"/>
  <c r="K179" i="3"/>
  <c r="B180" i="3"/>
  <c r="C180" i="3"/>
  <c r="D180" i="3"/>
  <c r="E180" i="3"/>
  <c r="F180" i="3"/>
  <c r="G180" i="3"/>
  <c r="H180" i="3"/>
  <c r="I180" i="3"/>
  <c r="J180" i="3"/>
  <c r="K180" i="3"/>
  <c r="B181" i="3"/>
  <c r="C181" i="3"/>
  <c r="D181" i="3"/>
  <c r="E181" i="3"/>
  <c r="F181" i="3"/>
  <c r="G181" i="3"/>
  <c r="H181" i="3"/>
  <c r="I181" i="3"/>
  <c r="J181" i="3"/>
  <c r="K181" i="3"/>
  <c r="B182" i="3"/>
  <c r="C182" i="3"/>
  <c r="D182" i="3"/>
  <c r="E182" i="3"/>
  <c r="F182" i="3"/>
  <c r="G182" i="3"/>
  <c r="H182" i="3"/>
  <c r="I182" i="3"/>
  <c r="J182" i="3"/>
  <c r="K182" i="3"/>
  <c r="B183" i="3"/>
  <c r="C183" i="3"/>
  <c r="D183" i="3"/>
  <c r="E183" i="3"/>
  <c r="F183" i="3"/>
  <c r="G183" i="3"/>
  <c r="H183" i="3"/>
  <c r="I183" i="3"/>
  <c r="J183" i="3"/>
  <c r="K183" i="3"/>
  <c r="B184" i="3"/>
  <c r="C184" i="3"/>
  <c r="D184" i="3"/>
  <c r="E184" i="3"/>
  <c r="F184" i="3"/>
  <c r="G184" i="3"/>
  <c r="H184" i="3"/>
  <c r="I184" i="3"/>
  <c r="J184" i="3"/>
  <c r="K184" i="3"/>
  <c r="B185" i="3"/>
  <c r="C185" i="3"/>
  <c r="D185" i="3"/>
  <c r="E185" i="3"/>
  <c r="F185" i="3"/>
  <c r="G185" i="3"/>
  <c r="H185" i="3"/>
  <c r="I185" i="3"/>
  <c r="J185" i="3"/>
  <c r="K185" i="3"/>
  <c r="B186" i="3"/>
  <c r="C186" i="3"/>
  <c r="D186" i="3"/>
  <c r="E186" i="3"/>
  <c r="F186" i="3"/>
  <c r="G186" i="3"/>
  <c r="H186" i="3"/>
  <c r="I186" i="3"/>
  <c r="J186" i="3"/>
  <c r="K186" i="3"/>
  <c r="B187" i="3"/>
  <c r="C187" i="3"/>
  <c r="D187" i="3"/>
  <c r="E187" i="3"/>
  <c r="F187" i="3"/>
  <c r="G187" i="3"/>
  <c r="H187" i="3"/>
  <c r="I187" i="3"/>
  <c r="J187" i="3"/>
  <c r="K187" i="3"/>
  <c r="B188" i="3"/>
  <c r="C188" i="3"/>
  <c r="D188" i="3"/>
  <c r="E188" i="3"/>
  <c r="F188" i="3"/>
  <c r="G188" i="3"/>
  <c r="H188" i="3"/>
  <c r="I188" i="3"/>
  <c r="J188" i="3"/>
  <c r="K188" i="3"/>
  <c r="B189" i="3"/>
  <c r="C189" i="3"/>
  <c r="D189" i="3"/>
  <c r="E189" i="3"/>
  <c r="F189" i="3"/>
  <c r="G189" i="3"/>
  <c r="H189" i="3"/>
  <c r="I189" i="3"/>
  <c r="J189" i="3"/>
  <c r="K189" i="3"/>
  <c r="B190" i="3"/>
  <c r="C190" i="3"/>
  <c r="D190" i="3"/>
  <c r="E190" i="3"/>
  <c r="F190" i="3"/>
  <c r="G190" i="3"/>
  <c r="H190" i="3"/>
  <c r="I190" i="3"/>
  <c r="J190" i="3"/>
  <c r="K190" i="3"/>
  <c r="B191" i="3"/>
  <c r="C191" i="3"/>
  <c r="D191" i="3"/>
  <c r="E191" i="3"/>
  <c r="F191" i="3"/>
  <c r="G191" i="3"/>
  <c r="H191" i="3"/>
  <c r="I191" i="3"/>
  <c r="J191" i="3"/>
  <c r="K191" i="3"/>
  <c r="B192" i="3"/>
  <c r="C192" i="3"/>
  <c r="D192" i="3"/>
  <c r="E192" i="3"/>
  <c r="F192" i="3"/>
  <c r="G192" i="3"/>
  <c r="H192" i="3"/>
  <c r="I192" i="3"/>
  <c r="J192" i="3"/>
  <c r="K192" i="3"/>
  <c r="B193" i="3"/>
  <c r="C193" i="3"/>
  <c r="D193" i="3"/>
  <c r="E193" i="3"/>
  <c r="F193" i="3"/>
  <c r="G193" i="3"/>
  <c r="H193" i="3"/>
  <c r="I193" i="3"/>
  <c r="J193" i="3"/>
  <c r="K193" i="3"/>
  <c r="B194" i="3"/>
  <c r="C194" i="3"/>
  <c r="D194" i="3"/>
  <c r="E194" i="3"/>
  <c r="F194" i="3"/>
  <c r="G194" i="3"/>
  <c r="H194" i="3"/>
  <c r="I194" i="3"/>
  <c r="J194" i="3"/>
  <c r="K194" i="3"/>
  <c r="B195" i="3"/>
  <c r="C195" i="3"/>
  <c r="D195" i="3"/>
  <c r="E195" i="3"/>
  <c r="F195" i="3"/>
  <c r="G195" i="3"/>
  <c r="H195" i="3"/>
  <c r="I195" i="3"/>
  <c r="J195" i="3"/>
  <c r="K195" i="3"/>
  <c r="B196" i="3"/>
  <c r="C196" i="3"/>
  <c r="D196" i="3"/>
  <c r="E196" i="3"/>
  <c r="F196" i="3"/>
  <c r="G196" i="3"/>
  <c r="H196" i="3"/>
  <c r="I196" i="3"/>
  <c r="J196" i="3"/>
  <c r="K196" i="3"/>
  <c r="B197" i="3"/>
  <c r="C197" i="3"/>
  <c r="D197" i="3"/>
  <c r="E197" i="3"/>
  <c r="F197" i="3"/>
  <c r="G197" i="3"/>
  <c r="H197" i="3"/>
  <c r="I197" i="3"/>
  <c r="J197" i="3"/>
  <c r="K197" i="3"/>
  <c r="B198" i="3"/>
  <c r="C198" i="3"/>
  <c r="D198" i="3"/>
  <c r="E198" i="3"/>
  <c r="F198" i="3"/>
  <c r="G198" i="3"/>
  <c r="H198" i="3"/>
  <c r="I198" i="3"/>
  <c r="J198" i="3"/>
  <c r="K198" i="3"/>
  <c r="B199" i="3"/>
  <c r="C199" i="3"/>
  <c r="D199" i="3"/>
  <c r="E199" i="3"/>
  <c r="F199" i="3"/>
  <c r="G199" i="3"/>
  <c r="H199" i="3"/>
  <c r="I199" i="3"/>
  <c r="J199" i="3"/>
  <c r="K199" i="3"/>
  <c r="B200" i="3"/>
  <c r="C200" i="3"/>
  <c r="D200" i="3"/>
  <c r="E200" i="3"/>
  <c r="F200" i="3"/>
  <c r="G200" i="3"/>
  <c r="H200" i="3"/>
  <c r="I200" i="3"/>
  <c r="J200" i="3"/>
  <c r="K200" i="3"/>
  <c r="B201" i="3"/>
  <c r="C201" i="3"/>
  <c r="D201" i="3"/>
  <c r="E201" i="3"/>
  <c r="F201" i="3"/>
  <c r="G201" i="3"/>
  <c r="H201" i="3"/>
  <c r="I201" i="3"/>
  <c r="J201" i="3"/>
  <c r="K201" i="3"/>
  <c r="B202" i="3"/>
  <c r="C202" i="3"/>
  <c r="D202" i="3"/>
  <c r="E202" i="3"/>
  <c r="F202" i="3"/>
  <c r="G202" i="3"/>
  <c r="H202" i="3"/>
  <c r="I202" i="3"/>
  <c r="J202" i="3"/>
  <c r="K202" i="3"/>
  <c r="B203" i="3"/>
  <c r="C203" i="3"/>
  <c r="D203" i="3"/>
  <c r="E203" i="3"/>
  <c r="F203" i="3"/>
  <c r="G203" i="3"/>
  <c r="H203" i="3"/>
  <c r="I203" i="3"/>
  <c r="J203" i="3"/>
  <c r="K203" i="3"/>
  <c r="B204" i="3"/>
  <c r="C204" i="3"/>
  <c r="D204" i="3"/>
  <c r="E204" i="3"/>
  <c r="F204" i="3"/>
  <c r="G204" i="3"/>
  <c r="H204" i="3"/>
  <c r="I204" i="3"/>
  <c r="J204" i="3"/>
  <c r="K204" i="3"/>
  <c r="B205" i="3"/>
  <c r="C205" i="3"/>
  <c r="D205" i="3"/>
  <c r="E205" i="3"/>
  <c r="F205" i="3"/>
  <c r="G205" i="3"/>
  <c r="H205" i="3"/>
  <c r="I205" i="3"/>
  <c r="J205" i="3"/>
  <c r="K205" i="3"/>
  <c r="B206" i="3"/>
  <c r="C206" i="3"/>
  <c r="D206" i="3"/>
  <c r="E206" i="3"/>
  <c r="F206" i="3"/>
  <c r="G206" i="3"/>
  <c r="H206" i="3"/>
  <c r="I206" i="3"/>
  <c r="J206" i="3"/>
  <c r="K206" i="3"/>
  <c r="B207" i="3"/>
  <c r="C207" i="3"/>
  <c r="D207" i="3"/>
  <c r="E207" i="3"/>
  <c r="F207" i="3"/>
  <c r="G207" i="3"/>
  <c r="H207" i="3"/>
  <c r="I207" i="3"/>
  <c r="J207" i="3"/>
  <c r="K207" i="3"/>
  <c r="B208" i="3"/>
  <c r="C208" i="3"/>
  <c r="D208" i="3"/>
  <c r="E208" i="3"/>
  <c r="F208" i="3"/>
  <c r="G208" i="3"/>
  <c r="H208" i="3"/>
  <c r="I208" i="3"/>
  <c r="J208" i="3"/>
  <c r="K208" i="3"/>
  <c r="B209" i="3"/>
  <c r="C209" i="3"/>
  <c r="D209" i="3"/>
  <c r="E209" i="3"/>
  <c r="F209" i="3"/>
  <c r="G209" i="3"/>
  <c r="H209" i="3"/>
  <c r="I209" i="3"/>
  <c r="J209" i="3"/>
  <c r="K209" i="3"/>
  <c r="B210" i="3"/>
  <c r="C210" i="3"/>
  <c r="D210" i="3"/>
  <c r="E210" i="3"/>
  <c r="F210" i="3"/>
  <c r="G210" i="3"/>
  <c r="H210" i="3"/>
  <c r="I210" i="3"/>
  <c r="J210" i="3"/>
  <c r="K210" i="3"/>
  <c r="B211" i="3"/>
  <c r="C211" i="3"/>
  <c r="D211" i="3"/>
  <c r="E211" i="3"/>
  <c r="F211" i="3"/>
  <c r="G211" i="3"/>
  <c r="H211" i="3"/>
  <c r="I211" i="3"/>
  <c r="J211" i="3"/>
  <c r="K211" i="3"/>
  <c r="B212" i="3"/>
  <c r="C212" i="3"/>
  <c r="D212" i="3"/>
  <c r="E212" i="3"/>
  <c r="F212" i="3"/>
  <c r="G212" i="3"/>
  <c r="H212" i="3"/>
  <c r="I212" i="3"/>
  <c r="J212" i="3"/>
  <c r="K212" i="3"/>
  <c r="B213" i="3"/>
  <c r="C213" i="3"/>
  <c r="D213" i="3"/>
  <c r="E213" i="3"/>
  <c r="F213" i="3"/>
  <c r="G213" i="3"/>
  <c r="H213" i="3"/>
  <c r="I213" i="3"/>
  <c r="J213" i="3"/>
  <c r="K213" i="3"/>
  <c r="B214" i="3"/>
  <c r="C214" i="3"/>
  <c r="D214" i="3"/>
  <c r="E214" i="3"/>
  <c r="F214" i="3"/>
  <c r="G214" i="3"/>
  <c r="H214" i="3"/>
  <c r="I214" i="3"/>
  <c r="J214" i="3"/>
  <c r="K214" i="3"/>
  <c r="B215" i="3"/>
  <c r="C215" i="3"/>
  <c r="D215" i="3"/>
  <c r="E215" i="3"/>
  <c r="F215" i="3"/>
  <c r="G215" i="3"/>
  <c r="H215" i="3"/>
  <c r="I215" i="3"/>
  <c r="J215" i="3"/>
  <c r="K215" i="3"/>
  <c r="B216" i="3"/>
  <c r="C216" i="3"/>
  <c r="D216" i="3"/>
  <c r="E216" i="3"/>
  <c r="F216" i="3"/>
  <c r="G216" i="3"/>
  <c r="H216" i="3"/>
  <c r="I216" i="3"/>
  <c r="J216" i="3"/>
  <c r="K216" i="3"/>
  <c r="B217" i="3"/>
  <c r="C217" i="3"/>
  <c r="D217" i="3"/>
  <c r="E217" i="3"/>
  <c r="F217" i="3"/>
  <c r="G217" i="3"/>
  <c r="H217" i="3"/>
  <c r="I217" i="3"/>
  <c r="J217" i="3"/>
  <c r="K217" i="3"/>
  <c r="B218" i="3"/>
  <c r="C218" i="3"/>
  <c r="D218" i="3"/>
  <c r="E218" i="3"/>
  <c r="F218" i="3"/>
  <c r="G218" i="3"/>
  <c r="H218" i="3"/>
  <c r="I218" i="3"/>
  <c r="J218" i="3"/>
  <c r="K218" i="3"/>
  <c r="B219" i="3"/>
  <c r="C219" i="3"/>
  <c r="D219" i="3"/>
  <c r="E219" i="3"/>
  <c r="F219" i="3"/>
  <c r="G219" i="3"/>
  <c r="H219" i="3"/>
  <c r="I219" i="3"/>
  <c r="J219" i="3"/>
  <c r="K219" i="3"/>
  <c r="B220" i="3"/>
  <c r="C220" i="3"/>
  <c r="D220" i="3"/>
  <c r="E220" i="3"/>
  <c r="F220" i="3"/>
  <c r="G220" i="3"/>
  <c r="H220" i="3"/>
  <c r="I220" i="3"/>
  <c r="J220" i="3"/>
  <c r="K220" i="3"/>
  <c r="B221" i="3"/>
  <c r="C221" i="3"/>
  <c r="D221" i="3"/>
  <c r="E221" i="3"/>
  <c r="F221" i="3"/>
  <c r="G221" i="3"/>
  <c r="H221" i="3"/>
  <c r="I221" i="3"/>
  <c r="J221" i="3"/>
  <c r="K221" i="3"/>
  <c r="B222" i="3"/>
  <c r="C222" i="3"/>
  <c r="D222" i="3"/>
  <c r="E222" i="3"/>
  <c r="F222" i="3"/>
  <c r="G222" i="3"/>
  <c r="H222" i="3"/>
  <c r="I222" i="3"/>
  <c r="J222" i="3"/>
  <c r="K222" i="3"/>
  <c r="B223" i="3"/>
  <c r="C223" i="3"/>
  <c r="D223" i="3"/>
  <c r="E223" i="3"/>
  <c r="F223" i="3"/>
  <c r="G223" i="3"/>
  <c r="H223" i="3"/>
  <c r="I223" i="3"/>
  <c r="J223" i="3"/>
  <c r="K223" i="3"/>
  <c r="B224" i="3"/>
  <c r="C224" i="3"/>
  <c r="D224" i="3"/>
  <c r="E224" i="3"/>
  <c r="F224" i="3"/>
  <c r="G224" i="3"/>
  <c r="H224" i="3"/>
  <c r="I224" i="3"/>
  <c r="J224" i="3"/>
  <c r="K224" i="3"/>
  <c r="B225" i="3"/>
  <c r="C225" i="3"/>
  <c r="D225" i="3"/>
  <c r="E225" i="3"/>
  <c r="F225" i="3"/>
  <c r="G225" i="3"/>
  <c r="H225" i="3"/>
  <c r="I225" i="3"/>
  <c r="J225" i="3"/>
  <c r="K225" i="3"/>
  <c r="B226" i="3"/>
  <c r="C226" i="3"/>
  <c r="D226" i="3"/>
  <c r="E226" i="3"/>
  <c r="F226" i="3"/>
  <c r="G226" i="3"/>
  <c r="H226" i="3"/>
  <c r="I226" i="3"/>
  <c r="J226" i="3"/>
  <c r="K226" i="3"/>
  <c r="B227" i="3"/>
  <c r="C227" i="3"/>
  <c r="D227" i="3"/>
  <c r="E227" i="3"/>
  <c r="F227" i="3"/>
  <c r="G227" i="3"/>
  <c r="H227" i="3"/>
  <c r="I227" i="3"/>
  <c r="J227" i="3"/>
  <c r="K227" i="3"/>
  <c r="B228" i="3"/>
  <c r="C228" i="3"/>
  <c r="D228" i="3"/>
  <c r="E228" i="3"/>
  <c r="F228" i="3"/>
  <c r="G228" i="3"/>
  <c r="H228" i="3"/>
  <c r="I228" i="3"/>
  <c r="J228" i="3"/>
  <c r="K228" i="3"/>
  <c r="B229" i="3"/>
  <c r="C229" i="3"/>
  <c r="D229" i="3"/>
  <c r="E229" i="3"/>
  <c r="F229" i="3"/>
  <c r="G229" i="3"/>
  <c r="H229" i="3"/>
  <c r="I229" i="3"/>
  <c r="J229" i="3"/>
  <c r="K229" i="3"/>
  <c r="B230" i="3"/>
  <c r="C230" i="3"/>
  <c r="D230" i="3"/>
  <c r="E230" i="3"/>
  <c r="F230" i="3"/>
  <c r="G230" i="3"/>
  <c r="H230" i="3"/>
  <c r="I230" i="3"/>
  <c r="J230" i="3"/>
  <c r="K230" i="3"/>
  <c r="B231" i="3"/>
  <c r="C231" i="3"/>
  <c r="D231" i="3"/>
  <c r="E231" i="3"/>
  <c r="F231" i="3"/>
  <c r="G231" i="3"/>
  <c r="H231" i="3"/>
  <c r="I231" i="3"/>
  <c r="J231" i="3"/>
  <c r="K231" i="3"/>
  <c r="B232" i="3"/>
  <c r="C232" i="3"/>
  <c r="D232" i="3"/>
  <c r="E232" i="3"/>
  <c r="F232" i="3"/>
  <c r="G232" i="3"/>
  <c r="H232" i="3"/>
  <c r="I232" i="3"/>
  <c r="J232" i="3"/>
  <c r="K232" i="3"/>
  <c r="B233" i="3"/>
  <c r="C233" i="3"/>
  <c r="D233" i="3"/>
  <c r="E233" i="3"/>
  <c r="F233" i="3"/>
  <c r="G233" i="3"/>
  <c r="H233" i="3"/>
  <c r="I233" i="3"/>
  <c r="J233" i="3"/>
  <c r="K233" i="3"/>
  <c r="B234" i="3"/>
  <c r="C234" i="3"/>
  <c r="D234" i="3"/>
  <c r="E234" i="3"/>
  <c r="F234" i="3"/>
  <c r="G234" i="3"/>
  <c r="H234" i="3"/>
  <c r="I234" i="3"/>
  <c r="J234" i="3"/>
  <c r="K234" i="3"/>
  <c r="B235" i="3"/>
  <c r="C235" i="3"/>
  <c r="D235" i="3"/>
  <c r="E235" i="3"/>
  <c r="F235" i="3"/>
  <c r="G235" i="3"/>
  <c r="H235" i="3"/>
  <c r="I235" i="3"/>
  <c r="J235" i="3"/>
  <c r="K235" i="3"/>
  <c r="B236" i="3"/>
  <c r="C236" i="3"/>
  <c r="D236" i="3"/>
  <c r="E236" i="3"/>
  <c r="F236" i="3"/>
  <c r="G236" i="3"/>
  <c r="H236" i="3"/>
  <c r="I236" i="3"/>
  <c r="J236" i="3"/>
  <c r="K236" i="3"/>
  <c r="B237" i="3"/>
  <c r="C237" i="3"/>
  <c r="D237" i="3"/>
  <c r="E237" i="3"/>
  <c r="F237" i="3"/>
  <c r="G237" i="3"/>
  <c r="H237" i="3"/>
  <c r="I237" i="3"/>
  <c r="J237" i="3"/>
  <c r="K237" i="3"/>
  <c r="B238" i="3"/>
  <c r="C238" i="3"/>
  <c r="D238" i="3"/>
  <c r="E238" i="3"/>
  <c r="F238" i="3"/>
  <c r="G238" i="3"/>
  <c r="H238" i="3"/>
  <c r="I238" i="3"/>
  <c r="J238" i="3"/>
  <c r="K238" i="3"/>
  <c r="B239" i="3"/>
  <c r="C239" i="3"/>
  <c r="D239" i="3"/>
  <c r="E239" i="3"/>
  <c r="F239" i="3"/>
  <c r="G239" i="3"/>
  <c r="H239" i="3"/>
  <c r="I239" i="3"/>
  <c r="J239" i="3"/>
  <c r="K239" i="3"/>
  <c r="B240" i="3"/>
  <c r="C240" i="3"/>
  <c r="D240" i="3"/>
  <c r="E240" i="3"/>
  <c r="F240" i="3"/>
  <c r="G240" i="3"/>
  <c r="H240" i="3"/>
  <c r="I240" i="3"/>
  <c r="J240" i="3"/>
  <c r="K240" i="3"/>
  <c r="B241" i="3"/>
  <c r="C241" i="3"/>
  <c r="D241" i="3"/>
  <c r="E241" i="3"/>
  <c r="F241" i="3"/>
  <c r="G241" i="3"/>
  <c r="H241" i="3"/>
  <c r="I241" i="3"/>
  <c r="J241" i="3"/>
  <c r="K241" i="3"/>
  <c r="B242" i="3"/>
  <c r="C242" i="3"/>
  <c r="D242" i="3"/>
  <c r="E242" i="3"/>
  <c r="F242" i="3"/>
  <c r="G242" i="3"/>
  <c r="H242" i="3"/>
  <c r="I242" i="3"/>
  <c r="J242" i="3"/>
  <c r="K242" i="3"/>
  <c r="B243" i="3"/>
  <c r="C243" i="3"/>
  <c r="D243" i="3"/>
  <c r="E243" i="3"/>
  <c r="F243" i="3"/>
  <c r="G243" i="3"/>
  <c r="H243" i="3"/>
  <c r="I243" i="3"/>
  <c r="J243" i="3"/>
  <c r="K243" i="3"/>
  <c r="B244" i="3"/>
  <c r="C244" i="3"/>
  <c r="D244" i="3"/>
  <c r="E244" i="3"/>
  <c r="F244" i="3"/>
  <c r="G244" i="3"/>
  <c r="H244" i="3"/>
  <c r="I244" i="3"/>
  <c r="J244" i="3"/>
  <c r="K244" i="3"/>
  <c r="B245" i="3"/>
  <c r="C245" i="3"/>
  <c r="D245" i="3"/>
  <c r="E245" i="3"/>
  <c r="F245" i="3"/>
  <c r="G245" i="3"/>
  <c r="H245" i="3"/>
  <c r="I245" i="3"/>
  <c r="J245" i="3"/>
  <c r="K245" i="3"/>
  <c r="B246" i="3"/>
  <c r="C246" i="3"/>
  <c r="D246" i="3"/>
  <c r="E246" i="3"/>
  <c r="F246" i="3"/>
  <c r="G246" i="3"/>
  <c r="H246" i="3"/>
  <c r="I246" i="3"/>
  <c r="J246" i="3"/>
  <c r="K246" i="3"/>
  <c r="B247" i="3"/>
  <c r="C247" i="3"/>
  <c r="D247" i="3"/>
  <c r="E247" i="3"/>
  <c r="F247" i="3"/>
  <c r="G247" i="3"/>
  <c r="H247" i="3"/>
  <c r="I247" i="3"/>
  <c r="J247" i="3"/>
  <c r="K247" i="3"/>
  <c r="B248" i="3"/>
  <c r="C248" i="3"/>
  <c r="D248" i="3"/>
  <c r="E248" i="3"/>
  <c r="F248" i="3"/>
  <c r="G248" i="3"/>
  <c r="H248" i="3"/>
  <c r="I248" i="3"/>
  <c r="J248" i="3"/>
  <c r="K248" i="3"/>
  <c r="B249" i="3"/>
  <c r="C249" i="3"/>
  <c r="D249" i="3"/>
  <c r="E249" i="3"/>
  <c r="F249" i="3"/>
  <c r="G249" i="3"/>
  <c r="H249" i="3"/>
  <c r="I249" i="3"/>
  <c r="J249" i="3"/>
  <c r="K249" i="3"/>
  <c r="B250" i="3"/>
  <c r="C250" i="3"/>
  <c r="D250" i="3"/>
  <c r="E250" i="3"/>
  <c r="F250" i="3"/>
  <c r="G250" i="3"/>
  <c r="H250" i="3"/>
  <c r="I250" i="3"/>
  <c r="J250" i="3"/>
  <c r="K250" i="3"/>
  <c r="B251" i="3"/>
  <c r="C251" i="3"/>
  <c r="D251" i="3"/>
  <c r="E251" i="3"/>
  <c r="F251" i="3"/>
  <c r="G251" i="3"/>
  <c r="H251" i="3"/>
  <c r="I251" i="3"/>
  <c r="J251" i="3"/>
  <c r="K251" i="3"/>
  <c r="B252" i="3"/>
  <c r="C252" i="3"/>
  <c r="D252" i="3"/>
  <c r="E252" i="3"/>
  <c r="F252" i="3"/>
  <c r="G252" i="3"/>
  <c r="H252" i="3"/>
  <c r="I252" i="3"/>
  <c r="J252" i="3"/>
  <c r="K252" i="3"/>
  <c r="B253" i="3"/>
  <c r="C253" i="3"/>
  <c r="D253" i="3"/>
  <c r="E253" i="3"/>
  <c r="F253" i="3"/>
  <c r="G253" i="3"/>
  <c r="H253" i="3"/>
  <c r="I253" i="3"/>
  <c r="J253" i="3"/>
  <c r="K253" i="3"/>
  <c r="B254" i="3"/>
  <c r="C254" i="3"/>
  <c r="D254" i="3"/>
  <c r="E254" i="3"/>
  <c r="F254" i="3"/>
  <c r="G254" i="3"/>
  <c r="H254" i="3"/>
  <c r="I254" i="3"/>
  <c r="J254" i="3"/>
  <c r="K254" i="3"/>
  <c r="B255" i="3"/>
  <c r="C255" i="3"/>
  <c r="D255" i="3"/>
  <c r="E255" i="3"/>
  <c r="F255" i="3"/>
  <c r="G255" i="3"/>
  <c r="H255" i="3"/>
  <c r="I255" i="3"/>
  <c r="J255" i="3"/>
  <c r="K255" i="3"/>
  <c r="B256" i="3"/>
  <c r="C256" i="3"/>
  <c r="D256" i="3"/>
  <c r="E256" i="3"/>
  <c r="F256" i="3"/>
  <c r="G256" i="3"/>
  <c r="H256" i="3"/>
  <c r="I256" i="3"/>
  <c r="J256" i="3"/>
  <c r="K256" i="3"/>
  <c r="B257" i="3"/>
  <c r="C257" i="3"/>
  <c r="D257" i="3"/>
  <c r="E257" i="3"/>
  <c r="F257" i="3"/>
  <c r="G257" i="3"/>
  <c r="H257" i="3"/>
  <c r="I257" i="3"/>
  <c r="J257" i="3"/>
  <c r="K257" i="3"/>
  <c r="B258" i="3"/>
  <c r="C258" i="3"/>
  <c r="D258" i="3"/>
  <c r="E258" i="3"/>
  <c r="F258" i="3"/>
  <c r="G258" i="3"/>
  <c r="H258" i="3"/>
  <c r="I258" i="3"/>
  <c r="J258" i="3"/>
  <c r="K258" i="3"/>
  <c r="B259" i="3"/>
  <c r="C259" i="3"/>
  <c r="D259" i="3"/>
  <c r="E259" i="3"/>
  <c r="F259" i="3"/>
  <c r="G259" i="3"/>
  <c r="H259" i="3"/>
  <c r="I259" i="3"/>
  <c r="J259" i="3"/>
  <c r="K259" i="3"/>
  <c r="B260" i="3"/>
  <c r="C260" i="3"/>
  <c r="D260" i="3"/>
  <c r="E260" i="3"/>
  <c r="F260" i="3"/>
  <c r="G260" i="3"/>
  <c r="H260" i="3"/>
  <c r="I260" i="3"/>
  <c r="J260" i="3"/>
  <c r="K260" i="3"/>
  <c r="B261" i="3"/>
  <c r="C261" i="3"/>
  <c r="D261" i="3"/>
  <c r="E261" i="3"/>
  <c r="F261" i="3"/>
  <c r="G261" i="3"/>
  <c r="H261" i="3"/>
  <c r="I261" i="3"/>
  <c r="J261" i="3"/>
  <c r="K261" i="3"/>
  <c r="B262" i="3"/>
  <c r="C262" i="3"/>
  <c r="D262" i="3"/>
  <c r="E262" i="3"/>
  <c r="F262" i="3"/>
  <c r="G262" i="3"/>
  <c r="H262" i="3"/>
  <c r="I262" i="3"/>
  <c r="J262" i="3"/>
  <c r="K262" i="3"/>
  <c r="B263" i="3"/>
  <c r="C263" i="3"/>
  <c r="D263" i="3"/>
  <c r="E263" i="3"/>
  <c r="F263" i="3"/>
  <c r="G263" i="3"/>
  <c r="H263" i="3"/>
  <c r="I263" i="3"/>
  <c r="J263" i="3"/>
  <c r="K263" i="3"/>
  <c r="B264" i="3"/>
  <c r="C264" i="3"/>
  <c r="D264" i="3"/>
  <c r="E264" i="3"/>
  <c r="F264" i="3"/>
  <c r="G264" i="3"/>
  <c r="H264" i="3"/>
  <c r="I264" i="3"/>
  <c r="J264" i="3"/>
  <c r="K264" i="3"/>
  <c r="B265" i="3"/>
  <c r="C265" i="3"/>
  <c r="D265" i="3"/>
  <c r="E265" i="3"/>
  <c r="F265" i="3"/>
  <c r="G265" i="3"/>
  <c r="H265" i="3"/>
  <c r="I265" i="3"/>
  <c r="J265" i="3"/>
  <c r="K265" i="3"/>
  <c r="B266" i="3"/>
  <c r="C266" i="3"/>
  <c r="D266" i="3"/>
  <c r="E266" i="3"/>
  <c r="F266" i="3"/>
  <c r="G266" i="3"/>
  <c r="H266" i="3"/>
  <c r="I266" i="3"/>
  <c r="J266" i="3"/>
  <c r="K266" i="3"/>
  <c r="B267" i="3"/>
  <c r="C267" i="3"/>
  <c r="D267" i="3"/>
  <c r="E267" i="3"/>
  <c r="F267" i="3"/>
  <c r="G267" i="3"/>
  <c r="H267" i="3"/>
  <c r="I267" i="3"/>
  <c r="J267" i="3"/>
  <c r="K267" i="3"/>
  <c r="B268" i="3"/>
  <c r="C268" i="3"/>
  <c r="D268" i="3"/>
  <c r="E268" i="3"/>
  <c r="F268" i="3"/>
  <c r="G268" i="3"/>
  <c r="H268" i="3"/>
  <c r="I268" i="3"/>
  <c r="J268" i="3"/>
  <c r="K268" i="3"/>
  <c r="B269" i="3"/>
  <c r="C269" i="3"/>
  <c r="D269" i="3"/>
  <c r="E269" i="3"/>
  <c r="F269" i="3"/>
  <c r="G269" i="3"/>
  <c r="H269" i="3"/>
  <c r="I269" i="3"/>
  <c r="J269" i="3"/>
  <c r="K269" i="3"/>
  <c r="B270" i="3"/>
  <c r="C270" i="3"/>
  <c r="D270" i="3"/>
  <c r="E270" i="3"/>
  <c r="F270" i="3"/>
  <c r="G270" i="3"/>
  <c r="H270" i="3"/>
  <c r="I270" i="3"/>
  <c r="J270" i="3"/>
  <c r="K270" i="3"/>
  <c r="B271" i="3"/>
  <c r="C271" i="3"/>
  <c r="D271" i="3"/>
  <c r="E271" i="3"/>
  <c r="F271" i="3"/>
  <c r="G271" i="3"/>
  <c r="H271" i="3"/>
  <c r="I271" i="3"/>
  <c r="J271" i="3"/>
  <c r="K271" i="3"/>
  <c r="B272" i="3"/>
  <c r="C272" i="3"/>
  <c r="D272" i="3"/>
  <c r="E272" i="3"/>
  <c r="F272" i="3"/>
  <c r="G272" i="3"/>
  <c r="H272" i="3"/>
  <c r="I272" i="3"/>
  <c r="J272" i="3"/>
  <c r="K272" i="3"/>
  <c r="B273" i="3"/>
  <c r="C273" i="3"/>
  <c r="D273" i="3"/>
  <c r="E273" i="3"/>
  <c r="F273" i="3"/>
  <c r="G273" i="3"/>
  <c r="H273" i="3"/>
  <c r="I273" i="3"/>
  <c r="J273" i="3"/>
  <c r="K273" i="3"/>
  <c r="B274" i="3"/>
  <c r="C274" i="3"/>
  <c r="D274" i="3"/>
  <c r="E274" i="3"/>
  <c r="F274" i="3"/>
  <c r="G274" i="3"/>
  <c r="H274" i="3"/>
  <c r="I274" i="3"/>
  <c r="J274" i="3"/>
  <c r="K274" i="3"/>
  <c r="B275" i="3"/>
  <c r="C275" i="3"/>
  <c r="D275" i="3"/>
  <c r="E275" i="3"/>
  <c r="F275" i="3"/>
  <c r="G275" i="3"/>
  <c r="H275" i="3"/>
  <c r="I275" i="3"/>
  <c r="J275" i="3"/>
  <c r="K275" i="3"/>
  <c r="B276" i="3"/>
  <c r="C276" i="3"/>
  <c r="D276" i="3"/>
  <c r="E276" i="3"/>
  <c r="F276" i="3"/>
  <c r="G276" i="3"/>
  <c r="H276" i="3"/>
  <c r="I276" i="3"/>
  <c r="J276" i="3"/>
  <c r="K276" i="3"/>
  <c r="B277" i="3"/>
  <c r="C277" i="3"/>
  <c r="D277" i="3"/>
  <c r="E277" i="3"/>
  <c r="F277" i="3"/>
  <c r="G277" i="3"/>
  <c r="H277" i="3"/>
  <c r="I277" i="3"/>
  <c r="J277" i="3"/>
  <c r="K277" i="3"/>
  <c r="B278" i="3"/>
  <c r="C278" i="3"/>
  <c r="D278" i="3"/>
  <c r="E278" i="3"/>
  <c r="F278" i="3"/>
  <c r="G278" i="3"/>
  <c r="H278" i="3"/>
  <c r="I278" i="3"/>
  <c r="J278" i="3"/>
  <c r="K278" i="3"/>
  <c r="B279" i="3"/>
  <c r="C279" i="3"/>
  <c r="D279" i="3"/>
  <c r="E279" i="3"/>
  <c r="F279" i="3"/>
  <c r="G279" i="3"/>
  <c r="H279" i="3"/>
  <c r="I279" i="3"/>
  <c r="J279" i="3"/>
  <c r="K279" i="3"/>
  <c r="B280" i="3"/>
  <c r="C280" i="3"/>
  <c r="D280" i="3"/>
  <c r="E280" i="3"/>
  <c r="F280" i="3"/>
  <c r="G280" i="3"/>
  <c r="H280" i="3"/>
  <c r="I280" i="3"/>
  <c r="J280" i="3"/>
  <c r="K280" i="3"/>
  <c r="B281" i="3"/>
  <c r="C281" i="3"/>
  <c r="D281" i="3"/>
  <c r="E281" i="3"/>
  <c r="F281" i="3"/>
  <c r="G281" i="3"/>
  <c r="H281" i="3"/>
  <c r="I281" i="3"/>
  <c r="J281" i="3"/>
  <c r="K281" i="3"/>
  <c r="B282" i="3"/>
  <c r="C282" i="3"/>
  <c r="D282" i="3"/>
  <c r="E282" i="3"/>
  <c r="F282" i="3"/>
  <c r="G282" i="3"/>
  <c r="H282" i="3"/>
  <c r="I282" i="3"/>
  <c r="J282" i="3"/>
  <c r="K282" i="3"/>
  <c r="B283" i="3"/>
  <c r="C283" i="3"/>
  <c r="D283" i="3"/>
  <c r="E283" i="3"/>
  <c r="F283" i="3"/>
  <c r="G283" i="3"/>
  <c r="H283" i="3"/>
  <c r="I283" i="3"/>
  <c r="J283" i="3"/>
  <c r="K283" i="3"/>
  <c r="B284" i="3"/>
  <c r="C284" i="3"/>
  <c r="D284" i="3"/>
  <c r="E284" i="3"/>
  <c r="F284" i="3"/>
  <c r="G284" i="3"/>
  <c r="H284" i="3"/>
  <c r="I284" i="3"/>
  <c r="J284" i="3"/>
  <c r="K284" i="3"/>
  <c r="B285" i="3"/>
  <c r="C285" i="3"/>
  <c r="D285" i="3"/>
  <c r="E285" i="3"/>
  <c r="F285" i="3"/>
  <c r="G285" i="3"/>
  <c r="H285" i="3"/>
  <c r="I285" i="3"/>
  <c r="J285" i="3"/>
  <c r="K285" i="3"/>
  <c r="B286" i="3"/>
  <c r="C286" i="3"/>
  <c r="D286" i="3"/>
  <c r="E286" i="3"/>
  <c r="F286" i="3"/>
  <c r="G286" i="3"/>
  <c r="H286" i="3"/>
  <c r="I286" i="3"/>
  <c r="J286" i="3"/>
  <c r="K286" i="3"/>
  <c r="B287" i="3"/>
  <c r="C287" i="3"/>
  <c r="D287" i="3"/>
  <c r="E287" i="3"/>
  <c r="F287" i="3"/>
  <c r="G287" i="3"/>
  <c r="H287" i="3"/>
  <c r="I287" i="3"/>
  <c r="J287" i="3"/>
  <c r="K287" i="3"/>
  <c r="B288" i="3"/>
  <c r="C288" i="3"/>
  <c r="D288" i="3"/>
  <c r="E288" i="3"/>
  <c r="F288" i="3"/>
  <c r="G288" i="3"/>
  <c r="H288" i="3"/>
  <c r="I288" i="3"/>
  <c r="J288" i="3"/>
  <c r="K288" i="3"/>
  <c r="B289" i="3"/>
  <c r="C289" i="3"/>
  <c r="D289" i="3"/>
  <c r="E289" i="3"/>
  <c r="F289" i="3"/>
  <c r="G289" i="3"/>
  <c r="H289" i="3"/>
  <c r="I289" i="3"/>
  <c r="J289" i="3"/>
  <c r="K289" i="3"/>
  <c r="B290" i="3"/>
  <c r="C290" i="3"/>
  <c r="D290" i="3"/>
  <c r="E290" i="3"/>
  <c r="F290" i="3"/>
  <c r="G290" i="3"/>
  <c r="H290" i="3"/>
  <c r="I290" i="3"/>
  <c r="J290" i="3"/>
  <c r="K290" i="3"/>
  <c r="B291" i="3"/>
  <c r="C291" i="3"/>
  <c r="D291" i="3"/>
  <c r="E291" i="3"/>
  <c r="F291" i="3"/>
  <c r="G291" i="3"/>
  <c r="H291" i="3"/>
  <c r="I291" i="3"/>
  <c r="J291" i="3"/>
  <c r="K291" i="3"/>
  <c r="B292" i="3"/>
  <c r="C292" i="3"/>
  <c r="D292" i="3"/>
  <c r="E292" i="3"/>
  <c r="F292" i="3"/>
  <c r="G292" i="3"/>
  <c r="H292" i="3"/>
  <c r="I292" i="3"/>
  <c r="J292" i="3"/>
  <c r="K292" i="3"/>
  <c r="B293" i="3"/>
  <c r="C293" i="3"/>
  <c r="D293" i="3"/>
  <c r="E293" i="3"/>
  <c r="F293" i="3"/>
  <c r="G293" i="3"/>
  <c r="H293" i="3"/>
  <c r="I293" i="3"/>
  <c r="J293" i="3"/>
  <c r="K293" i="3"/>
  <c r="B294" i="3"/>
  <c r="C294" i="3"/>
  <c r="D294" i="3"/>
  <c r="E294" i="3"/>
  <c r="F294" i="3"/>
  <c r="G294" i="3"/>
  <c r="H294" i="3"/>
  <c r="I294" i="3"/>
  <c r="J294" i="3"/>
  <c r="K294" i="3"/>
  <c r="B295" i="3"/>
  <c r="C295" i="3"/>
  <c r="D295" i="3"/>
  <c r="E295" i="3"/>
  <c r="F295" i="3"/>
  <c r="G295" i="3"/>
  <c r="H295" i="3"/>
  <c r="I295" i="3"/>
  <c r="J295" i="3"/>
  <c r="K295" i="3"/>
  <c r="B296" i="3"/>
  <c r="C296" i="3"/>
  <c r="D296" i="3"/>
  <c r="E296" i="3"/>
  <c r="F296" i="3"/>
  <c r="G296" i="3"/>
  <c r="H296" i="3"/>
  <c r="I296" i="3"/>
  <c r="J296" i="3"/>
  <c r="K296" i="3"/>
  <c r="B297" i="3"/>
  <c r="C297" i="3"/>
  <c r="D297" i="3"/>
  <c r="E297" i="3"/>
  <c r="F297" i="3"/>
  <c r="G297" i="3"/>
  <c r="H297" i="3"/>
  <c r="I297" i="3"/>
  <c r="J297" i="3"/>
  <c r="K297" i="3"/>
  <c r="B298" i="3"/>
  <c r="C298" i="3"/>
  <c r="D298" i="3"/>
  <c r="E298" i="3"/>
  <c r="F298" i="3"/>
  <c r="G298" i="3"/>
  <c r="H298" i="3"/>
  <c r="I298" i="3"/>
  <c r="J298" i="3"/>
  <c r="K298" i="3"/>
  <c r="B299" i="3"/>
  <c r="C299" i="3"/>
  <c r="D299" i="3"/>
  <c r="E299" i="3"/>
  <c r="F299" i="3"/>
  <c r="G299" i="3"/>
  <c r="H299" i="3"/>
  <c r="I299" i="3"/>
  <c r="J299" i="3"/>
  <c r="K299" i="3"/>
  <c r="B300" i="3"/>
  <c r="C300" i="3"/>
  <c r="D300" i="3"/>
  <c r="E300" i="3"/>
  <c r="F300" i="3"/>
  <c r="G300" i="3"/>
  <c r="H300" i="3"/>
  <c r="I300" i="3"/>
  <c r="J300" i="3"/>
  <c r="K300" i="3"/>
  <c r="B301" i="3"/>
  <c r="C301" i="3"/>
  <c r="D301" i="3"/>
  <c r="E301" i="3"/>
  <c r="F301" i="3"/>
  <c r="G301" i="3"/>
  <c r="H301" i="3"/>
  <c r="I301" i="3"/>
  <c r="J301" i="3"/>
  <c r="K301" i="3"/>
  <c r="B302" i="3"/>
  <c r="C302" i="3"/>
  <c r="D302" i="3"/>
  <c r="E302" i="3"/>
  <c r="F302" i="3"/>
  <c r="G302" i="3"/>
  <c r="H302" i="3"/>
  <c r="I302" i="3"/>
  <c r="J302" i="3"/>
  <c r="K302" i="3"/>
  <c r="B303" i="3"/>
  <c r="C303" i="3"/>
  <c r="D303" i="3"/>
  <c r="E303" i="3"/>
  <c r="F303" i="3"/>
  <c r="G303" i="3"/>
  <c r="H303" i="3"/>
  <c r="I303" i="3"/>
  <c r="J303" i="3"/>
  <c r="K303" i="3"/>
  <c r="B304" i="3"/>
  <c r="C304" i="3"/>
  <c r="D304" i="3"/>
  <c r="E304" i="3"/>
  <c r="F304" i="3"/>
  <c r="G304" i="3"/>
  <c r="H304" i="3"/>
  <c r="I304" i="3"/>
  <c r="J304" i="3"/>
  <c r="K304" i="3"/>
  <c r="B305" i="3"/>
  <c r="C305" i="3"/>
  <c r="D305" i="3"/>
  <c r="E305" i="3"/>
  <c r="F305" i="3"/>
  <c r="G305" i="3"/>
  <c r="H305" i="3"/>
  <c r="I305" i="3"/>
  <c r="J305" i="3"/>
  <c r="K305" i="3"/>
  <c r="B306" i="3"/>
  <c r="C306" i="3"/>
  <c r="D306" i="3"/>
  <c r="E306" i="3"/>
  <c r="F306" i="3"/>
  <c r="G306" i="3"/>
  <c r="H306" i="3"/>
  <c r="I306" i="3"/>
  <c r="J306" i="3"/>
  <c r="K306" i="3"/>
  <c r="B307" i="3"/>
  <c r="C307" i="3"/>
  <c r="D307" i="3"/>
  <c r="E307" i="3"/>
  <c r="F307" i="3"/>
  <c r="G307" i="3"/>
  <c r="H307" i="3"/>
  <c r="I307" i="3"/>
  <c r="J307" i="3"/>
  <c r="K307" i="3"/>
  <c r="B308" i="3"/>
  <c r="C308" i="3"/>
  <c r="D308" i="3"/>
  <c r="E308" i="3"/>
  <c r="F308" i="3"/>
  <c r="G308" i="3"/>
  <c r="H308" i="3"/>
  <c r="I308" i="3"/>
  <c r="J308" i="3"/>
  <c r="K308" i="3"/>
  <c r="B309" i="3"/>
  <c r="C309" i="3"/>
  <c r="D309" i="3"/>
  <c r="E309" i="3"/>
  <c r="F309" i="3"/>
  <c r="G309" i="3"/>
  <c r="H309" i="3"/>
  <c r="I309" i="3"/>
  <c r="J309" i="3"/>
  <c r="K309" i="3"/>
  <c r="B310" i="3"/>
  <c r="C310" i="3"/>
  <c r="D310" i="3"/>
  <c r="E310" i="3"/>
  <c r="F310" i="3"/>
  <c r="G310" i="3"/>
  <c r="H310" i="3"/>
  <c r="I310" i="3"/>
  <c r="J310" i="3"/>
  <c r="K310" i="3"/>
  <c r="B311" i="3"/>
  <c r="C311" i="3"/>
  <c r="D311" i="3"/>
  <c r="E311" i="3"/>
  <c r="F311" i="3"/>
  <c r="G311" i="3"/>
  <c r="H311" i="3"/>
  <c r="I311" i="3"/>
  <c r="J311" i="3"/>
  <c r="K311" i="3"/>
  <c r="B312" i="3"/>
  <c r="C312" i="3"/>
  <c r="D312" i="3"/>
  <c r="E312" i="3"/>
  <c r="F312" i="3"/>
  <c r="G312" i="3"/>
  <c r="H312" i="3"/>
  <c r="I312" i="3"/>
  <c r="J312" i="3"/>
  <c r="K312" i="3"/>
  <c r="B313" i="3"/>
  <c r="C313" i="3"/>
  <c r="D313" i="3"/>
  <c r="E313" i="3"/>
  <c r="F313" i="3"/>
  <c r="G313" i="3"/>
  <c r="H313" i="3"/>
  <c r="I313" i="3"/>
  <c r="J313" i="3"/>
  <c r="K313" i="3"/>
  <c r="B314" i="3"/>
  <c r="C314" i="3"/>
  <c r="D314" i="3"/>
  <c r="E314" i="3"/>
  <c r="F314" i="3"/>
  <c r="G314" i="3"/>
  <c r="H314" i="3"/>
  <c r="I314" i="3"/>
  <c r="J314" i="3"/>
  <c r="K314" i="3"/>
  <c r="B315" i="3"/>
  <c r="C315" i="3"/>
  <c r="D315" i="3"/>
  <c r="E315" i="3"/>
  <c r="F315" i="3"/>
  <c r="G315" i="3"/>
  <c r="H315" i="3"/>
  <c r="I315" i="3"/>
  <c r="J315" i="3"/>
  <c r="K315" i="3"/>
  <c r="B316" i="3"/>
  <c r="C316" i="3"/>
  <c r="D316" i="3"/>
  <c r="E316" i="3"/>
  <c r="F316" i="3"/>
  <c r="G316" i="3"/>
  <c r="H316" i="3"/>
  <c r="I316" i="3"/>
  <c r="J316" i="3"/>
  <c r="K316" i="3"/>
  <c r="B317" i="3"/>
  <c r="C317" i="3"/>
  <c r="D317" i="3"/>
  <c r="E317" i="3"/>
  <c r="F317" i="3"/>
  <c r="G317" i="3"/>
  <c r="H317" i="3"/>
  <c r="I317" i="3"/>
  <c r="J317" i="3"/>
  <c r="K317" i="3"/>
  <c r="B318" i="3"/>
  <c r="C318" i="3"/>
  <c r="D318" i="3"/>
  <c r="E318" i="3"/>
  <c r="F318" i="3"/>
  <c r="G318" i="3"/>
  <c r="H318" i="3"/>
  <c r="I318" i="3"/>
  <c r="J318" i="3"/>
  <c r="K318" i="3"/>
  <c r="B319" i="3"/>
  <c r="C319" i="3"/>
  <c r="D319" i="3"/>
  <c r="E319" i="3"/>
  <c r="F319" i="3"/>
  <c r="G319" i="3"/>
  <c r="H319" i="3"/>
  <c r="I319" i="3"/>
  <c r="J319" i="3"/>
  <c r="K319" i="3"/>
  <c r="B320" i="3"/>
  <c r="C320" i="3"/>
  <c r="D320" i="3"/>
  <c r="E320" i="3"/>
  <c r="F320" i="3"/>
  <c r="G320" i="3"/>
  <c r="H320" i="3"/>
  <c r="I320" i="3"/>
  <c r="J320" i="3"/>
  <c r="K320" i="3"/>
  <c r="B321" i="3"/>
  <c r="C321" i="3"/>
  <c r="D321" i="3"/>
  <c r="E321" i="3"/>
  <c r="F321" i="3"/>
  <c r="G321" i="3"/>
  <c r="H321" i="3"/>
  <c r="I321" i="3"/>
  <c r="J321" i="3"/>
  <c r="K321" i="3"/>
  <c r="B322" i="3"/>
  <c r="C322" i="3"/>
  <c r="D322" i="3"/>
  <c r="E322" i="3"/>
  <c r="F322" i="3"/>
  <c r="G322" i="3"/>
  <c r="H322" i="3"/>
  <c r="I322" i="3"/>
  <c r="J322" i="3"/>
  <c r="K322" i="3"/>
  <c r="B323" i="3"/>
  <c r="C323" i="3"/>
  <c r="D323" i="3"/>
  <c r="E323" i="3"/>
  <c r="F323" i="3"/>
  <c r="G323" i="3"/>
  <c r="H323" i="3"/>
  <c r="I323" i="3"/>
  <c r="J323" i="3"/>
  <c r="K323" i="3"/>
  <c r="B324" i="3"/>
  <c r="C324" i="3"/>
  <c r="D324" i="3"/>
  <c r="E324" i="3"/>
  <c r="F324" i="3"/>
  <c r="G324" i="3"/>
  <c r="H324" i="3"/>
  <c r="I324" i="3"/>
  <c r="J324" i="3"/>
  <c r="K324" i="3"/>
  <c r="B325" i="3"/>
  <c r="C325" i="3"/>
  <c r="D325" i="3"/>
  <c r="E325" i="3"/>
  <c r="F325" i="3"/>
  <c r="G325" i="3"/>
  <c r="H325" i="3"/>
  <c r="I325" i="3"/>
  <c r="J325" i="3"/>
  <c r="K325" i="3"/>
  <c r="B326" i="3"/>
  <c r="C326" i="3"/>
  <c r="D326" i="3"/>
  <c r="E326" i="3"/>
  <c r="F326" i="3"/>
  <c r="G326" i="3"/>
  <c r="H326" i="3"/>
  <c r="I326" i="3"/>
  <c r="J326" i="3"/>
  <c r="K326" i="3"/>
  <c r="B327" i="3"/>
  <c r="C327" i="3"/>
  <c r="D327" i="3"/>
  <c r="E327" i="3"/>
  <c r="F327" i="3"/>
  <c r="G327" i="3"/>
  <c r="H327" i="3"/>
  <c r="I327" i="3"/>
  <c r="J327" i="3"/>
  <c r="K327" i="3"/>
  <c r="B328" i="3"/>
  <c r="C328" i="3"/>
  <c r="D328" i="3"/>
  <c r="E328" i="3"/>
  <c r="F328" i="3"/>
  <c r="G328" i="3"/>
  <c r="H328" i="3"/>
  <c r="I328" i="3"/>
  <c r="J328" i="3"/>
  <c r="K328" i="3"/>
  <c r="B329" i="3"/>
  <c r="C329" i="3"/>
  <c r="D329" i="3"/>
  <c r="E329" i="3"/>
  <c r="F329" i="3"/>
  <c r="G329" i="3"/>
  <c r="H329" i="3"/>
  <c r="I329" i="3"/>
  <c r="J329" i="3"/>
  <c r="K329" i="3"/>
  <c r="B330" i="3"/>
  <c r="C330" i="3"/>
  <c r="D330" i="3"/>
  <c r="E330" i="3"/>
  <c r="F330" i="3"/>
  <c r="G330" i="3"/>
  <c r="H330" i="3"/>
  <c r="I330" i="3"/>
  <c r="J330" i="3"/>
  <c r="K330" i="3"/>
  <c r="B331" i="3"/>
  <c r="C331" i="3"/>
  <c r="D331" i="3"/>
  <c r="E331" i="3"/>
  <c r="F331" i="3"/>
  <c r="G331" i="3"/>
  <c r="H331" i="3"/>
  <c r="I331" i="3"/>
  <c r="J331" i="3"/>
  <c r="K331" i="3"/>
  <c r="B332" i="3"/>
  <c r="C332" i="3"/>
  <c r="D332" i="3"/>
  <c r="E332" i="3"/>
  <c r="F332" i="3"/>
  <c r="G332" i="3"/>
  <c r="H332" i="3"/>
  <c r="I332" i="3"/>
  <c r="J332" i="3"/>
  <c r="K332" i="3"/>
  <c r="B333" i="3"/>
  <c r="C333" i="3"/>
  <c r="D333" i="3"/>
  <c r="E333" i="3"/>
  <c r="F333" i="3"/>
  <c r="G333" i="3"/>
  <c r="H333" i="3"/>
  <c r="I333" i="3"/>
  <c r="J333" i="3"/>
  <c r="K333" i="3"/>
  <c r="B334" i="3"/>
  <c r="C334" i="3"/>
  <c r="D334" i="3"/>
  <c r="E334" i="3"/>
  <c r="F334" i="3"/>
  <c r="G334" i="3"/>
  <c r="H334" i="3"/>
  <c r="I334" i="3"/>
  <c r="J334" i="3"/>
  <c r="K334" i="3"/>
  <c r="B335" i="3"/>
  <c r="C335" i="3"/>
  <c r="D335" i="3"/>
  <c r="E335" i="3"/>
  <c r="F335" i="3"/>
  <c r="G335" i="3"/>
  <c r="H335" i="3"/>
  <c r="I335" i="3"/>
  <c r="J335" i="3"/>
  <c r="K335" i="3"/>
  <c r="B336" i="3"/>
  <c r="C336" i="3"/>
  <c r="D336" i="3"/>
  <c r="E336" i="3"/>
  <c r="F336" i="3"/>
  <c r="G336" i="3"/>
  <c r="H336" i="3"/>
  <c r="I336" i="3"/>
  <c r="J336" i="3"/>
  <c r="K336" i="3"/>
  <c r="B337" i="3"/>
  <c r="C337" i="3"/>
  <c r="D337" i="3"/>
  <c r="E337" i="3"/>
  <c r="F337" i="3"/>
  <c r="G337" i="3"/>
  <c r="H337" i="3"/>
  <c r="I337" i="3"/>
  <c r="J337" i="3"/>
  <c r="K337" i="3"/>
  <c r="B338" i="3"/>
  <c r="C338" i="3"/>
  <c r="D338" i="3"/>
  <c r="E338" i="3"/>
  <c r="F338" i="3"/>
  <c r="G338" i="3"/>
  <c r="H338" i="3"/>
  <c r="I338" i="3"/>
  <c r="J338" i="3"/>
  <c r="K338" i="3"/>
  <c r="B339" i="3"/>
  <c r="C339" i="3"/>
  <c r="D339" i="3"/>
  <c r="E339" i="3"/>
  <c r="F339" i="3"/>
  <c r="G339" i="3"/>
  <c r="H339" i="3"/>
  <c r="I339" i="3"/>
  <c r="J339" i="3"/>
  <c r="K339" i="3"/>
  <c r="B340" i="3"/>
  <c r="C340" i="3"/>
  <c r="D340" i="3"/>
  <c r="E340" i="3"/>
  <c r="F340" i="3"/>
  <c r="G340" i="3"/>
  <c r="H340" i="3"/>
  <c r="I340" i="3"/>
  <c r="J340" i="3"/>
  <c r="K340" i="3"/>
  <c r="B341" i="3"/>
  <c r="C341" i="3"/>
  <c r="D341" i="3"/>
  <c r="E341" i="3"/>
  <c r="F341" i="3"/>
  <c r="G341" i="3"/>
  <c r="H341" i="3"/>
  <c r="I341" i="3"/>
  <c r="J341" i="3"/>
  <c r="K341" i="3"/>
  <c r="B342" i="3"/>
  <c r="C342" i="3"/>
  <c r="D342" i="3"/>
  <c r="E342" i="3"/>
  <c r="F342" i="3"/>
  <c r="G342" i="3"/>
  <c r="H342" i="3"/>
  <c r="I342" i="3"/>
  <c r="J342" i="3"/>
  <c r="K342" i="3"/>
  <c r="B343" i="3"/>
  <c r="C343" i="3"/>
  <c r="D343" i="3"/>
  <c r="E343" i="3"/>
  <c r="F343" i="3"/>
  <c r="G343" i="3"/>
  <c r="H343" i="3"/>
  <c r="I343" i="3"/>
  <c r="J343" i="3"/>
  <c r="K343" i="3"/>
  <c r="B344" i="3"/>
  <c r="C344" i="3"/>
  <c r="D344" i="3"/>
  <c r="E344" i="3"/>
  <c r="F344" i="3"/>
  <c r="G344" i="3"/>
  <c r="H344" i="3"/>
  <c r="I344" i="3"/>
  <c r="J344" i="3"/>
  <c r="K344" i="3"/>
  <c r="B345" i="3"/>
  <c r="C345" i="3"/>
  <c r="D345" i="3"/>
  <c r="E345" i="3"/>
  <c r="F345" i="3"/>
  <c r="G345" i="3"/>
  <c r="H345" i="3"/>
  <c r="I345" i="3"/>
  <c r="J345" i="3"/>
  <c r="K345" i="3"/>
  <c r="B346" i="3"/>
  <c r="C346" i="3"/>
  <c r="D346" i="3"/>
  <c r="E346" i="3"/>
  <c r="F346" i="3"/>
  <c r="G346" i="3"/>
  <c r="H346" i="3"/>
  <c r="I346" i="3"/>
  <c r="J346" i="3"/>
  <c r="K346" i="3"/>
  <c r="B347" i="3"/>
  <c r="C347" i="3"/>
  <c r="D347" i="3"/>
  <c r="E347" i="3"/>
  <c r="F347" i="3"/>
  <c r="G347" i="3"/>
  <c r="H347" i="3"/>
  <c r="I347" i="3"/>
  <c r="J347" i="3"/>
  <c r="K347" i="3"/>
  <c r="B348" i="3"/>
  <c r="C348" i="3"/>
  <c r="D348" i="3"/>
  <c r="E348" i="3"/>
  <c r="F348" i="3"/>
  <c r="G348" i="3"/>
  <c r="H348" i="3"/>
  <c r="I348" i="3"/>
  <c r="J348" i="3"/>
  <c r="K348" i="3"/>
  <c r="B349" i="3"/>
  <c r="C349" i="3"/>
  <c r="D349" i="3"/>
  <c r="E349" i="3"/>
  <c r="F349" i="3"/>
  <c r="G349" i="3"/>
  <c r="H349" i="3"/>
  <c r="I349" i="3"/>
  <c r="J349" i="3"/>
  <c r="K349" i="3"/>
  <c r="B350" i="3"/>
  <c r="C350" i="3"/>
  <c r="D350" i="3"/>
  <c r="E350" i="3"/>
  <c r="F350" i="3"/>
  <c r="G350" i="3"/>
  <c r="H350" i="3"/>
  <c r="I350" i="3"/>
  <c r="J350" i="3"/>
  <c r="K350" i="3"/>
  <c r="B351" i="3"/>
  <c r="C351" i="3"/>
  <c r="D351" i="3"/>
  <c r="E351" i="3"/>
  <c r="F351" i="3"/>
  <c r="G351" i="3"/>
  <c r="H351" i="3"/>
  <c r="I351" i="3"/>
  <c r="J351" i="3"/>
  <c r="K351" i="3"/>
  <c r="B352" i="3"/>
  <c r="C352" i="3"/>
  <c r="D352" i="3"/>
  <c r="E352" i="3"/>
  <c r="F352" i="3"/>
  <c r="G352" i="3"/>
  <c r="H352" i="3"/>
  <c r="I352" i="3"/>
  <c r="J352" i="3"/>
  <c r="K352" i="3"/>
  <c r="B353" i="3"/>
  <c r="C353" i="3"/>
  <c r="D353" i="3"/>
  <c r="E353" i="3"/>
  <c r="F353" i="3"/>
  <c r="G353" i="3"/>
  <c r="H353" i="3"/>
  <c r="I353" i="3"/>
  <c r="J353" i="3"/>
  <c r="K353" i="3"/>
  <c r="B354" i="3"/>
  <c r="C354" i="3"/>
  <c r="D354" i="3"/>
  <c r="E354" i="3"/>
  <c r="F354" i="3"/>
  <c r="G354" i="3"/>
  <c r="H354" i="3"/>
  <c r="I354" i="3"/>
  <c r="J354" i="3"/>
  <c r="K354" i="3"/>
  <c r="B355" i="3"/>
  <c r="C355" i="3"/>
  <c r="D355" i="3"/>
  <c r="E355" i="3"/>
  <c r="F355" i="3"/>
  <c r="G355" i="3"/>
  <c r="H355" i="3"/>
  <c r="I355" i="3"/>
  <c r="J355" i="3"/>
  <c r="K355" i="3"/>
  <c r="B356" i="3"/>
  <c r="C356" i="3"/>
  <c r="D356" i="3"/>
  <c r="E356" i="3"/>
  <c r="F356" i="3"/>
  <c r="G356" i="3"/>
  <c r="H356" i="3"/>
  <c r="I356" i="3"/>
  <c r="J356" i="3"/>
  <c r="K356" i="3"/>
  <c r="B357" i="3"/>
  <c r="C357" i="3"/>
  <c r="D357" i="3"/>
  <c r="E357" i="3"/>
  <c r="F357" i="3"/>
  <c r="G357" i="3"/>
  <c r="H357" i="3"/>
  <c r="I357" i="3"/>
  <c r="J357" i="3"/>
  <c r="K357" i="3"/>
  <c r="B358" i="3"/>
  <c r="C358" i="3"/>
  <c r="D358" i="3"/>
  <c r="E358" i="3"/>
  <c r="F358" i="3"/>
  <c r="G358" i="3"/>
  <c r="H358" i="3"/>
  <c r="I358" i="3"/>
  <c r="J358" i="3"/>
  <c r="K358" i="3"/>
  <c r="B359" i="3"/>
  <c r="C359" i="3"/>
  <c r="D359" i="3"/>
  <c r="E359" i="3"/>
  <c r="F359" i="3"/>
  <c r="G359" i="3"/>
  <c r="H359" i="3"/>
  <c r="I359" i="3"/>
  <c r="J359" i="3"/>
  <c r="K359" i="3"/>
  <c r="B360" i="3"/>
  <c r="C360" i="3"/>
  <c r="D360" i="3"/>
  <c r="E360" i="3"/>
  <c r="F360" i="3"/>
  <c r="G360" i="3"/>
  <c r="H360" i="3"/>
  <c r="I360" i="3"/>
  <c r="J360" i="3"/>
  <c r="K360" i="3"/>
  <c r="B361" i="3"/>
  <c r="C361" i="3"/>
  <c r="D361" i="3"/>
  <c r="E361" i="3"/>
  <c r="F361" i="3"/>
  <c r="G361" i="3"/>
  <c r="H361" i="3"/>
  <c r="I361" i="3"/>
  <c r="J361" i="3"/>
  <c r="K361" i="3"/>
  <c r="B362" i="3"/>
  <c r="C362" i="3"/>
  <c r="D362" i="3"/>
  <c r="E362" i="3"/>
  <c r="F362" i="3"/>
  <c r="G362" i="3"/>
  <c r="H362" i="3"/>
  <c r="I362" i="3"/>
  <c r="J362" i="3"/>
  <c r="K362" i="3"/>
  <c r="B363" i="3"/>
  <c r="C363" i="3"/>
  <c r="D363" i="3"/>
  <c r="E363" i="3"/>
  <c r="F363" i="3"/>
  <c r="G363" i="3"/>
  <c r="H363" i="3"/>
  <c r="I363" i="3"/>
  <c r="J363" i="3"/>
  <c r="K363" i="3"/>
  <c r="B364" i="3"/>
  <c r="C364" i="3"/>
  <c r="D364" i="3"/>
  <c r="E364" i="3"/>
  <c r="F364" i="3"/>
  <c r="G364" i="3"/>
  <c r="H364" i="3"/>
  <c r="I364" i="3"/>
  <c r="J364" i="3"/>
  <c r="K364" i="3"/>
  <c r="B365" i="3"/>
  <c r="C365" i="3"/>
  <c r="D365" i="3"/>
  <c r="E365" i="3"/>
  <c r="F365" i="3"/>
  <c r="G365" i="3"/>
  <c r="H365" i="3"/>
  <c r="I365" i="3"/>
  <c r="J365" i="3"/>
  <c r="K365" i="3"/>
  <c r="B366" i="3"/>
  <c r="C366" i="3"/>
  <c r="D366" i="3"/>
  <c r="E366" i="3"/>
  <c r="F366" i="3"/>
  <c r="G366" i="3"/>
  <c r="H366" i="3"/>
  <c r="I366" i="3"/>
  <c r="J366" i="3"/>
  <c r="K366" i="3"/>
  <c r="B367" i="3"/>
  <c r="C367" i="3"/>
  <c r="D367" i="3"/>
  <c r="E367" i="3"/>
  <c r="F367" i="3"/>
  <c r="G367" i="3"/>
  <c r="H367" i="3"/>
  <c r="I367" i="3"/>
  <c r="J367" i="3"/>
  <c r="K367" i="3"/>
  <c r="B368" i="3"/>
  <c r="C368" i="3"/>
  <c r="D368" i="3"/>
  <c r="E368" i="3"/>
  <c r="F368" i="3"/>
  <c r="G368" i="3"/>
  <c r="H368" i="3"/>
  <c r="I368" i="3"/>
  <c r="J368" i="3"/>
  <c r="K368" i="3"/>
  <c r="B369" i="3"/>
  <c r="C369" i="3"/>
  <c r="D369" i="3"/>
  <c r="E369" i="3"/>
  <c r="F369" i="3"/>
  <c r="G369" i="3"/>
  <c r="H369" i="3"/>
  <c r="I369" i="3"/>
  <c r="J369" i="3"/>
  <c r="K369" i="3"/>
  <c r="B370" i="3"/>
  <c r="C370" i="3"/>
  <c r="D370" i="3"/>
  <c r="E370" i="3"/>
  <c r="F370" i="3"/>
  <c r="G370" i="3"/>
  <c r="H370" i="3"/>
  <c r="I370" i="3"/>
  <c r="J370" i="3"/>
  <c r="K370" i="3"/>
  <c r="B371" i="3"/>
  <c r="C371" i="3"/>
  <c r="D371" i="3"/>
  <c r="E371" i="3"/>
  <c r="F371" i="3"/>
  <c r="G371" i="3"/>
  <c r="H371" i="3"/>
  <c r="I371" i="3"/>
  <c r="J371" i="3"/>
  <c r="K371" i="3"/>
  <c r="B372" i="3"/>
  <c r="C372" i="3"/>
  <c r="D372" i="3"/>
  <c r="E372" i="3"/>
  <c r="F372" i="3"/>
  <c r="G372" i="3"/>
  <c r="H372" i="3"/>
  <c r="I372" i="3"/>
  <c r="J372" i="3"/>
  <c r="K372" i="3"/>
  <c r="B373" i="3"/>
  <c r="C373" i="3"/>
  <c r="D373" i="3"/>
  <c r="E373" i="3"/>
  <c r="F373" i="3"/>
  <c r="G373" i="3"/>
  <c r="H373" i="3"/>
  <c r="I373" i="3"/>
  <c r="J373" i="3"/>
  <c r="K373" i="3"/>
  <c r="B374" i="3"/>
  <c r="C374" i="3"/>
  <c r="D374" i="3"/>
  <c r="E374" i="3"/>
  <c r="F374" i="3"/>
  <c r="G374" i="3"/>
  <c r="H374" i="3"/>
  <c r="I374" i="3"/>
  <c r="J374" i="3"/>
  <c r="K374" i="3"/>
  <c r="B375" i="3"/>
  <c r="C375" i="3"/>
  <c r="D375" i="3"/>
  <c r="E375" i="3"/>
  <c r="F375" i="3"/>
  <c r="G375" i="3"/>
  <c r="H375" i="3"/>
  <c r="I375" i="3"/>
  <c r="J375" i="3"/>
  <c r="K375" i="3"/>
  <c r="B376" i="3"/>
  <c r="C376" i="3"/>
  <c r="D376" i="3"/>
  <c r="E376" i="3"/>
  <c r="F376" i="3"/>
  <c r="G376" i="3"/>
  <c r="H376" i="3"/>
  <c r="I376" i="3"/>
  <c r="J376" i="3"/>
  <c r="K376" i="3"/>
  <c r="B377" i="3"/>
  <c r="C377" i="3"/>
  <c r="D377" i="3"/>
  <c r="E377" i="3"/>
  <c r="F377" i="3"/>
  <c r="G377" i="3"/>
  <c r="H377" i="3"/>
  <c r="I377" i="3"/>
  <c r="J377" i="3"/>
  <c r="K377" i="3"/>
  <c r="B378" i="3"/>
  <c r="C378" i="3"/>
  <c r="D378" i="3"/>
  <c r="E378" i="3"/>
  <c r="F378" i="3"/>
  <c r="G378" i="3"/>
  <c r="H378" i="3"/>
  <c r="I378" i="3"/>
  <c r="J378" i="3"/>
  <c r="K378" i="3"/>
  <c r="B379" i="3"/>
  <c r="C379" i="3"/>
  <c r="D379" i="3"/>
  <c r="E379" i="3"/>
  <c r="F379" i="3"/>
  <c r="G379" i="3"/>
  <c r="H379" i="3"/>
  <c r="I379" i="3"/>
  <c r="J379" i="3"/>
  <c r="K379" i="3"/>
  <c r="B380" i="3"/>
  <c r="C380" i="3"/>
  <c r="D380" i="3"/>
  <c r="E380" i="3"/>
  <c r="F380" i="3"/>
  <c r="G380" i="3"/>
  <c r="H380" i="3"/>
  <c r="I380" i="3"/>
  <c r="J380" i="3"/>
  <c r="K380" i="3"/>
  <c r="B381" i="3"/>
  <c r="C381" i="3"/>
  <c r="D381" i="3"/>
  <c r="E381" i="3"/>
  <c r="F381" i="3"/>
  <c r="G381" i="3"/>
  <c r="H381" i="3"/>
  <c r="I381" i="3"/>
  <c r="J381" i="3"/>
  <c r="K381" i="3"/>
  <c r="B382" i="3"/>
  <c r="C382" i="3"/>
  <c r="D382" i="3"/>
  <c r="E382" i="3"/>
  <c r="F382" i="3"/>
  <c r="G382" i="3"/>
  <c r="H382" i="3"/>
  <c r="I382" i="3"/>
  <c r="J382" i="3"/>
  <c r="K382" i="3"/>
  <c r="B383" i="3"/>
  <c r="C383" i="3"/>
  <c r="D383" i="3"/>
  <c r="E383" i="3"/>
  <c r="F383" i="3"/>
  <c r="G383" i="3"/>
  <c r="H383" i="3"/>
  <c r="I383" i="3"/>
  <c r="J383" i="3"/>
  <c r="K383" i="3"/>
  <c r="B384" i="3"/>
  <c r="C384" i="3"/>
  <c r="D384" i="3"/>
  <c r="E384" i="3"/>
  <c r="F384" i="3"/>
  <c r="G384" i="3"/>
  <c r="H384" i="3"/>
  <c r="I384" i="3"/>
  <c r="J384" i="3"/>
  <c r="K384" i="3"/>
  <c r="B385" i="3"/>
  <c r="C385" i="3"/>
  <c r="D385" i="3"/>
  <c r="E385" i="3"/>
  <c r="F385" i="3"/>
  <c r="G385" i="3"/>
  <c r="H385" i="3"/>
  <c r="I385" i="3"/>
  <c r="J385" i="3"/>
  <c r="K385" i="3"/>
  <c r="B386" i="3"/>
  <c r="C386" i="3"/>
  <c r="D386" i="3"/>
  <c r="E386" i="3"/>
  <c r="F386" i="3"/>
  <c r="G386" i="3"/>
  <c r="H386" i="3"/>
  <c r="I386" i="3"/>
  <c r="J386" i="3"/>
  <c r="K386" i="3"/>
  <c r="B387" i="3"/>
  <c r="C387" i="3"/>
  <c r="D387" i="3"/>
  <c r="E387" i="3"/>
  <c r="F387" i="3"/>
  <c r="G387" i="3"/>
  <c r="H387" i="3"/>
  <c r="I387" i="3"/>
  <c r="J387" i="3"/>
  <c r="K387" i="3"/>
  <c r="B388" i="3"/>
  <c r="C388" i="3"/>
  <c r="D388" i="3"/>
  <c r="E388" i="3"/>
  <c r="F388" i="3"/>
  <c r="G388" i="3"/>
  <c r="H388" i="3"/>
  <c r="I388" i="3"/>
  <c r="J388" i="3"/>
  <c r="K388" i="3"/>
  <c r="B389" i="3"/>
  <c r="C389" i="3"/>
  <c r="D389" i="3"/>
  <c r="E389" i="3"/>
  <c r="F389" i="3"/>
  <c r="G389" i="3"/>
  <c r="H389" i="3"/>
  <c r="I389" i="3"/>
  <c r="J389" i="3"/>
  <c r="K389" i="3"/>
  <c r="B390" i="3"/>
  <c r="C390" i="3"/>
  <c r="D390" i="3"/>
  <c r="E390" i="3"/>
  <c r="F390" i="3"/>
  <c r="G390" i="3"/>
  <c r="H390" i="3"/>
  <c r="I390" i="3"/>
  <c r="J390" i="3"/>
  <c r="K390" i="3"/>
  <c r="B391" i="3"/>
  <c r="C391" i="3"/>
  <c r="D391" i="3"/>
  <c r="E391" i="3"/>
  <c r="F391" i="3"/>
  <c r="G391" i="3"/>
  <c r="H391" i="3"/>
  <c r="I391" i="3"/>
  <c r="J391" i="3"/>
  <c r="K391" i="3"/>
  <c r="B392" i="3"/>
  <c r="C392" i="3"/>
  <c r="D392" i="3"/>
  <c r="E392" i="3"/>
  <c r="F392" i="3"/>
  <c r="G392" i="3"/>
  <c r="H392" i="3"/>
  <c r="I392" i="3"/>
  <c r="J392" i="3"/>
  <c r="K392" i="3"/>
  <c r="B393" i="3"/>
  <c r="C393" i="3"/>
  <c r="D393" i="3"/>
  <c r="E393" i="3"/>
  <c r="F393" i="3"/>
  <c r="G393" i="3"/>
  <c r="H393" i="3"/>
  <c r="I393" i="3"/>
  <c r="J393" i="3"/>
  <c r="K393" i="3"/>
  <c r="B394" i="3"/>
  <c r="C394" i="3"/>
  <c r="D394" i="3"/>
  <c r="E394" i="3"/>
  <c r="F394" i="3"/>
  <c r="G394" i="3"/>
  <c r="H394" i="3"/>
  <c r="I394" i="3"/>
  <c r="J394" i="3"/>
  <c r="K394" i="3"/>
  <c r="B395" i="3"/>
  <c r="C395" i="3"/>
  <c r="D395" i="3"/>
  <c r="E395" i="3"/>
  <c r="F395" i="3"/>
  <c r="G395" i="3"/>
  <c r="H395" i="3"/>
  <c r="I395" i="3"/>
  <c r="J395" i="3"/>
  <c r="K395" i="3"/>
  <c r="B396" i="3"/>
  <c r="C396" i="3"/>
  <c r="D396" i="3"/>
  <c r="E396" i="3"/>
  <c r="F396" i="3"/>
  <c r="G396" i="3"/>
  <c r="H396" i="3"/>
  <c r="I396" i="3"/>
  <c r="J396" i="3"/>
  <c r="K396" i="3"/>
  <c r="B397" i="3"/>
  <c r="C397" i="3"/>
  <c r="D397" i="3"/>
  <c r="E397" i="3"/>
  <c r="F397" i="3"/>
  <c r="G397" i="3"/>
  <c r="H397" i="3"/>
  <c r="I397" i="3"/>
  <c r="J397" i="3"/>
  <c r="K397" i="3"/>
  <c r="B398" i="3"/>
  <c r="C398" i="3"/>
  <c r="D398" i="3"/>
  <c r="E398" i="3"/>
  <c r="F398" i="3"/>
  <c r="G398" i="3"/>
  <c r="H398" i="3"/>
  <c r="I398" i="3"/>
  <c r="J398" i="3"/>
  <c r="K398" i="3"/>
  <c r="B399" i="3"/>
  <c r="C399" i="3"/>
  <c r="D399" i="3"/>
  <c r="E399" i="3"/>
  <c r="F399" i="3"/>
  <c r="G399" i="3"/>
  <c r="H399" i="3"/>
  <c r="I399" i="3"/>
  <c r="J399" i="3"/>
  <c r="K399" i="3"/>
  <c r="B400" i="3"/>
  <c r="C400" i="3"/>
  <c r="D400" i="3"/>
  <c r="E400" i="3"/>
  <c r="F400" i="3"/>
  <c r="G400" i="3"/>
  <c r="H400" i="3"/>
  <c r="I400" i="3"/>
  <c r="J400" i="3"/>
  <c r="K400" i="3"/>
  <c r="B401" i="3"/>
  <c r="C401" i="3"/>
  <c r="D401" i="3"/>
  <c r="E401" i="3"/>
  <c r="F401" i="3"/>
  <c r="G401" i="3"/>
  <c r="H401" i="3"/>
  <c r="I401" i="3"/>
  <c r="J401" i="3"/>
  <c r="K401" i="3"/>
  <c r="B402" i="3"/>
  <c r="C402" i="3"/>
  <c r="D402" i="3"/>
  <c r="E402" i="3"/>
  <c r="F402" i="3"/>
  <c r="G402" i="3"/>
  <c r="H402" i="3"/>
  <c r="I402" i="3"/>
  <c r="J402" i="3"/>
  <c r="K402" i="3"/>
  <c r="B403" i="3"/>
  <c r="C403" i="3"/>
  <c r="D403" i="3"/>
  <c r="E403" i="3"/>
  <c r="F403" i="3"/>
  <c r="G403" i="3"/>
  <c r="H403" i="3"/>
  <c r="I403" i="3"/>
  <c r="J403" i="3"/>
  <c r="K403" i="3"/>
  <c r="B404" i="3"/>
  <c r="C404" i="3"/>
  <c r="D404" i="3"/>
  <c r="E404" i="3"/>
  <c r="F404" i="3"/>
  <c r="G404" i="3"/>
  <c r="H404" i="3"/>
  <c r="I404" i="3"/>
  <c r="J404" i="3"/>
  <c r="K404" i="3"/>
  <c r="B405" i="3"/>
  <c r="C405" i="3"/>
  <c r="D405" i="3"/>
  <c r="E405" i="3"/>
  <c r="F405" i="3"/>
  <c r="G405" i="3"/>
  <c r="H405" i="3"/>
  <c r="I405" i="3"/>
  <c r="J405" i="3"/>
  <c r="K405" i="3"/>
  <c r="B406" i="3"/>
  <c r="C406" i="3"/>
  <c r="D406" i="3"/>
  <c r="E406" i="3"/>
  <c r="F406" i="3"/>
  <c r="G406" i="3"/>
  <c r="H406" i="3"/>
  <c r="I406" i="3"/>
  <c r="J406" i="3"/>
  <c r="K406" i="3"/>
  <c r="B407" i="3"/>
  <c r="C407" i="3"/>
  <c r="D407" i="3"/>
  <c r="E407" i="3"/>
  <c r="F407" i="3"/>
  <c r="G407" i="3"/>
  <c r="H407" i="3"/>
  <c r="I407" i="3"/>
  <c r="J407" i="3"/>
  <c r="K407" i="3"/>
  <c r="B408" i="3"/>
  <c r="C408" i="3"/>
  <c r="D408" i="3"/>
  <c r="E408" i="3"/>
  <c r="F408" i="3"/>
  <c r="G408" i="3"/>
  <c r="H408" i="3"/>
  <c r="I408" i="3"/>
  <c r="J408" i="3"/>
  <c r="K408" i="3"/>
  <c r="B409" i="3"/>
  <c r="C409" i="3"/>
  <c r="D409" i="3"/>
  <c r="E409" i="3"/>
  <c r="F409" i="3"/>
  <c r="G409" i="3"/>
  <c r="H409" i="3"/>
  <c r="I409" i="3"/>
  <c r="J409" i="3"/>
  <c r="K409" i="3"/>
  <c r="B410" i="3"/>
  <c r="C410" i="3"/>
  <c r="D410" i="3"/>
  <c r="E410" i="3"/>
  <c r="F410" i="3"/>
  <c r="G410" i="3"/>
  <c r="H410" i="3"/>
  <c r="I410" i="3"/>
  <c r="J410" i="3"/>
  <c r="K410" i="3"/>
  <c r="B411" i="3"/>
  <c r="C411" i="3"/>
  <c r="D411" i="3"/>
  <c r="E411" i="3"/>
  <c r="F411" i="3"/>
  <c r="G411" i="3"/>
  <c r="H411" i="3"/>
  <c r="I411" i="3"/>
  <c r="J411" i="3"/>
  <c r="K411" i="3"/>
  <c r="B412" i="3"/>
  <c r="C412" i="3"/>
  <c r="D412" i="3"/>
  <c r="E412" i="3"/>
  <c r="F412" i="3"/>
  <c r="G412" i="3"/>
  <c r="H412" i="3"/>
  <c r="I412" i="3"/>
  <c r="J412" i="3"/>
  <c r="K412" i="3"/>
  <c r="B413" i="3"/>
  <c r="C413" i="3"/>
  <c r="D413" i="3"/>
  <c r="E413" i="3"/>
  <c r="F413" i="3"/>
  <c r="G413" i="3"/>
  <c r="H413" i="3"/>
  <c r="I413" i="3"/>
  <c r="J413" i="3"/>
  <c r="K413" i="3"/>
  <c r="B414" i="3"/>
  <c r="C414" i="3"/>
  <c r="D414" i="3"/>
  <c r="E414" i="3"/>
  <c r="F414" i="3"/>
  <c r="G414" i="3"/>
  <c r="H414" i="3"/>
  <c r="I414" i="3"/>
  <c r="J414" i="3"/>
  <c r="K414" i="3"/>
  <c r="B415" i="3"/>
  <c r="C415" i="3"/>
  <c r="D415" i="3"/>
  <c r="E415" i="3"/>
  <c r="F415" i="3"/>
  <c r="G415" i="3"/>
  <c r="H415" i="3"/>
  <c r="I415" i="3"/>
  <c r="J415" i="3"/>
  <c r="K415" i="3"/>
  <c r="B416" i="3"/>
  <c r="C416" i="3"/>
  <c r="D416" i="3"/>
  <c r="E416" i="3"/>
  <c r="F416" i="3"/>
  <c r="G416" i="3"/>
  <c r="H416" i="3"/>
  <c r="I416" i="3"/>
  <c r="J416" i="3"/>
  <c r="K416" i="3"/>
  <c r="B417" i="3"/>
  <c r="C417" i="3"/>
  <c r="D417" i="3"/>
  <c r="E417" i="3"/>
  <c r="F417" i="3"/>
  <c r="G417" i="3"/>
  <c r="H417" i="3"/>
  <c r="I417" i="3"/>
  <c r="J417" i="3"/>
  <c r="K417" i="3"/>
  <c r="B418" i="3"/>
  <c r="C418" i="3"/>
  <c r="D418" i="3"/>
  <c r="E418" i="3"/>
  <c r="F418" i="3"/>
  <c r="G418" i="3"/>
  <c r="H418" i="3"/>
  <c r="I418" i="3"/>
  <c r="J418" i="3"/>
  <c r="K418" i="3"/>
  <c r="B419" i="3"/>
  <c r="C419" i="3"/>
  <c r="D419" i="3"/>
  <c r="E419" i="3"/>
  <c r="F419" i="3"/>
  <c r="G419" i="3"/>
  <c r="H419" i="3"/>
  <c r="I419" i="3"/>
  <c r="J419" i="3"/>
  <c r="K419" i="3"/>
  <c r="B420" i="3"/>
  <c r="C420" i="3"/>
  <c r="D420" i="3"/>
  <c r="E420" i="3"/>
  <c r="F420" i="3"/>
  <c r="G420" i="3"/>
  <c r="H420" i="3"/>
  <c r="I420" i="3"/>
  <c r="J420" i="3"/>
  <c r="K420" i="3"/>
  <c r="B421" i="3"/>
  <c r="C421" i="3"/>
  <c r="D421" i="3"/>
  <c r="E421" i="3"/>
  <c r="F421" i="3"/>
  <c r="G421" i="3"/>
  <c r="H421" i="3"/>
  <c r="I421" i="3"/>
  <c r="J421" i="3"/>
  <c r="K421" i="3"/>
  <c r="B422" i="3"/>
  <c r="C422" i="3"/>
  <c r="D422" i="3"/>
  <c r="E422" i="3"/>
  <c r="F422" i="3"/>
  <c r="G422" i="3"/>
  <c r="H422" i="3"/>
  <c r="I422" i="3"/>
  <c r="J422" i="3"/>
  <c r="K422" i="3"/>
  <c r="B423" i="3"/>
  <c r="C423" i="3"/>
  <c r="D423" i="3"/>
  <c r="E423" i="3"/>
  <c r="F423" i="3"/>
  <c r="G423" i="3"/>
  <c r="H423" i="3"/>
  <c r="I423" i="3"/>
  <c r="J423" i="3"/>
  <c r="K423" i="3"/>
  <c r="B424" i="3"/>
  <c r="C424" i="3"/>
  <c r="D424" i="3"/>
  <c r="E424" i="3"/>
  <c r="F424" i="3"/>
  <c r="G424" i="3"/>
  <c r="H424" i="3"/>
  <c r="I424" i="3"/>
  <c r="J424" i="3"/>
  <c r="K424" i="3"/>
  <c r="B425" i="3"/>
  <c r="C425" i="3"/>
  <c r="D425" i="3"/>
  <c r="E425" i="3"/>
  <c r="F425" i="3"/>
  <c r="G425" i="3"/>
  <c r="H425" i="3"/>
  <c r="I425" i="3"/>
  <c r="J425" i="3"/>
  <c r="K425" i="3"/>
  <c r="B426" i="3"/>
  <c r="C426" i="3"/>
  <c r="D426" i="3"/>
  <c r="E426" i="3"/>
  <c r="F426" i="3"/>
  <c r="G426" i="3"/>
  <c r="H426" i="3"/>
  <c r="I426" i="3"/>
  <c r="J426" i="3"/>
  <c r="K426" i="3"/>
  <c r="B427" i="3"/>
  <c r="C427" i="3"/>
  <c r="D427" i="3"/>
  <c r="E427" i="3"/>
  <c r="F427" i="3"/>
  <c r="G427" i="3"/>
  <c r="H427" i="3"/>
  <c r="I427" i="3"/>
  <c r="J427" i="3"/>
  <c r="K427" i="3"/>
  <c r="B428" i="3"/>
  <c r="C428" i="3"/>
  <c r="D428" i="3"/>
  <c r="E428" i="3"/>
  <c r="F428" i="3"/>
  <c r="G428" i="3"/>
  <c r="H428" i="3"/>
  <c r="I428" i="3"/>
  <c r="J428" i="3"/>
  <c r="K428" i="3"/>
  <c r="B429" i="3"/>
  <c r="C429" i="3"/>
  <c r="D429" i="3"/>
  <c r="E429" i="3"/>
  <c r="F429" i="3"/>
  <c r="G429" i="3"/>
  <c r="H429" i="3"/>
  <c r="I429" i="3"/>
  <c r="J429" i="3"/>
  <c r="K429" i="3"/>
  <c r="B430" i="3"/>
  <c r="C430" i="3"/>
  <c r="D430" i="3"/>
  <c r="E430" i="3"/>
  <c r="F430" i="3"/>
  <c r="G430" i="3"/>
  <c r="H430" i="3"/>
  <c r="I430" i="3"/>
  <c r="J430" i="3"/>
  <c r="K430" i="3"/>
  <c r="B431" i="3"/>
  <c r="C431" i="3"/>
  <c r="D431" i="3"/>
  <c r="E431" i="3"/>
  <c r="F431" i="3"/>
  <c r="G431" i="3"/>
  <c r="H431" i="3"/>
  <c r="I431" i="3"/>
  <c r="J431" i="3"/>
  <c r="K431" i="3"/>
  <c r="B432" i="3"/>
  <c r="C432" i="3"/>
  <c r="D432" i="3"/>
  <c r="E432" i="3"/>
  <c r="F432" i="3"/>
  <c r="G432" i="3"/>
  <c r="H432" i="3"/>
  <c r="I432" i="3"/>
  <c r="J432" i="3"/>
  <c r="K432" i="3"/>
  <c r="B433" i="3"/>
  <c r="C433" i="3"/>
  <c r="D433" i="3"/>
  <c r="E433" i="3"/>
  <c r="F433" i="3"/>
  <c r="G433" i="3"/>
  <c r="H433" i="3"/>
  <c r="I433" i="3"/>
  <c r="J433" i="3"/>
  <c r="K433" i="3"/>
  <c r="B434" i="3"/>
  <c r="C434" i="3"/>
  <c r="D434" i="3"/>
  <c r="E434" i="3"/>
  <c r="F434" i="3"/>
  <c r="G434" i="3"/>
  <c r="H434" i="3"/>
  <c r="I434" i="3"/>
  <c r="J434" i="3"/>
  <c r="K434" i="3"/>
  <c r="B435" i="3"/>
  <c r="C435" i="3"/>
  <c r="D435" i="3"/>
  <c r="E435" i="3"/>
  <c r="F435" i="3"/>
  <c r="G435" i="3"/>
  <c r="H435" i="3"/>
  <c r="I435" i="3"/>
  <c r="J435" i="3"/>
  <c r="K435" i="3"/>
  <c r="B436" i="3"/>
  <c r="C436" i="3"/>
  <c r="D436" i="3"/>
  <c r="E436" i="3"/>
  <c r="F436" i="3"/>
  <c r="G436" i="3"/>
  <c r="H436" i="3"/>
  <c r="I436" i="3"/>
  <c r="J436" i="3"/>
  <c r="K436" i="3"/>
  <c r="B437" i="3"/>
  <c r="C437" i="3"/>
  <c r="D437" i="3"/>
  <c r="E437" i="3"/>
  <c r="F437" i="3"/>
  <c r="G437" i="3"/>
  <c r="H437" i="3"/>
  <c r="I437" i="3"/>
  <c r="J437" i="3"/>
  <c r="K437" i="3"/>
  <c r="B438" i="3"/>
  <c r="C438" i="3"/>
  <c r="D438" i="3"/>
  <c r="E438" i="3"/>
  <c r="F438" i="3"/>
  <c r="G438" i="3"/>
  <c r="H438" i="3"/>
  <c r="I438" i="3"/>
  <c r="J438" i="3"/>
  <c r="K438" i="3"/>
  <c r="B439" i="3"/>
  <c r="C439" i="3"/>
  <c r="D439" i="3"/>
  <c r="E439" i="3"/>
  <c r="F439" i="3"/>
  <c r="G439" i="3"/>
  <c r="H439" i="3"/>
  <c r="I439" i="3"/>
  <c r="J439" i="3"/>
  <c r="K439" i="3"/>
  <c r="B440" i="3"/>
  <c r="C440" i="3"/>
  <c r="D440" i="3"/>
  <c r="E440" i="3"/>
  <c r="F440" i="3"/>
  <c r="G440" i="3"/>
  <c r="H440" i="3"/>
  <c r="I440" i="3"/>
  <c r="J440" i="3"/>
  <c r="K440" i="3"/>
  <c r="B441" i="3"/>
  <c r="C441" i="3"/>
  <c r="D441" i="3"/>
  <c r="E441" i="3"/>
  <c r="F441" i="3"/>
  <c r="G441" i="3"/>
  <c r="H441" i="3"/>
  <c r="I441" i="3"/>
  <c r="J441" i="3"/>
  <c r="K441" i="3"/>
  <c r="B442" i="3"/>
  <c r="C442" i="3"/>
  <c r="D442" i="3"/>
  <c r="E442" i="3"/>
  <c r="F442" i="3"/>
  <c r="G442" i="3"/>
  <c r="H442" i="3"/>
  <c r="I442" i="3"/>
  <c r="J442" i="3"/>
  <c r="K442" i="3"/>
  <c r="B443" i="3"/>
  <c r="C443" i="3"/>
  <c r="D443" i="3"/>
  <c r="E443" i="3"/>
  <c r="F443" i="3"/>
  <c r="G443" i="3"/>
  <c r="H443" i="3"/>
  <c r="I443" i="3"/>
  <c r="J443" i="3"/>
  <c r="K443" i="3"/>
  <c r="B444" i="3"/>
  <c r="C444" i="3"/>
  <c r="D444" i="3"/>
  <c r="E444" i="3"/>
  <c r="F444" i="3"/>
  <c r="G444" i="3"/>
  <c r="H444" i="3"/>
  <c r="I444" i="3"/>
  <c r="J444" i="3"/>
  <c r="K444" i="3"/>
  <c r="B445" i="3"/>
  <c r="C445" i="3"/>
  <c r="D445" i="3"/>
  <c r="E445" i="3"/>
  <c r="F445" i="3"/>
  <c r="G445" i="3"/>
  <c r="H445" i="3"/>
  <c r="I445" i="3"/>
  <c r="J445" i="3"/>
  <c r="K445" i="3"/>
  <c r="B446" i="3"/>
  <c r="C446" i="3"/>
  <c r="D446" i="3"/>
  <c r="E446" i="3"/>
  <c r="F446" i="3"/>
  <c r="G446" i="3"/>
  <c r="H446" i="3"/>
  <c r="I446" i="3"/>
  <c r="J446" i="3"/>
  <c r="K446" i="3"/>
  <c r="B447" i="3"/>
  <c r="C447" i="3"/>
  <c r="D447" i="3"/>
  <c r="E447" i="3"/>
  <c r="F447" i="3"/>
  <c r="G447" i="3"/>
  <c r="H447" i="3"/>
  <c r="I447" i="3"/>
  <c r="J447" i="3"/>
  <c r="K447" i="3"/>
  <c r="B448" i="3"/>
  <c r="C448" i="3"/>
  <c r="D448" i="3"/>
  <c r="E448" i="3"/>
  <c r="F448" i="3"/>
  <c r="G448" i="3"/>
  <c r="H448" i="3"/>
  <c r="I448" i="3"/>
  <c r="J448" i="3"/>
  <c r="K448" i="3"/>
  <c r="B449" i="3"/>
  <c r="C449" i="3"/>
  <c r="D449" i="3"/>
  <c r="E449" i="3"/>
  <c r="F449" i="3"/>
  <c r="G449" i="3"/>
  <c r="H449" i="3"/>
  <c r="I449" i="3"/>
  <c r="J449" i="3"/>
  <c r="K449" i="3"/>
  <c r="B450" i="3"/>
  <c r="C450" i="3"/>
  <c r="D450" i="3"/>
  <c r="E450" i="3"/>
  <c r="F450" i="3"/>
  <c r="G450" i="3"/>
  <c r="H450" i="3"/>
  <c r="I450" i="3"/>
  <c r="J450" i="3"/>
  <c r="K450" i="3"/>
  <c r="B451" i="3"/>
  <c r="C451" i="3"/>
  <c r="D451" i="3"/>
  <c r="E451" i="3"/>
  <c r="F451" i="3"/>
  <c r="G451" i="3"/>
  <c r="H451" i="3"/>
  <c r="I451" i="3"/>
  <c r="J451" i="3"/>
  <c r="K451" i="3"/>
  <c r="B452" i="3"/>
  <c r="C452" i="3"/>
  <c r="D452" i="3"/>
  <c r="E452" i="3"/>
  <c r="F452" i="3"/>
  <c r="G452" i="3"/>
  <c r="H452" i="3"/>
  <c r="I452" i="3"/>
  <c r="J452" i="3"/>
  <c r="K452" i="3"/>
  <c r="B453" i="3"/>
  <c r="C453" i="3"/>
  <c r="D453" i="3"/>
  <c r="E453" i="3"/>
  <c r="F453" i="3"/>
  <c r="G453" i="3"/>
  <c r="H453" i="3"/>
  <c r="I453" i="3"/>
  <c r="J453" i="3"/>
  <c r="K453" i="3"/>
  <c r="B454" i="3"/>
  <c r="C454" i="3"/>
  <c r="D454" i="3"/>
  <c r="E454" i="3"/>
  <c r="F454" i="3"/>
  <c r="G454" i="3"/>
  <c r="H454" i="3"/>
  <c r="I454" i="3"/>
  <c r="J454" i="3"/>
  <c r="K454" i="3"/>
  <c r="B455" i="3"/>
  <c r="C455" i="3"/>
  <c r="D455" i="3"/>
  <c r="E455" i="3"/>
  <c r="F455" i="3"/>
  <c r="G455" i="3"/>
  <c r="H455" i="3"/>
  <c r="I455" i="3"/>
  <c r="J455" i="3"/>
  <c r="K455" i="3"/>
  <c r="B456" i="3"/>
  <c r="C456" i="3"/>
  <c r="D456" i="3"/>
  <c r="E456" i="3"/>
  <c r="F456" i="3"/>
  <c r="G456" i="3"/>
  <c r="H456" i="3"/>
  <c r="I456" i="3"/>
  <c r="J456" i="3"/>
  <c r="K456" i="3"/>
  <c r="B457" i="3"/>
  <c r="C457" i="3"/>
  <c r="D457" i="3"/>
  <c r="E457" i="3"/>
  <c r="F457" i="3"/>
  <c r="G457" i="3"/>
  <c r="H457" i="3"/>
  <c r="I457" i="3"/>
  <c r="J457" i="3"/>
  <c r="K457" i="3"/>
  <c r="B458" i="3"/>
  <c r="C458" i="3"/>
  <c r="D458" i="3"/>
  <c r="E458" i="3"/>
  <c r="F458" i="3"/>
  <c r="G458" i="3"/>
  <c r="H458" i="3"/>
  <c r="I458" i="3"/>
  <c r="J458" i="3"/>
  <c r="K458" i="3"/>
  <c r="B459" i="3"/>
  <c r="C459" i="3"/>
  <c r="D459" i="3"/>
  <c r="E459" i="3"/>
  <c r="F459" i="3"/>
  <c r="G459" i="3"/>
  <c r="H459" i="3"/>
  <c r="I459" i="3"/>
  <c r="J459" i="3"/>
  <c r="K459" i="3"/>
  <c r="B460" i="3"/>
  <c r="C460" i="3"/>
  <c r="D460" i="3"/>
  <c r="E460" i="3"/>
  <c r="F460" i="3"/>
  <c r="G460" i="3"/>
  <c r="H460" i="3"/>
  <c r="I460" i="3"/>
  <c r="J460" i="3"/>
  <c r="K460" i="3"/>
  <c r="B461" i="3"/>
  <c r="C461" i="3"/>
  <c r="D461" i="3"/>
  <c r="E461" i="3"/>
  <c r="F461" i="3"/>
  <c r="G461" i="3"/>
  <c r="H461" i="3"/>
  <c r="I461" i="3"/>
  <c r="J461" i="3"/>
  <c r="K461" i="3"/>
  <c r="B462" i="3"/>
  <c r="C462" i="3"/>
  <c r="D462" i="3"/>
  <c r="E462" i="3"/>
  <c r="F462" i="3"/>
  <c r="G462" i="3"/>
  <c r="H462" i="3"/>
  <c r="I462" i="3"/>
  <c r="J462" i="3"/>
  <c r="K462" i="3"/>
  <c r="B463" i="3"/>
  <c r="C463" i="3"/>
  <c r="D463" i="3"/>
  <c r="E463" i="3"/>
  <c r="F463" i="3"/>
  <c r="G463" i="3"/>
  <c r="H463" i="3"/>
  <c r="I463" i="3"/>
  <c r="J463" i="3"/>
  <c r="K463" i="3"/>
  <c r="B464" i="3"/>
  <c r="C464" i="3"/>
  <c r="D464" i="3"/>
  <c r="E464" i="3"/>
  <c r="F464" i="3"/>
  <c r="G464" i="3"/>
  <c r="H464" i="3"/>
  <c r="I464" i="3"/>
  <c r="J464" i="3"/>
  <c r="K464" i="3"/>
  <c r="B465" i="3"/>
  <c r="C465" i="3"/>
  <c r="D465" i="3"/>
  <c r="E465" i="3"/>
  <c r="F465" i="3"/>
  <c r="G465" i="3"/>
  <c r="H465" i="3"/>
  <c r="I465" i="3"/>
  <c r="J465" i="3"/>
  <c r="K465" i="3"/>
  <c r="B466" i="3"/>
  <c r="C466" i="3"/>
  <c r="D466" i="3"/>
  <c r="E466" i="3"/>
  <c r="F466" i="3"/>
  <c r="G466" i="3"/>
  <c r="H466" i="3"/>
  <c r="I466" i="3"/>
  <c r="J466" i="3"/>
  <c r="K466" i="3"/>
  <c r="B467" i="3"/>
  <c r="C467" i="3"/>
  <c r="D467" i="3"/>
  <c r="E467" i="3"/>
  <c r="F467" i="3"/>
  <c r="G467" i="3"/>
  <c r="H467" i="3"/>
  <c r="I467" i="3"/>
  <c r="J467" i="3"/>
  <c r="K467" i="3"/>
  <c r="B468" i="3"/>
  <c r="C468" i="3"/>
  <c r="D468" i="3"/>
  <c r="E468" i="3"/>
  <c r="F468" i="3"/>
  <c r="G468" i="3"/>
  <c r="H468" i="3"/>
  <c r="I468" i="3"/>
  <c r="J468" i="3"/>
  <c r="K468" i="3"/>
  <c r="B469" i="3"/>
  <c r="C469" i="3"/>
  <c r="D469" i="3"/>
  <c r="E469" i="3"/>
  <c r="F469" i="3"/>
  <c r="G469" i="3"/>
  <c r="H469" i="3"/>
  <c r="I469" i="3"/>
  <c r="J469" i="3"/>
  <c r="K469" i="3"/>
  <c r="B470" i="3"/>
  <c r="C470" i="3"/>
  <c r="D470" i="3"/>
  <c r="E470" i="3"/>
  <c r="F470" i="3"/>
  <c r="G470" i="3"/>
  <c r="H470" i="3"/>
  <c r="I470" i="3"/>
  <c r="J470" i="3"/>
  <c r="K470" i="3"/>
  <c r="B471" i="3"/>
  <c r="C471" i="3"/>
  <c r="D471" i="3"/>
  <c r="E471" i="3"/>
  <c r="F471" i="3"/>
  <c r="G471" i="3"/>
  <c r="H471" i="3"/>
  <c r="I471" i="3"/>
  <c r="J471" i="3"/>
  <c r="K471" i="3"/>
  <c r="B472" i="3"/>
  <c r="C472" i="3"/>
  <c r="D472" i="3"/>
  <c r="E472" i="3"/>
  <c r="F472" i="3"/>
  <c r="G472" i="3"/>
  <c r="H472" i="3"/>
  <c r="I472" i="3"/>
  <c r="J472" i="3"/>
  <c r="K472" i="3"/>
  <c r="B473" i="3"/>
  <c r="C473" i="3"/>
  <c r="D473" i="3"/>
  <c r="E473" i="3"/>
  <c r="F473" i="3"/>
  <c r="G473" i="3"/>
  <c r="H473" i="3"/>
  <c r="I473" i="3"/>
  <c r="J473" i="3"/>
  <c r="K473" i="3"/>
  <c r="B474" i="3"/>
  <c r="C474" i="3"/>
  <c r="D474" i="3"/>
  <c r="E474" i="3"/>
  <c r="F474" i="3"/>
  <c r="G474" i="3"/>
  <c r="H474" i="3"/>
  <c r="I474" i="3"/>
  <c r="J474" i="3"/>
  <c r="K474" i="3"/>
  <c r="B475" i="3"/>
  <c r="C475" i="3"/>
  <c r="D475" i="3"/>
  <c r="E475" i="3"/>
  <c r="F475" i="3"/>
  <c r="G475" i="3"/>
  <c r="H475" i="3"/>
  <c r="I475" i="3"/>
  <c r="J475" i="3"/>
  <c r="K475" i="3"/>
  <c r="B476" i="3"/>
  <c r="C476" i="3"/>
  <c r="D476" i="3"/>
  <c r="E476" i="3"/>
  <c r="F476" i="3"/>
  <c r="G476" i="3"/>
  <c r="H476" i="3"/>
  <c r="I476" i="3"/>
  <c r="J476" i="3"/>
  <c r="K476" i="3"/>
  <c r="B477" i="3"/>
  <c r="C477" i="3"/>
  <c r="D477" i="3"/>
  <c r="E477" i="3"/>
  <c r="F477" i="3"/>
  <c r="G477" i="3"/>
  <c r="H477" i="3"/>
  <c r="I477" i="3"/>
  <c r="J477" i="3"/>
  <c r="K477" i="3"/>
  <c r="B478" i="3"/>
  <c r="C478" i="3"/>
  <c r="D478" i="3"/>
  <c r="E478" i="3"/>
  <c r="F478" i="3"/>
  <c r="G478" i="3"/>
  <c r="H478" i="3"/>
  <c r="I478" i="3"/>
  <c r="J478" i="3"/>
  <c r="K478" i="3"/>
  <c r="B479" i="3"/>
  <c r="C479" i="3"/>
  <c r="D479" i="3"/>
  <c r="E479" i="3"/>
  <c r="F479" i="3"/>
  <c r="G479" i="3"/>
  <c r="H479" i="3"/>
  <c r="I479" i="3"/>
  <c r="J479" i="3"/>
  <c r="K479" i="3"/>
  <c r="B480" i="3"/>
  <c r="C480" i="3"/>
  <c r="D480" i="3"/>
  <c r="E480" i="3"/>
  <c r="F480" i="3"/>
  <c r="G480" i="3"/>
  <c r="H480" i="3"/>
  <c r="I480" i="3"/>
  <c r="J480" i="3"/>
  <c r="K480" i="3"/>
  <c r="B481" i="3"/>
  <c r="C481" i="3"/>
  <c r="D481" i="3"/>
  <c r="E481" i="3"/>
  <c r="F481" i="3"/>
  <c r="G481" i="3"/>
  <c r="H481" i="3"/>
  <c r="I481" i="3"/>
  <c r="J481" i="3"/>
  <c r="K481" i="3"/>
  <c r="B482" i="3"/>
  <c r="C482" i="3"/>
  <c r="D482" i="3"/>
  <c r="E482" i="3"/>
  <c r="F482" i="3"/>
  <c r="G482" i="3"/>
  <c r="H482" i="3"/>
  <c r="I482" i="3"/>
  <c r="J482" i="3"/>
  <c r="K482" i="3"/>
  <c r="B483" i="3"/>
  <c r="C483" i="3"/>
  <c r="D483" i="3"/>
  <c r="E483" i="3"/>
  <c r="F483" i="3"/>
  <c r="G483" i="3"/>
  <c r="H483" i="3"/>
  <c r="I483" i="3"/>
  <c r="J483" i="3"/>
  <c r="K483" i="3"/>
  <c r="B484" i="3"/>
  <c r="C484" i="3"/>
  <c r="D484" i="3"/>
  <c r="E484" i="3"/>
  <c r="F484" i="3"/>
  <c r="G484" i="3"/>
  <c r="H484" i="3"/>
  <c r="I484" i="3"/>
  <c r="J484" i="3"/>
  <c r="K484" i="3"/>
  <c r="B485" i="3"/>
  <c r="C485" i="3"/>
  <c r="D485" i="3"/>
  <c r="E485" i="3"/>
  <c r="F485" i="3"/>
  <c r="G485" i="3"/>
  <c r="H485" i="3"/>
  <c r="I485" i="3"/>
  <c r="J485" i="3"/>
  <c r="K485" i="3"/>
  <c r="B486" i="3"/>
  <c r="C486" i="3"/>
  <c r="D486" i="3"/>
  <c r="E486" i="3"/>
  <c r="F486" i="3"/>
  <c r="G486" i="3"/>
  <c r="H486" i="3"/>
  <c r="I486" i="3"/>
  <c r="J486" i="3"/>
  <c r="K486" i="3"/>
  <c r="B487" i="3"/>
  <c r="C487" i="3"/>
  <c r="D487" i="3"/>
  <c r="E487" i="3"/>
  <c r="F487" i="3"/>
  <c r="G487" i="3"/>
  <c r="H487" i="3"/>
  <c r="I487" i="3"/>
  <c r="J487" i="3"/>
  <c r="K487" i="3"/>
  <c r="B488" i="3"/>
  <c r="C488" i="3"/>
  <c r="D488" i="3"/>
  <c r="E488" i="3"/>
  <c r="F488" i="3"/>
  <c r="G488" i="3"/>
  <c r="H488" i="3"/>
  <c r="I488" i="3"/>
  <c r="J488" i="3"/>
  <c r="K488" i="3"/>
  <c r="B489" i="3"/>
  <c r="C489" i="3"/>
  <c r="D489" i="3"/>
  <c r="E489" i="3"/>
  <c r="F489" i="3"/>
  <c r="G489" i="3"/>
  <c r="H489" i="3"/>
  <c r="I489" i="3"/>
  <c r="J489" i="3"/>
  <c r="K489" i="3"/>
  <c r="B490" i="3"/>
  <c r="C490" i="3"/>
  <c r="D490" i="3"/>
  <c r="E490" i="3"/>
  <c r="F490" i="3"/>
  <c r="G490" i="3"/>
  <c r="H490" i="3"/>
  <c r="I490" i="3"/>
  <c r="J490" i="3"/>
  <c r="K490" i="3"/>
  <c r="B491" i="3"/>
  <c r="C491" i="3"/>
  <c r="D491" i="3"/>
  <c r="E491" i="3"/>
  <c r="F491" i="3"/>
  <c r="G491" i="3"/>
  <c r="H491" i="3"/>
  <c r="I491" i="3"/>
  <c r="J491" i="3"/>
  <c r="K491" i="3"/>
  <c r="B492" i="3"/>
  <c r="C492" i="3"/>
  <c r="D492" i="3"/>
  <c r="E492" i="3"/>
  <c r="F492" i="3"/>
  <c r="G492" i="3"/>
  <c r="H492" i="3"/>
  <c r="I492" i="3"/>
  <c r="J492" i="3"/>
  <c r="K492" i="3"/>
  <c r="B493" i="3"/>
  <c r="C493" i="3"/>
  <c r="D493" i="3"/>
  <c r="E493" i="3"/>
  <c r="F493" i="3"/>
  <c r="G493" i="3"/>
  <c r="H493" i="3"/>
  <c r="I493" i="3"/>
  <c r="J493" i="3"/>
  <c r="K493" i="3"/>
  <c r="B494" i="3"/>
  <c r="C494" i="3"/>
  <c r="D494" i="3"/>
  <c r="E494" i="3"/>
  <c r="F494" i="3"/>
  <c r="G494" i="3"/>
  <c r="H494" i="3"/>
  <c r="I494" i="3"/>
  <c r="J494" i="3"/>
  <c r="K494" i="3"/>
  <c r="B495" i="3"/>
  <c r="C495" i="3"/>
  <c r="D495" i="3"/>
  <c r="E495" i="3"/>
  <c r="F495" i="3"/>
  <c r="G495" i="3"/>
  <c r="H495" i="3"/>
  <c r="I495" i="3"/>
  <c r="J495" i="3"/>
  <c r="K495" i="3"/>
  <c r="B496" i="3"/>
  <c r="C496" i="3"/>
  <c r="D496" i="3"/>
  <c r="E496" i="3"/>
  <c r="F496" i="3"/>
  <c r="G496" i="3"/>
  <c r="H496" i="3"/>
  <c r="I496" i="3"/>
  <c r="J496" i="3"/>
  <c r="K496" i="3"/>
  <c r="B497" i="3"/>
  <c r="C497" i="3"/>
  <c r="D497" i="3"/>
  <c r="E497" i="3"/>
  <c r="F497" i="3"/>
  <c r="G497" i="3"/>
  <c r="H497" i="3"/>
  <c r="I497" i="3"/>
  <c r="J497" i="3"/>
  <c r="K497" i="3"/>
  <c r="B498" i="3"/>
  <c r="C498" i="3"/>
  <c r="D498" i="3"/>
  <c r="E498" i="3"/>
  <c r="F498" i="3"/>
  <c r="G498" i="3"/>
  <c r="H498" i="3"/>
  <c r="I498" i="3"/>
  <c r="J498" i="3"/>
  <c r="K498" i="3"/>
  <c r="B499" i="3"/>
  <c r="C499" i="3"/>
  <c r="D499" i="3"/>
  <c r="E499" i="3"/>
  <c r="F499" i="3"/>
  <c r="G499" i="3"/>
  <c r="H499" i="3"/>
  <c r="I499" i="3"/>
  <c r="J499" i="3"/>
  <c r="K499" i="3"/>
  <c r="B500" i="3"/>
  <c r="C500" i="3"/>
  <c r="D500" i="3"/>
  <c r="E500" i="3"/>
  <c r="F500" i="3"/>
  <c r="G500" i="3"/>
  <c r="H500" i="3"/>
  <c r="I500" i="3"/>
  <c r="J500" i="3"/>
  <c r="K500" i="3"/>
  <c r="B501" i="3"/>
  <c r="C501" i="3"/>
  <c r="D501" i="3"/>
  <c r="E501" i="3"/>
  <c r="F501" i="3"/>
  <c r="G501" i="3"/>
  <c r="H501" i="3"/>
  <c r="I501" i="3"/>
  <c r="J501" i="3"/>
  <c r="K501" i="3"/>
  <c r="B502" i="3"/>
  <c r="C502" i="3"/>
  <c r="D502" i="3"/>
  <c r="E502" i="3"/>
  <c r="F502" i="3"/>
  <c r="G502" i="3"/>
  <c r="H502" i="3"/>
  <c r="I502" i="3"/>
  <c r="J502" i="3"/>
  <c r="K502" i="3"/>
  <c r="B503" i="3"/>
  <c r="C503" i="3"/>
  <c r="D503" i="3"/>
  <c r="E503" i="3"/>
  <c r="F503" i="3"/>
  <c r="G503" i="3"/>
  <c r="H503" i="3"/>
  <c r="I503" i="3"/>
  <c r="J503" i="3"/>
  <c r="K503" i="3"/>
  <c r="B504" i="3"/>
  <c r="C504" i="3"/>
  <c r="D504" i="3"/>
  <c r="E504" i="3"/>
  <c r="F504" i="3"/>
  <c r="G504" i="3"/>
  <c r="H504" i="3"/>
  <c r="I504" i="3"/>
  <c r="J504" i="3"/>
  <c r="K504" i="3"/>
  <c r="B505" i="3"/>
  <c r="C505" i="3"/>
  <c r="D505" i="3"/>
  <c r="E505" i="3"/>
  <c r="F505" i="3"/>
  <c r="G505" i="3"/>
  <c r="H505" i="3"/>
  <c r="I505" i="3"/>
  <c r="J505" i="3"/>
  <c r="K505" i="3"/>
  <c r="B506" i="3"/>
  <c r="C506" i="3"/>
  <c r="D506" i="3"/>
  <c r="E506" i="3"/>
  <c r="F506" i="3"/>
  <c r="G506" i="3"/>
  <c r="H506" i="3"/>
  <c r="I506" i="3"/>
  <c r="J506" i="3"/>
  <c r="K506" i="3"/>
  <c r="B507" i="3"/>
  <c r="C507" i="3"/>
  <c r="D507" i="3"/>
  <c r="E507" i="3"/>
  <c r="F507" i="3"/>
  <c r="G507" i="3"/>
  <c r="H507" i="3"/>
  <c r="I507" i="3"/>
  <c r="J507" i="3"/>
  <c r="K507" i="3"/>
  <c r="B508" i="3"/>
  <c r="C508" i="3"/>
  <c r="D508" i="3"/>
  <c r="E508" i="3"/>
  <c r="F508" i="3"/>
  <c r="G508" i="3"/>
  <c r="H508" i="3"/>
  <c r="I508" i="3"/>
  <c r="J508" i="3"/>
  <c r="K508" i="3"/>
  <c r="B509" i="3"/>
  <c r="C509" i="3"/>
  <c r="D509" i="3"/>
  <c r="E509" i="3"/>
  <c r="F509" i="3"/>
  <c r="G509" i="3"/>
  <c r="H509" i="3"/>
  <c r="I509" i="3"/>
  <c r="J509" i="3"/>
  <c r="K509" i="3"/>
  <c r="B510" i="3"/>
  <c r="C510" i="3"/>
  <c r="D510" i="3"/>
  <c r="E510" i="3"/>
  <c r="F510" i="3"/>
  <c r="G510" i="3"/>
  <c r="H510" i="3"/>
  <c r="I510" i="3"/>
  <c r="J510" i="3"/>
  <c r="K510" i="3"/>
  <c r="B511" i="3"/>
  <c r="C511" i="3"/>
  <c r="D511" i="3"/>
  <c r="E511" i="3"/>
  <c r="F511" i="3"/>
  <c r="G511" i="3"/>
  <c r="H511" i="3"/>
  <c r="I511" i="3"/>
  <c r="J511" i="3"/>
  <c r="K511" i="3"/>
  <c r="B512" i="3"/>
  <c r="C512" i="3"/>
  <c r="D512" i="3"/>
  <c r="E512" i="3"/>
  <c r="F512" i="3"/>
  <c r="G512" i="3"/>
  <c r="H512" i="3"/>
  <c r="I512" i="3"/>
  <c r="J512" i="3"/>
  <c r="K512" i="3"/>
  <c r="B513" i="3"/>
  <c r="C513" i="3"/>
  <c r="D513" i="3"/>
  <c r="E513" i="3"/>
  <c r="F513" i="3"/>
  <c r="G513" i="3"/>
  <c r="H513" i="3"/>
  <c r="I513" i="3"/>
  <c r="J513" i="3"/>
  <c r="K513" i="3"/>
  <c r="B514" i="3"/>
  <c r="C514" i="3"/>
  <c r="D514" i="3"/>
  <c r="E514" i="3"/>
  <c r="F514" i="3"/>
  <c r="G514" i="3"/>
  <c r="H514" i="3"/>
  <c r="I514" i="3"/>
  <c r="J514" i="3"/>
  <c r="K514" i="3"/>
  <c r="B515" i="3"/>
  <c r="C515" i="3"/>
  <c r="D515" i="3"/>
  <c r="E515" i="3"/>
  <c r="F515" i="3"/>
  <c r="G515" i="3"/>
  <c r="H515" i="3"/>
  <c r="I515" i="3"/>
  <c r="J515" i="3"/>
  <c r="K515" i="3"/>
  <c r="B516" i="3"/>
  <c r="C516" i="3"/>
  <c r="D516" i="3"/>
  <c r="E516" i="3"/>
  <c r="F516" i="3"/>
  <c r="G516" i="3"/>
  <c r="H516" i="3"/>
  <c r="I516" i="3"/>
  <c r="J516" i="3"/>
  <c r="K516" i="3"/>
  <c r="B517" i="3"/>
  <c r="C517" i="3"/>
  <c r="D517" i="3"/>
  <c r="E517" i="3"/>
  <c r="F517" i="3"/>
  <c r="G517" i="3"/>
  <c r="H517" i="3"/>
  <c r="I517" i="3"/>
  <c r="J517" i="3"/>
  <c r="K517" i="3"/>
  <c r="B518" i="3"/>
  <c r="C518" i="3"/>
  <c r="C655" i="3" s="1"/>
  <c r="D518" i="3"/>
  <c r="E518" i="3"/>
  <c r="F518" i="3"/>
  <c r="G518" i="3"/>
  <c r="H518" i="3"/>
  <c r="I518" i="3"/>
  <c r="J518" i="3"/>
  <c r="K518" i="3"/>
  <c r="B519" i="3"/>
  <c r="C519" i="3"/>
  <c r="D519" i="3"/>
  <c r="E519" i="3"/>
  <c r="F519" i="3"/>
  <c r="G519" i="3"/>
  <c r="H519" i="3"/>
  <c r="I519" i="3"/>
  <c r="J519" i="3"/>
  <c r="K519" i="3"/>
  <c r="B520" i="3"/>
  <c r="C520" i="3"/>
  <c r="D520" i="3"/>
  <c r="E520" i="3"/>
  <c r="F520" i="3"/>
  <c r="G520" i="3"/>
  <c r="H520" i="3"/>
  <c r="I520" i="3"/>
  <c r="J520" i="3"/>
  <c r="K520" i="3"/>
  <c r="B521" i="3"/>
  <c r="C521" i="3"/>
  <c r="D521" i="3"/>
  <c r="E521" i="3"/>
  <c r="F521" i="3"/>
  <c r="G521" i="3"/>
  <c r="H521" i="3"/>
  <c r="I521" i="3"/>
  <c r="J521" i="3"/>
  <c r="K521" i="3"/>
  <c r="B522" i="3"/>
  <c r="C522" i="3"/>
  <c r="D522" i="3"/>
  <c r="E522" i="3"/>
  <c r="F522" i="3"/>
  <c r="G522" i="3"/>
  <c r="H522" i="3"/>
  <c r="I522" i="3"/>
  <c r="J522" i="3"/>
  <c r="K522" i="3"/>
  <c r="B523" i="3"/>
  <c r="C523" i="3"/>
  <c r="D523" i="3"/>
  <c r="E523" i="3"/>
  <c r="F523" i="3"/>
  <c r="G523" i="3"/>
  <c r="H523" i="3"/>
  <c r="I523" i="3"/>
  <c r="J523" i="3"/>
  <c r="K523" i="3"/>
  <c r="B524" i="3"/>
  <c r="C524" i="3"/>
  <c r="D524" i="3"/>
  <c r="E524" i="3"/>
  <c r="F524" i="3"/>
  <c r="G524" i="3"/>
  <c r="H524" i="3"/>
  <c r="I524" i="3"/>
  <c r="J524" i="3"/>
  <c r="K524" i="3"/>
  <c r="B525" i="3"/>
  <c r="C525" i="3"/>
  <c r="D525" i="3"/>
  <c r="E525" i="3"/>
  <c r="F525" i="3"/>
  <c r="G525" i="3"/>
  <c r="H525" i="3"/>
  <c r="I525" i="3"/>
  <c r="J525" i="3"/>
  <c r="K525" i="3"/>
  <c r="B526" i="3"/>
  <c r="C526" i="3"/>
  <c r="D526" i="3"/>
  <c r="E526" i="3"/>
  <c r="F526" i="3"/>
  <c r="G526" i="3"/>
  <c r="H526" i="3"/>
  <c r="I526" i="3"/>
  <c r="J526" i="3"/>
  <c r="K526" i="3"/>
  <c r="B527" i="3"/>
  <c r="C527" i="3"/>
  <c r="D527" i="3"/>
  <c r="E527" i="3"/>
  <c r="F527" i="3"/>
  <c r="G527" i="3"/>
  <c r="H527" i="3"/>
  <c r="I527" i="3"/>
  <c r="J527" i="3"/>
  <c r="K527" i="3"/>
  <c r="B528" i="3"/>
  <c r="C528" i="3"/>
  <c r="D528" i="3"/>
  <c r="E528" i="3"/>
  <c r="F528" i="3"/>
  <c r="G528" i="3"/>
  <c r="H528" i="3"/>
  <c r="I528" i="3"/>
  <c r="J528" i="3"/>
  <c r="K528" i="3"/>
  <c r="B529" i="3"/>
  <c r="C529" i="3"/>
  <c r="D529" i="3"/>
  <c r="E529" i="3"/>
  <c r="F529" i="3"/>
  <c r="G529" i="3"/>
  <c r="H529" i="3"/>
  <c r="I529" i="3"/>
  <c r="J529" i="3"/>
  <c r="K529" i="3"/>
  <c r="B530" i="3"/>
  <c r="C530" i="3"/>
  <c r="D530" i="3"/>
  <c r="E530" i="3"/>
  <c r="F530" i="3"/>
  <c r="G530" i="3"/>
  <c r="H530" i="3"/>
  <c r="I530" i="3"/>
  <c r="J530" i="3"/>
  <c r="K530" i="3"/>
  <c r="B531" i="3"/>
  <c r="C531" i="3"/>
  <c r="D531" i="3"/>
  <c r="E531" i="3"/>
  <c r="F531" i="3"/>
  <c r="G531" i="3"/>
  <c r="H531" i="3"/>
  <c r="I531" i="3"/>
  <c r="J531" i="3"/>
  <c r="K531" i="3"/>
  <c r="B532" i="3"/>
  <c r="C532" i="3"/>
  <c r="C656" i="3" s="1"/>
  <c r="D532" i="3"/>
  <c r="E532" i="3"/>
  <c r="F532" i="3"/>
  <c r="G532" i="3"/>
  <c r="H532" i="3"/>
  <c r="I532" i="3"/>
  <c r="J532" i="3"/>
  <c r="K532" i="3"/>
  <c r="B533" i="3"/>
  <c r="C533" i="3"/>
  <c r="D533" i="3"/>
  <c r="E533" i="3"/>
  <c r="F533" i="3"/>
  <c r="G533" i="3"/>
  <c r="H533" i="3"/>
  <c r="I533" i="3"/>
  <c r="J533" i="3"/>
  <c r="K533" i="3"/>
  <c r="B534" i="3"/>
  <c r="C534" i="3"/>
  <c r="D534" i="3"/>
  <c r="E534" i="3"/>
  <c r="F534" i="3"/>
  <c r="G534" i="3"/>
  <c r="G656" i="3" s="1"/>
  <c r="H534" i="3"/>
  <c r="I534" i="3"/>
  <c r="J534" i="3"/>
  <c r="K534" i="3"/>
  <c r="K656" i="3" s="1"/>
  <c r="B535" i="3"/>
  <c r="C535" i="3"/>
  <c r="D535" i="3"/>
  <c r="E535" i="3"/>
  <c r="F535" i="3"/>
  <c r="G535" i="3"/>
  <c r="H535" i="3"/>
  <c r="I535" i="3"/>
  <c r="J535" i="3"/>
  <c r="K535" i="3"/>
  <c r="B536" i="3"/>
  <c r="C536" i="3"/>
  <c r="D536" i="3"/>
  <c r="E536" i="3"/>
  <c r="F536" i="3"/>
  <c r="G536" i="3"/>
  <c r="H536" i="3"/>
  <c r="I536" i="3"/>
  <c r="J536" i="3"/>
  <c r="K536" i="3"/>
  <c r="B537" i="3"/>
  <c r="C537" i="3"/>
  <c r="D537" i="3"/>
  <c r="E537" i="3"/>
  <c r="F537" i="3"/>
  <c r="G537" i="3"/>
  <c r="H537" i="3"/>
  <c r="I537" i="3"/>
  <c r="J537" i="3"/>
  <c r="K537" i="3"/>
  <c r="B538" i="3"/>
  <c r="C538" i="3"/>
  <c r="D538" i="3"/>
  <c r="E538" i="3"/>
  <c r="F538" i="3"/>
  <c r="G538" i="3"/>
  <c r="H538" i="3"/>
  <c r="I538" i="3"/>
  <c r="J538" i="3"/>
  <c r="K538" i="3"/>
  <c r="B539" i="3"/>
  <c r="C539" i="3"/>
  <c r="D539" i="3"/>
  <c r="E539" i="3"/>
  <c r="F539" i="3"/>
  <c r="G539" i="3"/>
  <c r="H539" i="3"/>
  <c r="I539" i="3"/>
  <c r="J539" i="3"/>
  <c r="K539" i="3"/>
  <c r="B540" i="3"/>
  <c r="C540" i="3"/>
  <c r="C657" i="3" s="1"/>
  <c r="D540" i="3"/>
  <c r="E540" i="3"/>
  <c r="F540" i="3"/>
  <c r="G540" i="3"/>
  <c r="H540" i="3"/>
  <c r="I540" i="3"/>
  <c r="J540" i="3"/>
  <c r="K540" i="3"/>
  <c r="B541" i="3"/>
  <c r="C541" i="3"/>
  <c r="D541" i="3"/>
  <c r="E541" i="3"/>
  <c r="E657" i="3" s="1"/>
  <c r="F541" i="3"/>
  <c r="G541" i="3"/>
  <c r="H541" i="3"/>
  <c r="I541" i="3"/>
  <c r="I657" i="3" s="1"/>
  <c r="J541" i="3"/>
  <c r="K541" i="3"/>
  <c r="B542" i="3"/>
  <c r="C542" i="3"/>
  <c r="D542" i="3"/>
  <c r="E542" i="3"/>
  <c r="F542" i="3"/>
  <c r="G542" i="3"/>
  <c r="H542" i="3"/>
  <c r="I542" i="3"/>
  <c r="J542" i="3"/>
  <c r="K542" i="3"/>
  <c r="B543" i="3"/>
  <c r="C543" i="3"/>
  <c r="D543" i="3"/>
  <c r="E543" i="3"/>
  <c r="F543" i="3"/>
  <c r="G543" i="3"/>
  <c r="H543" i="3"/>
  <c r="I543" i="3"/>
  <c r="J543" i="3"/>
  <c r="K543" i="3"/>
  <c r="B544" i="3"/>
  <c r="C544" i="3"/>
  <c r="D544" i="3"/>
  <c r="E544" i="3"/>
  <c r="F544" i="3"/>
  <c r="G544" i="3"/>
  <c r="H544" i="3"/>
  <c r="I544" i="3"/>
  <c r="J544" i="3"/>
  <c r="K544" i="3"/>
  <c r="B545" i="3"/>
  <c r="C545" i="3"/>
  <c r="D545" i="3"/>
  <c r="E545" i="3"/>
  <c r="F545" i="3"/>
  <c r="G545" i="3"/>
  <c r="H545" i="3"/>
  <c r="I545" i="3"/>
  <c r="J545" i="3"/>
  <c r="K545" i="3"/>
  <c r="B546" i="3"/>
  <c r="C546" i="3"/>
  <c r="D546" i="3"/>
  <c r="E546" i="3"/>
  <c r="F546" i="3"/>
  <c r="G546" i="3"/>
  <c r="H546" i="3"/>
  <c r="I546" i="3"/>
  <c r="J546" i="3"/>
  <c r="K546" i="3"/>
  <c r="B547" i="3"/>
  <c r="C547" i="3"/>
  <c r="D547" i="3"/>
  <c r="E547" i="3"/>
  <c r="F547" i="3"/>
  <c r="G547" i="3"/>
  <c r="H547" i="3"/>
  <c r="I547" i="3"/>
  <c r="J547" i="3"/>
  <c r="K547" i="3"/>
  <c r="B548" i="3"/>
  <c r="C548" i="3"/>
  <c r="D548" i="3"/>
  <c r="E548" i="3"/>
  <c r="F548" i="3"/>
  <c r="G548" i="3"/>
  <c r="H548" i="3"/>
  <c r="I548" i="3"/>
  <c r="J548" i="3"/>
  <c r="K548" i="3"/>
  <c r="B549" i="3"/>
  <c r="C549" i="3"/>
  <c r="D549" i="3"/>
  <c r="E549" i="3"/>
  <c r="F549" i="3"/>
  <c r="G549" i="3"/>
  <c r="H549" i="3"/>
  <c r="I549" i="3"/>
  <c r="J549" i="3"/>
  <c r="K549" i="3"/>
  <c r="B550" i="3"/>
  <c r="C550" i="3"/>
  <c r="D550" i="3"/>
  <c r="E550" i="3"/>
  <c r="F550" i="3"/>
  <c r="G550" i="3"/>
  <c r="H550" i="3"/>
  <c r="I550" i="3"/>
  <c r="J550" i="3"/>
  <c r="K550" i="3"/>
  <c r="B551" i="3"/>
  <c r="C551" i="3"/>
  <c r="D551" i="3"/>
  <c r="E551" i="3"/>
  <c r="F551" i="3"/>
  <c r="G551" i="3"/>
  <c r="H551" i="3"/>
  <c r="I551" i="3"/>
  <c r="J551" i="3"/>
  <c r="K551" i="3"/>
  <c r="B552" i="3"/>
  <c r="C552" i="3"/>
  <c r="C658" i="3" s="1"/>
  <c r="D552" i="3"/>
  <c r="E552" i="3"/>
  <c r="F552" i="3"/>
  <c r="G552" i="3"/>
  <c r="G658" i="3" s="1"/>
  <c r="H552" i="3"/>
  <c r="I552" i="3"/>
  <c r="J552" i="3"/>
  <c r="K552" i="3"/>
  <c r="K658" i="3" s="1"/>
  <c r="B553" i="3"/>
  <c r="C553" i="3"/>
  <c r="D553" i="3"/>
  <c r="E553" i="3"/>
  <c r="F553" i="3"/>
  <c r="G553" i="3"/>
  <c r="H553" i="3"/>
  <c r="I553" i="3"/>
  <c r="J553" i="3"/>
  <c r="K553" i="3"/>
  <c r="B554" i="3"/>
  <c r="C554" i="3"/>
  <c r="D554" i="3"/>
  <c r="E554" i="3"/>
  <c r="F554" i="3"/>
  <c r="G554" i="3"/>
  <c r="H554" i="3"/>
  <c r="I554" i="3"/>
  <c r="J554" i="3"/>
  <c r="K554" i="3"/>
  <c r="B555" i="3"/>
  <c r="C555" i="3"/>
  <c r="D555" i="3"/>
  <c r="E555" i="3"/>
  <c r="F555" i="3"/>
  <c r="G555" i="3"/>
  <c r="H555" i="3"/>
  <c r="I555" i="3"/>
  <c r="J555" i="3"/>
  <c r="K555" i="3"/>
  <c r="B556" i="3"/>
  <c r="C556" i="3"/>
  <c r="D556" i="3"/>
  <c r="E556" i="3"/>
  <c r="F556" i="3"/>
  <c r="G556" i="3"/>
  <c r="H556" i="3"/>
  <c r="I556" i="3"/>
  <c r="J556" i="3"/>
  <c r="K556" i="3"/>
  <c r="B557" i="3"/>
  <c r="C557" i="3"/>
  <c r="D557" i="3"/>
  <c r="E557" i="3"/>
  <c r="F557" i="3"/>
  <c r="G557" i="3"/>
  <c r="H557" i="3"/>
  <c r="I557" i="3"/>
  <c r="J557" i="3"/>
  <c r="K557" i="3"/>
  <c r="B558" i="3"/>
  <c r="C558" i="3"/>
  <c r="D558" i="3"/>
  <c r="E558" i="3"/>
  <c r="F558" i="3"/>
  <c r="G558" i="3"/>
  <c r="H558" i="3"/>
  <c r="I558" i="3"/>
  <c r="J558" i="3"/>
  <c r="K558" i="3"/>
  <c r="B559" i="3"/>
  <c r="C559" i="3"/>
  <c r="D559" i="3"/>
  <c r="E559" i="3"/>
  <c r="F559" i="3"/>
  <c r="G559" i="3"/>
  <c r="H559" i="3"/>
  <c r="I559" i="3"/>
  <c r="J559" i="3"/>
  <c r="K559" i="3"/>
  <c r="B560" i="3"/>
  <c r="C560" i="3"/>
  <c r="D560" i="3"/>
  <c r="E560" i="3"/>
  <c r="F560" i="3"/>
  <c r="G560" i="3"/>
  <c r="H560" i="3"/>
  <c r="I560" i="3"/>
  <c r="J560" i="3"/>
  <c r="K560" i="3"/>
  <c r="B561" i="3"/>
  <c r="C561" i="3"/>
  <c r="D561" i="3"/>
  <c r="E561" i="3"/>
  <c r="F561" i="3"/>
  <c r="G561" i="3"/>
  <c r="H561" i="3"/>
  <c r="I561" i="3"/>
  <c r="J561" i="3"/>
  <c r="K561" i="3"/>
  <c r="B562" i="3"/>
  <c r="C562" i="3"/>
  <c r="D562" i="3"/>
  <c r="E562" i="3"/>
  <c r="F562" i="3"/>
  <c r="G562" i="3"/>
  <c r="H562" i="3"/>
  <c r="I562" i="3"/>
  <c r="J562" i="3"/>
  <c r="K562" i="3"/>
  <c r="B563" i="3"/>
  <c r="C563" i="3"/>
  <c r="D563" i="3"/>
  <c r="E563" i="3"/>
  <c r="F563" i="3"/>
  <c r="G563" i="3"/>
  <c r="H563" i="3"/>
  <c r="I563" i="3"/>
  <c r="J563" i="3"/>
  <c r="K563" i="3"/>
  <c r="B564" i="3"/>
  <c r="C564" i="3"/>
  <c r="C659" i="3" s="1"/>
  <c r="D564" i="3"/>
  <c r="E564" i="3"/>
  <c r="F564" i="3"/>
  <c r="G564" i="3"/>
  <c r="H564" i="3"/>
  <c r="I564" i="3"/>
  <c r="J564" i="3"/>
  <c r="K564" i="3"/>
  <c r="B565" i="3"/>
  <c r="C565" i="3"/>
  <c r="D565" i="3"/>
  <c r="E565" i="3"/>
  <c r="E659" i="3" s="1"/>
  <c r="F565" i="3"/>
  <c r="G565" i="3"/>
  <c r="H565" i="3"/>
  <c r="I565" i="3"/>
  <c r="I659" i="3" s="1"/>
  <c r="J565" i="3"/>
  <c r="K565" i="3"/>
  <c r="B566" i="3"/>
  <c r="C566" i="3"/>
  <c r="D566" i="3"/>
  <c r="E566" i="3"/>
  <c r="F566" i="3"/>
  <c r="G566" i="3"/>
  <c r="H566" i="3"/>
  <c r="I566" i="3"/>
  <c r="J566" i="3"/>
  <c r="K566" i="3"/>
  <c r="B567" i="3"/>
  <c r="C567" i="3"/>
  <c r="D567" i="3"/>
  <c r="E567" i="3"/>
  <c r="F567" i="3"/>
  <c r="G567" i="3"/>
  <c r="H567" i="3"/>
  <c r="I567" i="3"/>
  <c r="J567" i="3"/>
  <c r="K567" i="3"/>
  <c r="B568" i="3"/>
  <c r="C568" i="3"/>
  <c r="D568" i="3"/>
  <c r="E568" i="3"/>
  <c r="F568" i="3"/>
  <c r="G568" i="3"/>
  <c r="H568" i="3"/>
  <c r="I568" i="3"/>
  <c r="J568" i="3"/>
  <c r="K568" i="3"/>
  <c r="B569" i="3"/>
  <c r="C569" i="3"/>
  <c r="D569" i="3"/>
  <c r="E569" i="3"/>
  <c r="F569" i="3"/>
  <c r="G569" i="3"/>
  <c r="H569" i="3"/>
  <c r="I569" i="3"/>
  <c r="J569" i="3"/>
  <c r="K569" i="3"/>
  <c r="B570" i="3"/>
  <c r="C570" i="3"/>
  <c r="D570" i="3"/>
  <c r="E570" i="3"/>
  <c r="F570" i="3"/>
  <c r="G570" i="3"/>
  <c r="H570" i="3"/>
  <c r="I570" i="3"/>
  <c r="J570" i="3"/>
  <c r="K570" i="3"/>
  <c r="B571" i="3"/>
  <c r="C571" i="3"/>
  <c r="D571" i="3"/>
  <c r="E571" i="3"/>
  <c r="F571" i="3"/>
  <c r="G571" i="3"/>
  <c r="H571" i="3"/>
  <c r="I571" i="3"/>
  <c r="J571" i="3"/>
  <c r="K571" i="3"/>
  <c r="B572" i="3"/>
  <c r="C572" i="3"/>
  <c r="D572" i="3"/>
  <c r="E572" i="3"/>
  <c r="F572" i="3"/>
  <c r="G572" i="3"/>
  <c r="H572" i="3"/>
  <c r="I572" i="3"/>
  <c r="J572" i="3"/>
  <c r="K572" i="3"/>
  <c r="B573" i="3"/>
  <c r="C573" i="3"/>
  <c r="D573" i="3"/>
  <c r="E573" i="3"/>
  <c r="F573" i="3"/>
  <c r="G573" i="3"/>
  <c r="H573" i="3"/>
  <c r="I573" i="3"/>
  <c r="J573" i="3"/>
  <c r="K573" i="3"/>
  <c r="B574" i="3"/>
  <c r="C574" i="3"/>
  <c r="D574" i="3"/>
  <c r="E574" i="3"/>
  <c r="F574" i="3"/>
  <c r="G574" i="3"/>
  <c r="H574" i="3"/>
  <c r="I574" i="3"/>
  <c r="J574" i="3"/>
  <c r="K574" i="3"/>
  <c r="B575" i="3"/>
  <c r="C575" i="3"/>
  <c r="D575" i="3"/>
  <c r="E575" i="3"/>
  <c r="F575" i="3"/>
  <c r="G575" i="3"/>
  <c r="H575" i="3"/>
  <c r="I575" i="3"/>
  <c r="J575" i="3"/>
  <c r="K575" i="3"/>
  <c r="B576" i="3"/>
  <c r="C576" i="3"/>
  <c r="C660" i="3" s="1"/>
  <c r="D576" i="3"/>
  <c r="E576" i="3"/>
  <c r="F576" i="3"/>
  <c r="G576" i="3"/>
  <c r="G660" i="3" s="1"/>
  <c r="H576" i="3"/>
  <c r="I576" i="3"/>
  <c r="J576" i="3"/>
  <c r="K576" i="3"/>
  <c r="K660" i="3" s="1"/>
  <c r="B577" i="3"/>
  <c r="C577" i="3"/>
  <c r="D577" i="3"/>
  <c r="E577" i="3"/>
  <c r="F577" i="3"/>
  <c r="G577" i="3"/>
  <c r="H577" i="3"/>
  <c r="I577" i="3"/>
  <c r="J577" i="3"/>
  <c r="K577" i="3"/>
  <c r="B578" i="3"/>
  <c r="C578" i="3"/>
  <c r="D578" i="3"/>
  <c r="E578" i="3"/>
  <c r="F578" i="3"/>
  <c r="G578" i="3"/>
  <c r="H578" i="3"/>
  <c r="I578" i="3"/>
  <c r="J578" i="3"/>
  <c r="K578" i="3"/>
  <c r="B579" i="3"/>
  <c r="C579" i="3"/>
  <c r="D579" i="3"/>
  <c r="E579" i="3"/>
  <c r="F579" i="3"/>
  <c r="G579" i="3"/>
  <c r="H579" i="3"/>
  <c r="I579" i="3"/>
  <c r="J579" i="3"/>
  <c r="K579" i="3"/>
  <c r="B580" i="3"/>
  <c r="C580" i="3"/>
  <c r="D580" i="3"/>
  <c r="E580" i="3"/>
  <c r="F580" i="3"/>
  <c r="G580" i="3"/>
  <c r="H580" i="3"/>
  <c r="I580" i="3"/>
  <c r="J580" i="3"/>
  <c r="K580" i="3"/>
  <c r="B581" i="3"/>
  <c r="C581" i="3"/>
  <c r="D581" i="3"/>
  <c r="E581" i="3"/>
  <c r="F581" i="3"/>
  <c r="G581" i="3"/>
  <c r="H581" i="3"/>
  <c r="I581" i="3"/>
  <c r="J581" i="3"/>
  <c r="K581" i="3"/>
  <c r="B582" i="3"/>
  <c r="C582" i="3"/>
  <c r="D582" i="3"/>
  <c r="E582" i="3"/>
  <c r="F582" i="3"/>
  <c r="G582" i="3"/>
  <c r="H582" i="3"/>
  <c r="I582" i="3"/>
  <c r="J582" i="3"/>
  <c r="K582" i="3"/>
  <c r="B583" i="3"/>
  <c r="C583" i="3"/>
  <c r="D583" i="3"/>
  <c r="E583" i="3"/>
  <c r="F583" i="3"/>
  <c r="G583" i="3"/>
  <c r="H583" i="3"/>
  <c r="I583" i="3"/>
  <c r="J583" i="3"/>
  <c r="K583" i="3"/>
  <c r="B584" i="3"/>
  <c r="C584" i="3"/>
  <c r="D584" i="3"/>
  <c r="E584" i="3"/>
  <c r="F584" i="3"/>
  <c r="G584" i="3"/>
  <c r="H584" i="3"/>
  <c r="I584" i="3"/>
  <c r="J584" i="3"/>
  <c r="K584" i="3"/>
  <c r="B585" i="3"/>
  <c r="C585" i="3"/>
  <c r="D585" i="3"/>
  <c r="E585" i="3"/>
  <c r="F585" i="3"/>
  <c r="G585" i="3"/>
  <c r="H585" i="3"/>
  <c r="I585" i="3"/>
  <c r="J585" i="3"/>
  <c r="K585" i="3"/>
  <c r="B586" i="3"/>
  <c r="C586" i="3"/>
  <c r="D586" i="3"/>
  <c r="E586" i="3"/>
  <c r="F586" i="3"/>
  <c r="G586" i="3"/>
  <c r="H586" i="3"/>
  <c r="I586" i="3"/>
  <c r="J586" i="3"/>
  <c r="K586" i="3"/>
  <c r="B587" i="3"/>
  <c r="C587" i="3"/>
  <c r="D587" i="3"/>
  <c r="E587" i="3"/>
  <c r="F587" i="3"/>
  <c r="G587" i="3"/>
  <c r="H587" i="3"/>
  <c r="I587" i="3"/>
  <c r="J587" i="3"/>
  <c r="K587" i="3"/>
  <c r="B588" i="3"/>
  <c r="C588" i="3"/>
  <c r="C661" i="3" s="1"/>
  <c r="D588" i="3"/>
  <c r="E588" i="3"/>
  <c r="F588" i="3"/>
  <c r="G588" i="3"/>
  <c r="H588" i="3"/>
  <c r="I588" i="3"/>
  <c r="J588" i="3"/>
  <c r="K588" i="3"/>
  <c r="B589" i="3"/>
  <c r="C589" i="3"/>
  <c r="D589" i="3"/>
  <c r="E589" i="3"/>
  <c r="E661" i="3" s="1"/>
  <c r="F589" i="3"/>
  <c r="G589" i="3"/>
  <c r="H589" i="3"/>
  <c r="I589" i="3"/>
  <c r="I661" i="3" s="1"/>
  <c r="J589" i="3"/>
  <c r="K589" i="3"/>
  <c r="B590" i="3"/>
  <c r="C590" i="3"/>
  <c r="D590" i="3"/>
  <c r="E590" i="3"/>
  <c r="F590" i="3"/>
  <c r="G590" i="3"/>
  <c r="H590" i="3"/>
  <c r="I590" i="3"/>
  <c r="J590" i="3"/>
  <c r="K590" i="3"/>
  <c r="B591" i="3"/>
  <c r="C591" i="3"/>
  <c r="D591" i="3"/>
  <c r="E591" i="3"/>
  <c r="F591" i="3"/>
  <c r="G591" i="3"/>
  <c r="H591" i="3"/>
  <c r="I591" i="3"/>
  <c r="J591" i="3"/>
  <c r="K591" i="3"/>
  <c r="B592" i="3"/>
  <c r="C592" i="3"/>
  <c r="D592" i="3"/>
  <c r="E592" i="3"/>
  <c r="F592" i="3"/>
  <c r="G592" i="3"/>
  <c r="H592" i="3"/>
  <c r="I592" i="3"/>
  <c r="J592" i="3"/>
  <c r="K592" i="3"/>
  <c r="B593" i="3"/>
  <c r="C593" i="3"/>
  <c r="D593" i="3"/>
  <c r="E593" i="3"/>
  <c r="F593" i="3"/>
  <c r="G593" i="3"/>
  <c r="H593" i="3"/>
  <c r="I593" i="3"/>
  <c r="J593" i="3"/>
  <c r="K593" i="3"/>
  <c r="B594" i="3"/>
  <c r="C594" i="3"/>
  <c r="D594" i="3"/>
  <c r="E594" i="3"/>
  <c r="F594" i="3"/>
  <c r="G594" i="3"/>
  <c r="H594" i="3"/>
  <c r="I594" i="3"/>
  <c r="J594" i="3"/>
  <c r="K594" i="3"/>
  <c r="B595" i="3"/>
  <c r="C595" i="3"/>
  <c r="D595" i="3"/>
  <c r="E595" i="3"/>
  <c r="F595" i="3"/>
  <c r="G595" i="3"/>
  <c r="H595" i="3"/>
  <c r="I595" i="3"/>
  <c r="J595" i="3"/>
  <c r="K595" i="3"/>
  <c r="B596" i="3"/>
  <c r="C596" i="3"/>
  <c r="D596" i="3"/>
  <c r="E596" i="3"/>
  <c r="F596" i="3"/>
  <c r="G596" i="3"/>
  <c r="H596" i="3"/>
  <c r="I596" i="3"/>
  <c r="J596" i="3"/>
  <c r="K596" i="3"/>
  <c r="B597" i="3"/>
  <c r="C597" i="3"/>
  <c r="D597" i="3"/>
  <c r="E597" i="3"/>
  <c r="F597" i="3"/>
  <c r="G597" i="3"/>
  <c r="H597" i="3"/>
  <c r="I597" i="3"/>
  <c r="J597" i="3"/>
  <c r="K597" i="3"/>
  <c r="B598" i="3"/>
  <c r="C598" i="3"/>
  <c r="D598" i="3"/>
  <c r="E598" i="3"/>
  <c r="F598" i="3"/>
  <c r="G598" i="3"/>
  <c r="H598" i="3"/>
  <c r="I598" i="3"/>
  <c r="J598" i="3"/>
  <c r="K598" i="3"/>
  <c r="B599" i="3"/>
  <c r="C599" i="3"/>
  <c r="D599" i="3"/>
  <c r="E599" i="3"/>
  <c r="F599" i="3"/>
  <c r="G599" i="3"/>
  <c r="H599" i="3"/>
  <c r="I599" i="3"/>
  <c r="J599" i="3"/>
  <c r="K599" i="3"/>
  <c r="B600" i="3"/>
  <c r="C600" i="3"/>
  <c r="C662" i="3" s="1"/>
  <c r="D600" i="3"/>
  <c r="E600" i="3"/>
  <c r="F600" i="3"/>
  <c r="G600" i="3"/>
  <c r="G662" i="3" s="1"/>
  <c r="H600" i="3"/>
  <c r="I600" i="3"/>
  <c r="J600" i="3"/>
  <c r="K600" i="3"/>
  <c r="K662" i="3" s="1"/>
  <c r="B601" i="3"/>
  <c r="C601" i="3"/>
  <c r="D601" i="3"/>
  <c r="E601" i="3"/>
  <c r="F601" i="3"/>
  <c r="G601" i="3"/>
  <c r="H601" i="3"/>
  <c r="I601" i="3"/>
  <c r="J601" i="3"/>
  <c r="K601" i="3"/>
  <c r="B602" i="3"/>
  <c r="C602" i="3"/>
  <c r="D602" i="3"/>
  <c r="E602" i="3"/>
  <c r="F602" i="3"/>
  <c r="G602" i="3"/>
  <c r="H602" i="3"/>
  <c r="I602" i="3"/>
  <c r="J602" i="3"/>
  <c r="K602" i="3"/>
  <c r="B603" i="3"/>
  <c r="C603" i="3"/>
  <c r="D603" i="3"/>
  <c r="E603" i="3"/>
  <c r="F603" i="3"/>
  <c r="G603" i="3"/>
  <c r="H603" i="3"/>
  <c r="I603" i="3"/>
  <c r="J603" i="3"/>
  <c r="K603" i="3"/>
  <c r="B604" i="3"/>
  <c r="C604" i="3"/>
  <c r="D604" i="3"/>
  <c r="E604" i="3"/>
  <c r="F604" i="3"/>
  <c r="G604" i="3"/>
  <c r="H604" i="3"/>
  <c r="I604" i="3"/>
  <c r="J604" i="3"/>
  <c r="K604" i="3"/>
  <c r="B605" i="3"/>
  <c r="C605" i="3"/>
  <c r="D605" i="3"/>
  <c r="E605" i="3"/>
  <c r="F605" i="3"/>
  <c r="G605" i="3"/>
  <c r="H605" i="3"/>
  <c r="I605" i="3"/>
  <c r="J605" i="3"/>
  <c r="K605" i="3"/>
  <c r="B606" i="3"/>
  <c r="C606" i="3"/>
  <c r="D606" i="3"/>
  <c r="E606" i="3"/>
  <c r="F606" i="3"/>
  <c r="G606" i="3"/>
  <c r="H606" i="3"/>
  <c r="I606" i="3"/>
  <c r="J606" i="3"/>
  <c r="K606" i="3"/>
  <c r="B607" i="3"/>
  <c r="C607" i="3"/>
  <c r="D607" i="3"/>
  <c r="E607" i="3"/>
  <c r="F607" i="3"/>
  <c r="G607" i="3"/>
  <c r="H607" i="3"/>
  <c r="I607" i="3"/>
  <c r="J607" i="3"/>
  <c r="K607" i="3"/>
  <c r="B608" i="3"/>
  <c r="C608" i="3"/>
  <c r="D608" i="3"/>
  <c r="E608" i="3"/>
  <c r="F608" i="3"/>
  <c r="G608" i="3"/>
  <c r="H608" i="3"/>
  <c r="I608" i="3"/>
  <c r="J608" i="3"/>
  <c r="K608" i="3"/>
  <c r="B609" i="3"/>
  <c r="C609" i="3"/>
  <c r="D609" i="3"/>
  <c r="E609" i="3"/>
  <c r="F609" i="3"/>
  <c r="G609" i="3"/>
  <c r="H609" i="3"/>
  <c r="I609" i="3"/>
  <c r="J609" i="3"/>
  <c r="K609" i="3"/>
  <c r="B610" i="3"/>
  <c r="C610" i="3"/>
  <c r="D610" i="3"/>
  <c r="E610" i="3"/>
  <c r="F610" i="3"/>
  <c r="G610" i="3"/>
  <c r="H610" i="3"/>
  <c r="I610" i="3"/>
  <c r="J610" i="3"/>
  <c r="K610" i="3"/>
  <c r="B611" i="3"/>
  <c r="C611" i="3"/>
  <c r="D611" i="3"/>
  <c r="E611" i="3"/>
  <c r="F611" i="3"/>
  <c r="G611" i="3"/>
  <c r="H611" i="3"/>
  <c r="I611" i="3"/>
  <c r="J611" i="3"/>
  <c r="K611" i="3"/>
  <c r="B613" i="3"/>
  <c r="C613" i="3"/>
  <c r="D613" i="3"/>
  <c r="E613" i="3"/>
  <c r="F613" i="3"/>
  <c r="G613" i="3"/>
  <c r="H613" i="3"/>
  <c r="I613" i="3"/>
  <c r="J613" i="3"/>
  <c r="K613" i="3"/>
  <c r="L613" i="3"/>
  <c r="B614" i="3"/>
  <c r="C614" i="3"/>
  <c r="E614" i="3"/>
  <c r="F614" i="3"/>
  <c r="G614" i="3"/>
  <c r="H614" i="3"/>
  <c r="I614" i="3"/>
  <c r="J614" i="3"/>
  <c r="K614" i="3"/>
  <c r="B615" i="3"/>
  <c r="C615" i="3"/>
  <c r="E615" i="3"/>
  <c r="F615" i="3"/>
  <c r="G615" i="3"/>
  <c r="H615" i="3"/>
  <c r="I615" i="3"/>
  <c r="J615" i="3"/>
  <c r="K615" i="3"/>
  <c r="B616" i="3"/>
  <c r="C616" i="3"/>
  <c r="E616" i="3"/>
  <c r="F616" i="3"/>
  <c r="G616" i="3"/>
  <c r="H616" i="3"/>
  <c r="I616" i="3"/>
  <c r="J616" i="3"/>
  <c r="K616" i="3"/>
  <c r="B617" i="3"/>
  <c r="C617" i="3"/>
  <c r="E617" i="3"/>
  <c r="F617" i="3"/>
  <c r="G617" i="3"/>
  <c r="H617" i="3"/>
  <c r="I617" i="3"/>
  <c r="J617" i="3"/>
  <c r="K617" i="3"/>
  <c r="B618" i="3"/>
  <c r="C618" i="3"/>
  <c r="E618" i="3"/>
  <c r="F618" i="3"/>
  <c r="G618" i="3"/>
  <c r="H618" i="3"/>
  <c r="I618" i="3"/>
  <c r="J618" i="3"/>
  <c r="K618" i="3"/>
  <c r="B619" i="3"/>
  <c r="C619" i="3"/>
  <c r="E619" i="3"/>
  <c r="F619" i="3"/>
  <c r="G619" i="3"/>
  <c r="H619" i="3"/>
  <c r="I619" i="3"/>
  <c r="J619" i="3"/>
  <c r="K619" i="3"/>
  <c r="B620" i="3"/>
  <c r="C620" i="3"/>
  <c r="E620" i="3"/>
  <c r="F620" i="3"/>
  <c r="G620" i="3"/>
  <c r="H620" i="3"/>
  <c r="I620" i="3"/>
  <c r="J620" i="3"/>
  <c r="K620" i="3"/>
  <c r="B621" i="3"/>
  <c r="C621" i="3"/>
  <c r="E621" i="3"/>
  <c r="F621" i="3"/>
  <c r="G621" i="3"/>
  <c r="H621" i="3"/>
  <c r="I621" i="3"/>
  <c r="J621" i="3"/>
  <c r="K621" i="3"/>
  <c r="B622" i="3"/>
  <c r="C622" i="3"/>
  <c r="E622" i="3"/>
  <c r="F622" i="3"/>
  <c r="G622" i="3"/>
  <c r="H622" i="3"/>
  <c r="I622" i="3"/>
  <c r="J622" i="3"/>
  <c r="K622" i="3"/>
  <c r="B623" i="3"/>
  <c r="C623" i="3"/>
  <c r="E623" i="3"/>
  <c r="F623" i="3"/>
  <c r="G623" i="3"/>
  <c r="H623" i="3"/>
  <c r="I623" i="3"/>
  <c r="J623" i="3"/>
  <c r="K623" i="3"/>
  <c r="B624" i="3"/>
  <c r="C624" i="3"/>
  <c r="E624" i="3"/>
  <c r="F624" i="3"/>
  <c r="G624" i="3"/>
  <c r="H624" i="3"/>
  <c r="I624" i="3"/>
  <c r="J624" i="3"/>
  <c r="K624" i="3"/>
  <c r="B625" i="3"/>
  <c r="C625" i="3"/>
  <c r="E625" i="3"/>
  <c r="F625" i="3"/>
  <c r="G625" i="3"/>
  <c r="H625" i="3"/>
  <c r="I625" i="3"/>
  <c r="J625" i="3"/>
  <c r="K625" i="3"/>
  <c r="B626" i="3"/>
  <c r="C626" i="3"/>
  <c r="E626" i="3"/>
  <c r="F626" i="3"/>
  <c r="G626" i="3"/>
  <c r="H626" i="3"/>
  <c r="I626" i="3"/>
  <c r="J626" i="3"/>
  <c r="K626" i="3"/>
  <c r="B627" i="3"/>
  <c r="C627" i="3"/>
  <c r="E627" i="3"/>
  <c r="F627" i="3"/>
  <c r="G627" i="3"/>
  <c r="H627" i="3"/>
  <c r="I627" i="3"/>
  <c r="J627" i="3"/>
  <c r="K627" i="3"/>
  <c r="B628" i="3"/>
  <c r="C628" i="3"/>
  <c r="E628" i="3"/>
  <c r="F628" i="3"/>
  <c r="G628" i="3"/>
  <c r="H628" i="3"/>
  <c r="I628" i="3"/>
  <c r="J628" i="3"/>
  <c r="K628" i="3"/>
  <c r="B629" i="3"/>
  <c r="C629" i="3"/>
  <c r="E629" i="3"/>
  <c r="F629" i="3"/>
  <c r="G629" i="3"/>
  <c r="H629" i="3"/>
  <c r="I629" i="3"/>
  <c r="J629" i="3"/>
  <c r="K629" i="3"/>
  <c r="B630" i="3"/>
  <c r="C630" i="3"/>
  <c r="E630" i="3"/>
  <c r="F630" i="3"/>
  <c r="G630" i="3"/>
  <c r="H630" i="3"/>
  <c r="I630" i="3"/>
  <c r="J630" i="3"/>
  <c r="K630" i="3"/>
  <c r="B631" i="3"/>
  <c r="C631" i="3"/>
  <c r="E631" i="3"/>
  <c r="F631" i="3"/>
  <c r="G631" i="3"/>
  <c r="H631" i="3"/>
  <c r="I631" i="3"/>
  <c r="J631" i="3"/>
  <c r="K631" i="3"/>
  <c r="B632" i="3"/>
  <c r="C632" i="3"/>
  <c r="E632" i="3"/>
  <c r="F632" i="3"/>
  <c r="G632" i="3"/>
  <c r="H632" i="3"/>
  <c r="I632" i="3"/>
  <c r="J632" i="3"/>
  <c r="K632" i="3"/>
  <c r="B633" i="3"/>
  <c r="C633" i="3"/>
  <c r="E633" i="3"/>
  <c r="F633" i="3"/>
  <c r="G633" i="3"/>
  <c r="H633" i="3"/>
  <c r="I633" i="3"/>
  <c r="J633" i="3"/>
  <c r="K633" i="3"/>
  <c r="B634" i="3"/>
  <c r="C634" i="3"/>
  <c r="E634" i="3"/>
  <c r="F634" i="3"/>
  <c r="G634" i="3"/>
  <c r="H634" i="3"/>
  <c r="I634" i="3"/>
  <c r="J634" i="3"/>
  <c r="K634" i="3"/>
  <c r="B635" i="3"/>
  <c r="C635" i="3"/>
  <c r="E635" i="3"/>
  <c r="F635" i="3"/>
  <c r="G635" i="3"/>
  <c r="H635" i="3"/>
  <c r="I635" i="3"/>
  <c r="J635" i="3"/>
  <c r="K635" i="3"/>
  <c r="B636" i="3"/>
  <c r="C636" i="3"/>
  <c r="E636" i="3"/>
  <c r="F636" i="3"/>
  <c r="G636" i="3"/>
  <c r="H636" i="3"/>
  <c r="I636" i="3"/>
  <c r="J636" i="3"/>
  <c r="K636" i="3"/>
  <c r="B637" i="3"/>
  <c r="C637" i="3"/>
  <c r="E637" i="3"/>
  <c r="F637" i="3"/>
  <c r="G637" i="3"/>
  <c r="H637" i="3"/>
  <c r="I637" i="3"/>
  <c r="J637" i="3"/>
  <c r="K637" i="3"/>
  <c r="B638" i="3"/>
  <c r="C638" i="3"/>
  <c r="E638" i="3"/>
  <c r="F638" i="3"/>
  <c r="G638" i="3"/>
  <c r="H638" i="3"/>
  <c r="I638" i="3"/>
  <c r="J638" i="3"/>
  <c r="K638" i="3"/>
  <c r="A639" i="3"/>
  <c r="B639" i="3"/>
  <c r="C639" i="3"/>
  <c r="E639" i="3"/>
  <c r="F639" i="3"/>
  <c r="G639" i="3"/>
  <c r="H639" i="3"/>
  <c r="I639" i="3"/>
  <c r="J639" i="3"/>
  <c r="K639" i="3"/>
  <c r="A640" i="3"/>
  <c r="B640" i="3"/>
  <c r="C640" i="3"/>
  <c r="E640" i="3"/>
  <c r="F640" i="3"/>
  <c r="G640" i="3"/>
  <c r="H640" i="3"/>
  <c r="I640" i="3"/>
  <c r="J640" i="3"/>
  <c r="K640" i="3"/>
  <c r="A641" i="3"/>
  <c r="B641" i="3"/>
  <c r="C641" i="3"/>
  <c r="E641" i="3"/>
  <c r="F641" i="3"/>
  <c r="G641" i="3"/>
  <c r="H641" i="3"/>
  <c r="I641" i="3"/>
  <c r="J641" i="3"/>
  <c r="K641" i="3"/>
  <c r="A642" i="3"/>
  <c r="B642" i="3"/>
  <c r="C642" i="3"/>
  <c r="E642" i="3"/>
  <c r="F642" i="3"/>
  <c r="G642" i="3"/>
  <c r="H642" i="3"/>
  <c r="I642" i="3"/>
  <c r="J642" i="3"/>
  <c r="K642" i="3"/>
  <c r="A643" i="3"/>
  <c r="B643" i="3"/>
  <c r="C643" i="3"/>
  <c r="E643" i="3"/>
  <c r="F643" i="3"/>
  <c r="G643" i="3"/>
  <c r="H643" i="3"/>
  <c r="I643" i="3"/>
  <c r="J643" i="3"/>
  <c r="K643" i="3"/>
  <c r="A644" i="3"/>
  <c r="B644" i="3"/>
  <c r="C644" i="3"/>
  <c r="E644" i="3"/>
  <c r="F644" i="3"/>
  <c r="G644" i="3"/>
  <c r="H644" i="3"/>
  <c r="I644" i="3"/>
  <c r="J644" i="3"/>
  <c r="K644" i="3"/>
  <c r="A645" i="3"/>
  <c r="B645" i="3"/>
  <c r="C645" i="3"/>
  <c r="E645" i="3"/>
  <c r="F645" i="3"/>
  <c r="G645" i="3"/>
  <c r="H645" i="3"/>
  <c r="I645" i="3"/>
  <c r="J645" i="3"/>
  <c r="K645" i="3"/>
  <c r="A646" i="3"/>
  <c r="B646" i="3"/>
  <c r="C646" i="3"/>
  <c r="E646" i="3"/>
  <c r="F646" i="3"/>
  <c r="G646" i="3"/>
  <c r="H646" i="3"/>
  <c r="I646" i="3"/>
  <c r="J646" i="3"/>
  <c r="K646" i="3"/>
  <c r="A647" i="3"/>
  <c r="B647" i="3"/>
  <c r="C647" i="3"/>
  <c r="E647" i="3"/>
  <c r="F647" i="3"/>
  <c r="G647" i="3"/>
  <c r="H647" i="3"/>
  <c r="I647" i="3"/>
  <c r="J647" i="3"/>
  <c r="K647" i="3"/>
  <c r="A648" i="3"/>
  <c r="B648" i="3"/>
  <c r="C648" i="3"/>
  <c r="E648" i="3"/>
  <c r="F648" i="3"/>
  <c r="G648" i="3"/>
  <c r="H648" i="3"/>
  <c r="I648" i="3"/>
  <c r="J648" i="3"/>
  <c r="K648" i="3"/>
  <c r="A649" i="3"/>
  <c r="B649" i="3"/>
  <c r="C649" i="3"/>
  <c r="E649" i="3"/>
  <c r="F649" i="3"/>
  <c r="G649" i="3"/>
  <c r="H649" i="3"/>
  <c r="I649" i="3"/>
  <c r="J649" i="3"/>
  <c r="K649" i="3"/>
  <c r="A650" i="3"/>
  <c r="B650" i="3"/>
  <c r="C650" i="3"/>
  <c r="E650" i="3"/>
  <c r="F650" i="3"/>
  <c r="G650" i="3"/>
  <c r="H650" i="3"/>
  <c r="I650" i="3"/>
  <c r="J650" i="3"/>
  <c r="K650" i="3"/>
  <c r="A651" i="3"/>
  <c r="B651" i="3"/>
  <c r="C651" i="3"/>
  <c r="E651" i="3"/>
  <c r="F651" i="3"/>
  <c r="G651" i="3"/>
  <c r="H651" i="3"/>
  <c r="I651" i="3"/>
  <c r="J651" i="3"/>
  <c r="K651" i="3"/>
  <c r="A652" i="3"/>
  <c r="B652" i="3"/>
  <c r="C652" i="3"/>
  <c r="E652" i="3"/>
  <c r="F652" i="3"/>
  <c r="G652" i="3"/>
  <c r="H652" i="3"/>
  <c r="I652" i="3"/>
  <c r="J652" i="3"/>
  <c r="K652" i="3"/>
  <c r="A653" i="3"/>
  <c r="B653" i="3"/>
  <c r="C653" i="3"/>
  <c r="E653" i="3"/>
  <c r="F653" i="3"/>
  <c r="G653" i="3"/>
  <c r="H653" i="3"/>
  <c r="I653" i="3"/>
  <c r="J653" i="3"/>
  <c r="K653" i="3"/>
  <c r="A654" i="3"/>
  <c r="B654" i="3"/>
  <c r="C654" i="3"/>
  <c r="E654" i="3"/>
  <c r="F654" i="3"/>
  <c r="G654" i="3"/>
  <c r="H654" i="3"/>
  <c r="I654" i="3"/>
  <c r="J654" i="3"/>
  <c r="K654" i="3"/>
  <c r="A655" i="3"/>
  <c r="B655" i="3"/>
  <c r="E655" i="3"/>
  <c r="F655" i="3"/>
  <c r="G655" i="3"/>
  <c r="H655" i="3"/>
  <c r="I655" i="3"/>
  <c r="J655" i="3"/>
  <c r="K655" i="3"/>
  <c r="A656" i="3"/>
  <c r="B656" i="3"/>
  <c r="E656" i="3"/>
  <c r="F656" i="3"/>
  <c r="H656" i="3"/>
  <c r="I656" i="3"/>
  <c r="J656" i="3"/>
  <c r="A657" i="3"/>
  <c r="B657" i="3"/>
  <c r="F657" i="3"/>
  <c r="G657" i="3"/>
  <c r="H657" i="3"/>
  <c r="J657" i="3"/>
  <c r="K657" i="3"/>
  <c r="A658" i="3"/>
  <c r="B658" i="3"/>
  <c r="E658" i="3"/>
  <c r="F658" i="3"/>
  <c r="H658" i="3"/>
  <c r="I658" i="3"/>
  <c r="J658" i="3"/>
  <c r="A659" i="3"/>
  <c r="B659" i="3"/>
  <c r="F659" i="3"/>
  <c r="G659" i="3"/>
  <c r="H659" i="3"/>
  <c r="J659" i="3"/>
  <c r="K659" i="3"/>
  <c r="A660" i="3"/>
  <c r="B660" i="3"/>
  <c r="E660" i="3"/>
  <c r="F660" i="3"/>
  <c r="H660" i="3"/>
  <c r="I660" i="3"/>
  <c r="J660" i="3"/>
  <c r="A661" i="3"/>
  <c r="B661" i="3"/>
  <c r="F661" i="3"/>
  <c r="G661" i="3"/>
  <c r="H661" i="3"/>
  <c r="J661" i="3"/>
  <c r="K661" i="3"/>
  <c r="A662" i="3"/>
  <c r="B662" i="3"/>
  <c r="E662" i="3"/>
  <c r="F662" i="3"/>
  <c r="H662" i="3"/>
  <c r="I662" i="3"/>
  <c r="J662" i="3"/>
  <c r="C9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B241" i="2"/>
  <c r="C241" i="2"/>
  <c r="D241" i="2"/>
  <c r="E241" i="2"/>
  <c r="F241" i="2"/>
  <c r="G241" i="2"/>
  <c r="H241" i="2"/>
  <c r="I241" i="2"/>
  <c r="J241" i="2"/>
  <c r="K241" i="2"/>
  <c r="L241" i="2"/>
  <c r="M241" i="2"/>
  <c r="N241" i="2"/>
  <c r="O241" i="2"/>
  <c r="B242" i="2"/>
  <c r="C242" i="2"/>
  <c r="D242" i="2"/>
  <c r="E242" i="2"/>
  <c r="F242" i="2"/>
  <c r="G242" i="2"/>
  <c r="H242" i="2"/>
  <c r="I242" i="2"/>
  <c r="J242" i="2"/>
  <c r="K242" i="2"/>
  <c r="L242" i="2"/>
  <c r="M242" i="2"/>
  <c r="N242" i="2"/>
  <c r="O242" i="2"/>
  <c r="B243" i="2"/>
  <c r="C243" i="2"/>
  <c r="D243" i="2"/>
  <c r="E243" i="2"/>
  <c r="F243" i="2"/>
  <c r="G243" i="2"/>
  <c r="H243" i="2"/>
  <c r="I243" i="2"/>
  <c r="J243" i="2"/>
  <c r="K243" i="2"/>
  <c r="L243" i="2"/>
  <c r="M243" i="2"/>
  <c r="N243" i="2"/>
  <c r="O243" i="2"/>
  <c r="B244" i="2"/>
  <c r="C244" i="2"/>
  <c r="D244" i="2"/>
  <c r="E244" i="2"/>
  <c r="F244" i="2"/>
  <c r="G244" i="2"/>
  <c r="H244" i="2"/>
  <c r="I244" i="2"/>
  <c r="J244" i="2"/>
  <c r="K244" i="2"/>
  <c r="L244" i="2"/>
  <c r="M244" i="2"/>
  <c r="N244" i="2"/>
  <c r="O244" i="2"/>
  <c r="B245" i="2"/>
  <c r="C245" i="2"/>
  <c r="D245" i="2"/>
  <c r="E245" i="2"/>
  <c r="F245" i="2"/>
  <c r="G245" i="2"/>
  <c r="H245" i="2"/>
  <c r="I245" i="2"/>
  <c r="J245" i="2"/>
  <c r="K245" i="2"/>
  <c r="L245" i="2"/>
  <c r="M245" i="2"/>
  <c r="N245" i="2"/>
  <c r="O245" i="2"/>
  <c r="B246" i="2"/>
  <c r="C246" i="2"/>
  <c r="D246" i="2"/>
  <c r="E246" i="2"/>
  <c r="F246" i="2"/>
  <c r="G246" i="2"/>
  <c r="H246" i="2"/>
  <c r="I246" i="2"/>
  <c r="J246" i="2"/>
  <c r="K246" i="2"/>
  <c r="L246" i="2"/>
  <c r="M246" i="2"/>
  <c r="N246" i="2"/>
  <c r="O246" i="2"/>
  <c r="B247" i="2"/>
  <c r="C247" i="2"/>
  <c r="D247" i="2"/>
  <c r="E247" i="2"/>
  <c r="F247" i="2"/>
  <c r="G247" i="2"/>
  <c r="H247" i="2"/>
  <c r="I247" i="2"/>
  <c r="J247" i="2"/>
  <c r="K247" i="2"/>
  <c r="L247" i="2"/>
  <c r="M247" i="2"/>
  <c r="N247" i="2"/>
  <c r="O247" i="2"/>
  <c r="B248" i="2"/>
  <c r="C248" i="2"/>
  <c r="D248" i="2"/>
  <c r="E248" i="2"/>
  <c r="F248" i="2"/>
  <c r="G248" i="2"/>
  <c r="H248" i="2"/>
  <c r="I248" i="2"/>
  <c r="J248" i="2"/>
  <c r="K248" i="2"/>
  <c r="L248" i="2"/>
  <c r="M248" i="2"/>
  <c r="N248" i="2"/>
  <c r="O248" i="2"/>
  <c r="B249" i="2"/>
  <c r="C249" i="2"/>
  <c r="D249" i="2"/>
  <c r="E249" i="2"/>
  <c r="F249" i="2"/>
  <c r="G249" i="2"/>
  <c r="H249" i="2"/>
  <c r="I249" i="2"/>
  <c r="J249" i="2"/>
  <c r="K249" i="2"/>
  <c r="L249" i="2"/>
  <c r="M249" i="2"/>
  <c r="N249" i="2"/>
  <c r="O249" i="2"/>
  <c r="B250" i="2"/>
  <c r="C250" i="2"/>
  <c r="D250" i="2"/>
  <c r="E250" i="2"/>
  <c r="F250" i="2"/>
  <c r="G250" i="2"/>
  <c r="H250" i="2"/>
  <c r="I250" i="2"/>
  <c r="J250" i="2"/>
  <c r="K250" i="2"/>
  <c r="L250" i="2"/>
  <c r="M250" i="2"/>
  <c r="N250" i="2"/>
  <c r="O250" i="2"/>
  <c r="B251" i="2"/>
  <c r="C251" i="2"/>
  <c r="D251" i="2"/>
  <c r="E251" i="2"/>
  <c r="F251" i="2"/>
  <c r="G251" i="2"/>
  <c r="H251" i="2"/>
  <c r="I251" i="2"/>
  <c r="J251" i="2"/>
  <c r="K251" i="2"/>
  <c r="L251" i="2"/>
  <c r="M251" i="2"/>
  <c r="N251" i="2"/>
  <c r="O251" i="2"/>
  <c r="B252" i="2"/>
  <c r="C252" i="2"/>
  <c r="D252" i="2"/>
  <c r="E252" i="2"/>
  <c r="F252" i="2"/>
  <c r="G252" i="2"/>
  <c r="H252" i="2"/>
  <c r="I252" i="2"/>
  <c r="J252" i="2"/>
  <c r="K252" i="2"/>
  <c r="L252" i="2"/>
  <c r="M252" i="2"/>
  <c r="N252" i="2"/>
  <c r="O252" i="2"/>
  <c r="B253" i="2"/>
  <c r="C253" i="2"/>
  <c r="D253" i="2"/>
  <c r="E253" i="2"/>
  <c r="F253" i="2"/>
  <c r="G253" i="2"/>
  <c r="H253" i="2"/>
  <c r="I253" i="2"/>
  <c r="J253" i="2"/>
  <c r="K253" i="2"/>
  <c r="L253" i="2"/>
  <c r="M253" i="2"/>
  <c r="N253" i="2"/>
  <c r="O253" i="2"/>
  <c r="B254" i="2"/>
  <c r="C254" i="2"/>
  <c r="D254" i="2"/>
  <c r="E254" i="2"/>
  <c r="F254" i="2"/>
  <c r="G254" i="2"/>
  <c r="H254" i="2"/>
  <c r="I254" i="2"/>
  <c r="J254" i="2"/>
  <c r="K254" i="2"/>
  <c r="L254" i="2"/>
  <c r="M254" i="2"/>
  <c r="N254" i="2"/>
  <c r="O254" i="2"/>
  <c r="B255" i="2"/>
  <c r="C255" i="2"/>
  <c r="D255" i="2"/>
  <c r="E255" i="2"/>
  <c r="F255" i="2"/>
  <c r="G255" i="2"/>
  <c r="H255" i="2"/>
  <c r="I255" i="2"/>
  <c r="J255" i="2"/>
  <c r="K255" i="2"/>
  <c r="L255" i="2"/>
  <c r="M255" i="2"/>
  <c r="N255" i="2"/>
  <c r="O255" i="2"/>
  <c r="B256" i="2"/>
  <c r="C256" i="2"/>
  <c r="D256" i="2"/>
  <c r="E256" i="2"/>
  <c r="F256" i="2"/>
  <c r="G256" i="2"/>
  <c r="H256" i="2"/>
  <c r="I256" i="2"/>
  <c r="J256" i="2"/>
  <c r="K256" i="2"/>
  <c r="L256" i="2"/>
  <c r="M256" i="2"/>
  <c r="N256" i="2"/>
  <c r="O256" i="2"/>
  <c r="B257" i="2"/>
  <c r="C257" i="2"/>
  <c r="D257" i="2"/>
  <c r="E257" i="2"/>
  <c r="F257" i="2"/>
  <c r="G257" i="2"/>
  <c r="H257" i="2"/>
  <c r="I257" i="2"/>
  <c r="J257" i="2"/>
  <c r="K257" i="2"/>
  <c r="L257" i="2"/>
  <c r="M257" i="2"/>
  <c r="N257" i="2"/>
  <c r="O257" i="2"/>
  <c r="B258" i="2"/>
  <c r="C258" i="2"/>
  <c r="D258" i="2"/>
  <c r="E258" i="2"/>
  <c r="F258" i="2"/>
  <c r="G258" i="2"/>
  <c r="H258" i="2"/>
  <c r="I258" i="2"/>
  <c r="J258" i="2"/>
  <c r="K258" i="2"/>
  <c r="L258" i="2"/>
  <c r="M258" i="2"/>
  <c r="N258" i="2"/>
  <c r="O258" i="2"/>
  <c r="B259" i="2"/>
  <c r="C259" i="2"/>
  <c r="D259" i="2"/>
  <c r="E259" i="2"/>
  <c r="F259" i="2"/>
  <c r="G259" i="2"/>
  <c r="H259" i="2"/>
  <c r="I259" i="2"/>
  <c r="J259" i="2"/>
  <c r="K259" i="2"/>
  <c r="L259" i="2"/>
  <c r="M259" i="2"/>
  <c r="N259" i="2"/>
  <c r="O259" i="2"/>
  <c r="B260" i="2"/>
  <c r="C260" i="2"/>
  <c r="D260" i="2"/>
  <c r="E260" i="2"/>
  <c r="F260" i="2"/>
  <c r="G260" i="2"/>
  <c r="H260" i="2"/>
  <c r="I260" i="2"/>
  <c r="J260" i="2"/>
  <c r="K260" i="2"/>
  <c r="L260" i="2"/>
  <c r="M260" i="2"/>
  <c r="N260" i="2"/>
  <c r="O260" i="2"/>
  <c r="B261" i="2"/>
  <c r="C261" i="2"/>
  <c r="D261" i="2"/>
  <c r="E261" i="2"/>
  <c r="F261" i="2"/>
  <c r="G261" i="2"/>
  <c r="H261" i="2"/>
  <c r="I261" i="2"/>
  <c r="J261" i="2"/>
  <c r="K261" i="2"/>
  <c r="L261" i="2"/>
  <c r="M261" i="2"/>
  <c r="N261" i="2"/>
  <c r="O261" i="2"/>
  <c r="B262" i="2"/>
  <c r="C262" i="2"/>
  <c r="D262" i="2"/>
  <c r="E262" i="2"/>
  <c r="F262" i="2"/>
  <c r="G262" i="2"/>
  <c r="H262" i="2"/>
  <c r="I262" i="2"/>
  <c r="J262" i="2"/>
  <c r="K262" i="2"/>
  <c r="L262" i="2"/>
  <c r="M262" i="2"/>
  <c r="N262" i="2"/>
  <c r="O262" i="2"/>
  <c r="B263" i="2"/>
  <c r="C263" i="2"/>
  <c r="D263" i="2"/>
  <c r="E263" i="2"/>
  <c r="F263" i="2"/>
  <c r="G263" i="2"/>
  <c r="H263" i="2"/>
  <c r="I263" i="2"/>
  <c r="J263" i="2"/>
  <c r="K263" i="2"/>
  <c r="L263" i="2"/>
  <c r="M263" i="2"/>
  <c r="N263" i="2"/>
  <c r="O263" i="2"/>
  <c r="B264" i="2"/>
  <c r="C264" i="2"/>
  <c r="D264" i="2"/>
  <c r="E264" i="2"/>
  <c r="F264" i="2"/>
  <c r="G264" i="2"/>
  <c r="H264" i="2"/>
  <c r="I264" i="2"/>
  <c r="J264" i="2"/>
  <c r="K264" i="2"/>
  <c r="L264" i="2"/>
  <c r="M264" i="2"/>
  <c r="N264" i="2"/>
  <c r="O264" i="2"/>
  <c r="B265" i="2"/>
  <c r="C265" i="2"/>
  <c r="D265" i="2"/>
  <c r="E265" i="2"/>
  <c r="F265" i="2"/>
  <c r="G265" i="2"/>
  <c r="H265" i="2"/>
  <c r="I265" i="2"/>
  <c r="J265" i="2"/>
  <c r="K265" i="2"/>
  <c r="L265" i="2"/>
  <c r="M265" i="2"/>
  <c r="N265" i="2"/>
  <c r="O265" i="2"/>
  <c r="B266" i="2"/>
  <c r="C266" i="2"/>
  <c r="D266" i="2"/>
  <c r="E266" i="2"/>
  <c r="F266" i="2"/>
  <c r="G266" i="2"/>
  <c r="H266" i="2"/>
  <c r="I266" i="2"/>
  <c r="J266" i="2"/>
  <c r="K266" i="2"/>
  <c r="L266" i="2"/>
  <c r="M266" i="2"/>
  <c r="N266" i="2"/>
  <c r="O266" i="2"/>
  <c r="B267" i="2"/>
  <c r="C267" i="2"/>
  <c r="D267" i="2"/>
  <c r="E267" i="2"/>
  <c r="F267" i="2"/>
  <c r="G267" i="2"/>
  <c r="H267" i="2"/>
  <c r="I267" i="2"/>
  <c r="J267" i="2"/>
  <c r="K267" i="2"/>
  <c r="L267" i="2"/>
  <c r="M267" i="2"/>
  <c r="N267" i="2"/>
  <c r="O267" i="2"/>
  <c r="B268" i="2"/>
  <c r="C268" i="2"/>
  <c r="D268" i="2"/>
  <c r="E268" i="2"/>
  <c r="F268" i="2"/>
  <c r="G268" i="2"/>
  <c r="H268" i="2"/>
  <c r="I268" i="2"/>
  <c r="J268" i="2"/>
  <c r="K268" i="2"/>
  <c r="L268" i="2"/>
  <c r="M268" i="2"/>
  <c r="N268" i="2"/>
  <c r="O268" i="2"/>
  <c r="B269" i="2"/>
  <c r="C269" i="2"/>
  <c r="D269" i="2"/>
  <c r="E269" i="2"/>
  <c r="F269" i="2"/>
  <c r="G269" i="2"/>
  <c r="H269" i="2"/>
  <c r="I269" i="2"/>
  <c r="J269" i="2"/>
  <c r="K269" i="2"/>
  <c r="L269" i="2"/>
  <c r="M269" i="2"/>
  <c r="N269" i="2"/>
  <c r="O269" i="2"/>
  <c r="B270" i="2"/>
  <c r="C270" i="2"/>
  <c r="D270" i="2"/>
  <c r="E270" i="2"/>
  <c r="F270" i="2"/>
  <c r="G270" i="2"/>
  <c r="H270" i="2"/>
  <c r="I270" i="2"/>
  <c r="J270" i="2"/>
  <c r="K270" i="2"/>
  <c r="L270" i="2"/>
  <c r="M270" i="2"/>
  <c r="N270" i="2"/>
  <c r="O270" i="2"/>
  <c r="B271" i="2"/>
  <c r="C271" i="2"/>
  <c r="D271" i="2"/>
  <c r="E271" i="2"/>
  <c r="F271" i="2"/>
  <c r="G271" i="2"/>
  <c r="H271" i="2"/>
  <c r="I271" i="2"/>
  <c r="J271" i="2"/>
  <c r="K271" i="2"/>
  <c r="L271" i="2"/>
  <c r="M271" i="2"/>
  <c r="N271" i="2"/>
  <c r="O271" i="2"/>
  <c r="B272" i="2"/>
  <c r="C272" i="2"/>
  <c r="D272" i="2"/>
  <c r="E272" i="2"/>
  <c r="F272" i="2"/>
  <c r="G272" i="2"/>
  <c r="H272" i="2"/>
  <c r="I272" i="2"/>
  <c r="J272" i="2"/>
  <c r="K272" i="2"/>
  <c r="L272" i="2"/>
  <c r="M272" i="2"/>
  <c r="N272" i="2"/>
  <c r="O272" i="2"/>
  <c r="B273" i="2"/>
  <c r="C273" i="2"/>
  <c r="D273" i="2"/>
  <c r="E273" i="2"/>
  <c r="F273" i="2"/>
  <c r="G273" i="2"/>
  <c r="H273" i="2"/>
  <c r="I273" i="2"/>
  <c r="J273" i="2"/>
  <c r="K273" i="2"/>
  <c r="L273" i="2"/>
  <c r="M273" i="2"/>
  <c r="N273" i="2"/>
  <c r="O273" i="2"/>
  <c r="B274" i="2"/>
  <c r="C274" i="2"/>
  <c r="D274" i="2"/>
  <c r="E274" i="2"/>
  <c r="F274" i="2"/>
  <c r="G274" i="2"/>
  <c r="H274" i="2"/>
  <c r="I274" i="2"/>
  <c r="J274" i="2"/>
  <c r="K274" i="2"/>
  <c r="L274" i="2"/>
  <c r="M274" i="2"/>
  <c r="N274" i="2"/>
  <c r="O274" i="2"/>
  <c r="B275" i="2"/>
  <c r="C275" i="2"/>
  <c r="D275" i="2"/>
  <c r="E275" i="2"/>
  <c r="F275" i="2"/>
  <c r="G275" i="2"/>
  <c r="H275" i="2"/>
  <c r="I275" i="2"/>
  <c r="J275" i="2"/>
  <c r="K275" i="2"/>
  <c r="L275" i="2"/>
  <c r="M275" i="2"/>
  <c r="N275" i="2"/>
  <c r="O275" i="2"/>
  <c r="B276" i="2"/>
  <c r="C276" i="2"/>
  <c r="D276" i="2"/>
  <c r="E276" i="2"/>
  <c r="F276" i="2"/>
  <c r="G276" i="2"/>
  <c r="H276" i="2"/>
  <c r="I276" i="2"/>
  <c r="J276" i="2"/>
  <c r="K276" i="2"/>
  <c r="L276" i="2"/>
  <c r="M276" i="2"/>
  <c r="N276" i="2"/>
  <c r="O276" i="2"/>
  <c r="B277" i="2"/>
  <c r="C277" i="2"/>
  <c r="D277" i="2"/>
  <c r="E277" i="2"/>
  <c r="F277" i="2"/>
  <c r="G277" i="2"/>
  <c r="H277" i="2"/>
  <c r="I277" i="2"/>
  <c r="J277" i="2"/>
  <c r="K277" i="2"/>
  <c r="L277" i="2"/>
  <c r="M277" i="2"/>
  <c r="N277" i="2"/>
  <c r="O277" i="2"/>
  <c r="B278" i="2"/>
  <c r="C278" i="2"/>
  <c r="D278" i="2"/>
  <c r="E278" i="2"/>
  <c r="F278" i="2"/>
  <c r="G278" i="2"/>
  <c r="H278" i="2"/>
  <c r="I278" i="2"/>
  <c r="J278" i="2"/>
  <c r="K278" i="2"/>
  <c r="L278" i="2"/>
  <c r="M278" i="2"/>
  <c r="N278" i="2"/>
  <c r="O278" i="2"/>
  <c r="B279" i="2"/>
  <c r="C279" i="2"/>
  <c r="D279" i="2"/>
  <c r="E279" i="2"/>
  <c r="F279" i="2"/>
  <c r="G279" i="2"/>
  <c r="H279" i="2"/>
  <c r="I279" i="2"/>
  <c r="J279" i="2"/>
  <c r="K279" i="2"/>
  <c r="L279" i="2"/>
  <c r="M279" i="2"/>
  <c r="N279" i="2"/>
  <c r="O279" i="2"/>
  <c r="B280" i="2"/>
  <c r="C280" i="2"/>
  <c r="D280" i="2"/>
  <c r="E280" i="2"/>
  <c r="F280" i="2"/>
  <c r="G280" i="2"/>
  <c r="H280" i="2"/>
  <c r="I280" i="2"/>
  <c r="J280" i="2"/>
  <c r="K280" i="2"/>
  <c r="L280" i="2"/>
  <c r="M280" i="2"/>
  <c r="N280" i="2"/>
  <c r="O280" i="2"/>
  <c r="B281" i="2"/>
  <c r="C281" i="2"/>
  <c r="D281" i="2"/>
  <c r="E281" i="2"/>
  <c r="F281" i="2"/>
  <c r="G281" i="2"/>
  <c r="H281" i="2"/>
  <c r="I281" i="2"/>
  <c r="J281" i="2"/>
  <c r="K281" i="2"/>
  <c r="L281" i="2"/>
  <c r="M281" i="2"/>
  <c r="N281" i="2"/>
  <c r="O281" i="2"/>
  <c r="B282" i="2"/>
  <c r="C282" i="2"/>
  <c r="D282" i="2"/>
  <c r="E282" i="2"/>
  <c r="F282" i="2"/>
  <c r="G282" i="2"/>
  <c r="H282" i="2"/>
  <c r="I282" i="2"/>
  <c r="J282" i="2"/>
  <c r="K282" i="2"/>
  <c r="L282" i="2"/>
  <c r="M282" i="2"/>
  <c r="N282" i="2"/>
  <c r="O282" i="2"/>
  <c r="B283" i="2"/>
  <c r="C283" i="2"/>
  <c r="D283" i="2"/>
  <c r="E283" i="2"/>
  <c r="F283" i="2"/>
  <c r="G283" i="2"/>
  <c r="H283" i="2"/>
  <c r="I283" i="2"/>
  <c r="J283" i="2"/>
  <c r="K283" i="2"/>
  <c r="L283" i="2"/>
  <c r="M283" i="2"/>
  <c r="N283" i="2"/>
  <c r="O283" i="2"/>
  <c r="B284" i="2"/>
  <c r="C284" i="2"/>
  <c r="D284" i="2"/>
  <c r="E284" i="2"/>
  <c r="F284" i="2"/>
  <c r="G284" i="2"/>
  <c r="H284" i="2"/>
  <c r="I284" i="2"/>
  <c r="J284" i="2"/>
  <c r="K284" i="2"/>
  <c r="L284" i="2"/>
  <c r="M284" i="2"/>
  <c r="N284" i="2"/>
  <c r="O284" i="2"/>
  <c r="B285" i="2"/>
  <c r="C285" i="2"/>
  <c r="D285" i="2"/>
  <c r="E285" i="2"/>
  <c r="F285" i="2"/>
  <c r="G285" i="2"/>
  <c r="H285" i="2"/>
  <c r="I285" i="2"/>
  <c r="J285" i="2"/>
  <c r="K285" i="2"/>
  <c r="L285" i="2"/>
  <c r="M285" i="2"/>
  <c r="N285" i="2"/>
  <c r="O285" i="2"/>
  <c r="B286" i="2"/>
  <c r="C286" i="2"/>
  <c r="D286" i="2"/>
  <c r="E286" i="2"/>
  <c r="F286" i="2"/>
  <c r="G286" i="2"/>
  <c r="H286" i="2"/>
  <c r="I286" i="2"/>
  <c r="J286" i="2"/>
  <c r="K286" i="2"/>
  <c r="L286" i="2"/>
  <c r="M286" i="2"/>
  <c r="N286" i="2"/>
  <c r="O286" i="2"/>
  <c r="B287" i="2"/>
  <c r="C287" i="2"/>
  <c r="D287" i="2"/>
  <c r="E287" i="2"/>
  <c r="F287" i="2"/>
  <c r="G287" i="2"/>
  <c r="H287" i="2"/>
  <c r="I287" i="2"/>
  <c r="J287" i="2"/>
  <c r="K287" i="2"/>
  <c r="L287" i="2"/>
  <c r="M287" i="2"/>
  <c r="N287" i="2"/>
  <c r="O287" i="2"/>
  <c r="B288" i="2"/>
  <c r="C288" i="2"/>
  <c r="D288" i="2"/>
  <c r="E288" i="2"/>
  <c r="F288" i="2"/>
  <c r="G288" i="2"/>
  <c r="H288" i="2"/>
  <c r="I288" i="2"/>
  <c r="J288" i="2"/>
  <c r="K288" i="2"/>
  <c r="L288" i="2"/>
  <c r="M288" i="2"/>
  <c r="N288" i="2"/>
  <c r="O288" i="2"/>
  <c r="B289" i="2"/>
  <c r="C289" i="2"/>
  <c r="D289" i="2"/>
  <c r="E289" i="2"/>
  <c r="F289" i="2"/>
  <c r="G289" i="2"/>
  <c r="H289" i="2"/>
  <c r="I289" i="2"/>
  <c r="J289" i="2"/>
  <c r="K289" i="2"/>
  <c r="L289" i="2"/>
  <c r="M289" i="2"/>
  <c r="N289" i="2"/>
  <c r="O289" i="2"/>
  <c r="B290" i="2"/>
  <c r="C290" i="2"/>
  <c r="D290" i="2"/>
  <c r="E290" i="2"/>
  <c r="F290" i="2"/>
  <c r="G290" i="2"/>
  <c r="H290" i="2"/>
  <c r="I290" i="2"/>
  <c r="J290" i="2"/>
  <c r="K290" i="2"/>
  <c r="L290" i="2"/>
  <c r="M290" i="2"/>
  <c r="N290" i="2"/>
  <c r="O290" i="2"/>
  <c r="B291" i="2"/>
  <c r="C291" i="2"/>
  <c r="D291" i="2"/>
  <c r="E291" i="2"/>
  <c r="F291" i="2"/>
  <c r="G291" i="2"/>
  <c r="H291" i="2"/>
  <c r="I291" i="2"/>
  <c r="J291" i="2"/>
  <c r="K291" i="2"/>
  <c r="L291" i="2"/>
  <c r="M291" i="2"/>
  <c r="N291" i="2"/>
  <c r="O291" i="2"/>
  <c r="B292" i="2"/>
  <c r="C292" i="2"/>
  <c r="D292" i="2"/>
  <c r="E292" i="2"/>
  <c r="F292" i="2"/>
  <c r="G292" i="2"/>
  <c r="H292" i="2"/>
  <c r="I292" i="2"/>
  <c r="J292" i="2"/>
  <c r="K292" i="2"/>
  <c r="L292" i="2"/>
  <c r="M292" i="2"/>
  <c r="N292" i="2"/>
  <c r="O292" i="2"/>
  <c r="B293" i="2"/>
  <c r="C293" i="2"/>
  <c r="D293" i="2"/>
  <c r="E293" i="2"/>
  <c r="F293" i="2"/>
  <c r="G293" i="2"/>
  <c r="H293" i="2"/>
  <c r="I293" i="2"/>
  <c r="J293" i="2"/>
  <c r="K293" i="2"/>
  <c r="L293" i="2"/>
  <c r="M293" i="2"/>
  <c r="N293" i="2"/>
  <c r="O293" i="2"/>
  <c r="B294" i="2"/>
  <c r="C294" i="2"/>
  <c r="D294" i="2"/>
  <c r="E294" i="2"/>
  <c r="F294" i="2"/>
  <c r="G294" i="2"/>
  <c r="H294" i="2"/>
  <c r="I294" i="2"/>
  <c r="J294" i="2"/>
  <c r="K294" i="2"/>
  <c r="L294" i="2"/>
  <c r="M294" i="2"/>
  <c r="N294" i="2"/>
  <c r="O294" i="2"/>
  <c r="B295" i="2"/>
  <c r="C295" i="2"/>
  <c r="D295" i="2"/>
  <c r="E295" i="2"/>
  <c r="F295" i="2"/>
  <c r="G295" i="2"/>
  <c r="H295" i="2"/>
  <c r="I295" i="2"/>
  <c r="J295" i="2"/>
  <c r="K295" i="2"/>
  <c r="L295" i="2"/>
  <c r="M295" i="2"/>
  <c r="N295" i="2"/>
  <c r="O295" i="2"/>
  <c r="B296" i="2"/>
  <c r="C296" i="2"/>
  <c r="D296" i="2"/>
  <c r="E296" i="2"/>
  <c r="F296" i="2"/>
  <c r="G296" i="2"/>
  <c r="H296" i="2"/>
  <c r="I296" i="2"/>
  <c r="J296" i="2"/>
  <c r="K296" i="2"/>
  <c r="L296" i="2"/>
  <c r="M296" i="2"/>
  <c r="N296" i="2"/>
  <c r="O296" i="2"/>
  <c r="B297" i="2"/>
  <c r="C297" i="2"/>
  <c r="D297" i="2"/>
  <c r="E297" i="2"/>
  <c r="F297" i="2"/>
  <c r="G297" i="2"/>
  <c r="H297" i="2"/>
  <c r="I297" i="2"/>
  <c r="J297" i="2"/>
  <c r="K297" i="2"/>
  <c r="L297" i="2"/>
  <c r="M297" i="2"/>
  <c r="N297" i="2"/>
  <c r="O297" i="2"/>
  <c r="B298" i="2"/>
  <c r="C298" i="2"/>
  <c r="D298" i="2"/>
  <c r="E298" i="2"/>
  <c r="F298" i="2"/>
  <c r="G298" i="2"/>
  <c r="H298" i="2"/>
  <c r="I298" i="2"/>
  <c r="J298" i="2"/>
  <c r="K298" i="2"/>
  <c r="L298" i="2"/>
  <c r="M298" i="2"/>
  <c r="N298" i="2"/>
  <c r="O298" i="2"/>
  <c r="B299" i="2"/>
  <c r="C299" i="2"/>
  <c r="D299" i="2"/>
  <c r="E299" i="2"/>
  <c r="F299" i="2"/>
  <c r="G299" i="2"/>
  <c r="H299" i="2"/>
  <c r="I299" i="2"/>
  <c r="J299" i="2"/>
  <c r="K299" i="2"/>
  <c r="L299" i="2"/>
  <c r="M299" i="2"/>
  <c r="N299" i="2"/>
  <c r="O299" i="2"/>
  <c r="B300" i="2"/>
  <c r="C300" i="2"/>
  <c r="D300" i="2"/>
  <c r="E300" i="2"/>
  <c r="F300" i="2"/>
  <c r="G300" i="2"/>
  <c r="H300" i="2"/>
  <c r="I300" i="2"/>
  <c r="J300" i="2"/>
  <c r="K300" i="2"/>
  <c r="L300" i="2"/>
  <c r="M300" i="2"/>
  <c r="N300" i="2"/>
  <c r="O300" i="2"/>
  <c r="B301" i="2"/>
  <c r="C301" i="2"/>
  <c r="D301" i="2"/>
  <c r="E301" i="2"/>
  <c r="F301" i="2"/>
  <c r="G301" i="2"/>
  <c r="H301" i="2"/>
  <c r="I301" i="2"/>
  <c r="J301" i="2"/>
  <c r="K301" i="2"/>
  <c r="L301" i="2"/>
  <c r="M301" i="2"/>
  <c r="N301" i="2"/>
  <c r="O301" i="2"/>
  <c r="B302" i="2"/>
  <c r="C302" i="2"/>
  <c r="D302" i="2"/>
  <c r="E302" i="2"/>
  <c r="F302" i="2"/>
  <c r="G302" i="2"/>
  <c r="H302" i="2"/>
  <c r="I302" i="2"/>
  <c r="J302" i="2"/>
  <c r="K302" i="2"/>
  <c r="L302" i="2"/>
  <c r="M302" i="2"/>
  <c r="N302" i="2"/>
  <c r="O302" i="2"/>
  <c r="B303" i="2"/>
  <c r="C303" i="2"/>
  <c r="D303" i="2"/>
  <c r="E303" i="2"/>
  <c r="F303" i="2"/>
  <c r="G303" i="2"/>
  <c r="H303" i="2"/>
  <c r="I303" i="2"/>
  <c r="J303" i="2"/>
  <c r="K303" i="2"/>
  <c r="L303" i="2"/>
  <c r="M303" i="2"/>
  <c r="N303" i="2"/>
  <c r="O303" i="2"/>
  <c r="B304" i="2"/>
  <c r="C304" i="2"/>
  <c r="D304" i="2"/>
  <c r="E304" i="2"/>
  <c r="F304" i="2"/>
  <c r="G304" i="2"/>
  <c r="H304" i="2"/>
  <c r="I304" i="2"/>
  <c r="J304" i="2"/>
  <c r="K304" i="2"/>
  <c r="L304" i="2"/>
  <c r="M304" i="2"/>
  <c r="N304" i="2"/>
  <c r="O304" i="2"/>
  <c r="B305" i="2"/>
  <c r="C305" i="2"/>
  <c r="D305" i="2"/>
  <c r="E305" i="2"/>
  <c r="F305" i="2"/>
  <c r="G305" i="2"/>
  <c r="H305" i="2"/>
  <c r="I305" i="2"/>
  <c r="J305" i="2"/>
  <c r="K305" i="2"/>
  <c r="L305" i="2"/>
  <c r="M305" i="2"/>
  <c r="N305" i="2"/>
  <c r="O305" i="2"/>
  <c r="B306" i="2"/>
  <c r="C306" i="2"/>
  <c r="D306" i="2"/>
  <c r="E306" i="2"/>
  <c r="F306" i="2"/>
  <c r="G306" i="2"/>
  <c r="H306" i="2"/>
  <c r="I306" i="2"/>
  <c r="J306" i="2"/>
  <c r="K306" i="2"/>
  <c r="L306" i="2"/>
  <c r="M306" i="2"/>
  <c r="N306" i="2"/>
  <c r="O306" i="2"/>
  <c r="B307" i="2"/>
  <c r="C307" i="2"/>
  <c r="D307" i="2"/>
  <c r="E307" i="2"/>
  <c r="F307" i="2"/>
  <c r="G307" i="2"/>
  <c r="H307" i="2"/>
  <c r="I307" i="2"/>
  <c r="J307" i="2"/>
  <c r="K307" i="2"/>
  <c r="L307" i="2"/>
  <c r="M307" i="2"/>
  <c r="N307" i="2"/>
  <c r="O307" i="2"/>
  <c r="B308" i="2"/>
  <c r="C308" i="2"/>
  <c r="D308" i="2"/>
  <c r="E308" i="2"/>
  <c r="F308" i="2"/>
  <c r="G308" i="2"/>
  <c r="H308" i="2"/>
  <c r="I308" i="2"/>
  <c r="J308" i="2"/>
  <c r="K308" i="2"/>
  <c r="L308" i="2"/>
  <c r="M308" i="2"/>
  <c r="N308" i="2"/>
  <c r="O308" i="2"/>
  <c r="B309" i="2"/>
  <c r="C309" i="2"/>
  <c r="D309" i="2"/>
  <c r="E309" i="2"/>
  <c r="F309" i="2"/>
  <c r="G309" i="2"/>
  <c r="H309" i="2"/>
  <c r="I309" i="2"/>
  <c r="J309" i="2"/>
  <c r="K309" i="2"/>
  <c r="L309" i="2"/>
  <c r="M309" i="2"/>
  <c r="N309" i="2"/>
  <c r="O309" i="2"/>
  <c r="B310" i="2"/>
  <c r="C310" i="2"/>
  <c r="D310" i="2"/>
  <c r="E310" i="2"/>
  <c r="F310" i="2"/>
  <c r="G310" i="2"/>
  <c r="H310" i="2"/>
  <c r="I310" i="2"/>
  <c r="J310" i="2"/>
  <c r="K310" i="2"/>
  <c r="L310" i="2"/>
  <c r="M310" i="2"/>
  <c r="N310" i="2"/>
  <c r="O310" i="2"/>
  <c r="B311" i="2"/>
  <c r="C311" i="2"/>
  <c r="D311" i="2"/>
  <c r="E311" i="2"/>
  <c r="F311" i="2"/>
  <c r="G311" i="2"/>
  <c r="H311" i="2"/>
  <c r="I311" i="2"/>
  <c r="J311" i="2"/>
  <c r="K311" i="2"/>
  <c r="L311" i="2"/>
  <c r="M311" i="2"/>
  <c r="N311" i="2"/>
  <c r="O311" i="2"/>
  <c r="B312" i="2"/>
  <c r="C312" i="2"/>
  <c r="D312" i="2"/>
  <c r="E312" i="2"/>
  <c r="F312" i="2"/>
  <c r="G312" i="2"/>
  <c r="H312" i="2"/>
  <c r="I312" i="2"/>
  <c r="J312" i="2"/>
  <c r="K312" i="2"/>
  <c r="L312" i="2"/>
  <c r="M312" i="2"/>
  <c r="N312" i="2"/>
  <c r="O312" i="2"/>
  <c r="B313" i="2"/>
  <c r="C313" i="2"/>
  <c r="D313" i="2"/>
  <c r="E313" i="2"/>
  <c r="F313" i="2"/>
  <c r="G313" i="2"/>
  <c r="H313" i="2"/>
  <c r="I313" i="2"/>
  <c r="J313" i="2"/>
  <c r="K313" i="2"/>
  <c r="L313" i="2"/>
  <c r="M313" i="2"/>
  <c r="N313" i="2"/>
  <c r="O313" i="2"/>
  <c r="B314" i="2"/>
  <c r="C314" i="2"/>
  <c r="D314" i="2"/>
  <c r="E314" i="2"/>
  <c r="F314" i="2"/>
  <c r="G314" i="2"/>
  <c r="H314" i="2"/>
  <c r="I314" i="2"/>
  <c r="J314" i="2"/>
  <c r="K314" i="2"/>
  <c r="L314" i="2"/>
  <c r="M314" i="2"/>
  <c r="N314" i="2"/>
  <c r="O314" i="2"/>
  <c r="B315" i="2"/>
  <c r="C315" i="2"/>
  <c r="D315" i="2"/>
  <c r="E315" i="2"/>
  <c r="F315" i="2"/>
  <c r="G315" i="2"/>
  <c r="H315" i="2"/>
  <c r="I315" i="2"/>
  <c r="J315" i="2"/>
  <c r="K315" i="2"/>
  <c r="L315" i="2"/>
  <c r="M315" i="2"/>
  <c r="N315" i="2"/>
  <c r="O315" i="2"/>
  <c r="B316" i="2"/>
  <c r="C316" i="2"/>
  <c r="D316" i="2"/>
  <c r="E316" i="2"/>
  <c r="F316" i="2"/>
  <c r="G316" i="2"/>
  <c r="H316" i="2"/>
  <c r="I316" i="2"/>
  <c r="J316" i="2"/>
  <c r="K316" i="2"/>
  <c r="L316" i="2"/>
  <c r="M316" i="2"/>
  <c r="N316" i="2"/>
  <c r="O316" i="2"/>
  <c r="B317" i="2"/>
  <c r="C317" i="2"/>
  <c r="D317" i="2"/>
  <c r="E317" i="2"/>
  <c r="F317" i="2"/>
  <c r="G317" i="2"/>
  <c r="H317" i="2"/>
  <c r="I317" i="2"/>
  <c r="J317" i="2"/>
  <c r="K317" i="2"/>
  <c r="L317" i="2"/>
  <c r="M317" i="2"/>
  <c r="N317" i="2"/>
  <c r="O317" i="2"/>
  <c r="B318" i="2"/>
  <c r="C318" i="2"/>
  <c r="D318" i="2"/>
  <c r="E318" i="2"/>
  <c r="F318" i="2"/>
  <c r="G318" i="2"/>
  <c r="H318" i="2"/>
  <c r="I318" i="2"/>
  <c r="J318" i="2"/>
  <c r="K318" i="2"/>
  <c r="L318" i="2"/>
  <c r="M318" i="2"/>
  <c r="N318" i="2"/>
  <c r="O318" i="2"/>
  <c r="B319" i="2"/>
  <c r="C319" i="2"/>
  <c r="D319" i="2"/>
  <c r="E319" i="2"/>
  <c r="F319" i="2"/>
  <c r="G319" i="2"/>
  <c r="H319" i="2"/>
  <c r="I319" i="2"/>
  <c r="J319" i="2"/>
  <c r="K319" i="2"/>
  <c r="L319" i="2"/>
  <c r="M319" i="2"/>
  <c r="N319" i="2"/>
  <c r="O319" i="2"/>
  <c r="B320" i="2"/>
  <c r="C320" i="2"/>
  <c r="D320" i="2"/>
  <c r="E320" i="2"/>
  <c r="F320" i="2"/>
  <c r="G320" i="2"/>
  <c r="H320" i="2"/>
  <c r="I320" i="2"/>
  <c r="J320" i="2"/>
  <c r="K320" i="2"/>
  <c r="L320" i="2"/>
  <c r="M320" i="2"/>
  <c r="N320" i="2"/>
  <c r="O320" i="2"/>
  <c r="B321" i="2"/>
  <c r="C321" i="2"/>
  <c r="D321" i="2"/>
  <c r="E321" i="2"/>
  <c r="F321" i="2"/>
  <c r="G321" i="2"/>
  <c r="H321" i="2"/>
  <c r="I321" i="2"/>
  <c r="J321" i="2"/>
  <c r="K321" i="2"/>
  <c r="L321" i="2"/>
  <c r="M321" i="2"/>
  <c r="N321" i="2"/>
  <c r="O321" i="2"/>
  <c r="B322" i="2"/>
  <c r="C322" i="2"/>
  <c r="D322" i="2"/>
  <c r="E322" i="2"/>
  <c r="F322" i="2"/>
  <c r="G322" i="2"/>
  <c r="H322" i="2"/>
  <c r="I322" i="2"/>
  <c r="J322" i="2"/>
  <c r="K322" i="2"/>
  <c r="L322" i="2"/>
  <c r="M322" i="2"/>
  <c r="N322" i="2"/>
  <c r="O322" i="2"/>
  <c r="B323" i="2"/>
  <c r="C323" i="2"/>
  <c r="D323" i="2"/>
  <c r="E323" i="2"/>
  <c r="F323" i="2"/>
  <c r="G323" i="2"/>
  <c r="H323" i="2"/>
  <c r="I323" i="2"/>
  <c r="J323" i="2"/>
  <c r="K323" i="2"/>
  <c r="L323" i="2"/>
  <c r="M323" i="2"/>
  <c r="N323" i="2"/>
  <c r="O323" i="2"/>
  <c r="B324" i="2"/>
  <c r="C324" i="2"/>
  <c r="D324" i="2"/>
  <c r="E324" i="2"/>
  <c r="F324" i="2"/>
  <c r="G324" i="2"/>
  <c r="H324" i="2"/>
  <c r="I324" i="2"/>
  <c r="J324" i="2"/>
  <c r="K324" i="2"/>
  <c r="L324" i="2"/>
  <c r="M324" i="2"/>
  <c r="N324" i="2"/>
  <c r="O324" i="2"/>
  <c r="B325" i="2"/>
  <c r="C325" i="2"/>
  <c r="D325" i="2"/>
  <c r="E325" i="2"/>
  <c r="F325" i="2"/>
  <c r="G325" i="2"/>
  <c r="H325" i="2"/>
  <c r="I325" i="2"/>
  <c r="J325" i="2"/>
  <c r="K325" i="2"/>
  <c r="L325" i="2"/>
  <c r="M325" i="2"/>
  <c r="N325" i="2"/>
  <c r="O325" i="2"/>
  <c r="B326" i="2"/>
  <c r="C326" i="2"/>
  <c r="D326" i="2"/>
  <c r="E326" i="2"/>
  <c r="F326" i="2"/>
  <c r="G326" i="2"/>
  <c r="H326" i="2"/>
  <c r="I326" i="2"/>
  <c r="J326" i="2"/>
  <c r="K326" i="2"/>
  <c r="L326" i="2"/>
  <c r="M326" i="2"/>
  <c r="N326" i="2"/>
  <c r="O326" i="2"/>
  <c r="B327" i="2"/>
  <c r="C327" i="2"/>
  <c r="D327" i="2"/>
  <c r="E327" i="2"/>
  <c r="F327" i="2"/>
  <c r="G327" i="2"/>
  <c r="H327" i="2"/>
  <c r="I327" i="2"/>
  <c r="J327" i="2"/>
  <c r="K327" i="2"/>
  <c r="L327" i="2"/>
  <c r="M327" i="2"/>
  <c r="N327" i="2"/>
  <c r="O327" i="2"/>
  <c r="B328" i="2"/>
  <c r="C328" i="2"/>
  <c r="D328" i="2"/>
  <c r="E328" i="2"/>
  <c r="F328" i="2"/>
  <c r="G328" i="2"/>
  <c r="H328" i="2"/>
  <c r="I328" i="2"/>
  <c r="J328" i="2"/>
  <c r="K328" i="2"/>
  <c r="L328" i="2"/>
  <c r="M328" i="2"/>
  <c r="N328" i="2"/>
  <c r="O328" i="2"/>
  <c r="B329" i="2"/>
  <c r="C329" i="2"/>
  <c r="D329" i="2"/>
  <c r="E329" i="2"/>
  <c r="F329" i="2"/>
  <c r="G329" i="2"/>
  <c r="H329" i="2"/>
  <c r="I329" i="2"/>
  <c r="J329" i="2"/>
  <c r="K329" i="2"/>
  <c r="L329" i="2"/>
  <c r="M329" i="2"/>
  <c r="N329" i="2"/>
  <c r="O329" i="2"/>
  <c r="B330" i="2"/>
  <c r="C330" i="2"/>
  <c r="D330" i="2"/>
  <c r="E330" i="2"/>
  <c r="F330" i="2"/>
  <c r="G330" i="2"/>
  <c r="H330" i="2"/>
  <c r="I330" i="2"/>
  <c r="J330" i="2"/>
  <c r="K330" i="2"/>
  <c r="L330" i="2"/>
  <c r="M330" i="2"/>
  <c r="N330" i="2"/>
  <c r="O330" i="2"/>
  <c r="B331" i="2"/>
  <c r="C331" i="2"/>
  <c r="D331" i="2"/>
  <c r="E331" i="2"/>
  <c r="F331" i="2"/>
  <c r="G331" i="2"/>
  <c r="H331" i="2"/>
  <c r="I331" i="2"/>
  <c r="J331" i="2"/>
  <c r="K331" i="2"/>
  <c r="L331" i="2"/>
  <c r="M331" i="2"/>
  <c r="N331" i="2"/>
  <c r="O331" i="2"/>
  <c r="B332" i="2"/>
  <c r="C332" i="2"/>
  <c r="D332" i="2"/>
  <c r="E332" i="2"/>
  <c r="F332" i="2"/>
  <c r="G332" i="2"/>
  <c r="H332" i="2"/>
  <c r="I332" i="2"/>
  <c r="J332" i="2"/>
  <c r="K332" i="2"/>
  <c r="L332" i="2"/>
  <c r="M332" i="2"/>
  <c r="N332" i="2"/>
  <c r="O332" i="2"/>
  <c r="B333" i="2"/>
  <c r="C333" i="2"/>
  <c r="D333" i="2"/>
  <c r="E333" i="2"/>
  <c r="F333" i="2"/>
  <c r="G333" i="2"/>
  <c r="H333" i="2"/>
  <c r="I333" i="2"/>
  <c r="J333" i="2"/>
  <c r="K333" i="2"/>
  <c r="L333" i="2"/>
  <c r="M333" i="2"/>
  <c r="N333" i="2"/>
  <c r="O333" i="2"/>
  <c r="B334" i="2"/>
  <c r="C334" i="2"/>
  <c r="D334" i="2"/>
  <c r="E334" i="2"/>
  <c r="F334" i="2"/>
  <c r="G334" i="2"/>
  <c r="H334" i="2"/>
  <c r="I334" i="2"/>
  <c r="J334" i="2"/>
  <c r="K334" i="2"/>
  <c r="L334" i="2"/>
  <c r="M334" i="2"/>
  <c r="N334" i="2"/>
  <c r="O334" i="2"/>
  <c r="B335" i="2"/>
  <c r="C335" i="2"/>
  <c r="D335" i="2"/>
  <c r="E335" i="2"/>
  <c r="F335" i="2"/>
  <c r="G335" i="2"/>
  <c r="H335" i="2"/>
  <c r="I335" i="2"/>
  <c r="J335" i="2"/>
  <c r="K335" i="2"/>
  <c r="L335" i="2"/>
  <c r="M335" i="2"/>
  <c r="N335" i="2"/>
  <c r="O335" i="2"/>
  <c r="B336" i="2"/>
  <c r="C336" i="2"/>
  <c r="D336" i="2"/>
  <c r="E336" i="2"/>
  <c r="F336" i="2"/>
  <c r="G336" i="2"/>
  <c r="H336" i="2"/>
  <c r="I336" i="2"/>
  <c r="J336" i="2"/>
  <c r="K336" i="2"/>
  <c r="L336" i="2"/>
  <c r="M336" i="2"/>
  <c r="N336" i="2"/>
  <c r="O336" i="2"/>
  <c r="B337" i="2"/>
  <c r="C337" i="2"/>
  <c r="D337" i="2"/>
  <c r="E337" i="2"/>
  <c r="F337" i="2"/>
  <c r="G337" i="2"/>
  <c r="H337" i="2"/>
  <c r="I337" i="2"/>
  <c r="J337" i="2"/>
  <c r="K337" i="2"/>
  <c r="L337" i="2"/>
  <c r="M337" i="2"/>
  <c r="N337" i="2"/>
  <c r="O337" i="2"/>
  <c r="B338" i="2"/>
  <c r="C338" i="2"/>
  <c r="D338" i="2"/>
  <c r="E338" i="2"/>
  <c r="F338" i="2"/>
  <c r="G338" i="2"/>
  <c r="H338" i="2"/>
  <c r="I338" i="2"/>
  <c r="J338" i="2"/>
  <c r="K338" i="2"/>
  <c r="L338" i="2"/>
  <c r="M338" i="2"/>
  <c r="N338" i="2"/>
  <c r="O338" i="2"/>
  <c r="B339" i="2"/>
  <c r="C339" i="2"/>
  <c r="D339" i="2"/>
  <c r="E339" i="2"/>
  <c r="F339" i="2"/>
  <c r="G339" i="2"/>
  <c r="H339" i="2"/>
  <c r="I339" i="2"/>
  <c r="J339" i="2"/>
  <c r="K339" i="2"/>
  <c r="L339" i="2"/>
  <c r="M339" i="2"/>
  <c r="N339" i="2"/>
  <c r="O339" i="2"/>
  <c r="B340" i="2"/>
  <c r="C340" i="2"/>
  <c r="D340" i="2"/>
  <c r="E340" i="2"/>
  <c r="F340" i="2"/>
  <c r="G340" i="2"/>
  <c r="H340" i="2"/>
  <c r="I340" i="2"/>
  <c r="J340" i="2"/>
  <c r="K340" i="2"/>
  <c r="L340" i="2"/>
  <c r="M340" i="2"/>
  <c r="N340" i="2"/>
  <c r="O340" i="2"/>
  <c r="B341" i="2"/>
  <c r="C341" i="2"/>
  <c r="D341" i="2"/>
  <c r="E341" i="2"/>
  <c r="F341" i="2"/>
  <c r="G341" i="2"/>
  <c r="H341" i="2"/>
  <c r="I341" i="2"/>
  <c r="J341" i="2"/>
  <c r="K341" i="2"/>
  <c r="L341" i="2"/>
  <c r="M341" i="2"/>
  <c r="N341" i="2"/>
  <c r="O341" i="2"/>
  <c r="B342" i="2"/>
  <c r="C342" i="2"/>
  <c r="D342" i="2"/>
  <c r="E342" i="2"/>
  <c r="F342" i="2"/>
  <c r="G342" i="2"/>
  <c r="H342" i="2"/>
  <c r="I342" i="2"/>
  <c r="J342" i="2"/>
  <c r="K342" i="2"/>
  <c r="L342" i="2"/>
  <c r="M342" i="2"/>
  <c r="N342" i="2"/>
  <c r="O342" i="2"/>
  <c r="B343" i="2"/>
  <c r="C343" i="2"/>
  <c r="D343" i="2"/>
  <c r="E343" i="2"/>
  <c r="F343" i="2"/>
  <c r="G343" i="2"/>
  <c r="H343" i="2"/>
  <c r="I343" i="2"/>
  <c r="J343" i="2"/>
  <c r="K343" i="2"/>
  <c r="L343" i="2"/>
  <c r="M343" i="2"/>
  <c r="N343" i="2"/>
  <c r="O343" i="2"/>
  <c r="B344" i="2"/>
  <c r="C344" i="2"/>
  <c r="D344" i="2"/>
  <c r="E344" i="2"/>
  <c r="F344" i="2"/>
  <c r="G344" i="2"/>
  <c r="H344" i="2"/>
  <c r="I344" i="2"/>
  <c r="J344" i="2"/>
  <c r="K344" i="2"/>
  <c r="L344" i="2"/>
  <c r="M344" i="2"/>
  <c r="N344" i="2"/>
  <c r="O344" i="2"/>
  <c r="B345" i="2"/>
  <c r="C345" i="2"/>
  <c r="D345" i="2"/>
  <c r="E345" i="2"/>
  <c r="F345" i="2"/>
  <c r="G345" i="2"/>
  <c r="H345" i="2"/>
  <c r="I345" i="2"/>
  <c r="J345" i="2"/>
  <c r="K345" i="2"/>
  <c r="L345" i="2"/>
  <c r="M345" i="2"/>
  <c r="N345" i="2"/>
  <c r="O345" i="2"/>
  <c r="B346" i="2"/>
  <c r="C346" i="2"/>
  <c r="D346" i="2"/>
  <c r="E346" i="2"/>
  <c r="F346" i="2"/>
  <c r="G346" i="2"/>
  <c r="H346" i="2"/>
  <c r="I346" i="2"/>
  <c r="J346" i="2"/>
  <c r="K346" i="2"/>
  <c r="L346" i="2"/>
  <c r="M346" i="2"/>
  <c r="N346" i="2"/>
  <c r="O346" i="2"/>
  <c r="B347" i="2"/>
  <c r="C347" i="2"/>
  <c r="D347" i="2"/>
  <c r="E347" i="2"/>
  <c r="F347" i="2"/>
  <c r="G347" i="2"/>
  <c r="H347" i="2"/>
  <c r="I347" i="2"/>
  <c r="J347" i="2"/>
  <c r="K347" i="2"/>
  <c r="L347" i="2"/>
  <c r="M347" i="2"/>
  <c r="N347" i="2"/>
  <c r="O347" i="2"/>
  <c r="B348" i="2"/>
  <c r="C348" i="2"/>
  <c r="D348" i="2"/>
  <c r="E348" i="2"/>
  <c r="F348" i="2"/>
  <c r="G348" i="2"/>
  <c r="H348" i="2"/>
  <c r="I348" i="2"/>
  <c r="J348" i="2"/>
  <c r="K348" i="2"/>
  <c r="L348" i="2"/>
  <c r="M348" i="2"/>
  <c r="N348" i="2"/>
  <c r="O348" i="2"/>
  <c r="B349" i="2"/>
  <c r="C349" i="2"/>
  <c r="D349" i="2"/>
  <c r="E349" i="2"/>
  <c r="F349" i="2"/>
  <c r="G349" i="2"/>
  <c r="H349" i="2"/>
  <c r="I349" i="2"/>
  <c r="J349" i="2"/>
  <c r="K349" i="2"/>
  <c r="L349" i="2"/>
  <c r="M349" i="2"/>
  <c r="N349" i="2"/>
  <c r="O349" i="2"/>
  <c r="B350" i="2"/>
  <c r="C350" i="2"/>
  <c r="D350" i="2"/>
  <c r="E350" i="2"/>
  <c r="F350" i="2"/>
  <c r="G350" i="2"/>
  <c r="H350" i="2"/>
  <c r="I350" i="2"/>
  <c r="J350" i="2"/>
  <c r="K350" i="2"/>
  <c r="L350" i="2"/>
  <c r="M350" i="2"/>
  <c r="N350" i="2"/>
  <c r="O350" i="2"/>
  <c r="B351" i="2"/>
  <c r="C351" i="2"/>
  <c r="D351" i="2"/>
  <c r="E351" i="2"/>
  <c r="F351" i="2"/>
  <c r="G351" i="2"/>
  <c r="H351" i="2"/>
  <c r="I351" i="2"/>
  <c r="J351" i="2"/>
  <c r="K351" i="2"/>
  <c r="L351" i="2"/>
  <c r="M351" i="2"/>
  <c r="N351" i="2"/>
  <c r="O351" i="2"/>
  <c r="B352" i="2"/>
  <c r="C352" i="2"/>
  <c r="D352" i="2"/>
  <c r="E352" i="2"/>
  <c r="F352" i="2"/>
  <c r="G352" i="2"/>
  <c r="H352" i="2"/>
  <c r="I352" i="2"/>
  <c r="J352" i="2"/>
  <c r="K352" i="2"/>
  <c r="L352" i="2"/>
  <c r="M352" i="2"/>
  <c r="N352" i="2"/>
  <c r="O352" i="2"/>
  <c r="B353" i="2"/>
  <c r="C353" i="2"/>
  <c r="D353" i="2"/>
  <c r="E353" i="2"/>
  <c r="F353" i="2"/>
  <c r="G353" i="2"/>
  <c r="H353" i="2"/>
  <c r="I353" i="2"/>
  <c r="J353" i="2"/>
  <c r="K353" i="2"/>
  <c r="L353" i="2"/>
  <c r="M353" i="2"/>
  <c r="N353" i="2"/>
  <c r="O353" i="2"/>
  <c r="B354" i="2"/>
  <c r="C354" i="2"/>
  <c r="D354" i="2"/>
  <c r="E354" i="2"/>
  <c r="F354" i="2"/>
  <c r="G354" i="2"/>
  <c r="H354" i="2"/>
  <c r="I354" i="2"/>
  <c r="J354" i="2"/>
  <c r="K354" i="2"/>
  <c r="L354" i="2"/>
  <c r="M354" i="2"/>
  <c r="N354" i="2"/>
  <c r="O354" i="2"/>
  <c r="B355" i="2"/>
  <c r="C355" i="2"/>
  <c r="D355" i="2"/>
  <c r="E355" i="2"/>
  <c r="F355" i="2"/>
  <c r="G355" i="2"/>
  <c r="H355" i="2"/>
  <c r="I355" i="2"/>
  <c r="J355" i="2"/>
  <c r="K355" i="2"/>
  <c r="L355" i="2"/>
  <c r="M355" i="2"/>
  <c r="N355" i="2"/>
  <c r="O355" i="2"/>
  <c r="B356" i="2"/>
  <c r="C356" i="2"/>
  <c r="D356" i="2"/>
  <c r="E356" i="2"/>
  <c r="F356" i="2"/>
  <c r="G356" i="2"/>
  <c r="H356" i="2"/>
  <c r="I356" i="2"/>
  <c r="J356" i="2"/>
  <c r="K356" i="2"/>
  <c r="L356" i="2"/>
  <c r="M356" i="2"/>
  <c r="N356" i="2"/>
  <c r="O356" i="2"/>
  <c r="B357" i="2"/>
  <c r="C357" i="2"/>
  <c r="D357" i="2"/>
  <c r="E357" i="2"/>
  <c r="F357" i="2"/>
  <c r="G357" i="2"/>
  <c r="H357" i="2"/>
  <c r="I357" i="2"/>
  <c r="J357" i="2"/>
  <c r="K357" i="2"/>
  <c r="L357" i="2"/>
  <c r="M357" i="2"/>
  <c r="N357" i="2"/>
  <c r="O357" i="2"/>
  <c r="B358" i="2"/>
  <c r="C358" i="2"/>
  <c r="D358" i="2"/>
  <c r="E358" i="2"/>
  <c r="F358" i="2"/>
  <c r="G358" i="2"/>
  <c r="H358" i="2"/>
  <c r="I358" i="2"/>
  <c r="J358" i="2"/>
  <c r="K358" i="2"/>
  <c r="L358" i="2"/>
  <c r="M358" i="2"/>
  <c r="N358" i="2"/>
  <c r="O358" i="2"/>
  <c r="B359" i="2"/>
  <c r="C359" i="2"/>
  <c r="D359" i="2"/>
  <c r="E359" i="2"/>
  <c r="F359" i="2"/>
  <c r="G359" i="2"/>
  <c r="H359" i="2"/>
  <c r="I359" i="2"/>
  <c r="J359" i="2"/>
  <c r="K359" i="2"/>
  <c r="L359" i="2"/>
  <c r="M359" i="2"/>
  <c r="N359" i="2"/>
  <c r="O359" i="2"/>
  <c r="B360" i="2"/>
  <c r="C360" i="2"/>
  <c r="D360" i="2"/>
  <c r="E360" i="2"/>
  <c r="F360" i="2"/>
  <c r="G360" i="2"/>
  <c r="H360" i="2"/>
  <c r="I360" i="2"/>
  <c r="J360" i="2"/>
  <c r="K360" i="2"/>
  <c r="L360" i="2"/>
  <c r="M360" i="2"/>
  <c r="N360" i="2"/>
  <c r="O360" i="2"/>
  <c r="B361" i="2"/>
  <c r="C361" i="2"/>
  <c r="D361" i="2"/>
  <c r="E361" i="2"/>
  <c r="F361" i="2"/>
  <c r="G361" i="2"/>
  <c r="H361" i="2"/>
  <c r="I361" i="2"/>
  <c r="J361" i="2"/>
  <c r="K361" i="2"/>
  <c r="L361" i="2"/>
  <c r="M361" i="2"/>
  <c r="N361" i="2"/>
  <c r="O361" i="2"/>
  <c r="B362" i="2"/>
  <c r="C362" i="2"/>
  <c r="D362" i="2"/>
  <c r="E362" i="2"/>
  <c r="F362" i="2"/>
  <c r="G362" i="2"/>
  <c r="H362" i="2"/>
  <c r="I362" i="2"/>
  <c r="J362" i="2"/>
  <c r="K362" i="2"/>
  <c r="L362" i="2"/>
  <c r="M362" i="2"/>
  <c r="N362" i="2"/>
  <c r="O362" i="2"/>
  <c r="B363" i="2"/>
  <c r="C363" i="2"/>
  <c r="D363" i="2"/>
  <c r="E363" i="2"/>
  <c r="F363" i="2"/>
  <c r="G363" i="2"/>
  <c r="H363" i="2"/>
  <c r="I363" i="2"/>
  <c r="J363" i="2"/>
  <c r="K363" i="2"/>
  <c r="L363" i="2"/>
  <c r="M363" i="2"/>
  <c r="N363" i="2"/>
  <c r="O363" i="2"/>
  <c r="B364" i="2"/>
  <c r="C364" i="2"/>
  <c r="D364" i="2"/>
  <c r="E364" i="2"/>
  <c r="F364" i="2"/>
  <c r="G364" i="2"/>
  <c r="H364" i="2"/>
  <c r="I364" i="2"/>
  <c r="J364" i="2"/>
  <c r="K364" i="2"/>
  <c r="L364" i="2"/>
  <c r="M364" i="2"/>
  <c r="N364" i="2"/>
  <c r="O364" i="2"/>
  <c r="B365" i="2"/>
  <c r="C365" i="2"/>
  <c r="D365" i="2"/>
  <c r="E365" i="2"/>
  <c r="F365" i="2"/>
  <c r="G365" i="2"/>
  <c r="H365" i="2"/>
  <c r="I365" i="2"/>
  <c r="J365" i="2"/>
  <c r="K365" i="2"/>
  <c r="L365" i="2"/>
  <c r="M365" i="2"/>
  <c r="N365" i="2"/>
  <c r="O365" i="2"/>
  <c r="B366" i="2"/>
  <c r="C366" i="2"/>
  <c r="D366" i="2"/>
  <c r="E366" i="2"/>
  <c r="F366" i="2"/>
  <c r="G366" i="2"/>
  <c r="H366" i="2"/>
  <c r="I366" i="2"/>
  <c r="J366" i="2"/>
  <c r="K366" i="2"/>
  <c r="L366" i="2"/>
  <c r="M366" i="2"/>
  <c r="N366" i="2"/>
  <c r="O366" i="2"/>
  <c r="B367" i="2"/>
  <c r="C367" i="2"/>
  <c r="D367" i="2"/>
  <c r="E367" i="2"/>
  <c r="F367" i="2"/>
  <c r="G367" i="2"/>
  <c r="H367" i="2"/>
  <c r="I367" i="2"/>
  <c r="J367" i="2"/>
  <c r="K367" i="2"/>
  <c r="L367" i="2"/>
  <c r="M367" i="2"/>
  <c r="N367" i="2"/>
  <c r="O367" i="2"/>
  <c r="B368" i="2"/>
  <c r="C368" i="2"/>
  <c r="D368" i="2"/>
  <c r="E368" i="2"/>
  <c r="F368" i="2"/>
  <c r="G368" i="2"/>
  <c r="H368" i="2"/>
  <c r="I368" i="2"/>
  <c r="J368" i="2"/>
  <c r="K368" i="2"/>
  <c r="L368" i="2"/>
  <c r="M368" i="2"/>
  <c r="N368" i="2"/>
  <c r="O368" i="2"/>
  <c r="B369" i="2"/>
  <c r="C369" i="2"/>
  <c r="D369" i="2"/>
  <c r="E369" i="2"/>
  <c r="F369" i="2"/>
  <c r="G369" i="2"/>
  <c r="H369" i="2"/>
  <c r="I369" i="2"/>
  <c r="J369" i="2"/>
  <c r="K369" i="2"/>
  <c r="L369" i="2"/>
  <c r="M369" i="2"/>
  <c r="N369" i="2"/>
  <c r="O369" i="2"/>
  <c r="B370" i="2"/>
  <c r="C370" i="2"/>
  <c r="D370" i="2"/>
  <c r="E370" i="2"/>
  <c r="F370" i="2"/>
  <c r="G370" i="2"/>
  <c r="H370" i="2"/>
  <c r="I370" i="2"/>
  <c r="J370" i="2"/>
  <c r="K370" i="2"/>
  <c r="L370" i="2"/>
  <c r="M370" i="2"/>
  <c r="N370" i="2"/>
  <c r="O370" i="2"/>
  <c r="B371" i="2"/>
  <c r="C371" i="2"/>
  <c r="D371" i="2"/>
  <c r="E371" i="2"/>
  <c r="F371" i="2"/>
  <c r="G371" i="2"/>
  <c r="H371" i="2"/>
  <c r="I371" i="2"/>
  <c r="J371" i="2"/>
  <c r="K371" i="2"/>
  <c r="L371" i="2"/>
  <c r="M371" i="2"/>
  <c r="N371" i="2"/>
  <c r="O371" i="2"/>
  <c r="B372" i="2"/>
  <c r="C372" i="2"/>
  <c r="D372" i="2"/>
  <c r="E372" i="2"/>
  <c r="F372" i="2"/>
  <c r="G372" i="2"/>
  <c r="H372" i="2"/>
  <c r="I372" i="2"/>
  <c r="J372" i="2"/>
  <c r="K372" i="2"/>
  <c r="L372" i="2"/>
  <c r="M372" i="2"/>
  <c r="N372" i="2"/>
  <c r="O372" i="2"/>
  <c r="B373" i="2"/>
  <c r="C373" i="2"/>
  <c r="D373" i="2"/>
  <c r="E373" i="2"/>
  <c r="F373" i="2"/>
  <c r="G373" i="2"/>
  <c r="H373" i="2"/>
  <c r="I373" i="2"/>
  <c r="J373" i="2"/>
  <c r="K373" i="2"/>
  <c r="L373" i="2"/>
  <c r="M373" i="2"/>
  <c r="N373" i="2"/>
  <c r="O373" i="2"/>
  <c r="B374" i="2"/>
  <c r="C374" i="2"/>
  <c r="D374" i="2"/>
  <c r="E374" i="2"/>
  <c r="F374" i="2"/>
  <c r="G374" i="2"/>
  <c r="H374" i="2"/>
  <c r="I374" i="2"/>
  <c r="J374" i="2"/>
  <c r="K374" i="2"/>
  <c r="L374" i="2"/>
  <c r="M374" i="2"/>
  <c r="N374" i="2"/>
  <c r="O374" i="2"/>
  <c r="B375" i="2"/>
  <c r="C375" i="2"/>
  <c r="D375" i="2"/>
  <c r="E375" i="2"/>
  <c r="F375" i="2"/>
  <c r="G375" i="2"/>
  <c r="H375" i="2"/>
  <c r="I375" i="2"/>
  <c r="J375" i="2"/>
  <c r="K375" i="2"/>
  <c r="L375" i="2"/>
  <c r="M375" i="2"/>
  <c r="N375" i="2"/>
  <c r="O375" i="2"/>
  <c r="B376" i="2"/>
  <c r="C376" i="2"/>
  <c r="D376" i="2"/>
  <c r="E376" i="2"/>
  <c r="F376" i="2"/>
  <c r="G376" i="2"/>
  <c r="H376" i="2"/>
  <c r="I376" i="2"/>
  <c r="J376" i="2"/>
  <c r="K376" i="2"/>
  <c r="L376" i="2"/>
  <c r="M376" i="2"/>
  <c r="N376" i="2"/>
  <c r="O376" i="2"/>
  <c r="B377" i="2"/>
  <c r="C377" i="2"/>
  <c r="D377" i="2"/>
  <c r="E377" i="2"/>
  <c r="F377" i="2"/>
  <c r="G377" i="2"/>
  <c r="H377" i="2"/>
  <c r="I377" i="2"/>
  <c r="J377" i="2"/>
  <c r="K377" i="2"/>
  <c r="L377" i="2"/>
  <c r="M377" i="2"/>
  <c r="N377" i="2"/>
  <c r="O377" i="2"/>
  <c r="B378" i="2"/>
  <c r="C378" i="2"/>
  <c r="D378" i="2"/>
  <c r="E378" i="2"/>
  <c r="F378" i="2"/>
  <c r="G378" i="2"/>
  <c r="H378" i="2"/>
  <c r="I378" i="2"/>
  <c r="J378" i="2"/>
  <c r="K378" i="2"/>
  <c r="L378" i="2"/>
  <c r="M378" i="2"/>
  <c r="N378" i="2"/>
  <c r="O378" i="2"/>
  <c r="B379" i="2"/>
  <c r="C379" i="2"/>
  <c r="D379" i="2"/>
  <c r="E379" i="2"/>
  <c r="F379" i="2"/>
  <c r="G379" i="2"/>
  <c r="H379" i="2"/>
  <c r="I379" i="2"/>
  <c r="J379" i="2"/>
  <c r="K379" i="2"/>
  <c r="L379" i="2"/>
  <c r="M379" i="2"/>
  <c r="N379" i="2"/>
  <c r="O379" i="2"/>
  <c r="B380" i="2"/>
  <c r="C380" i="2"/>
  <c r="D380" i="2"/>
  <c r="E380" i="2"/>
  <c r="F380" i="2"/>
  <c r="G380" i="2"/>
  <c r="H380" i="2"/>
  <c r="I380" i="2"/>
  <c r="J380" i="2"/>
  <c r="K380" i="2"/>
  <c r="L380" i="2"/>
  <c r="M380" i="2"/>
  <c r="N380" i="2"/>
  <c r="O380" i="2"/>
  <c r="B381" i="2"/>
  <c r="C381" i="2"/>
  <c r="D381" i="2"/>
  <c r="E381" i="2"/>
  <c r="F381" i="2"/>
  <c r="G381" i="2"/>
  <c r="H381" i="2"/>
  <c r="I381" i="2"/>
  <c r="J381" i="2"/>
  <c r="K381" i="2"/>
  <c r="L381" i="2"/>
  <c r="M381" i="2"/>
  <c r="N381" i="2"/>
  <c r="O381" i="2"/>
  <c r="B382" i="2"/>
  <c r="C382" i="2"/>
  <c r="D382" i="2"/>
  <c r="E382" i="2"/>
  <c r="F382" i="2"/>
  <c r="G382" i="2"/>
  <c r="H382" i="2"/>
  <c r="I382" i="2"/>
  <c r="J382" i="2"/>
  <c r="K382" i="2"/>
  <c r="L382" i="2"/>
  <c r="M382" i="2"/>
  <c r="N382" i="2"/>
  <c r="O382" i="2"/>
  <c r="B383" i="2"/>
  <c r="C383" i="2"/>
  <c r="D383" i="2"/>
  <c r="E383" i="2"/>
  <c r="F383" i="2"/>
  <c r="G383" i="2"/>
  <c r="H383" i="2"/>
  <c r="I383" i="2"/>
  <c r="J383" i="2"/>
  <c r="K383" i="2"/>
  <c r="L383" i="2"/>
  <c r="M383" i="2"/>
  <c r="N383" i="2"/>
  <c r="O383" i="2"/>
  <c r="B384" i="2"/>
  <c r="C384" i="2"/>
  <c r="D384" i="2"/>
  <c r="E384" i="2"/>
  <c r="F384" i="2"/>
  <c r="G384" i="2"/>
  <c r="H384" i="2"/>
  <c r="I384" i="2"/>
  <c r="J384" i="2"/>
  <c r="K384" i="2"/>
  <c r="L384" i="2"/>
  <c r="M384" i="2"/>
  <c r="N384" i="2"/>
  <c r="O384" i="2"/>
  <c r="B385" i="2"/>
  <c r="C385" i="2"/>
  <c r="D385" i="2"/>
  <c r="E385" i="2"/>
  <c r="F385" i="2"/>
  <c r="G385" i="2"/>
  <c r="H385" i="2"/>
  <c r="I385" i="2"/>
  <c r="J385" i="2"/>
  <c r="K385" i="2"/>
  <c r="L385" i="2"/>
  <c r="M385" i="2"/>
  <c r="N385" i="2"/>
  <c r="O385" i="2"/>
  <c r="B386" i="2"/>
  <c r="C386" i="2"/>
  <c r="D386" i="2"/>
  <c r="E386" i="2"/>
  <c r="F386" i="2"/>
  <c r="G386" i="2"/>
  <c r="H386" i="2"/>
  <c r="I386" i="2"/>
  <c r="J386" i="2"/>
  <c r="K386" i="2"/>
  <c r="L386" i="2"/>
  <c r="M386" i="2"/>
  <c r="N386" i="2"/>
  <c r="O386" i="2"/>
  <c r="B387" i="2"/>
  <c r="C387" i="2"/>
  <c r="D387" i="2"/>
  <c r="E387" i="2"/>
  <c r="F387" i="2"/>
  <c r="G387" i="2"/>
  <c r="H387" i="2"/>
  <c r="I387" i="2"/>
  <c r="J387" i="2"/>
  <c r="K387" i="2"/>
  <c r="L387" i="2"/>
  <c r="M387" i="2"/>
  <c r="N387" i="2"/>
  <c r="O387" i="2"/>
  <c r="B388" i="2"/>
  <c r="C388" i="2"/>
  <c r="D388" i="2"/>
  <c r="E388" i="2"/>
  <c r="F388" i="2"/>
  <c r="G388" i="2"/>
  <c r="H388" i="2"/>
  <c r="I388" i="2"/>
  <c r="J388" i="2"/>
  <c r="K388" i="2"/>
  <c r="L388" i="2"/>
  <c r="M388" i="2"/>
  <c r="N388" i="2"/>
  <c r="O388" i="2"/>
  <c r="B389" i="2"/>
  <c r="C389" i="2"/>
  <c r="D389" i="2"/>
  <c r="E389" i="2"/>
  <c r="F389" i="2"/>
  <c r="G389" i="2"/>
  <c r="H389" i="2"/>
  <c r="I389" i="2"/>
  <c r="J389" i="2"/>
  <c r="K389" i="2"/>
  <c r="L389" i="2"/>
  <c r="M389" i="2"/>
  <c r="N389" i="2"/>
  <c r="O389" i="2"/>
  <c r="B390" i="2"/>
  <c r="C390" i="2"/>
  <c r="D390" i="2"/>
  <c r="E390" i="2"/>
  <c r="F390" i="2"/>
  <c r="G390" i="2"/>
  <c r="H390" i="2"/>
  <c r="I390" i="2"/>
  <c r="J390" i="2"/>
  <c r="K390" i="2"/>
  <c r="L390" i="2"/>
  <c r="M390" i="2"/>
  <c r="N390" i="2"/>
  <c r="O390" i="2"/>
  <c r="B391" i="2"/>
  <c r="C391" i="2"/>
  <c r="D391" i="2"/>
  <c r="E391" i="2"/>
  <c r="F391" i="2"/>
  <c r="G391" i="2"/>
  <c r="H391" i="2"/>
  <c r="I391" i="2"/>
  <c r="J391" i="2"/>
  <c r="K391" i="2"/>
  <c r="L391" i="2"/>
  <c r="M391" i="2"/>
  <c r="N391" i="2"/>
  <c r="O391" i="2"/>
  <c r="B392" i="2"/>
  <c r="C392" i="2"/>
  <c r="D392" i="2"/>
  <c r="E392" i="2"/>
  <c r="F392" i="2"/>
  <c r="G392" i="2"/>
  <c r="H392" i="2"/>
  <c r="I392" i="2"/>
  <c r="J392" i="2"/>
  <c r="K392" i="2"/>
  <c r="L392" i="2"/>
  <c r="M392" i="2"/>
  <c r="N392" i="2"/>
  <c r="O392" i="2"/>
  <c r="B393" i="2"/>
  <c r="C393" i="2"/>
  <c r="D393" i="2"/>
  <c r="E393" i="2"/>
  <c r="F393" i="2"/>
  <c r="G393" i="2"/>
  <c r="H393" i="2"/>
  <c r="I393" i="2"/>
  <c r="J393" i="2"/>
  <c r="K393" i="2"/>
  <c r="L393" i="2"/>
  <c r="M393" i="2"/>
  <c r="N393" i="2"/>
  <c r="O393" i="2"/>
  <c r="B394" i="2"/>
  <c r="C394" i="2"/>
  <c r="D394" i="2"/>
  <c r="E394" i="2"/>
  <c r="F394" i="2"/>
  <c r="G394" i="2"/>
  <c r="H394" i="2"/>
  <c r="I394" i="2"/>
  <c r="J394" i="2"/>
  <c r="K394" i="2"/>
  <c r="L394" i="2"/>
  <c r="M394" i="2"/>
  <c r="N394" i="2"/>
  <c r="O394" i="2"/>
  <c r="B395" i="2"/>
  <c r="C395" i="2"/>
  <c r="D395" i="2"/>
  <c r="E395" i="2"/>
  <c r="F395" i="2"/>
  <c r="G395" i="2"/>
  <c r="H395" i="2"/>
  <c r="I395" i="2"/>
  <c r="J395" i="2"/>
  <c r="K395" i="2"/>
  <c r="L395" i="2"/>
  <c r="M395" i="2"/>
  <c r="N395" i="2"/>
  <c r="O395" i="2"/>
  <c r="B396" i="2"/>
  <c r="C396" i="2"/>
  <c r="D396" i="2"/>
  <c r="E396" i="2"/>
  <c r="F396" i="2"/>
  <c r="G396" i="2"/>
  <c r="H396" i="2"/>
  <c r="I396" i="2"/>
  <c r="J396" i="2"/>
  <c r="K396" i="2"/>
  <c r="L396" i="2"/>
  <c r="M396" i="2"/>
  <c r="N396" i="2"/>
  <c r="O396" i="2"/>
  <c r="B397" i="2"/>
  <c r="C397" i="2"/>
  <c r="D397" i="2"/>
  <c r="E397" i="2"/>
  <c r="F397" i="2"/>
  <c r="G397" i="2"/>
  <c r="H397" i="2"/>
  <c r="I397" i="2"/>
  <c r="J397" i="2"/>
  <c r="K397" i="2"/>
  <c r="L397" i="2"/>
  <c r="M397" i="2"/>
  <c r="N397" i="2"/>
  <c r="O397" i="2"/>
  <c r="B398" i="2"/>
  <c r="C398" i="2"/>
  <c r="D398" i="2"/>
  <c r="E398" i="2"/>
  <c r="F398" i="2"/>
  <c r="G398" i="2"/>
  <c r="H398" i="2"/>
  <c r="I398" i="2"/>
  <c r="J398" i="2"/>
  <c r="K398" i="2"/>
  <c r="L398" i="2"/>
  <c r="M398" i="2"/>
  <c r="N398" i="2"/>
  <c r="O398" i="2"/>
  <c r="B399" i="2"/>
  <c r="C399" i="2"/>
  <c r="D399" i="2"/>
  <c r="E399" i="2"/>
  <c r="F399" i="2"/>
  <c r="G399" i="2"/>
  <c r="H399" i="2"/>
  <c r="I399" i="2"/>
  <c r="J399" i="2"/>
  <c r="K399" i="2"/>
  <c r="L399" i="2"/>
  <c r="M399" i="2"/>
  <c r="N399" i="2"/>
  <c r="O399" i="2"/>
  <c r="B400" i="2"/>
  <c r="C400" i="2"/>
  <c r="D400" i="2"/>
  <c r="E400" i="2"/>
  <c r="F400" i="2"/>
  <c r="G400" i="2"/>
  <c r="H400" i="2"/>
  <c r="I400" i="2"/>
  <c r="J400" i="2"/>
  <c r="K400" i="2"/>
  <c r="L400" i="2"/>
  <c r="M400" i="2"/>
  <c r="N400" i="2"/>
  <c r="O400" i="2"/>
  <c r="B401" i="2"/>
  <c r="C401" i="2"/>
  <c r="D401" i="2"/>
  <c r="E401" i="2"/>
  <c r="F401" i="2"/>
  <c r="G401" i="2"/>
  <c r="H401" i="2"/>
  <c r="I401" i="2"/>
  <c r="J401" i="2"/>
  <c r="K401" i="2"/>
  <c r="L401" i="2"/>
  <c r="M401" i="2"/>
  <c r="N401" i="2"/>
  <c r="O401" i="2"/>
  <c r="B402" i="2"/>
  <c r="C402" i="2"/>
  <c r="D402" i="2"/>
  <c r="E402" i="2"/>
  <c r="F402" i="2"/>
  <c r="G402" i="2"/>
  <c r="H402" i="2"/>
  <c r="I402" i="2"/>
  <c r="J402" i="2"/>
  <c r="K402" i="2"/>
  <c r="L402" i="2"/>
  <c r="M402" i="2"/>
  <c r="N402" i="2"/>
  <c r="O402" i="2"/>
  <c r="B403" i="2"/>
  <c r="C403" i="2"/>
  <c r="D403" i="2"/>
  <c r="E403" i="2"/>
  <c r="F403" i="2"/>
  <c r="G403" i="2"/>
  <c r="H403" i="2"/>
  <c r="I403" i="2"/>
  <c r="J403" i="2"/>
  <c r="K403" i="2"/>
  <c r="L403" i="2"/>
  <c r="M403" i="2"/>
  <c r="N403" i="2"/>
  <c r="O403" i="2"/>
  <c r="B404" i="2"/>
  <c r="C404" i="2"/>
  <c r="D404" i="2"/>
  <c r="E404" i="2"/>
  <c r="F404" i="2"/>
  <c r="G404" i="2"/>
  <c r="H404" i="2"/>
  <c r="I404" i="2"/>
  <c r="J404" i="2"/>
  <c r="K404" i="2"/>
  <c r="L404" i="2"/>
  <c r="M404" i="2"/>
  <c r="N404" i="2"/>
  <c r="O404" i="2"/>
  <c r="B405" i="2"/>
  <c r="C405" i="2"/>
  <c r="D405" i="2"/>
  <c r="E405" i="2"/>
  <c r="F405" i="2"/>
  <c r="G405" i="2"/>
  <c r="H405" i="2"/>
  <c r="I405" i="2"/>
  <c r="J405" i="2"/>
  <c r="K405" i="2"/>
  <c r="L405" i="2"/>
  <c r="M405" i="2"/>
  <c r="N405" i="2"/>
  <c r="O405" i="2"/>
  <c r="B406" i="2"/>
  <c r="C406" i="2"/>
  <c r="D406" i="2"/>
  <c r="E406" i="2"/>
  <c r="F406" i="2"/>
  <c r="G406" i="2"/>
  <c r="H406" i="2"/>
  <c r="I406" i="2"/>
  <c r="J406" i="2"/>
  <c r="K406" i="2"/>
  <c r="L406" i="2"/>
  <c r="M406" i="2"/>
  <c r="N406" i="2"/>
  <c r="O406" i="2"/>
  <c r="B407" i="2"/>
  <c r="C407" i="2"/>
  <c r="D407" i="2"/>
  <c r="E407" i="2"/>
  <c r="F407" i="2"/>
  <c r="G407" i="2"/>
  <c r="H407" i="2"/>
  <c r="I407" i="2"/>
  <c r="J407" i="2"/>
  <c r="K407" i="2"/>
  <c r="L407" i="2"/>
  <c r="M407" i="2"/>
  <c r="N407" i="2"/>
  <c r="O407" i="2"/>
  <c r="B408" i="2"/>
  <c r="C408" i="2"/>
  <c r="D408" i="2"/>
  <c r="E408" i="2"/>
  <c r="F408" i="2"/>
  <c r="G408" i="2"/>
  <c r="H408" i="2"/>
  <c r="I408" i="2"/>
  <c r="J408" i="2"/>
  <c r="K408" i="2"/>
  <c r="L408" i="2"/>
  <c r="M408" i="2"/>
  <c r="N408" i="2"/>
  <c r="O408" i="2"/>
  <c r="B409" i="2"/>
  <c r="C409" i="2"/>
  <c r="D409" i="2"/>
  <c r="E409" i="2"/>
  <c r="F409" i="2"/>
  <c r="G409" i="2"/>
  <c r="H409" i="2"/>
  <c r="I409" i="2"/>
  <c r="J409" i="2"/>
  <c r="K409" i="2"/>
  <c r="L409" i="2"/>
  <c r="M409" i="2"/>
  <c r="N409" i="2"/>
  <c r="O409" i="2"/>
  <c r="B410" i="2"/>
  <c r="C410" i="2"/>
  <c r="D410" i="2"/>
  <c r="E410" i="2"/>
  <c r="F410" i="2"/>
  <c r="G410" i="2"/>
  <c r="H410" i="2"/>
  <c r="I410" i="2"/>
  <c r="J410" i="2"/>
  <c r="K410" i="2"/>
  <c r="L410" i="2"/>
  <c r="M410" i="2"/>
  <c r="N410" i="2"/>
  <c r="O410" i="2"/>
  <c r="B411" i="2"/>
  <c r="C411" i="2"/>
  <c r="D411" i="2"/>
  <c r="E411" i="2"/>
  <c r="F411" i="2"/>
  <c r="G411" i="2"/>
  <c r="H411" i="2"/>
  <c r="I411" i="2"/>
  <c r="J411" i="2"/>
  <c r="K411" i="2"/>
  <c r="L411" i="2"/>
  <c r="M411" i="2"/>
  <c r="N411" i="2"/>
  <c r="O411" i="2"/>
  <c r="B412" i="2"/>
  <c r="C412" i="2"/>
  <c r="D412" i="2"/>
  <c r="E412" i="2"/>
  <c r="F412" i="2"/>
  <c r="G412" i="2"/>
  <c r="H412" i="2"/>
  <c r="I412" i="2"/>
  <c r="J412" i="2"/>
  <c r="K412" i="2"/>
  <c r="L412" i="2"/>
  <c r="M412" i="2"/>
  <c r="N412" i="2"/>
  <c r="O412" i="2"/>
  <c r="B413" i="2"/>
  <c r="C413" i="2"/>
  <c r="D413" i="2"/>
  <c r="E413" i="2"/>
  <c r="F413" i="2"/>
  <c r="G413" i="2"/>
  <c r="H413" i="2"/>
  <c r="I413" i="2"/>
  <c r="J413" i="2"/>
  <c r="K413" i="2"/>
  <c r="L413" i="2"/>
  <c r="M413" i="2"/>
  <c r="N413" i="2"/>
  <c r="O413" i="2"/>
  <c r="B414" i="2"/>
  <c r="C414" i="2"/>
  <c r="D414" i="2"/>
  <c r="E414" i="2"/>
  <c r="F414" i="2"/>
  <c r="G414" i="2"/>
  <c r="H414" i="2"/>
  <c r="I414" i="2"/>
  <c r="J414" i="2"/>
  <c r="K414" i="2"/>
  <c r="L414" i="2"/>
  <c r="M414" i="2"/>
  <c r="N414" i="2"/>
  <c r="O414" i="2"/>
  <c r="B415" i="2"/>
  <c r="C415" i="2"/>
  <c r="D415" i="2"/>
  <c r="E415" i="2"/>
  <c r="F415" i="2"/>
  <c r="G415" i="2"/>
  <c r="H415" i="2"/>
  <c r="I415" i="2"/>
  <c r="J415" i="2"/>
  <c r="K415" i="2"/>
  <c r="L415" i="2"/>
  <c r="M415" i="2"/>
  <c r="N415" i="2"/>
  <c r="O415" i="2"/>
  <c r="B416" i="2"/>
  <c r="C416" i="2"/>
  <c r="D416" i="2"/>
  <c r="E416" i="2"/>
  <c r="F416" i="2"/>
  <c r="G416" i="2"/>
  <c r="H416" i="2"/>
  <c r="I416" i="2"/>
  <c r="J416" i="2"/>
  <c r="K416" i="2"/>
  <c r="L416" i="2"/>
  <c r="M416" i="2"/>
  <c r="N416" i="2"/>
  <c r="O416" i="2"/>
  <c r="B417" i="2"/>
  <c r="C417" i="2"/>
  <c r="D417" i="2"/>
  <c r="E417" i="2"/>
  <c r="F417" i="2"/>
  <c r="G417" i="2"/>
  <c r="H417" i="2"/>
  <c r="I417" i="2"/>
  <c r="J417" i="2"/>
  <c r="K417" i="2"/>
  <c r="L417" i="2"/>
  <c r="M417" i="2"/>
  <c r="N417" i="2"/>
  <c r="O417" i="2"/>
  <c r="B418" i="2"/>
  <c r="C418" i="2"/>
  <c r="D418" i="2"/>
  <c r="E418" i="2"/>
  <c r="F418" i="2"/>
  <c r="G418" i="2"/>
  <c r="H418" i="2"/>
  <c r="I418" i="2"/>
  <c r="J418" i="2"/>
  <c r="K418" i="2"/>
  <c r="L418" i="2"/>
  <c r="M418" i="2"/>
  <c r="N418" i="2"/>
  <c r="O418" i="2"/>
  <c r="B419" i="2"/>
  <c r="C419" i="2"/>
  <c r="D419" i="2"/>
  <c r="E419" i="2"/>
  <c r="F419" i="2"/>
  <c r="G419" i="2"/>
  <c r="H419" i="2"/>
  <c r="I419" i="2"/>
  <c r="J419" i="2"/>
  <c r="K419" i="2"/>
  <c r="L419" i="2"/>
  <c r="M419" i="2"/>
  <c r="N419" i="2"/>
  <c r="O419" i="2"/>
  <c r="B420" i="2"/>
  <c r="C420" i="2"/>
  <c r="D420" i="2"/>
  <c r="E420" i="2"/>
  <c r="F420" i="2"/>
  <c r="G420" i="2"/>
  <c r="H420" i="2"/>
  <c r="I420" i="2"/>
  <c r="J420" i="2"/>
  <c r="K420" i="2"/>
  <c r="L420" i="2"/>
  <c r="M420" i="2"/>
  <c r="N420" i="2"/>
  <c r="O420" i="2"/>
  <c r="B421" i="2"/>
  <c r="C421" i="2"/>
  <c r="D421" i="2"/>
  <c r="E421" i="2"/>
  <c r="F421" i="2"/>
  <c r="G421" i="2"/>
  <c r="H421" i="2"/>
  <c r="I421" i="2"/>
  <c r="J421" i="2"/>
  <c r="K421" i="2"/>
  <c r="L421" i="2"/>
  <c r="M421" i="2"/>
  <c r="N421" i="2"/>
  <c r="O421" i="2"/>
  <c r="B422" i="2"/>
  <c r="C422" i="2"/>
  <c r="D422" i="2"/>
  <c r="E422" i="2"/>
  <c r="F422" i="2"/>
  <c r="G422" i="2"/>
  <c r="H422" i="2"/>
  <c r="I422" i="2"/>
  <c r="J422" i="2"/>
  <c r="K422" i="2"/>
  <c r="L422" i="2"/>
  <c r="M422" i="2"/>
  <c r="N422" i="2"/>
  <c r="O422" i="2"/>
  <c r="B423" i="2"/>
  <c r="C423" i="2"/>
  <c r="D423" i="2"/>
  <c r="E423" i="2"/>
  <c r="F423" i="2"/>
  <c r="G423" i="2"/>
  <c r="H423" i="2"/>
  <c r="I423" i="2"/>
  <c r="J423" i="2"/>
  <c r="K423" i="2"/>
  <c r="L423" i="2"/>
  <c r="M423" i="2"/>
  <c r="N423" i="2"/>
  <c r="O423" i="2"/>
  <c r="B424" i="2"/>
  <c r="C424" i="2"/>
  <c r="D424" i="2"/>
  <c r="E424" i="2"/>
  <c r="F424" i="2"/>
  <c r="G424" i="2"/>
  <c r="H424" i="2"/>
  <c r="I424" i="2"/>
  <c r="J424" i="2"/>
  <c r="K424" i="2"/>
  <c r="L424" i="2"/>
  <c r="M424" i="2"/>
  <c r="N424" i="2"/>
  <c r="O424" i="2"/>
  <c r="B425" i="2"/>
  <c r="C425" i="2"/>
  <c r="D425" i="2"/>
  <c r="E425" i="2"/>
  <c r="F425" i="2"/>
  <c r="G425" i="2"/>
  <c r="H425" i="2"/>
  <c r="I425" i="2"/>
  <c r="J425" i="2"/>
  <c r="K425" i="2"/>
  <c r="L425" i="2"/>
  <c r="M425" i="2"/>
  <c r="N425" i="2"/>
  <c r="O425" i="2"/>
  <c r="B426" i="2"/>
  <c r="C426" i="2"/>
  <c r="D426" i="2"/>
  <c r="E426" i="2"/>
  <c r="F426" i="2"/>
  <c r="G426" i="2"/>
  <c r="H426" i="2"/>
  <c r="I426" i="2"/>
  <c r="J426" i="2"/>
  <c r="K426" i="2"/>
  <c r="L426" i="2"/>
  <c r="M426" i="2"/>
  <c r="N426" i="2"/>
  <c r="O426" i="2"/>
  <c r="B427" i="2"/>
  <c r="C427" i="2"/>
  <c r="D427" i="2"/>
  <c r="E427" i="2"/>
  <c r="F427" i="2"/>
  <c r="G427" i="2"/>
  <c r="H427" i="2"/>
  <c r="I427" i="2"/>
  <c r="J427" i="2"/>
  <c r="K427" i="2"/>
  <c r="L427" i="2"/>
  <c r="M427" i="2"/>
  <c r="N427" i="2"/>
  <c r="O427" i="2"/>
  <c r="B428" i="2"/>
  <c r="C428" i="2"/>
  <c r="D428" i="2"/>
  <c r="E428" i="2"/>
  <c r="F428" i="2"/>
  <c r="G428" i="2"/>
  <c r="H428" i="2"/>
  <c r="I428" i="2"/>
  <c r="J428" i="2"/>
  <c r="K428" i="2"/>
  <c r="L428" i="2"/>
  <c r="M428" i="2"/>
  <c r="N428" i="2"/>
  <c r="O428" i="2"/>
  <c r="B429" i="2"/>
  <c r="C429" i="2"/>
  <c r="D429" i="2"/>
  <c r="E429" i="2"/>
  <c r="F429" i="2"/>
  <c r="G429" i="2"/>
  <c r="H429" i="2"/>
  <c r="I429" i="2"/>
  <c r="J429" i="2"/>
  <c r="K429" i="2"/>
  <c r="L429" i="2"/>
  <c r="M429" i="2"/>
  <c r="N429" i="2"/>
  <c r="O429" i="2"/>
  <c r="B430" i="2"/>
  <c r="C430" i="2"/>
  <c r="D430" i="2"/>
  <c r="E430" i="2"/>
  <c r="F430" i="2"/>
  <c r="G430" i="2"/>
  <c r="H430" i="2"/>
  <c r="I430" i="2"/>
  <c r="J430" i="2"/>
  <c r="K430" i="2"/>
  <c r="L430" i="2"/>
  <c r="M430" i="2"/>
  <c r="N430" i="2"/>
  <c r="O430" i="2"/>
  <c r="B431" i="2"/>
  <c r="C431" i="2"/>
  <c r="D431" i="2"/>
  <c r="E431" i="2"/>
  <c r="F431" i="2"/>
  <c r="G431" i="2"/>
  <c r="H431" i="2"/>
  <c r="I431" i="2"/>
  <c r="J431" i="2"/>
  <c r="K431" i="2"/>
  <c r="L431" i="2"/>
  <c r="M431" i="2"/>
  <c r="N431" i="2"/>
  <c r="O431" i="2"/>
  <c r="B432" i="2"/>
  <c r="C432" i="2"/>
  <c r="D432" i="2"/>
  <c r="E432" i="2"/>
  <c r="F432" i="2"/>
  <c r="G432" i="2"/>
  <c r="H432" i="2"/>
  <c r="I432" i="2"/>
  <c r="J432" i="2"/>
  <c r="K432" i="2"/>
  <c r="L432" i="2"/>
  <c r="M432" i="2"/>
  <c r="N432" i="2"/>
  <c r="O432" i="2"/>
  <c r="B433" i="2"/>
  <c r="C433" i="2"/>
  <c r="D433" i="2"/>
  <c r="E433" i="2"/>
  <c r="F433" i="2"/>
  <c r="G433" i="2"/>
  <c r="H433" i="2"/>
  <c r="I433" i="2"/>
  <c r="J433" i="2"/>
  <c r="K433" i="2"/>
  <c r="L433" i="2"/>
  <c r="M433" i="2"/>
  <c r="N433" i="2"/>
  <c r="O433" i="2"/>
  <c r="B434" i="2"/>
  <c r="C434" i="2"/>
  <c r="D434" i="2"/>
  <c r="E434" i="2"/>
  <c r="F434" i="2"/>
  <c r="G434" i="2"/>
  <c r="H434" i="2"/>
  <c r="I434" i="2"/>
  <c r="J434" i="2"/>
  <c r="K434" i="2"/>
  <c r="L434" i="2"/>
  <c r="M434" i="2"/>
  <c r="N434" i="2"/>
  <c r="O434" i="2"/>
  <c r="B435" i="2"/>
  <c r="C435" i="2"/>
  <c r="D435" i="2"/>
  <c r="E435" i="2"/>
  <c r="F435" i="2"/>
  <c r="G435" i="2"/>
  <c r="H435" i="2"/>
  <c r="I435" i="2"/>
  <c r="J435" i="2"/>
  <c r="K435" i="2"/>
  <c r="L435" i="2"/>
  <c r="M435" i="2"/>
  <c r="N435" i="2"/>
  <c r="O435" i="2"/>
  <c r="B436" i="2"/>
  <c r="C436" i="2"/>
  <c r="D436" i="2"/>
  <c r="E436" i="2"/>
  <c r="F436" i="2"/>
  <c r="G436" i="2"/>
  <c r="H436" i="2"/>
  <c r="I436" i="2"/>
  <c r="J436" i="2"/>
  <c r="K436" i="2"/>
  <c r="L436" i="2"/>
  <c r="M436" i="2"/>
  <c r="N436" i="2"/>
  <c r="O436" i="2"/>
  <c r="B437" i="2"/>
  <c r="C437" i="2"/>
  <c r="D437" i="2"/>
  <c r="E437" i="2"/>
  <c r="F437" i="2"/>
  <c r="G437" i="2"/>
  <c r="H437" i="2"/>
  <c r="I437" i="2"/>
  <c r="J437" i="2"/>
  <c r="K437" i="2"/>
  <c r="L437" i="2"/>
  <c r="M437" i="2"/>
  <c r="N437" i="2"/>
  <c r="O437" i="2"/>
  <c r="B438" i="2"/>
  <c r="C438" i="2"/>
  <c r="D438" i="2"/>
  <c r="E438" i="2"/>
  <c r="F438" i="2"/>
  <c r="G438" i="2"/>
  <c r="H438" i="2"/>
  <c r="I438" i="2"/>
  <c r="J438" i="2"/>
  <c r="K438" i="2"/>
  <c r="L438" i="2"/>
  <c r="M438" i="2"/>
  <c r="N438" i="2"/>
  <c r="O438" i="2"/>
  <c r="B439" i="2"/>
  <c r="C439" i="2"/>
  <c r="D439" i="2"/>
  <c r="E439" i="2"/>
  <c r="F439" i="2"/>
  <c r="G439" i="2"/>
  <c r="H439" i="2"/>
  <c r="I439" i="2"/>
  <c r="J439" i="2"/>
  <c r="K439" i="2"/>
  <c r="L439" i="2"/>
  <c r="M439" i="2"/>
  <c r="N439" i="2"/>
  <c r="O439" i="2"/>
  <c r="B440" i="2"/>
  <c r="C440" i="2"/>
  <c r="D440" i="2"/>
  <c r="E440" i="2"/>
  <c r="F440" i="2"/>
  <c r="G440" i="2"/>
  <c r="H440" i="2"/>
  <c r="I440" i="2"/>
  <c r="J440" i="2"/>
  <c r="K440" i="2"/>
  <c r="L440" i="2"/>
  <c r="M440" i="2"/>
  <c r="N440" i="2"/>
  <c r="O440" i="2"/>
  <c r="B441" i="2"/>
  <c r="C441" i="2"/>
  <c r="D441" i="2"/>
  <c r="E441" i="2"/>
  <c r="F441" i="2"/>
  <c r="G441" i="2"/>
  <c r="H441" i="2"/>
  <c r="I441" i="2"/>
  <c r="J441" i="2"/>
  <c r="K441" i="2"/>
  <c r="L441" i="2"/>
  <c r="M441" i="2"/>
  <c r="N441" i="2"/>
  <c r="O441" i="2"/>
  <c r="B442" i="2"/>
  <c r="C442" i="2"/>
  <c r="D442" i="2"/>
  <c r="E442" i="2"/>
  <c r="F442" i="2"/>
  <c r="G442" i="2"/>
  <c r="H442" i="2"/>
  <c r="I442" i="2"/>
  <c r="J442" i="2"/>
  <c r="K442" i="2"/>
  <c r="L442" i="2"/>
  <c r="M442" i="2"/>
  <c r="N442" i="2"/>
  <c r="O442" i="2"/>
  <c r="B443" i="2"/>
  <c r="C443" i="2"/>
  <c r="D443" i="2"/>
  <c r="E443" i="2"/>
  <c r="F443" i="2"/>
  <c r="G443" i="2"/>
  <c r="H443" i="2"/>
  <c r="I443" i="2"/>
  <c r="J443" i="2"/>
  <c r="K443" i="2"/>
  <c r="L443" i="2"/>
  <c r="M443" i="2"/>
  <c r="N443" i="2"/>
  <c r="O443" i="2"/>
  <c r="B444" i="2"/>
  <c r="C444" i="2"/>
  <c r="D444" i="2"/>
  <c r="E444" i="2"/>
  <c r="F444" i="2"/>
  <c r="G444" i="2"/>
  <c r="H444" i="2"/>
  <c r="I444" i="2"/>
  <c r="J444" i="2"/>
  <c r="K444" i="2"/>
  <c r="L444" i="2"/>
  <c r="M444" i="2"/>
  <c r="N444" i="2"/>
  <c r="O444" i="2"/>
  <c r="B445" i="2"/>
  <c r="C445" i="2"/>
  <c r="D445" i="2"/>
  <c r="E445" i="2"/>
  <c r="F445" i="2"/>
  <c r="G445" i="2"/>
  <c r="H445" i="2"/>
  <c r="I445" i="2"/>
  <c r="J445" i="2"/>
  <c r="K445" i="2"/>
  <c r="L445" i="2"/>
  <c r="M445" i="2"/>
  <c r="N445" i="2"/>
  <c r="O445" i="2"/>
  <c r="B446" i="2"/>
  <c r="C446" i="2"/>
  <c r="D446" i="2"/>
  <c r="E446" i="2"/>
  <c r="F446" i="2"/>
  <c r="G446" i="2"/>
  <c r="H446" i="2"/>
  <c r="I446" i="2"/>
  <c r="J446" i="2"/>
  <c r="K446" i="2"/>
  <c r="L446" i="2"/>
  <c r="M446" i="2"/>
  <c r="N446" i="2"/>
  <c r="O446" i="2"/>
  <c r="B447" i="2"/>
  <c r="C447" i="2"/>
  <c r="D447" i="2"/>
  <c r="E447" i="2"/>
  <c r="F447" i="2"/>
  <c r="G447" i="2"/>
  <c r="H447" i="2"/>
  <c r="I447" i="2"/>
  <c r="J447" i="2"/>
  <c r="K447" i="2"/>
  <c r="L447" i="2"/>
  <c r="M447" i="2"/>
  <c r="N447" i="2"/>
  <c r="O447" i="2"/>
  <c r="B448" i="2"/>
  <c r="C448" i="2"/>
  <c r="D448" i="2"/>
  <c r="E448" i="2"/>
  <c r="F448" i="2"/>
  <c r="G448" i="2"/>
  <c r="H448" i="2"/>
  <c r="I448" i="2"/>
  <c r="J448" i="2"/>
  <c r="K448" i="2"/>
  <c r="L448" i="2"/>
  <c r="M448" i="2"/>
  <c r="N448" i="2"/>
  <c r="O448" i="2"/>
  <c r="B449" i="2"/>
  <c r="C449" i="2"/>
  <c r="D449" i="2"/>
  <c r="E449" i="2"/>
  <c r="F449" i="2"/>
  <c r="G449" i="2"/>
  <c r="H449" i="2"/>
  <c r="I449" i="2"/>
  <c r="J449" i="2"/>
  <c r="K449" i="2"/>
  <c r="L449" i="2"/>
  <c r="M449" i="2"/>
  <c r="N449" i="2"/>
  <c r="O449" i="2"/>
  <c r="B450" i="2"/>
  <c r="C450" i="2"/>
  <c r="D450" i="2"/>
  <c r="E450" i="2"/>
  <c r="F450" i="2"/>
  <c r="G450" i="2"/>
  <c r="H450" i="2"/>
  <c r="I450" i="2"/>
  <c r="J450" i="2"/>
  <c r="K450" i="2"/>
  <c r="L450" i="2"/>
  <c r="M450" i="2"/>
  <c r="N450" i="2"/>
  <c r="O450" i="2"/>
  <c r="B451" i="2"/>
  <c r="C451" i="2"/>
  <c r="D451" i="2"/>
  <c r="E451" i="2"/>
  <c r="F451" i="2"/>
  <c r="G451" i="2"/>
  <c r="H451" i="2"/>
  <c r="I451" i="2"/>
  <c r="J451" i="2"/>
  <c r="K451" i="2"/>
  <c r="L451" i="2"/>
  <c r="M451" i="2"/>
  <c r="N451" i="2"/>
  <c r="O451" i="2"/>
  <c r="B452" i="2"/>
  <c r="C452" i="2"/>
  <c r="D452" i="2"/>
  <c r="E452" i="2"/>
  <c r="F452" i="2"/>
  <c r="G452" i="2"/>
  <c r="H452" i="2"/>
  <c r="I452" i="2"/>
  <c r="J452" i="2"/>
  <c r="K452" i="2"/>
  <c r="L452" i="2"/>
  <c r="M452" i="2"/>
  <c r="N452" i="2"/>
  <c r="O452" i="2"/>
  <c r="B453" i="2"/>
  <c r="C453" i="2"/>
  <c r="D453" i="2"/>
  <c r="E453" i="2"/>
  <c r="F453" i="2"/>
  <c r="G453" i="2"/>
  <c r="H453" i="2"/>
  <c r="I453" i="2"/>
  <c r="J453" i="2"/>
  <c r="K453" i="2"/>
  <c r="L453" i="2"/>
  <c r="M453" i="2"/>
  <c r="N453" i="2"/>
  <c r="O453" i="2"/>
  <c r="B454" i="2"/>
  <c r="C454" i="2"/>
  <c r="D454" i="2"/>
  <c r="E454" i="2"/>
  <c r="F454" i="2"/>
  <c r="G454" i="2"/>
  <c r="H454" i="2"/>
  <c r="I454" i="2"/>
  <c r="J454" i="2"/>
  <c r="K454" i="2"/>
  <c r="L454" i="2"/>
  <c r="M454" i="2"/>
  <c r="N454" i="2"/>
  <c r="O454" i="2"/>
  <c r="B455" i="2"/>
  <c r="C455" i="2"/>
  <c r="D455" i="2"/>
  <c r="E455" i="2"/>
  <c r="F455" i="2"/>
  <c r="G455" i="2"/>
  <c r="H455" i="2"/>
  <c r="I455" i="2"/>
  <c r="J455" i="2"/>
  <c r="K455" i="2"/>
  <c r="L455" i="2"/>
  <c r="M455" i="2"/>
  <c r="N455" i="2"/>
  <c r="O455" i="2"/>
  <c r="B456" i="2"/>
  <c r="C456" i="2"/>
  <c r="D456" i="2"/>
  <c r="E456" i="2"/>
  <c r="F456" i="2"/>
  <c r="G456" i="2"/>
  <c r="H456" i="2"/>
  <c r="I456" i="2"/>
  <c r="J456" i="2"/>
  <c r="K456" i="2"/>
  <c r="L456" i="2"/>
  <c r="M456" i="2"/>
  <c r="N456" i="2"/>
  <c r="O456" i="2"/>
  <c r="B457" i="2"/>
  <c r="C457" i="2"/>
  <c r="D457" i="2"/>
  <c r="E457" i="2"/>
  <c r="F457" i="2"/>
  <c r="G457" i="2"/>
  <c r="H457" i="2"/>
  <c r="I457" i="2"/>
  <c r="J457" i="2"/>
  <c r="K457" i="2"/>
  <c r="L457" i="2"/>
  <c r="M457" i="2"/>
  <c r="N457" i="2"/>
  <c r="O457" i="2"/>
  <c r="B458" i="2"/>
  <c r="C458" i="2"/>
  <c r="D458" i="2"/>
  <c r="E458" i="2"/>
  <c r="F458" i="2"/>
  <c r="G458" i="2"/>
  <c r="H458" i="2"/>
  <c r="I458" i="2"/>
  <c r="J458" i="2"/>
  <c r="K458" i="2"/>
  <c r="L458" i="2"/>
  <c r="M458" i="2"/>
  <c r="N458" i="2"/>
  <c r="O458" i="2"/>
  <c r="B459" i="2"/>
  <c r="C459" i="2"/>
  <c r="D459" i="2"/>
  <c r="E459" i="2"/>
  <c r="F459" i="2"/>
  <c r="G459" i="2"/>
  <c r="H459" i="2"/>
  <c r="I459" i="2"/>
  <c r="J459" i="2"/>
  <c r="K459" i="2"/>
  <c r="L459" i="2"/>
  <c r="M459" i="2"/>
  <c r="N459" i="2"/>
  <c r="O459" i="2"/>
  <c r="B460" i="2"/>
  <c r="C460" i="2"/>
  <c r="D460" i="2"/>
  <c r="E460" i="2"/>
  <c r="F460" i="2"/>
  <c r="G460" i="2"/>
  <c r="H460" i="2"/>
  <c r="I460" i="2"/>
  <c r="J460" i="2"/>
  <c r="K460" i="2"/>
  <c r="L460" i="2"/>
  <c r="M460" i="2"/>
  <c r="N460" i="2"/>
  <c r="O460" i="2"/>
  <c r="B461" i="2"/>
  <c r="C461" i="2"/>
  <c r="D461" i="2"/>
  <c r="E461" i="2"/>
  <c r="F461" i="2"/>
  <c r="G461" i="2"/>
  <c r="H461" i="2"/>
  <c r="I461" i="2"/>
  <c r="J461" i="2"/>
  <c r="K461" i="2"/>
  <c r="L461" i="2"/>
  <c r="M461" i="2"/>
  <c r="N461" i="2"/>
  <c r="O461" i="2"/>
  <c r="B462" i="2"/>
  <c r="C462" i="2"/>
  <c r="D462" i="2"/>
  <c r="E462" i="2"/>
  <c r="F462" i="2"/>
  <c r="G462" i="2"/>
  <c r="H462" i="2"/>
  <c r="I462" i="2"/>
  <c r="J462" i="2"/>
  <c r="K462" i="2"/>
  <c r="L462" i="2"/>
  <c r="M462" i="2"/>
  <c r="N462" i="2"/>
  <c r="O462" i="2"/>
  <c r="B463" i="2"/>
  <c r="C463" i="2"/>
  <c r="D463" i="2"/>
  <c r="E463" i="2"/>
  <c r="F463" i="2"/>
  <c r="G463" i="2"/>
  <c r="H463" i="2"/>
  <c r="I463" i="2"/>
  <c r="J463" i="2"/>
  <c r="K463" i="2"/>
  <c r="L463" i="2"/>
  <c r="M463" i="2"/>
  <c r="N463" i="2"/>
  <c r="O463" i="2"/>
  <c r="B464" i="2"/>
  <c r="C464" i="2"/>
  <c r="D464" i="2"/>
  <c r="E464" i="2"/>
  <c r="F464" i="2"/>
  <c r="G464" i="2"/>
  <c r="H464" i="2"/>
  <c r="I464" i="2"/>
  <c r="J464" i="2"/>
  <c r="K464" i="2"/>
  <c r="L464" i="2"/>
  <c r="M464" i="2"/>
  <c r="N464" i="2"/>
  <c r="O464" i="2"/>
  <c r="B465" i="2"/>
  <c r="C465" i="2"/>
  <c r="D465" i="2"/>
  <c r="E465" i="2"/>
  <c r="F465" i="2"/>
  <c r="G465" i="2"/>
  <c r="H465" i="2"/>
  <c r="I465" i="2"/>
  <c r="J465" i="2"/>
  <c r="K465" i="2"/>
  <c r="L465" i="2"/>
  <c r="M465" i="2"/>
  <c r="N465" i="2"/>
  <c r="O465" i="2"/>
  <c r="B466" i="2"/>
  <c r="C466" i="2"/>
  <c r="D466" i="2"/>
  <c r="E466" i="2"/>
  <c r="F466" i="2"/>
  <c r="G466" i="2"/>
  <c r="H466" i="2"/>
  <c r="I466" i="2"/>
  <c r="J466" i="2"/>
  <c r="K466" i="2"/>
  <c r="L466" i="2"/>
  <c r="M466" i="2"/>
  <c r="N466" i="2"/>
  <c r="O466" i="2"/>
  <c r="B467" i="2"/>
  <c r="C467" i="2"/>
  <c r="D467" i="2"/>
  <c r="E467" i="2"/>
  <c r="F467" i="2"/>
  <c r="G467" i="2"/>
  <c r="H467" i="2"/>
  <c r="I467" i="2"/>
  <c r="J467" i="2"/>
  <c r="K467" i="2"/>
  <c r="L467" i="2"/>
  <c r="M467" i="2"/>
  <c r="N467" i="2"/>
  <c r="O467" i="2"/>
  <c r="B468" i="2"/>
  <c r="C468" i="2"/>
  <c r="D468" i="2"/>
  <c r="E468" i="2"/>
  <c r="F468" i="2"/>
  <c r="G468" i="2"/>
  <c r="H468" i="2"/>
  <c r="I468" i="2"/>
  <c r="J468" i="2"/>
  <c r="K468" i="2"/>
  <c r="L468" i="2"/>
  <c r="M468" i="2"/>
  <c r="N468" i="2"/>
  <c r="O468" i="2"/>
  <c r="B469" i="2"/>
  <c r="C469" i="2"/>
  <c r="D469" i="2"/>
  <c r="E469" i="2"/>
  <c r="F469" i="2"/>
  <c r="G469" i="2"/>
  <c r="H469" i="2"/>
  <c r="I469" i="2"/>
  <c r="J469" i="2"/>
  <c r="K469" i="2"/>
  <c r="L469" i="2"/>
  <c r="M469" i="2"/>
  <c r="N469" i="2"/>
  <c r="O469" i="2"/>
  <c r="B470" i="2"/>
  <c r="C470" i="2"/>
  <c r="D470" i="2"/>
  <c r="E470" i="2"/>
  <c r="F470" i="2"/>
  <c r="G470" i="2"/>
  <c r="H470" i="2"/>
  <c r="I470" i="2"/>
  <c r="J470" i="2"/>
  <c r="K470" i="2"/>
  <c r="L470" i="2"/>
  <c r="M470" i="2"/>
  <c r="N470" i="2"/>
  <c r="O470" i="2"/>
  <c r="B471" i="2"/>
  <c r="C471" i="2"/>
  <c r="D471" i="2"/>
  <c r="E471" i="2"/>
  <c r="F471" i="2"/>
  <c r="G471" i="2"/>
  <c r="H471" i="2"/>
  <c r="I471" i="2"/>
  <c r="J471" i="2"/>
  <c r="K471" i="2"/>
  <c r="L471" i="2"/>
  <c r="M471" i="2"/>
  <c r="N471" i="2"/>
  <c r="O471" i="2"/>
  <c r="B472" i="2"/>
  <c r="C472" i="2"/>
  <c r="D472" i="2"/>
  <c r="E472" i="2"/>
  <c r="F472" i="2"/>
  <c r="G472" i="2"/>
  <c r="H472" i="2"/>
  <c r="I472" i="2"/>
  <c r="J472" i="2"/>
  <c r="K472" i="2"/>
  <c r="L472" i="2"/>
  <c r="M472" i="2"/>
  <c r="N472" i="2"/>
  <c r="O472" i="2"/>
  <c r="B473" i="2"/>
  <c r="C473" i="2"/>
  <c r="D473" i="2"/>
  <c r="E473" i="2"/>
  <c r="F473" i="2"/>
  <c r="G473" i="2"/>
  <c r="H473" i="2"/>
  <c r="I473" i="2"/>
  <c r="J473" i="2"/>
  <c r="K473" i="2"/>
  <c r="L473" i="2"/>
  <c r="M473" i="2"/>
  <c r="N473" i="2"/>
  <c r="O473" i="2"/>
  <c r="B474" i="2"/>
  <c r="C474" i="2"/>
  <c r="D474" i="2"/>
  <c r="E474" i="2"/>
  <c r="F474" i="2"/>
  <c r="G474" i="2"/>
  <c r="H474" i="2"/>
  <c r="I474" i="2"/>
  <c r="J474" i="2"/>
  <c r="K474" i="2"/>
  <c r="L474" i="2"/>
  <c r="M474" i="2"/>
  <c r="N474" i="2"/>
  <c r="O474" i="2"/>
  <c r="B475" i="2"/>
  <c r="C475" i="2"/>
  <c r="D475" i="2"/>
  <c r="E475" i="2"/>
  <c r="F475" i="2"/>
  <c r="G475" i="2"/>
  <c r="H475" i="2"/>
  <c r="I475" i="2"/>
  <c r="J475" i="2"/>
  <c r="K475" i="2"/>
  <c r="L475" i="2"/>
  <c r="M475" i="2"/>
  <c r="N475" i="2"/>
  <c r="O475" i="2"/>
  <c r="B476" i="2"/>
  <c r="C476" i="2"/>
  <c r="D476" i="2"/>
  <c r="E476" i="2"/>
  <c r="F476" i="2"/>
  <c r="G476" i="2"/>
  <c r="H476" i="2"/>
  <c r="I476" i="2"/>
  <c r="J476" i="2"/>
  <c r="K476" i="2"/>
  <c r="L476" i="2"/>
  <c r="M476" i="2"/>
  <c r="N476" i="2"/>
  <c r="O476" i="2"/>
  <c r="B477" i="2"/>
  <c r="C477" i="2"/>
  <c r="D477" i="2"/>
  <c r="E477" i="2"/>
  <c r="F477" i="2"/>
  <c r="G477" i="2"/>
  <c r="H477" i="2"/>
  <c r="I477" i="2"/>
  <c r="J477" i="2"/>
  <c r="K477" i="2"/>
  <c r="L477" i="2"/>
  <c r="M477" i="2"/>
  <c r="N477" i="2"/>
  <c r="O477" i="2"/>
  <c r="B478" i="2"/>
  <c r="C478" i="2"/>
  <c r="D478" i="2"/>
  <c r="E478" i="2"/>
  <c r="F478" i="2"/>
  <c r="G478" i="2"/>
  <c r="H478" i="2"/>
  <c r="I478" i="2"/>
  <c r="J478" i="2"/>
  <c r="K478" i="2"/>
  <c r="L478" i="2"/>
  <c r="M478" i="2"/>
  <c r="N478" i="2"/>
  <c r="O478" i="2"/>
  <c r="B479" i="2"/>
  <c r="C479" i="2"/>
  <c r="D479" i="2"/>
  <c r="E479" i="2"/>
  <c r="F479" i="2"/>
  <c r="G479" i="2"/>
  <c r="H479" i="2"/>
  <c r="I479" i="2"/>
  <c r="J479" i="2"/>
  <c r="K479" i="2"/>
  <c r="L479" i="2"/>
  <c r="M479" i="2"/>
  <c r="N479" i="2"/>
  <c r="O479" i="2"/>
  <c r="B480" i="2"/>
  <c r="C480" i="2"/>
  <c r="D480" i="2"/>
  <c r="E480" i="2"/>
  <c r="F480" i="2"/>
  <c r="G480" i="2"/>
  <c r="H480" i="2"/>
  <c r="I480" i="2"/>
  <c r="J480" i="2"/>
  <c r="K480" i="2"/>
  <c r="L480" i="2"/>
  <c r="M480" i="2"/>
  <c r="N480" i="2"/>
  <c r="O480" i="2"/>
  <c r="B481" i="2"/>
  <c r="C481" i="2"/>
  <c r="D481" i="2"/>
  <c r="E481" i="2"/>
  <c r="F481" i="2"/>
  <c r="G481" i="2"/>
  <c r="H481" i="2"/>
  <c r="I481" i="2"/>
  <c r="J481" i="2"/>
  <c r="K481" i="2"/>
  <c r="L481" i="2"/>
  <c r="M481" i="2"/>
  <c r="N481" i="2"/>
  <c r="O481" i="2"/>
  <c r="B482" i="2"/>
  <c r="C482" i="2"/>
  <c r="D482" i="2"/>
  <c r="E482" i="2"/>
  <c r="F482" i="2"/>
  <c r="G482" i="2"/>
  <c r="H482" i="2"/>
  <c r="I482" i="2"/>
  <c r="J482" i="2"/>
  <c r="K482" i="2"/>
  <c r="L482" i="2"/>
  <c r="M482" i="2"/>
  <c r="N482" i="2"/>
  <c r="O482" i="2"/>
  <c r="B483" i="2"/>
  <c r="C483" i="2"/>
  <c r="D483" i="2"/>
  <c r="E483" i="2"/>
  <c r="F483" i="2"/>
  <c r="G483" i="2"/>
  <c r="H483" i="2"/>
  <c r="I483" i="2"/>
  <c r="J483" i="2"/>
  <c r="K483" i="2"/>
  <c r="L483" i="2"/>
  <c r="M483" i="2"/>
  <c r="N483" i="2"/>
  <c r="O483" i="2"/>
  <c r="B484" i="2"/>
  <c r="C484" i="2"/>
  <c r="D484" i="2"/>
  <c r="E484" i="2"/>
  <c r="F484" i="2"/>
  <c r="G484" i="2"/>
  <c r="H484" i="2"/>
  <c r="I484" i="2"/>
  <c r="J484" i="2"/>
  <c r="K484" i="2"/>
  <c r="L484" i="2"/>
  <c r="M484" i="2"/>
  <c r="N484" i="2"/>
  <c r="O484" i="2"/>
  <c r="B485" i="2"/>
  <c r="C485" i="2"/>
  <c r="D485" i="2"/>
  <c r="E485" i="2"/>
  <c r="F485" i="2"/>
  <c r="G485" i="2"/>
  <c r="H485" i="2"/>
  <c r="I485" i="2"/>
  <c r="J485" i="2"/>
  <c r="K485" i="2"/>
  <c r="L485" i="2"/>
  <c r="M485" i="2"/>
  <c r="N485" i="2"/>
  <c r="O485" i="2"/>
  <c r="B486" i="2"/>
  <c r="C486" i="2"/>
  <c r="D486" i="2"/>
  <c r="E486" i="2"/>
  <c r="F486" i="2"/>
  <c r="G486" i="2"/>
  <c r="H486" i="2"/>
  <c r="I486" i="2"/>
  <c r="J486" i="2"/>
  <c r="K486" i="2"/>
  <c r="L486" i="2"/>
  <c r="M486" i="2"/>
  <c r="N486" i="2"/>
  <c r="O486" i="2"/>
  <c r="B487" i="2"/>
  <c r="C487" i="2"/>
  <c r="D487" i="2"/>
  <c r="E487" i="2"/>
  <c r="F487" i="2"/>
  <c r="G487" i="2"/>
  <c r="H487" i="2"/>
  <c r="I487" i="2"/>
  <c r="J487" i="2"/>
  <c r="K487" i="2"/>
  <c r="L487" i="2"/>
  <c r="M487" i="2"/>
  <c r="N487" i="2"/>
  <c r="O487" i="2"/>
  <c r="B488" i="2"/>
  <c r="C488" i="2"/>
  <c r="D488" i="2"/>
  <c r="E488" i="2"/>
  <c r="F488" i="2"/>
  <c r="G488" i="2"/>
  <c r="H488" i="2"/>
  <c r="I488" i="2"/>
  <c r="J488" i="2"/>
  <c r="K488" i="2"/>
  <c r="L488" i="2"/>
  <c r="M488" i="2"/>
  <c r="N488" i="2"/>
  <c r="O488" i="2"/>
  <c r="B489" i="2"/>
  <c r="C489" i="2"/>
  <c r="D489" i="2"/>
  <c r="E489" i="2"/>
  <c r="F489" i="2"/>
  <c r="G489" i="2"/>
  <c r="H489" i="2"/>
  <c r="I489" i="2"/>
  <c r="J489" i="2"/>
  <c r="K489" i="2"/>
  <c r="L489" i="2"/>
  <c r="M489" i="2"/>
  <c r="N489" i="2"/>
  <c r="O489" i="2"/>
  <c r="B490" i="2"/>
  <c r="C490" i="2"/>
  <c r="D490" i="2"/>
  <c r="E490" i="2"/>
  <c r="F490" i="2"/>
  <c r="G490" i="2"/>
  <c r="H490" i="2"/>
  <c r="I490" i="2"/>
  <c r="J490" i="2"/>
  <c r="K490" i="2"/>
  <c r="L490" i="2"/>
  <c r="M490" i="2"/>
  <c r="N490" i="2"/>
  <c r="O490" i="2"/>
  <c r="B491" i="2"/>
  <c r="C491" i="2"/>
  <c r="D491" i="2"/>
  <c r="E491" i="2"/>
  <c r="F491" i="2"/>
  <c r="G491" i="2"/>
  <c r="H491" i="2"/>
  <c r="I491" i="2"/>
  <c r="J491" i="2"/>
  <c r="K491" i="2"/>
  <c r="L491" i="2"/>
  <c r="M491" i="2"/>
  <c r="N491" i="2"/>
  <c r="O491" i="2"/>
  <c r="B492" i="2"/>
  <c r="C492" i="2"/>
  <c r="D492" i="2"/>
  <c r="E492" i="2"/>
  <c r="F492" i="2"/>
  <c r="G492" i="2"/>
  <c r="H492" i="2"/>
  <c r="I492" i="2"/>
  <c r="J492" i="2"/>
  <c r="K492" i="2"/>
  <c r="L492" i="2"/>
  <c r="M492" i="2"/>
  <c r="N492" i="2"/>
  <c r="O492" i="2"/>
  <c r="B493" i="2"/>
  <c r="C493" i="2"/>
  <c r="D493" i="2"/>
  <c r="D654" i="2" s="1"/>
  <c r="E493" i="2"/>
  <c r="F493" i="2"/>
  <c r="G493" i="2"/>
  <c r="H493" i="2"/>
  <c r="H654" i="2" s="1"/>
  <c r="I493" i="2"/>
  <c r="J493" i="2"/>
  <c r="K493" i="2"/>
  <c r="L493" i="2"/>
  <c r="L654" i="2" s="1"/>
  <c r="M493" i="2"/>
  <c r="N493" i="2"/>
  <c r="O493" i="2"/>
  <c r="B494" i="2"/>
  <c r="C494" i="2"/>
  <c r="D494" i="2"/>
  <c r="E494" i="2"/>
  <c r="F494" i="2"/>
  <c r="G494" i="2"/>
  <c r="H494" i="2"/>
  <c r="I494" i="2"/>
  <c r="J494" i="2"/>
  <c r="K494" i="2"/>
  <c r="L494" i="2"/>
  <c r="M494" i="2"/>
  <c r="N494" i="2"/>
  <c r="O494" i="2"/>
  <c r="B495" i="2"/>
  <c r="C495" i="2"/>
  <c r="D495" i="2"/>
  <c r="E495" i="2"/>
  <c r="F495" i="2"/>
  <c r="G495" i="2"/>
  <c r="H495" i="2"/>
  <c r="I495" i="2"/>
  <c r="J495" i="2"/>
  <c r="K495" i="2"/>
  <c r="L495" i="2"/>
  <c r="M495" i="2"/>
  <c r="N495" i="2"/>
  <c r="O495" i="2"/>
  <c r="B496" i="2"/>
  <c r="C496" i="2"/>
  <c r="D496" i="2"/>
  <c r="E496" i="2"/>
  <c r="F496" i="2"/>
  <c r="G496" i="2"/>
  <c r="H496" i="2"/>
  <c r="I496" i="2"/>
  <c r="J496" i="2"/>
  <c r="K496" i="2"/>
  <c r="L496" i="2"/>
  <c r="M496" i="2"/>
  <c r="N496" i="2"/>
  <c r="O496" i="2"/>
  <c r="B497" i="2"/>
  <c r="C497" i="2"/>
  <c r="D497" i="2"/>
  <c r="E497" i="2"/>
  <c r="F497" i="2"/>
  <c r="G497" i="2"/>
  <c r="H497" i="2"/>
  <c r="I497" i="2"/>
  <c r="J497" i="2"/>
  <c r="K497" i="2"/>
  <c r="L497" i="2"/>
  <c r="M497" i="2"/>
  <c r="N497" i="2"/>
  <c r="O497" i="2"/>
  <c r="B498" i="2"/>
  <c r="C498" i="2"/>
  <c r="D498" i="2"/>
  <c r="E498" i="2"/>
  <c r="F498" i="2"/>
  <c r="G498" i="2"/>
  <c r="H498" i="2"/>
  <c r="I498" i="2"/>
  <c r="J498" i="2"/>
  <c r="K498" i="2"/>
  <c r="L498" i="2"/>
  <c r="M498" i="2"/>
  <c r="N498" i="2"/>
  <c r="O498" i="2"/>
  <c r="B499" i="2"/>
  <c r="C499" i="2"/>
  <c r="D499" i="2"/>
  <c r="E499" i="2"/>
  <c r="F499" i="2"/>
  <c r="G499" i="2"/>
  <c r="H499" i="2"/>
  <c r="I499" i="2"/>
  <c r="J499" i="2"/>
  <c r="K499" i="2"/>
  <c r="L499" i="2"/>
  <c r="M499" i="2"/>
  <c r="N499" i="2"/>
  <c r="O499" i="2"/>
  <c r="B500" i="2"/>
  <c r="C500" i="2"/>
  <c r="D500" i="2"/>
  <c r="E500" i="2"/>
  <c r="F500" i="2"/>
  <c r="G500" i="2"/>
  <c r="H500" i="2"/>
  <c r="I500" i="2"/>
  <c r="J500" i="2"/>
  <c r="K500" i="2"/>
  <c r="L500" i="2"/>
  <c r="M500" i="2"/>
  <c r="N500" i="2"/>
  <c r="O500" i="2"/>
  <c r="B501" i="2"/>
  <c r="C501" i="2"/>
  <c r="D501" i="2"/>
  <c r="E501" i="2"/>
  <c r="F501" i="2"/>
  <c r="G501" i="2"/>
  <c r="H501" i="2"/>
  <c r="I501" i="2"/>
  <c r="J501" i="2"/>
  <c r="K501" i="2"/>
  <c r="L501" i="2"/>
  <c r="M501" i="2"/>
  <c r="N501" i="2"/>
  <c r="O501" i="2"/>
  <c r="B502" i="2"/>
  <c r="C502" i="2"/>
  <c r="D502" i="2"/>
  <c r="E502" i="2"/>
  <c r="F502" i="2"/>
  <c r="G502" i="2"/>
  <c r="H502" i="2"/>
  <c r="I502" i="2"/>
  <c r="J502" i="2"/>
  <c r="K502" i="2"/>
  <c r="L502" i="2"/>
  <c r="M502" i="2"/>
  <c r="N502" i="2"/>
  <c r="O502" i="2"/>
  <c r="B503" i="2"/>
  <c r="C503" i="2"/>
  <c r="D503" i="2"/>
  <c r="E503" i="2"/>
  <c r="F503" i="2"/>
  <c r="G503" i="2"/>
  <c r="H503" i="2"/>
  <c r="I503" i="2"/>
  <c r="J503" i="2"/>
  <c r="K503" i="2"/>
  <c r="L503" i="2"/>
  <c r="M503" i="2"/>
  <c r="N503" i="2"/>
  <c r="O503" i="2"/>
  <c r="B504" i="2"/>
  <c r="C504" i="2"/>
  <c r="D504" i="2"/>
  <c r="E504" i="2"/>
  <c r="F504" i="2"/>
  <c r="G504" i="2"/>
  <c r="H504" i="2"/>
  <c r="I504" i="2"/>
  <c r="J504" i="2"/>
  <c r="K504" i="2"/>
  <c r="L504" i="2"/>
  <c r="M504" i="2"/>
  <c r="N504" i="2"/>
  <c r="O504" i="2"/>
  <c r="B505" i="2"/>
  <c r="C505" i="2"/>
  <c r="D505" i="2"/>
  <c r="E505" i="2"/>
  <c r="F505" i="2"/>
  <c r="G505" i="2"/>
  <c r="H505" i="2"/>
  <c r="I505" i="2"/>
  <c r="J505" i="2"/>
  <c r="K505" i="2"/>
  <c r="L505" i="2"/>
  <c r="M505" i="2"/>
  <c r="N505" i="2"/>
  <c r="O505" i="2"/>
  <c r="B506" i="2"/>
  <c r="B656" i="2" s="1"/>
  <c r="C506" i="2"/>
  <c r="D506" i="2"/>
  <c r="E506" i="2"/>
  <c r="F506" i="2"/>
  <c r="F656" i="2" s="1"/>
  <c r="G506" i="2"/>
  <c r="H506" i="2"/>
  <c r="I506" i="2"/>
  <c r="J506" i="2"/>
  <c r="J656" i="2" s="1"/>
  <c r="K506" i="2"/>
  <c r="L506" i="2"/>
  <c r="M506" i="2"/>
  <c r="N506" i="2"/>
  <c r="N656" i="2" s="1"/>
  <c r="O506" i="2"/>
  <c r="B507" i="2"/>
  <c r="C507" i="2"/>
  <c r="D507" i="2"/>
  <c r="E507" i="2"/>
  <c r="F507" i="2"/>
  <c r="G507" i="2"/>
  <c r="H507" i="2"/>
  <c r="I507" i="2"/>
  <c r="J507" i="2"/>
  <c r="K507" i="2"/>
  <c r="L507" i="2"/>
  <c r="M507" i="2"/>
  <c r="N507" i="2"/>
  <c r="O507" i="2"/>
  <c r="B508" i="2"/>
  <c r="C508" i="2"/>
  <c r="D508" i="2"/>
  <c r="E508" i="2"/>
  <c r="F508" i="2"/>
  <c r="G508" i="2"/>
  <c r="H508" i="2"/>
  <c r="I508" i="2"/>
  <c r="J508" i="2"/>
  <c r="K508" i="2"/>
  <c r="L508" i="2"/>
  <c r="M508" i="2"/>
  <c r="N508" i="2"/>
  <c r="O508" i="2"/>
  <c r="B509" i="2"/>
  <c r="C509" i="2"/>
  <c r="D509" i="2"/>
  <c r="D658" i="2" s="1"/>
  <c r="E509" i="2"/>
  <c r="F509" i="2"/>
  <c r="G509" i="2"/>
  <c r="H509" i="2"/>
  <c r="I509" i="2"/>
  <c r="J509" i="2"/>
  <c r="K509" i="2"/>
  <c r="L509" i="2"/>
  <c r="M509" i="2"/>
  <c r="N509" i="2"/>
  <c r="O509" i="2"/>
  <c r="B510" i="2"/>
  <c r="C510" i="2"/>
  <c r="D510" i="2"/>
  <c r="E510" i="2"/>
  <c r="F510" i="2"/>
  <c r="G510" i="2"/>
  <c r="H510" i="2"/>
  <c r="I510" i="2"/>
  <c r="J510" i="2"/>
  <c r="K510" i="2"/>
  <c r="L510" i="2"/>
  <c r="M510" i="2"/>
  <c r="N510" i="2"/>
  <c r="O510" i="2"/>
  <c r="B511" i="2"/>
  <c r="C511" i="2"/>
  <c r="D511" i="2"/>
  <c r="E511" i="2"/>
  <c r="F511" i="2"/>
  <c r="G511" i="2"/>
  <c r="H511" i="2"/>
  <c r="I511" i="2"/>
  <c r="J511" i="2"/>
  <c r="K511" i="2"/>
  <c r="L511" i="2"/>
  <c r="M511" i="2"/>
  <c r="N511" i="2"/>
  <c r="O511" i="2"/>
  <c r="B512" i="2"/>
  <c r="C512" i="2"/>
  <c r="D512" i="2"/>
  <c r="E512" i="2"/>
  <c r="F512" i="2"/>
  <c r="G512" i="2"/>
  <c r="H512" i="2"/>
  <c r="I512" i="2"/>
  <c r="J512" i="2"/>
  <c r="K512" i="2"/>
  <c r="L512" i="2"/>
  <c r="M512" i="2"/>
  <c r="N512" i="2"/>
  <c r="O512" i="2"/>
  <c r="B513" i="2"/>
  <c r="C513" i="2"/>
  <c r="D513" i="2"/>
  <c r="E513" i="2"/>
  <c r="F513" i="2"/>
  <c r="G513" i="2"/>
  <c r="H513" i="2"/>
  <c r="I513" i="2"/>
  <c r="J513" i="2"/>
  <c r="K513" i="2"/>
  <c r="L513" i="2"/>
  <c r="M513" i="2"/>
  <c r="N513" i="2"/>
  <c r="O513" i="2"/>
  <c r="B514" i="2"/>
  <c r="C514" i="2"/>
  <c r="D514" i="2"/>
  <c r="E514" i="2"/>
  <c r="F514" i="2"/>
  <c r="G514" i="2"/>
  <c r="H514" i="2"/>
  <c r="I514" i="2"/>
  <c r="J514" i="2"/>
  <c r="K514" i="2"/>
  <c r="L514" i="2"/>
  <c r="M514" i="2"/>
  <c r="N514" i="2"/>
  <c r="O514" i="2"/>
  <c r="B515" i="2"/>
  <c r="C515" i="2"/>
  <c r="D515" i="2"/>
  <c r="E515" i="2"/>
  <c r="F515" i="2"/>
  <c r="G515" i="2"/>
  <c r="H515" i="2"/>
  <c r="I515" i="2"/>
  <c r="J515" i="2"/>
  <c r="K515" i="2"/>
  <c r="L515" i="2"/>
  <c r="M515" i="2"/>
  <c r="N515" i="2"/>
  <c r="O515" i="2"/>
  <c r="B516" i="2"/>
  <c r="C516" i="2"/>
  <c r="D516" i="2"/>
  <c r="E516" i="2"/>
  <c r="F516" i="2"/>
  <c r="G516" i="2"/>
  <c r="H516" i="2"/>
  <c r="I516" i="2"/>
  <c r="J516" i="2"/>
  <c r="K516" i="2"/>
  <c r="L516" i="2"/>
  <c r="M516" i="2"/>
  <c r="N516" i="2"/>
  <c r="O516" i="2"/>
  <c r="B517" i="2"/>
  <c r="C517" i="2"/>
  <c r="D517" i="2"/>
  <c r="E517" i="2"/>
  <c r="F517" i="2"/>
  <c r="G517" i="2"/>
  <c r="H517" i="2"/>
  <c r="H658" i="2" s="1"/>
  <c r="I517" i="2"/>
  <c r="J517" i="2"/>
  <c r="K517" i="2"/>
  <c r="L517" i="2"/>
  <c r="M517" i="2"/>
  <c r="N517" i="2"/>
  <c r="O517" i="2"/>
  <c r="B518" i="2"/>
  <c r="C518" i="2"/>
  <c r="D518" i="2"/>
  <c r="E518" i="2"/>
  <c r="F518" i="2"/>
  <c r="G518" i="2"/>
  <c r="H518" i="2"/>
  <c r="I518" i="2"/>
  <c r="J518" i="2"/>
  <c r="K518" i="2"/>
  <c r="L518" i="2"/>
  <c r="M518" i="2"/>
  <c r="N518" i="2"/>
  <c r="O518" i="2"/>
  <c r="B519" i="2"/>
  <c r="C519" i="2"/>
  <c r="D519" i="2"/>
  <c r="E519" i="2"/>
  <c r="F519" i="2"/>
  <c r="G519" i="2"/>
  <c r="H519" i="2"/>
  <c r="I519" i="2"/>
  <c r="J519" i="2"/>
  <c r="K519" i="2"/>
  <c r="L519" i="2"/>
  <c r="M519" i="2"/>
  <c r="N519" i="2"/>
  <c r="O519" i="2"/>
  <c r="B520" i="2"/>
  <c r="C520" i="2"/>
  <c r="D520" i="2"/>
  <c r="E520" i="2"/>
  <c r="F520" i="2"/>
  <c r="G520" i="2"/>
  <c r="H520" i="2"/>
  <c r="I520" i="2"/>
  <c r="J520" i="2"/>
  <c r="K520" i="2"/>
  <c r="L520" i="2"/>
  <c r="M520" i="2"/>
  <c r="N520" i="2"/>
  <c r="O520" i="2"/>
  <c r="B521" i="2"/>
  <c r="C521" i="2"/>
  <c r="D521" i="2"/>
  <c r="E521" i="2"/>
  <c r="F521" i="2"/>
  <c r="G521" i="2"/>
  <c r="H521" i="2"/>
  <c r="I521" i="2"/>
  <c r="J521" i="2"/>
  <c r="K521" i="2"/>
  <c r="L521" i="2"/>
  <c r="M521" i="2"/>
  <c r="N521" i="2"/>
  <c r="O521" i="2"/>
  <c r="B522" i="2"/>
  <c r="C522" i="2"/>
  <c r="D522" i="2"/>
  <c r="E522" i="2"/>
  <c r="F522" i="2"/>
  <c r="G522" i="2"/>
  <c r="H522" i="2"/>
  <c r="I522" i="2"/>
  <c r="J522" i="2"/>
  <c r="K522" i="2"/>
  <c r="L522" i="2"/>
  <c r="M522" i="2"/>
  <c r="N522" i="2"/>
  <c r="O522" i="2"/>
  <c r="B523" i="2"/>
  <c r="C523" i="2"/>
  <c r="D523" i="2"/>
  <c r="E523" i="2"/>
  <c r="F523" i="2"/>
  <c r="G523" i="2"/>
  <c r="H523" i="2"/>
  <c r="I523" i="2"/>
  <c r="J523" i="2"/>
  <c r="K523" i="2"/>
  <c r="L523" i="2"/>
  <c r="M523" i="2"/>
  <c r="N523" i="2"/>
  <c r="O523" i="2"/>
  <c r="B524" i="2"/>
  <c r="C524" i="2"/>
  <c r="D524" i="2"/>
  <c r="E524" i="2"/>
  <c r="F524" i="2"/>
  <c r="G524" i="2"/>
  <c r="H524" i="2"/>
  <c r="I524" i="2"/>
  <c r="J524" i="2"/>
  <c r="K524" i="2"/>
  <c r="L524" i="2"/>
  <c r="M524" i="2"/>
  <c r="N524" i="2"/>
  <c r="O524" i="2"/>
  <c r="B525" i="2"/>
  <c r="C525" i="2"/>
  <c r="D525" i="2"/>
  <c r="E525" i="2"/>
  <c r="F525" i="2"/>
  <c r="G525" i="2"/>
  <c r="H525" i="2"/>
  <c r="I525" i="2"/>
  <c r="J525" i="2"/>
  <c r="K525" i="2"/>
  <c r="L525" i="2"/>
  <c r="M525" i="2"/>
  <c r="N525" i="2"/>
  <c r="O525" i="2"/>
  <c r="B526" i="2"/>
  <c r="C526" i="2"/>
  <c r="D526" i="2"/>
  <c r="E526" i="2"/>
  <c r="F526" i="2"/>
  <c r="G526" i="2"/>
  <c r="H526" i="2"/>
  <c r="I526" i="2"/>
  <c r="J526" i="2"/>
  <c r="K526" i="2"/>
  <c r="L526" i="2"/>
  <c r="M526" i="2"/>
  <c r="N526" i="2"/>
  <c r="O526" i="2"/>
  <c r="B527" i="2"/>
  <c r="C527" i="2"/>
  <c r="D527" i="2"/>
  <c r="E527" i="2"/>
  <c r="F527" i="2"/>
  <c r="G527" i="2"/>
  <c r="H527" i="2"/>
  <c r="I527" i="2"/>
  <c r="J527" i="2"/>
  <c r="K527" i="2"/>
  <c r="L527" i="2"/>
  <c r="L658" i="2" s="1"/>
  <c r="M527" i="2"/>
  <c r="N527" i="2"/>
  <c r="O527" i="2"/>
  <c r="B528" i="2"/>
  <c r="C528" i="2"/>
  <c r="D528" i="2"/>
  <c r="E528" i="2"/>
  <c r="F528" i="2"/>
  <c r="G528" i="2"/>
  <c r="H528" i="2"/>
  <c r="I528" i="2"/>
  <c r="J528" i="2"/>
  <c r="K528" i="2"/>
  <c r="L528" i="2"/>
  <c r="M528" i="2"/>
  <c r="N528" i="2"/>
  <c r="O528" i="2"/>
  <c r="B529" i="2"/>
  <c r="C529" i="2"/>
  <c r="D529" i="2"/>
  <c r="E529" i="2"/>
  <c r="F529" i="2"/>
  <c r="G529" i="2"/>
  <c r="H529" i="2"/>
  <c r="I529" i="2"/>
  <c r="J529" i="2"/>
  <c r="K529" i="2"/>
  <c r="L529" i="2"/>
  <c r="M529" i="2"/>
  <c r="N529" i="2"/>
  <c r="O529" i="2"/>
  <c r="B530" i="2"/>
  <c r="C530" i="2"/>
  <c r="D530" i="2"/>
  <c r="E530" i="2"/>
  <c r="F530" i="2"/>
  <c r="G530" i="2"/>
  <c r="H530" i="2"/>
  <c r="I530" i="2"/>
  <c r="J530" i="2"/>
  <c r="K530" i="2"/>
  <c r="L530" i="2"/>
  <c r="M530" i="2"/>
  <c r="N530" i="2"/>
  <c r="O530" i="2"/>
  <c r="B531" i="2"/>
  <c r="C531" i="2"/>
  <c r="D531" i="2"/>
  <c r="E531" i="2"/>
  <c r="F531" i="2"/>
  <c r="G531" i="2"/>
  <c r="H531" i="2"/>
  <c r="I531" i="2"/>
  <c r="J531" i="2"/>
  <c r="K531" i="2"/>
  <c r="L531" i="2"/>
  <c r="M531" i="2"/>
  <c r="N531" i="2"/>
  <c r="O531" i="2"/>
  <c r="B532" i="2"/>
  <c r="C532" i="2"/>
  <c r="D532" i="2"/>
  <c r="E532" i="2"/>
  <c r="F532" i="2"/>
  <c r="G532" i="2"/>
  <c r="H532" i="2"/>
  <c r="I532" i="2"/>
  <c r="J532" i="2"/>
  <c r="K532" i="2"/>
  <c r="L532" i="2"/>
  <c r="M532" i="2"/>
  <c r="N532" i="2"/>
  <c r="O532" i="2"/>
  <c r="B533" i="2"/>
  <c r="C533" i="2"/>
  <c r="D533" i="2"/>
  <c r="E533" i="2"/>
  <c r="F533" i="2"/>
  <c r="G533" i="2"/>
  <c r="H533" i="2"/>
  <c r="I533" i="2"/>
  <c r="J533" i="2"/>
  <c r="K533" i="2"/>
  <c r="L533" i="2"/>
  <c r="M533" i="2"/>
  <c r="N533" i="2"/>
  <c r="O533" i="2"/>
  <c r="B534" i="2"/>
  <c r="C534" i="2"/>
  <c r="D534" i="2"/>
  <c r="E534" i="2"/>
  <c r="F534" i="2"/>
  <c r="G534" i="2"/>
  <c r="H534" i="2"/>
  <c r="I534" i="2"/>
  <c r="J534" i="2"/>
  <c r="K534" i="2"/>
  <c r="L534" i="2"/>
  <c r="M534" i="2"/>
  <c r="N534" i="2"/>
  <c r="O534" i="2"/>
  <c r="B535" i="2"/>
  <c r="C535" i="2"/>
  <c r="D535" i="2"/>
  <c r="E535" i="2"/>
  <c r="F535" i="2"/>
  <c r="G535" i="2"/>
  <c r="H535" i="2"/>
  <c r="I535" i="2"/>
  <c r="J535" i="2"/>
  <c r="K535" i="2"/>
  <c r="L535" i="2"/>
  <c r="M535" i="2"/>
  <c r="N535" i="2"/>
  <c r="O535" i="2"/>
  <c r="B536" i="2"/>
  <c r="C536" i="2"/>
  <c r="D536" i="2"/>
  <c r="E536" i="2"/>
  <c r="F536" i="2"/>
  <c r="G536" i="2"/>
  <c r="H536" i="2"/>
  <c r="I536" i="2"/>
  <c r="J536" i="2"/>
  <c r="K536" i="2"/>
  <c r="L536" i="2"/>
  <c r="M536" i="2"/>
  <c r="N536" i="2"/>
  <c r="O536" i="2"/>
  <c r="B537" i="2"/>
  <c r="C537" i="2"/>
  <c r="D537" i="2"/>
  <c r="E537" i="2"/>
  <c r="F537" i="2"/>
  <c r="G537" i="2"/>
  <c r="H537" i="2"/>
  <c r="I537" i="2"/>
  <c r="J537" i="2"/>
  <c r="K537" i="2"/>
  <c r="L537" i="2"/>
  <c r="M537" i="2"/>
  <c r="N537" i="2"/>
  <c r="O537" i="2"/>
  <c r="B538" i="2"/>
  <c r="C538" i="2"/>
  <c r="D538" i="2"/>
  <c r="E538" i="2"/>
  <c r="F538" i="2"/>
  <c r="G538" i="2"/>
  <c r="H538" i="2"/>
  <c r="I538" i="2"/>
  <c r="J538" i="2"/>
  <c r="K538" i="2"/>
  <c r="L538" i="2"/>
  <c r="M538" i="2"/>
  <c r="N538" i="2"/>
  <c r="O538" i="2"/>
  <c r="B539" i="2"/>
  <c r="C539" i="2"/>
  <c r="D539" i="2"/>
  <c r="E539" i="2"/>
  <c r="F539" i="2"/>
  <c r="G539" i="2"/>
  <c r="H539" i="2"/>
  <c r="I539" i="2"/>
  <c r="J539" i="2"/>
  <c r="K539" i="2"/>
  <c r="L539" i="2"/>
  <c r="M539" i="2"/>
  <c r="N539" i="2"/>
  <c r="O539" i="2"/>
  <c r="B540" i="2"/>
  <c r="C540" i="2"/>
  <c r="D540" i="2"/>
  <c r="E540" i="2"/>
  <c r="F540" i="2"/>
  <c r="G540" i="2"/>
  <c r="H540" i="2"/>
  <c r="I540" i="2"/>
  <c r="J540" i="2"/>
  <c r="K540" i="2"/>
  <c r="L540" i="2"/>
  <c r="M540" i="2"/>
  <c r="N540" i="2"/>
  <c r="O540" i="2"/>
  <c r="B541" i="2"/>
  <c r="C541" i="2"/>
  <c r="D541" i="2"/>
  <c r="E541" i="2"/>
  <c r="F541" i="2"/>
  <c r="G541" i="2"/>
  <c r="H541" i="2"/>
  <c r="I541" i="2"/>
  <c r="J541" i="2"/>
  <c r="K541" i="2"/>
  <c r="L541" i="2"/>
  <c r="M541" i="2"/>
  <c r="N541" i="2"/>
  <c r="O541" i="2"/>
  <c r="B542" i="2"/>
  <c r="C542" i="2"/>
  <c r="D542" i="2"/>
  <c r="E542" i="2"/>
  <c r="F542" i="2"/>
  <c r="G542" i="2"/>
  <c r="H542" i="2"/>
  <c r="I542" i="2"/>
  <c r="J542" i="2"/>
  <c r="K542" i="2"/>
  <c r="L542" i="2"/>
  <c r="M542" i="2"/>
  <c r="N542" i="2"/>
  <c r="O542" i="2"/>
  <c r="B543" i="2"/>
  <c r="C543" i="2"/>
  <c r="D543" i="2"/>
  <c r="E543" i="2"/>
  <c r="F543" i="2"/>
  <c r="G543" i="2"/>
  <c r="H543" i="2"/>
  <c r="I543" i="2"/>
  <c r="J543" i="2"/>
  <c r="K543" i="2"/>
  <c r="L543" i="2"/>
  <c r="M543" i="2"/>
  <c r="N543" i="2"/>
  <c r="O543" i="2"/>
  <c r="B544" i="2"/>
  <c r="C544" i="2"/>
  <c r="D544" i="2"/>
  <c r="E544" i="2"/>
  <c r="F544" i="2"/>
  <c r="G544" i="2"/>
  <c r="H544" i="2"/>
  <c r="I544" i="2"/>
  <c r="J544" i="2"/>
  <c r="K544" i="2"/>
  <c r="L544" i="2"/>
  <c r="M544" i="2"/>
  <c r="N544" i="2"/>
  <c r="O544" i="2"/>
  <c r="B545" i="2"/>
  <c r="C545" i="2"/>
  <c r="D545" i="2"/>
  <c r="E545" i="2"/>
  <c r="F545" i="2"/>
  <c r="G545" i="2"/>
  <c r="H545" i="2"/>
  <c r="I545" i="2"/>
  <c r="J545" i="2"/>
  <c r="K545" i="2"/>
  <c r="L545" i="2"/>
  <c r="M545" i="2"/>
  <c r="N545" i="2"/>
  <c r="O545" i="2"/>
  <c r="B546" i="2"/>
  <c r="C546" i="2"/>
  <c r="D546" i="2"/>
  <c r="E546" i="2"/>
  <c r="F546" i="2"/>
  <c r="G546" i="2"/>
  <c r="H546" i="2"/>
  <c r="I546" i="2"/>
  <c r="J546" i="2"/>
  <c r="K546" i="2"/>
  <c r="L546" i="2"/>
  <c r="M546" i="2"/>
  <c r="N546" i="2"/>
  <c r="O546" i="2"/>
  <c r="B547" i="2"/>
  <c r="C547" i="2"/>
  <c r="D547" i="2"/>
  <c r="E547" i="2"/>
  <c r="F547" i="2"/>
  <c r="G547" i="2"/>
  <c r="H547" i="2"/>
  <c r="I547" i="2"/>
  <c r="J547" i="2"/>
  <c r="K547" i="2"/>
  <c r="L547" i="2"/>
  <c r="M547" i="2"/>
  <c r="N547" i="2"/>
  <c r="O547" i="2"/>
  <c r="B548" i="2"/>
  <c r="C548" i="2"/>
  <c r="D548" i="2"/>
  <c r="E548" i="2"/>
  <c r="F548" i="2"/>
  <c r="G548" i="2"/>
  <c r="H548" i="2"/>
  <c r="I548" i="2"/>
  <c r="J548" i="2"/>
  <c r="K548" i="2"/>
  <c r="L548" i="2"/>
  <c r="M548" i="2"/>
  <c r="N548" i="2"/>
  <c r="O548" i="2"/>
  <c r="B549" i="2"/>
  <c r="C549" i="2"/>
  <c r="D549" i="2"/>
  <c r="E549" i="2"/>
  <c r="F549" i="2"/>
  <c r="G549" i="2"/>
  <c r="H549" i="2"/>
  <c r="I549" i="2"/>
  <c r="J549" i="2"/>
  <c r="K549" i="2"/>
  <c r="L549" i="2"/>
  <c r="M549" i="2"/>
  <c r="N549" i="2"/>
  <c r="O549" i="2"/>
  <c r="B550" i="2"/>
  <c r="B659" i="2" s="1"/>
  <c r="C550" i="2"/>
  <c r="D550" i="2"/>
  <c r="E550" i="2"/>
  <c r="F550" i="2"/>
  <c r="F659" i="2" s="1"/>
  <c r="G550" i="2"/>
  <c r="H550" i="2"/>
  <c r="I550" i="2"/>
  <c r="J550" i="2"/>
  <c r="K550" i="2"/>
  <c r="L550" i="2"/>
  <c r="M550" i="2"/>
  <c r="N550" i="2"/>
  <c r="O550" i="2"/>
  <c r="B551" i="2"/>
  <c r="C551" i="2"/>
  <c r="D551" i="2"/>
  <c r="E551" i="2"/>
  <c r="F551" i="2"/>
  <c r="G551" i="2"/>
  <c r="H551" i="2"/>
  <c r="I551" i="2"/>
  <c r="J551" i="2"/>
  <c r="K551" i="2"/>
  <c r="L551" i="2"/>
  <c r="M551" i="2"/>
  <c r="N551" i="2"/>
  <c r="O551" i="2"/>
  <c r="B552" i="2"/>
  <c r="C552" i="2"/>
  <c r="D552" i="2"/>
  <c r="E552" i="2"/>
  <c r="F552" i="2"/>
  <c r="G552" i="2"/>
  <c r="H552" i="2"/>
  <c r="I552" i="2"/>
  <c r="J552" i="2"/>
  <c r="J659" i="2" s="1"/>
  <c r="K552" i="2"/>
  <c r="L552" i="2"/>
  <c r="M552" i="2"/>
  <c r="N552" i="2"/>
  <c r="N659" i="2" s="1"/>
  <c r="O552" i="2"/>
  <c r="B553" i="2"/>
  <c r="C553" i="2"/>
  <c r="D553" i="2"/>
  <c r="E553" i="2"/>
  <c r="F553" i="2"/>
  <c r="G553" i="2"/>
  <c r="H553" i="2"/>
  <c r="I553" i="2"/>
  <c r="J553" i="2"/>
  <c r="K553" i="2"/>
  <c r="L553" i="2"/>
  <c r="M553" i="2"/>
  <c r="N553" i="2"/>
  <c r="O553" i="2"/>
  <c r="B554" i="2"/>
  <c r="B660" i="2" s="1"/>
  <c r="C554" i="2"/>
  <c r="D554" i="2"/>
  <c r="E554" i="2"/>
  <c r="F554" i="2"/>
  <c r="F660" i="2" s="1"/>
  <c r="G554" i="2"/>
  <c r="H554" i="2"/>
  <c r="I554" i="2"/>
  <c r="J554" i="2"/>
  <c r="J660" i="2" s="1"/>
  <c r="K554" i="2"/>
  <c r="L554" i="2"/>
  <c r="M554" i="2"/>
  <c r="N554" i="2"/>
  <c r="N660" i="2" s="1"/>
  <c r="O554" i="2"/>
  <c r="B555" i="2"/>
  <c r="C555" i="2"/>
  <c r="D555" i="2"/>
  <c r="E555" i="2"/>
  <c r="F555" i="2"/>
  <c r="G555" i="2"/>
  <c r="H555" i="2"/>
  <c r="I555" i="2"/>
  <c r="J555" i="2"/>
  <c r="K555" i="2"/>
  <c r="L555" i="2"/>
  <c r="M555" i="2"/>
  <c r="N555" i="2"/>
  <c r="O555" i="2"/>
  <c r="B556" i="2"/>
  <c r="C556" i="2"/>
  <c r="D556" i="2"/>
  <c r="E556" i="2"/>
  <c r="F556" i="2"/>
  <c r="G556" i="2"/>
  <c r="H556" i="2"/>
  <c r="I556" i="2"/>
  <c r="J556" i="2"/>
  <c r="K556" i="2"/>
  <c r="L556" i="2"/>
  <c r="M556" i="2"/>
  <c r="N556" i="2"/>
  <c r="O556" i="2"/>
  <c r="B557" i="2"/>
  <c r="C557" i="2"/>
  <c r="D557" i="2"/>
  <c r="E557" i="2"/>
  <c r="F557" i="2"/>
  <c r="G557" i="2"/>
  <c r="H557" i="2"/>
  <c r="I557" i="2"/>
  <c r="J557" i="2"/>
  <c r="K557" i="2"/>
  <c r="L557" i="2"/>
  <c r="M557" i="2"/>
  <c r="N557" i="2"/>
  <c r="O557" i="2"/>
  <c r="B558" i="2"/>
  <c r="C558" i="2"/>
  <c r="D558" i="2"/>
  <c r="E558" i="2"/>
  <c r="F558" i="2"/>
  <c r="G558" i="2"/>
  <c r="H558" i="2"/>
  <c r="I558" i="2"/>
  <c r="J558" i="2"/>
  <c r="K558" i="2"/>
  <c r="L558" i="2"/>
  <c r="M558" i="2"/>
  <c r="N558" i="2"/>
  <c r="O558" i="2"/>
  <c r="B559" i="2"/>
  <c r="C559" i="2"/>
  <c r="D559" i="2"/>
  <c r="E559" i="2"/>
  <c r="F559" i="2"/>
  <c r="G559" i="2"/>
  <c r="H559" i="2"/>
  <c r="I559" i="2"/>
  <c r="J559" i="2"/>
  <c r="K559" i="2"/>
  <c r="L559" i="2"/>
  <c r="M559" i="2"/>
  <c r="N559" i="2"/>
  <c r="O559" i="2"/>
  <c r="B560" i="2"/>
  <c r="C560" i="2"/>
  <c r="D560" i="2"/>
  <c r="E560" i="2"/>
  <c r="F560" i="2"/>
  <c r="G560" i="2"/>
  <c r="H560" i="2"/>
  <c r="I560" i="2"/>
  <c r="J560" i="2"/>
  <c r="K560" i="2"/>
  <c r="L560" i="2"/>
  <c r="M560" i="2"/>
  <c r="N560" i="2"/>
  <c r="O560" i="2"/>
  <c r="B561" i="2"/>
  <c r="C561" i="2"/>
  <c r="D561" i="2"/>
  <c r="E561" i="2"/>
  <c r="F561" i="2"/>
  <c r="G561" i="2"/>
  <c r="H561" i="2"/>
  <c r="I561" i="2"/>
  <c r="J561" i="2"/>
  <c r="K561" i="2"/>
  <c r="L561" i="2"/>
  <c r="M561" i="2"/>
  <c r="N561" i="2"/>
  <c r="O561" i="2"/>
  <c r="B562" i="2"/>
  <c r="C562" i="2"/>
  <c r="D562" i="2"/>
  <c r="E562" i="2"/>
  <c r="F562" i="2"/>
  <c r="G562" i="2"/>
  <c r="H562" i="2"/>
  <c r="I562" i="2"/>
  <c r="J562" i="2"/>
  <c r="K562" i="2"/>
  <c r="L562" i="2"/>
  <c r="M562" i="2"/>
  <c r="N562" i="2"/>
  <c r="O562" i="2"/>
  <c r="B563" i="2"/>
  <c r="C563" i="2"/>
  <c r="D563" i="2"/>
  <c r="E563" i="2"/>
  <c r="F563" i="2"/>
  <c r="G563" i="2"/>
  <c r="H563" i="2"/>
  <c r="I563" i="2"/>
  <c r="J563" i="2"/>
  <c r="K563" i="2"/>
  <c r="L563" i="2"/>
  <c r="M563" i="2"/>
  <c r="N563" i="2"/>
  <c r="O563" i="2"/>
  <c r="B564" i="2"/>
  <c r="C564" i="2"/>
  <c r="D564" i="2"/>
  <c r="E564" i="2"/>
  <c r="F564" i="2"/>
  <c r="G564" i="2"/>
  <c r="H564" i="2"/>
  <c r="I564" i="2"/>
  <c r="J564" i="2"/>
  <c r="K564" i="2"/>
  <c r="L564" i="2"/>
  <c r="M564" i="2"/>
  <c r="N564" i="2"/>
  <c r="O564" i="2"/>
  <c r="B565" i="2"/>
  <c r="C565" i="2"/>
  <c r="D565" i="2"/>
  <c r="E565" i="2"/>
  <c r="F565" i="2"/>
  <c r="G565" i="2"/>
  <c r="H565" i="2"/>
  <c r="I565" i="2"/>
  <c r="J565" i="2"/>
  <c r="K565" i="2"/>
  <c r="L565" i="2"/>
  <c r="M565" i="2"/>
  <c r="N565" i="2"/>
  <c r="O565" i="2"/>
  <c r="B566" i="2"/>
  <c r="C566" i="2"/>
  <c r="D566" i="2"/>
  <c r="E566" i="2"/>
  <c r="F566" i="2"/>
  <c r="G566" i="2"/>
  <c r="H566" i="2"/>
  <c r="I566" i="2"/>
  <c r="J566" i="2"/>
  <c r="K566" i="2"/>
  <c r="L566" i="2"/>
  <c r="M566" i="2"/>
  <c r="N566" i="2"/>
  <c r="O566" i="2"/>
  <c r="B567" i="2"/>
  <c r="C567" i="2"/>
  <c r="D567" i="2"/>
  <c r="D661" i="2" s="1"/>
  <c r="E567" i="2"/>
  <c r="F567" i="2"/>
  <c r="G567" i="2"/>
  <c r="H567" i="2"/>
  <c r="H661" i="2" s="1"/>
  <c r="I567" i="2"/>
  <c r="J567" i="2"/>
  <c r="K567" i="2"/>
  <c r="L567" i="2"/>
  <c r="L661" i="2" s="1"/>
  <c r="M567" i="2"/>
  <c r="N567" i="2"/>
  <c r="O567" i="2"/>
  <c r="B568" i="2"/>
  <c r="C568" i="2"/>
  <c r="D568" i="2"/>
  <c r="E568" i="2"/>
  <c r="F568" i="2"/>
  <c r="G568" i="2"/>
  <c r="H568" i="2"/>
  <c r="I568" i="2"/>
  <c r="J568" i="2"/>
  <c r="K568" i="2"/>
  <c r="L568" i="2"/>
  <c r="M568" i="2"/>
  <c r="N568" i="2"/>
  <c r="O568" i="2"/>
  <c r="B569" i="2"/>
  <c r="C569" i="2"/>
  <c r="D569" i="2"/>
  <c r="E569" i="2"/>
  <c r="F569" i="2"/>
  <c r="G569" i="2"/>
  <c r="H569" i="2"/>
  <c r="I569" i="2"/>
  <c r="J569" i="2"/>
  <c r="K569" i="2"/>
  <c r="L569" i="2"/>
  <c r="M569" i="2"/>
  <c r="N569" i="2"/>
  <c r="O569" i="2"/>
  <c r="B570" i="2"/>
  <c r="C570" i="2"/>
  <c r="D570" i="2"/>
  <c r="E570" i="2"/>
  <c r="F570" i="2"/>
  <c r="G570" i="2"/>
  <c r="H570" i="2"/>
  <c r="I570" i="2"/>
  <c r="J570" i="2"/>
  <c r="K570" i="2"/>
  <c r="L570" i="2"/>
  <c r="M570" i="2"/>
  <c r="N570" i="2"/>
  <c r="O570" i="2"/>
  <c r="B571" i="2"/>
  <c r="C571" i="2"/>
  <c r="D571" i="2"/>
  <c r="E571" i="2"/>
  <c r="F571" i="2"/>
  <c r="G571" i="2"/>
  <c r="H571" i="2"/>
  <c r="I571" i="2"/>
  <c r="J571" i="2"/>
  <c r="K571" i="2"/>
  <c r="L571" i="2"/>
  <c r="M571" i="2"/>
  <c r="N571" i="2"/>
  <c r="O571" i="2"/>
  <c r="B572" i="2"/>
  <c r="C572" i="2"/>
  <c r="D572" i="2"/>
  <c r="E572" i="2"/>
  <c r="F572" i="2"/>
  <c r="G572" i="2"/>
  <c r="H572" i="2"/>
  <c r="I572" i="2"/>
  <c r="J572" i="2"/>
  <c r="K572" i="2"/>
  <c r="L572" i="2"/>
  <c r="M572" i="2"/>
  <c r="N572" i="2"/>
  <c r="O572" i="2"/>
  <c r="B573" i="2"/>
  <c r="C573" i="2"/>
  <c r="D573" i="2"/>
  <c r="E573" i="2"/>
  <c r="F573" i="2"/>
  <c r="G573" i="2"/>
  <c r="H573" i="2"/>
  <c r="I573" i="2"/>
  <c r="J573" i="2"/>
  <c r="K573" i="2"/>
  <c r="L573" i="2"/>
  <c r="M573" i="2"/>
  <c r="N573" i="2"/>
  <c r="O573" i="2"/>
  <c r="B574" i="2"/>
  <c r="C574" i="2"/>
  <c r="D574" i="2"/>
  <c r="E574" i="2"/>
  <c r="F574" i="2"/>
  <c r="G574" i="2"/>
  <c r="H574" i="2"/>
  <c r="I574" i="2"/>
  <c r="J574" i="2"/>
  <c r="K574" i="2"/>
  <c r="L574" i="2"/>
  <c r="M574" i="2"/>
  <c r="N574" i="2"/>
  <c r="O574" i="2"/>
  <c r="B575" i="2"/>
  <c r="C575" i="2"/>
  <c r="D575" i="2"/>
  <c r="E575" i="2"/>
  <c r="F575" i="2"/>
  <c r="G575" i="2"/>
  <c r="H575" i="2"/>
  <c r="I575" i="2"/>
  <c r="J575" i="2"/>
  <c r="K575" i="2"/>
  <c r="L575" i="2"/>
  <c r="M575" i="2"/>
  <c r="N575" i="2"/>
  <c r="O575" i="2"/>
  <c r="B576" i="2"/>
  <c r="C576" i="2"/>
  <c r="D576" i="2"/>
  <c r="E576" i="2"/>
  <c r="F576" i="2"/>
  <c r="G576" i="2"/>
  <c r="H576" i="2"/>
  <c r="I576" i="2"/>
  <c r="J576" i="2"/>
  <c r="K576" i="2"/>
  <c r="L576" i="2"/>
  <c r="M576" i="2"/>
  <c r="N576" i="2"/>
  <c r="O576" i="2"/>
  <c r="B577" i="2"/>
  <c r="C577" i="2"/>
  <c r="D577" i="2"/>
  <c r="E577" i="2"/>
  <c r="F577" i="2"/>
  <c r="G577" i="2"/>
  <c r="H577" i="2"/>
  <c r="I577" i="2"/>
  <c r="J577" i="2"/>
  <c r="K577" i="2"/>
  <c r="L577" i="2"/>
  <c r="M577" i="2"/>
  <c r="N577" i="2"/>
  <c r="O577" i="2"/>
  <c r="B578" i="2"/>
  <c r="C578" i="2"/>
  <c r="D578" i="2"/>
  <c r="E578" i="2"/>
  <c r="F578" i="2"/>
  <c r="G578" i="2"/>
  <c r="H578" i="2"/>
  <c r="I578" i="2"/>
  <c r="J578" i="2"/>
  <c r="K578" i="2"/>
  <c r="L578" i="2"/>
  <c r="M578" i="2"/>
  <c r="N578" i="2"/>
  <c r="O578" i="2"/>
  <c r="B579" i="2"/>
  <c r="C579" i="2"/>
  <c r="D579" i="2"/>
  <c r="D662" i="2" s="1"/>
  <c r="E579" i="2"/>
  <c r="F579" i="2"/>
  <c r="G579" i="2"/>
  <c r="H579" i="2"/>
  <c r="H662" i="2" s="1"/>
  <c r="I579" i="2"/>
  <c r="J579" i="2"/>
  <c r="K579" i="2"/>
  <c r="L579" i="2"/>
  <c r="L662" i="2" s="1"/>
  <c r="M579" i="2"/>
  <c r="N579" i="2"/>
  <c r="O579" i="2"/>
  <c r="B580" i="2"/>
  <c r="C580" i="2"/>
  <c r="D580" i="2"/>
  <c r="E580" i="2"/>
  <c r="F580" i="2"/>
  <c r="G580" i="2"/>
  <c r="H580" i="2"/>
  <c r="I580" i="2"/>
  <c r="J580" i="2"/>
  <c r="K580" i="2"/>
  <c r="L580" i="2"/>
  <c r="M580" i="2"/>
  <c r="N580" i="2"/>
  <c r="O580" i="2"/>
  <c r="B581" i="2"/>
  <c r="C581" i="2"/>
  <c r="D581" i="2"/>
  <c r="E581" i="2"/>
  <c r="F581" i="2"/>
  <c r="G581" i="2"/>
  <c r="H581" i="2"/>
  <c r="I581" i="2"/>
  <c r="J581" i="2"/>
  <c r="K581" i="2"/>
  <c r="L581" i="2"/>
  <c r="M581" i="2"/>
  <c r="N581" i="2"/>
  <c r="O581" i="2"/>
  <c r="B582" i="2"/>
  <c r="C582" i="2"/>
  <c r="D582" i="2"/>
  <c r="E582" i="2"/>
  <c r="F582" i="2"/>
  <c r="G582" i="2"/>
  <c r="H582" i="2"/>
  <c r="I582" i="2"/>
  <c r="J582" i="2"/>
  <c r="K582" i="2"/>
  <c r="L582" i="2"/>
  <c r="M582" i="2"/>
  <c r="N582" i="2"/>
  <c r="O582" i="2"/>
  <c r="B583" i="2"/>
  <c r="C583" i="2"/>
  <c r="D583" i="2"/>
  <c r="E583" i="2"/>
  <c r="F583" i="2"/>
  <c r="G583" i="2"/>
  <c r="H583" i="2"/>
  <c r="I583" i="2"/>
  <c r="J583" i="2"/>
  <c r="K583" i="2"/>
  <c r="L583" i="2"/>
  <c r="M583" i="2"/>
  <c r="N583" i="2"/>
  <c r="O583" i="2"/>
  <c r="B584" i="2"/>
  <c r="C584" i="2"/>
  <c r="D584" i="2"/>
  <c r="E584" i="2"/>
  <c r="F584" i="2"/>
  <c r="G584" i="2"/>
  <c r="H584" i="2"/>
  <c r="I584" i="2"/>
  <c r="J584" i="2"/>
  <c r="K584" i="2"/>
  <c r="L584" i="2"/>
  <c r="M584" i="2"/>
  <c r="N584" i="2"/>
  <c r="O584" i="2"/>
  <c r="B585" i="2"/>
  <c r="C585" i="2"/>
  <c r="D585" i="2"/>
  <c r="E585" i="2"/>
  <c r="F585" i="2"/>
  <c r="G585" i="2"/>
  <c r="H585" i="2"/>
  <c r="I585" i="2"/>
  <c r="J585" i="2"/>
  <c r="K585" i="2"/>
  <c r="L585" i="2"/>
  <c r="M585" i="2"/>
  <c r="N585" i="2"/>
  <c r="O585" i="2"/>
  <c r="B586" i="2"/>
  <c r="C586" i="2"/>
  <c r="D586" i="2"/>
  <c r="E586" i="2"/>
  <c r="F586" i="2"/>
  <c r="G586" i="2"/>
  <c r="H586" i="2"/>
  <c r="I586" i="2"/>
  <c r="J586" i="2"/>
  <c r="K586" i="2"/>
  <c r="L586" i="2"/>
  <c r="M586" i="2"/>
  <c r="N586" i="2"/>
  <c r="O586" i="2"/>
  <c r="B587" i="2"/>
  <c r="C587" i="2"/>
  <c r="D587" i="2"/>
  <c r="E587" i="2"/>
  <c r="F587" i="2"/>
  <c r="G587" i="2"/>
  <c r="H587" i="2"/>
  <c r="I587" i="2"/>
  <c r="J587" i="2"/>
  <c r="K587" i="2"/>
  <c r="L587" i="2"/>
  <c r="M587" i="2"/>
  <c r="N587" i="2"/>
  <c r="O587" i="2"/>
  <c r="B588" i="2"/>
  <c r="C588" i="2"/>
  <c r="D588" i="2"/>
  <c r="E588" i="2"/>
  <c r="F588" i="2"/>
  <c r="G588" i="2"/>
  <c r="H588" i="2"/>
  <c r="I588" i="2"/>
  <c r="J588" i="2"/>
  <c r="K588" i="2"/>
  <c r="L588" i="2"/>
  <c r="M588" i="2"/>
  <c r="N588" i="2"/>
  <c r="O588" i="2"/>
  <c r="B589" i="2"/>
  <c r="C589" i="2"/>
  <c r="D589" i="2"/>
  <c r="E589" i="2"/>
  <c r="F589" i="2"/>
  <c r="G589" i="2"/>
  <c r="H589" i="2"/>
  <c r="I589" i="2"/>
  <c r="J589" i="2"/>
  <c r="K589" i="2"/>
  <c r="L589" i="2"/>
  <c r="M589" i="2"/>
  <c r="N589" i="2"/>
  <c r="O589" i="2"/>
  <c r="B590" i="2"/>
  <c r="B663" i="2" s="1"/>
  <c r="C590" i="2"/>
  <c r="D590" i="2"/>
  <c r="E590" i="2"/>
  <c r="F590" i="2"/>
  <c r="F663" i="2" s="1"/>
  <c r="G590" i="2"/>
  <c r="H590" i="2"/>
  <c r="I590" i="2"/>
  <c r="J590" i="2"/>
  <c r="J663" i="2" s="1"/>
  <c r="K590" i="2"/>
  <c r="L590" i="2"/>
  <c r="M590" i="2"/>
  <c r="N590" i="2"/>
  <c r="N663" i="2" s="1"/>
  <c r="O590" i="2"/>
  <c r="B591" i="2"/>
  <c r="C591" i="2"/>
  <c r="D591" i="2"/>
  <c r="E591" i="2"/>
  <c r="F591" i="2"/>
  <c r="G591" i="2"/>
  <c r="H591" i="2"/>
  <c r="I591" i="2"/>
  <c r="J591" i="2"/>
  <c r="K591" i="2"/>
  <c r="L591" i="2"/>
  <c r="M591" i="2"/>
  <c r="N591" i="2"/>
  <c r="O591" i="2"/>
  <c r="B592" i="2"/>
  <c r="C592" i="2"/>
  <c r="D592" i="2"/>
  <c r="E592" i="2"/>
  <c r="F592" i="2"/>
  <c r="G592" i="2"/>
  <c r="H592" i="2"/>
  <c r="I592" i="2"/>
  <c r="J592" i="2"/>
  <c r="K592" i="2"/>
  <c r="L592" i="2"/>
  <c r="M592" i="2"/>
  <c r="N592" i="2"/>
  <c r="O592" i="2"/>
  <c r="B593" i="2"/>
  <c r="C593" i="2"/>
  <c r="D593" i="2"/>
  <c r="E593" i="2"/>
  <c r="F593" i="2"/>
  <c r="G593" i="2"/>
  <c r="H593" i="2"/>
  <c r="I593" i="2"/>
  <c r="J593" i="2"/>
  <c r="K593" i="2"/>
  <c r="L593" i="2"/>
  <c r="M593" i="2"/>
  <c r="N593" i="2"/>
  <c r="O593" i="2"/>
  <c r="B594" i="2"/>
  <c r="C594" i="2"/>
  <c r="D594" i="2"/>
  <c r="E594" i="2"/>
  <c r="F594" i="2"/>
  <c r="G594" i="2"/>
  <c r="H594" i="2"/>
  <c r="I594" i="2"/>
  <c r="J594" i="2"/>
  <c r="K594" i="2"/>
  <c r="L594" i="2"/>
  <c r="M594" i="2"/>
  <c r="N594" i="2"/>
  <c r="O594" i="2"/>
  <c r="B595" i="2"/>
  <c r="C595" i="2"/>
  <c r="D595" i="2"/>
  <c r="E595" i="2"/>
  <c r="F595" i="2"/>
  <c r="G595" i="2"/>
  <c r="H595" i="2"/>
  <c r="I595" i="2"/>
  <c r="J595" i="2"/>
  <c r="K595" i="2"/>
  <c r="L595" i="2"/>
  <c r="M595" i="2"/>
  <c r="N595" i="2"/>
  <c r="O595" i="2"/>
  <c r="B596" i="2"/>
  <c r="C596" i="2"/>
  <c r="D596" i="2"/>
  <c r="E596" i="2"/>
  <c r="F596" i="2"/>
  <c r="G596" i="2"/>
  <c r="H596" i="2"/>
  <c r="I596" i="2"/>
  <c r="J596" i="2"/>
  <c r="K596" i="2"/>
  <c r="L596" i="2"/>
  <c r="M596" i="2"/>
  <c r="N596" i="2"/>
  <c r="O596" i="2"/>
  <c r="B597" i="2"/>
  <c r="C597" i="2"/>
  <c r="D597" i="2"/>
  <c r="E597" i="2"/>
  <c r="F597" i="2"/>
  <c r="G597" i="2"/>
  <c r="H597" i="2"/>
  <c r="I597" i="2"/>
  <c r="J597" i="2"/>
  <c r="K597" i="2"/>
  <c r="L597" i="2"/>
  <c r="M597" i="2"/>
  <c r="N597" i="2"/>
  <c r="O597" i="2"/>
  <c r="B598" i="2"/>
  <c r="C598" i="2"/>
  <c r="D598" i="2"/>
  <c r="E598" i="2"/>
  <c r="F598" i="2"/>
  <c r="G598" i="2"/>
  <c r="H598" i="2"/>
  <c r="I598" i="2"/>
  <c r="J598" i="2"/>
  <c r="K598" i="2"/>
  <c r="L598" i="2"/>
  <c r="M598" i="2"/>
  <c r="N598" i="2"/>
  <c r="O598" i="2"/>
  <c r="B599" i="2"/>
  <c r="C599" i="2"/>
  <c r="D599" i="2"/>
  <c r="E599" i="2"/>
  <c r="F599" i="2"/>
  <c r="G599" i="2"/>
  <c r="H599" i="2"/>
  <c r="I599" i="2"/>
  <c r="J599" i="2"/>
  <c r="K599" i="2"/>
  <c r="L599" i="2"/>
  <c r="M599" i="2"/>
  <c r="N599" i="2"/>
  <c r="O599" i="2"/>
  <c r="B600" i="2"/>
  <c r="C600" i="2"/>
  <c r="D600" i="2"/>
  <c r="E600" i="2"/>
  <c r="F600" i="2"/>
  <c r="G600" i="2"/>
  <c r="H600" i="2"/>
  <c r="I600" i="2"/>
  <c r="J600" i="2"/>
  <c r="K600" i="2"/>
  <c r="L600" i="2"/>
  <c r="M600" i="2"/>
  <c r="N600" i="2"/>
  <c r="O600" i="2"/>
  <c r="B601" i="2"/>
  <c r="C601" i="2"/>
  <c r="D601" i="2"/>
  <c r="E601" i="2"/>
  <c r="F601" i="2"/>
  <c r="G601" i="2"/>
  <c r="H601" i="2"/>
  <c r="I601" i="2"/>
  <c r="J601" i="2"/>
  <c r="K601" i="2"/>
  <c r="L601" i="2"/>
  <c r="M601" i="2"/>
  <c r="N601" i="2"/>
  <c r="O601" i="2"/>
  <c r="B602" i="2"/>
  <c r="B664" i="2" s="1"/>
  <c r="C602" i="2"/>
  <c r="D602" i="2"/>
  <c r="E602" i="2"/>
  <c r="F602" i="2"/>
  <c r="F664" i="2" s="1"/>
  <c r="G602" i="2"/>
  <c r="H602" i="2"/>
  <c r="I602" i="2"/>
  <c r="J602" i="2"/>
  <c r="J664" i="2" s="1"/>
  <c r="K602" i="2"/>
  <c r="L602" i="2"/>
  <c r="M602" i="2"/>
  <c r="N602" i="2"/>
  <c r="N664" i="2" s="1"/>
  <c r="O602" i="2"/>
  <c r="B603" i="2"/>
  <c r="C603" i="2"/>
  <c r="D603" i="2"/>
  <c r="E603" i="2"/>
  <c r="F603" i="2"/>
  <c r="G603" i="2"/>
  <c r="H603" i="2"/>
  <c r="I603" i="2"/>
  <c r="J603" i="2"/>
  <c r="K603" i="2"/>
  <c r="L603" i="2"/>
  <c r="M603" i="2"/>
  <c r="N603" i="2"/>
  <c r="O603" i="2"/>
  <c r="B604" i="2"/>
  <c r="C604" i="2"/>
  <c r="D604" i="2"/>
  <c r="E604" i="2"/>
  <c r="F604" i="2"/>
  <c r="G604" i="2"/>
  <c r="H604" i="2"/>
  <c r="I604" i="2"/>
  <c r="J604" i="2"/>
  <c r="K604" i="2"/>
  <c r="L604" i="2"/>
  <c r="M604" i="2"/>
  <c r="N604" i="2"/>
  <c r="O604" i="2"/>
  <c r="B605" i="2"/>
  <c r="C605" i="2"/>
  <c r="D605" i="2"/>
  <c r="E605" i="2"/>
  <c r="F605" i="2"/>
  <c r="G605" i="2"/>
  <c r="H605" i="2"/>
  <c r="I605" i="2"/>
  <c r="J605" i="2"/>
  <c r="K605" i="2"/>
  <c r="L605" i="2"/>
  <c r="M605" i="2"/>
  <c r="N605" i="2"/>
  <c r="O605" i="2"/>
  <c r="B606" i="2"/>
  <c r="C606" i="2"/>
  <c r="D606" i="2"/>
  <c r="E606" i="2"/>
  <c r="F606" i="2"/>
  <c r="G606" i="2"/>
  <c r="H606" i="2"/>
  <c r="I606" i="2"/>
  <c r="J606" i="2"/>
  <c r="K606" i="2"/>
  <c r="L606" i="2"/>
  <c r="M606" i="2"/>
  <c r="N606" i="2"/>
  <c r="O606" i="2"/>
  <c r="B607" i="2"/>
  <c r="C607" i="2"/>
  <c r="D607" i="2"/>
  <c r="E607" i="2"/>
  <c r="F607" i="2"/>
  <c r="G607" i="2"/>
  <c r="H607" i="2"/>
  <c r="I607" i="2"/>
  <c r="J607" i="2"/>
  <c r="K607" i="2"/>
  <c r="L607" i="2"/>
  <c r="M607" i="2"/>
  <c r="N607" i="2"/>
  <c r="O607" i="2"/>
  <c r="B608" i="2"/>
  <c r="C608" i="2"/>
  <c r="D608" i="2"/>
  <c r="E608" i="2"/>
  <c r="F608" i="2"/>
  <c r="G608" i="2"/>
  <c r="H608" i="2"/>
  <c r="I608" i="2"/>
  <c r="J608" i="2"/>
  <c r="K608" i="2"/>
  <c r="L608" i="2"/>
  <c r="M608" i="2"/>
  <c r="N608" i="2"/>
  <c r="O608" i="2"/>
  <c r="B609" i="2"/>
  <c r="C609" i="2"/>
  <c r="D609" i="2"/>
  <c r="E609" i="2"/>
  <c r="F609" i="2"/>
  <c r="G609" i="2"/>
  <c r="H609" i="2"/>
  <c r="I609" i="2"/>
  <c r="J609" i="2"/>
  <c r="K609" i="2"/>
  <c r="L609" i="2"/>
  <c r="M609" i="2"/>
  <c r="N609" i="2"/>
  <c r="O609" i="2"/>
  <c r="B610" i="2"/>
  <c r="C610" i="2"/>
  <c r="D610" i="2"/>
  <c r="E610" i="2"/>
  <c r="F610" i="2"/>
  <c r="G610" i="2"/>
  <c r="H610" i="2"/>
  <c r="I610" i="2"/>
  <c r="J610" i="2"/>
  <c r="K610" i="2"/>
  <c r="L610" i="2"/>
  <c r="M610" i="2"/>
  <c r="N610" i="2"/>
  <c r="O610" i="2"/>
  <c r="B611" i="2"/>
  <c r="C611" i="2"/>
  <c r="D611" i="2"/>
  <c r="E611" i="2"/>
  <c r="F611" i="2"/>
  <c r="G611" i="2"/>
  <c r="H611" i="2"/>
  <c r="I611" i="2"/>
  <c r="J611" i="2"/>
  <c r="K611" i="2"/>
  <c r="L611" i="2"/>
  <c r="M611" i="2"/>
  <c r="N611" i="2"/>
  <c r="O611" i="2"/>
  <c r="B612" i="2"/>
  <c r="C612" i="2"/>
  <c r="D612" i="2"/>
  <c r="E612" i="2"/>
  <c r="F612" i="2"/>
  <c r="G612" i="2"/>
  <c r="H612" i="2"/>
  <c r="I612" i="2"/>
  <c r="J612" i="2"/>
  <c r="K612" i="2"/>
  <c r="L612" i="2"/>
  <c r="M612" i="2"/>
  <c r="N612" i="2"/>
  <c r="O612" i="2"/>
  <c r="B613" i="2"/>
  <c r="C613" i="2"/>
  <c r="D613" i="2"/>
  <c r="E613" i="2"/>
  <c r="F613" i="2"/>
  <c r="G613" i="2"/>
  <c r="H613" i="2"/>
  <c r="I613" i="2"/>
  <c r="J613" i="2"/>
  <c r="K613" i="2"/>
  <c r="L613" i="2"/>
  <c r="M613" i="2"/>
  <c r="N613" i="2"/>
  <c r="O613" i="2"/>
  <c r="B615" i="2"/>
  <c r="C615" i="2"/>
  <c r="D615" i="2"/>
  <c r="E615" i="2"/>
  <c r="F615" i="2"/>
  <c r="G615" i="2"/>
  <c r="H615" i="2"/>
  <c r="I615" i="2"/>
  <c r="J615" i="2"/>
  <c r="K615" i="2"/>
  <c r="L615" i="2"/>
  <c r="M615" i="2"/>
  <c r="N615" i="2"/>
  <c r="O615" i="2"/>
  <c r="B616" i="2"/>
  <c r="C616" i="2"/>
  <c r="D616" i="2"/>
  <c r="E616" i="2"/>
  <c r="F616" i="2"/>
  <c r="G616" i="2"/>
  <c r="H616" i="2"/>
  <c r="I616" i="2"/>
  <c r="J616" i="2"/>
  <c r="K616" i="2"/>
  <c r="L616" i="2"/>
  <c r="M616" i="2"/>
  <c r="N616" i="2"/>
  <c r="O616" i="2"/>
  <c r="B617" i="2"/>
  <c r="C617" i="2"/>
  <c r="D617" i="2"/>
  <c r="E617" i="2"/>
  <c r="F617" i="2"/>
  <c r="G617" i="2"/>
  <c r="H617" i="2"/>
  <c r="I617" i="2"/>
  <c r="J617" i="2"/>
  <c r="K617" i="2"/>
  <c r="L617" i="2"/>
  <c r="M617" i="2"/>
  <c r="N617" i="2"/>
  <c r="O617" i="2"/>
  <c r="B618" i="2"/>
  <c r="C618" i="2"/>
  <c r="D618" i="2"/>
  <c r="E618" i="2"/>
  <c r="F618" i="2"/>
  <c r="G618" i="2"/>
  <c r="H618" i="2"/>
  <c r="I618" i="2"/>
  <c r="J618" i="2"/>
  <c r="K618" i="2"/>
  <c r="L618" i="2"/>
  <c r="M618" i="2"/>
  <c r="N618" i="2"/>
  <c r="O618" i="2"/>
  <c r="B619" i="2"/>
  <c r="C619" i="2"/>
  <c r="D619" i="2"/>
  <c r="E619" i="2"/>
  <c r="F619" i="2"/>
  <c r="G619" i="2"/>
  <c r="H619" i="2"/>
  <c r="I619" i="2"/>
  <c r="J619" i="2"/>
  <c r="K619" i="2"/>
  <c r="L619" i="2"/>
  <c r="M619" i="2"/>
  <c r="N619" i="2"/>
  <c r="O619" i="2"/>
  <c r="B620" i="2"/>
  <c r="C620" i="2"/>
  <c r="D620" i="2"/>
  <c r="E620" i="2"/>
  <c r="F620" i="2"/>
  <c r="G620" i="2"/>
  <c r="H620" i="2"/>
  <c r="I620" i="2"/>
  <c r="J620" i="2"/>
  <c r="K620" i="2"/>
  <c r="L620" i="2"/>
  <c r="M620" i="2"/>
  <c r="N620" i="2"/>
  <c r="O620" i="2"/>
  <c r="B621" i="2"/>
  <c r="C621" i="2"/>
  <c r="D621" i="2"/>
  <c r="E621" i="2"/>
  <c r="F621" i="2"/>
  <c r="G621" i="2"/>
  <c r="H621" i="2"/>
  <c r="I621" i="2"/>
  <c r="J621" i="2"/>
  <c r="K621" i="2"/>
  <c r="L621" i="2"/>
  <c r="M621" i="2"/>
  <c r="N621" i="2"/>
  <c r="O621" i="2"/>
  <c r="B622" i="2"/>
  <c r="C622" i="2"/>
  <c r="D622" i="2"/>
  <c r="E622" i="2"/>
  <c r="F622" i="2"/>
  <c r="G622" i="2"/>
  <c r="H622" i="2"/>
  <c r="I622" i="2"/>
  <c r="J622" i="2"/>
  <c r="K622" i="2"/>
  <c r="L622" i="2"/>
  <c r="M622" i="2"/>
  <c r="N622" i="2"/>
  <c r="O622" i="2"/>
  <c r="B623" i="2"/>
  <c r="C623" i="2"/>
  <c r="D623" i="2"/>
  <c r="E623" i="2"/>
  <c r="F623" i="2"/>
  <c r="G623" i="2"/>
  <c r="H623" i="2"/>
  <c r="I623" i="2"/>
  <c r="J623" i="2"/>
  <c r="K623" i="2"/>
  <c r="L623" i="2"/>
  <c r="M623" i="2"/>
  <c r="N623" i="2"/>
  <c r="O623" i="2"/>
  <c r="B624" i="2"/>
  <c r="C624" i="2"/>
  <c r="D624" i="2"/>
  <c r="E624" i="2"/>
  <c r="F624" i="2"/>
  <c r="G624" i="2"/>
  <c r="H624" i="2"/>
  <c r="I624" i="2"/>
  <c r="J624" i="2"/>
  <c r="K624" i="2"/>
  <c r="L624" i="2"/>
  <c r="M624" i="2"/>
  <c r="N624" i="2"/>
  <c r="O624" i="2"/>
  <c r="B625" i="2"/>
  <c r="C625" i="2"/>
  <c r="D625" i="2"/>
  <c r="E625" i="2"/>
  <c r="F625" i="2"/>
  <c r="G625" i="2"/>
  <c r="H625" i="2"/>
  <c r="I625" i="2"/>
  <c r="J625" i="2"/>
  <c r="K625" i="2"/>
  <c r="L625" i="2"/>
  <c r="M625" i="2"/>
  <c r="N625" i="2"/>
  <c r="O625" i="2"/>
  <c r="B626" i="2"/>
  <c r="C626" i="2"/>
  <c r="D626" i="2"/>
  <c r="E626" i="2"/>
  <c r="F626" i="2"/>
  <c r="G626" i="2"/>
  <c r="H626" i="2"/>
  <c r="I626" i="2"/>
  <c r="J626" i="2"/>
  <c r="K626" i="2"/>
  <c r="L626" i="2"/>
  <c r="M626" i="2"/>
  <c r="N626" i="2"/>
  <c r="O626" i="2"/>
  <c r="B627" i="2"/>
  <c r="C627" i="2"/>
  <c r="D627" i="2"/>
  <c r="E627" i="2"/>
  <c r="F627" i="2"/>
  <c r="G627" i="2"/>
  <c r="H627" i="2"/>
  <c r="I627" i="2"/>
  <c r="J627" i="2"/>
  <c r="K627" i="2"/>
  <c r="L627" i="2"/>
  <c r="M627" i="2"/>
  <c r="N627" i="2"/>
  <c r="O627" i="2"/>
  <c r="B628" i="2"/>
  <c r="C628" i="2"/>
  <c r="D628" i="2"/>
  <c r="E628" i="2"/>
  <c r="F628" i="2"/>
  <c r="G628" i="2"/>
  <c r="H628" i="2"/>
  <c r="I628" i="2"/>
  <c r="J628" i="2"/>
  <c r="K628" i="2"/>
  <c r="L628" i="2"/>
  <c r="M628" i="2"/>
  <c r="N628" i="2"/>
  <c r="O628" i="2"/>
  <c r="B629" i="2"/>
  <c r="C629" i="2"/>
  <c r="D629" i="2"/>
  <c r="E629" i="2"/>
  <c r="F629" i="2"/>
  <c r="G629" i="2"/>
  <c r="H629" i="2"/>
  <c r="I629" i="2"/>
  <c r="J629" i="2"/>
  <c r="K629" i="2"/>
  <c r="L629" i="2"/>
  <c r="M629" i="2"/>
  <c r="N629" i="2"/>
  <c r="O629" i="2"/>
  <c r="B630" i="2"/>
  <c r="C630" i="2"/>
  <c r="D630" i="2"/>
  <c r="E630" i="2"/>
  <c r="F630" i="2"/>
  <c r="G630" i="2"/>
  <c r="H630" i="2"/>
  <c r="I630" i="2"/>
  <c r="J630" i="2"/>
  <c r="K630" i="2"/>
  <c r="L630" i="2"/>
  <c r="M630" i="2"/>
  <c r="N630" i="2"/>
  <c r="O630" i="2"/>
  <c r="B631" i="2"/>
  <c r="C631" i="2"/>
  <c r="D631" i="2"/>
  <c r="E631" i="2"/>
  <c r="F631" i="2"/>
  <c r="G631" i="2"/>
  <c r="H631" i="2"/>
  <c r="I631" i="2"/>
  <c r="J631" i="2"/>
  <c r="K631" i="2"/>
  <c r="L631" i="2"/>
  <c r="M631" i="2"/>
  <c r="N631" i="2"/>
  <c r="O631" i="2"/>
  <c r="B632" i="2"/>
  <c r="C632" i="2"/>
  <c r="D632" i="2"/>
  <c r="E632" i="2"/>
  <c r="F632" i="2"/>
  <c r="G632" i="2"/>
  <c r="H632" i="2"/>
  <c r="I632" i="2"/>
  <c r="J632" i="2"/>
  <c r="K632" i="2"/>
  <c r="L632" i="2"/>
  <c r="M632" i="2"/>
  <c r="N632" i="2"/>
  <c r="O632" i="2"/>
  <c r="B633" i="2"/>
  <c r="C633" i="2"/>
  <c r="D633" i="2"/>
  <c r="E633" i="2"/>
  <c r="F633" i="2"/>
  <c r="G633" i="2"/>
  <c r="H633" i="2"/>
  <c r="I633" i="2"/>
  <c r="J633" i="2"/>
  <c r="K633" i="2"/>
  <c r="L633" i="2"/>
  <c r="M633" i="2"/>
  <c r="N633" i="2"/>
  <c r="O633" i="2"/>
  <c r="B634" i="2"/>
  <c r="C634" i="2"/>
  <c r="D634" i="2"/>
  <c r="E634" i="2"/>
  <c r="F634" i="2"/>
  <c r="G634" i="2"/>
  <c r="H634" i="2"/>
  <c r="I634" i="2"/>
  <c r="J634" i="2"/>
  <c r="K634" i="2"/>
  <c r="L634" i="2"/>
  <c r="M634" i="2"/>
  <c r="N634" i="2"/>
  <c r="O634" i="2"/>
  <c r="B635" i="2"/>
  <c r="C635" i="2"/>
  <c r="D635" i="2"/>
  <c r="E635" i="2"/>
  <c r="F635" i="2"/>
  <c r="G635" i="2"/>
  <c r="H635" i="2"/>
  <c r="I635" i="2"/>
  <c r="J635" i="2"/>
  <c r="K635" i="2"/>
  <c r="L635" i="2"/>
  <c r="M635" i="2"/>
  <c r="N635" i="2"/>
  <c r="O635" i="2"/>
  <c r="B636" i="2"/>
  <c r="C636" i="2"/>
  <c r="D636" i="2"/>
  <c r="E636" i="2"/>
  <c r="F636" i="2"/>
  <c r="G636" i="2"/>
  <c r="H636" i="2"/>
  <c r="I636" i="2"/>
  <c r="J636" i="2"/>
  <c r="K636" i="2"/>
  <c r="L636" i="2"/>
  <c r="M636" i="2"/>
  <c r="N636" i="2"/>
  <c r="O636" i="2"/>
  <c r="B637" i="2"/>
  <c r="C637" i="2"/>
  <c r="D637" i="2"/>
  <c r="E637" i="2"/>
  <c r="F637" i="2"/>
  <c r="G637" i="2"/>
  <c r="H637" i="2"/>
  <c r="I637" i="2"/>
  <c r="J637" i="2"/>
  <c r="K637" i="2"/>
  <c r="L637" i="2"/>
  <c r="M637" i="2"/>
  <c r="N637" i="2"/>
  <c r="O637" i="2"/>
  <c r="B638" i="2"/>
  <c r="C638" i="2"/>
  <c r="D638" i="2"/>
  <c r="E638" i="2"/>
  <c r="F638" i="2"/>
  <c r="G638" i="2"/>
  <c r="H638" i="2"/>
  <c r="I638" i="2"/>
  <c r="J638" i="2"/>
  <c r="K638" i="2"/>
  <c r="L638" i="2"/>
  <c r="M638" i="2"/>
  <c r="N638" i="2"/>
  <c r="O638" i="2"/>
  <c r="B639" i="2"/>
  <c r="C639" i="2"/>
  <c r="D639" i="2"/>
  <c r="E639" i="2"/>
  <c r="F639" i="2"/>
  <c r="G639" i="2"/>
  <c r="H639" i="2"/>
  <c r="I639" i="2"/>
  <c r="J639" i="2"/>
  <c r="K639" i="2"/>
  <c r="L639" i="2"/>
  <c r="M639" i="2"/>
  <c r="N639" i="2"/>
  <c r="O639" i="2"/>
  <c r="B640" i="2"/>
  <c r="C640" i="2"/>
  <c r="D640" i="2"/>
  <c r="E640" i="2"/>
  <c r="F640" i="2"/>
  <c r="G640" i="2"/>
  <c r="H640" i="2"/>
  <c r="I640" i="2"/>
  <c r="J640" i="2"/>
  <c r="K640" i="2"/>
  <c r="L640" i="2"/>
  <c r="M640" i="2"/>
  <c r="N640" i="2"/>
  <c r="O640" i="2"/>
  <c r="A641" i="2"/>
  <c r="B641" i="2"/>
  <c r="C641" i="2"/>
  <c r="D641" i="2"/>
  <c r="E641" i="2"/>
  <c r="F641" i="2"/>
  <c r="G641" i="2"/>
  <c r="H641" i="2"/>
  <c r="I641" i="2"/>
  <c r="J641" i="2"/>
  <c r="K641" i="2"/>
  <c r="L641" i="2"/>
  <c r="M641" i="2"/>
  <c r="N641" i="2"/>
  <c r="O641" i="2"/>
  <c r="A642" i="2"/>
  <c r="B642" i="2"/>
  <c r="C642" i="2"/>
  <c r="D642" i="2"/>
  <c r="E642" i="2"/>
  <c r="F642" i="2"/>
  <c r="G642" i="2"/>
  <c r="H642" i="2"/>
  <c r="I642" i="2"/>
  <c r="J642" i="2"/>
  <c r="K642" i="2"/>
  <c r="L642" i="2"/>
  <c r="M642" i="2"/>
  <c r="N642" i="2"/>
  <c r="O642" i="2"/>
  <c r="A643" i="2"/>
  <c r="B643" i="2"/>
  <c r="C643" i="2"/>
  <c r="D643" i="2"/>
  <c r="E643" i="2"/>
  <c r="F643" i="2"/>
  <c r="G643" i="2"/>
  <c r="H643" i="2"/>
  <c r="I643" i="2"/>
  <c r="J643" i="2"/>
  <c r="K643" i="2"/>
  <c r="L643" i="2"/>
  <c r="M643" i="2"/>
  <c r="N643" i="2"/>
  <c r="O643" i="2"/>
  <c r="A644" i="2"/>
  <c r="B644" i="2"/>
  <c r="C644" i="2"/>
  <c r="D644" i="2"/>
  <c r="E644" i="2"/>
  <c r="F644" i="2"/>
  <c r="G644" i="2"/>
  <c r="H644" i="2"/>
  <c r="I644" i="2"/>
  <c r="J644" i="2"/>
  <c r="K644" i="2"/>
  <c r="L644" i="2"/>
  <c r="M644" i="2"/>
  <c r="N644" i="2"/>
  <c r="O644" i="2"/>
  <c r="A645" i="2"/>
  <c r="B645" i="2"/>
  <c r="C645" i="2"/>
  <c r="D645" i="2"/>
  <c r="E645" i="2"/>
  <c r="F645" i="2"/>
  <c r="G645" i="2"/>
  <c r="H645" i="2"/>
  <c r="I645" i="2"/>
  <c r="J645" i="2"/>
  <c r="K645" i="2"/>
  <c r="L645" i="2"/>
  <c r="M645" i="2"/>
  <c r="N645" i="2"/>
  <c r="O645" i="2"/>
  <c r="A646" i="2"/>
  <c r="B646" i="2"/>
  <c r="C646" i="2"/>
  <c r="D646" i="2"/>
  <c r="E646" i="2"/>
  <c r="F646" i="2"/>
  <c r="G646" i="2"/>
  <c r="H646" i="2"/>
  <c r="I646" i="2"/>
  <c r="J646" i="2"/>
  <c r="K646" i="2"/>
  <c r="L646" i="2"/>
  <c r="M646" i="2"/>
  <c r="N646" i="2"/>
  <c r="O646" i="2"/>
  <c r="A647" i="2"/>
  <c r="B647" i="2"/>
  <c r="C647" i="2"/>
  <c r="D647" i="2"/>
  <c r="E647" i="2"/>
  <c r="F647" i="2"/>
  <c r="G647" i="2"/>
  <c r="H647" i="2"/>
  <c r="I647" i="2"/>
  <c r="J647" i="2"/>
  <c r="K647" i="2"/>
  <c r="L647" i="2"/>
  <c r="M647" i="2"/>
  <c r="N647" i="2"/>
  <c r="O647" i="2"/>
  <c r="A648" i="2"/>
  <c r="B648" i="2"/>
  <c r="C648" i="2"/>
  <c r="D648" i="2"/>
  <c r="E648" i="2"/>
  <c r="F648" i="2"/>
  <c r="G648" i="2"/>
  <c r="H648" i="2"/>
  <c r="I648" i="2"/>
  <c r="J648" i="2"/>
  <c r="K648" i="2"/>
  <c r="L648" i="2"/>
  <c r="M648" i="2"/>
  <c r="N648" i="2"/>
  <c r="O648" i="2"/>
  <c r="A649" i="2"/>
  <c r="B649" i="2"/>
  <c r="C649" i="2"/>
  <c r="D649" i="2"/>
  <c r="E649" i="2"/>
  <c r="F649" i="2"/>
  <c r="G649" i="2"/>
  <c r="H649" i="2"/>
  <c r="I649" i="2"/>
  <c r="J649" i="2"/>
  <c r="K649" i="2"/>
  <c r="L649" i="2"/>
  <c r="M649" i="2"/>
  <c r="N649" i="2"/>
  <c r="O649" i="2"/>
  <c r="A650" i="2"/>
  <c r="B650" i="2"/>
  <c r="C650" i="2"/>
  <c r="D650" i="2"/>
  <c r="E650" i="2"/>
  <c r="F650" i="2"/>
  <c r="G650" i="2"/>
  <c r="H650" i="2"/>
  <c r="I650" i="2"/>
  <c r="J650" i="2"/>
  <c r="K650" i="2"/>
  <c r="L650" i="2"/>
  <c r="M650" i="2"/>
  <c r="N650" i="2"/>
  <c r="O650" i="2"/>
  <c r="A651" i="2"/>
  <c r="B651" i="2"/>
  <c r="C651" i="2"/>
  <c r="D651" i="2"/>
  <c r="E651" i="2"/>
  <c r="F651" i="2"/>
  <c r="G651" i="2"/>
  <c r="H651" i="2"/>
  <c r="I651" i="2"/>
  <c r="J651" i="2"/>
  <c r="K651" i="2"/>
  <c r="L651" i="2"/>
  <c r="M651" i="2"/>
  <c r="N651" i="2"/>
  <c r="O651" i="2"/>
  <c r="A652" i="2"/>
  <c r="B652" i="2"/>
  <c r="C652" i="2"/>
  <c r="D652" i="2"/>
  <c r="E652" i="2"/>
  <c r="F652" i="2"/>
  <c r="G652" i="2"/>
  <c r="H652" i="2"/>
  <c r="I652" i="2"/>
  <c r="J652" i="2"/>
  <c r="K652" i="2"/>
  <c r="L652" i="2"/>
  <c r="M652" i="2"/>
  <c r="N652" i="2"/>
  <c r="O652" i="2"/>
  <c r="A653" i="2"/>
  <c r="B653" i="2"/>
  <c r="C653" i="2"/>
  <c r="D653" i="2"/>
  <c r="E653" i="2"/>
  <c r="F653" i="2"/>
  <c r="G653" i="2"/>
  <c r="H653" i="2"/>
  <c r="I653" i="2"/>
  <c r="J653" i="2"/>
  <c r="K653" i="2"/>
  <c r="L653" i="2"/>
  <c r="M653" i="2"/>
  <c r="N653" i="2"/>
  <c r="O653" i="2"/>
  <c r="A654" i="2"/>
  <c r="B654" i="2"/>
  <c r="C654" i="2"/>
  <c r="E654" i="2"/>
  <c r="F654" i="2"/>
  <c r="G654" i="2"/>
  <c r="I654" i="2"/>
  <c r="J654" i="2"/>
  <c r="K654" i="2"/>
  <c r="M654" i="2"/>
  <c r="N654" i="2"/>
  <c r="O654" i="2"/>
  <c r="A655" i="2"/>
  <c r="B655" i="2"/>
  <c r="C655" i="2"/>
  <c r="D655" i="2"/>
  <c r="E655" i="2"/>
  <c r="F655" i="2"/>
  <c r="G655" i="2"/>
  <c r="H655" i="2"/>
  <c r="I655" i="2"/>
  <c r="J655" i="2"/>
  <c r="K655" i="2"/>
  <c r="L655" i="2"/>
  <c r="M655" i="2"/>
  <c r="N655" i="2"/>
  <c r="O655" i="2"/>
  <c r="A656" i="2"/>
  <c r="C656" i="2"/>
  <c r="D656" i="2"/>
  <c r="E656" i="2"/>
  <c r="G656" i="2"/>
  <c r="H656" i="2"/>
  <c r="I656" i="2"/>
  <c r="K656" i="2"/>
  <c r="L656" i="2"/>
  <c r="M656" i="2"/>
  <c r="O656" i="2"/>
  <c r="A657" i="2"/>
  <c r="B657" i="2"/>
  <c r="C657" i="2"/>
  <c r="D657" i="2"/>
  <c r="E657" i="2"/>
  <c r="F657" i="2"/>
  <c r="G657" i="2"/>
  <c r="H657" i="2"/>
  <c r="I657" i="2"/>
  <c r="J657" i="2"/>
  <c r="K657" i="2"/>
  <c r="L657" i="2"/>
  <c r="M657" i="2"/>
  <c r="N657" i="2"/>
  <c r="O657" i="2"/>
  <c r="A658" i="2"/>
  <c r="B658" i="2"/>
  <c r="C658" i="2"/>
  <c r="E658" i="2"/>
  <c r="F658" i="2"/>
  <c r="G658" i="2"/>
  <c r="I658" i="2"/>
  <c r="J658" i="2"/>
  <c r="K658" i="2"/>
  <c r="M658" i="2"/>
  <c r="N658" i="2"/>
  <c r="O658" i="2"/>
  <c r="A659" i="2"/>
  <c r="C659" i="2"/>
  <c r="D659" i="2"/>
  <c r="E659" i="2"/>
  <c r="G659" i="2"/>
  <c r="H659" i="2"/>
  <c r="I659" i="2"/>
  <c r="K659" i="2"/>
  <c r="L659" i="2"/>
  <c r="M659" i="2"/>
  <c r="O659" i="2"/>
  <c r="A660" i="2"/>
  <c r="C660" i="2"/>
  <c r="D660" i="2"/>
  <c r="E660" i="2"/>
  <c r="G660" i="2"/>
  <c r="H660" i="2"/>
  <c r="I660" i="2"/>
  <c r="K660" i="2"/>
  <c r="L660" i="2"/>
  <c r="M660" i="2"/>
  <c r="O660" i="2"/>
  <c r="A661" i="2"/>
  <c r="B661" i="2"/>
  <c r="C661" i="2"/>
  <c r="E661" i="2"/>
  <c r="F661" i="2"/>
  <c r="G661" i="2"/>
  <c r="I661" i="2"/>
  <c r="J661" i="2"/>
  <c r="K661" i="2"/>
  <c r="M661" i="2"/>
  <c r="N661" i="2"/>
  <c r="O661" i="2"/>
  <c r="A662" i="2"/>
  <c r="B662" i="2"/>
  <c r="C662" i="2"/>
  <c r="E662" i="2"/>
  <c r="F662" i="2"/>
  <c r="G662" i="2"/>
  <c r="I662" i="2"/>
  <c r="J662" i="2"/>
  <c r="K662" i="2"/>
  <c r="M662" i="2"/>
  <c r="N662" i="2"/>
  <c r="O662" i="2"/>
  <c r="A663" i="2"/>
  <c r="C663" i="2"/>
  <c r="D663" i="2"/>
  <c r="E663" i="2"/>
  <c r="G663" i="2"/>
  <c r="H663" i="2"/>
  <c r="I663" i="2"/>
  <c r="K663" i="2"/>
  <c r="L663" i="2"/>
  <c r="M663" i="2"/>
  <c r="O663" i="2"/>
  <c r="A664" i="2"/>
  <c r="C664" i="2"/>
  <c r="D664" i="2"/>
  <c r="E664" i="2"/>
  <c r="G664" i="2"/>
  <c r="H664" i="2"/>
  <c r="I664" i="2"/>
  <c r="K664" i="2"/>
  <c r="L664" i="2"/>
  <c r="M664" i="2"/>
  <c r="O664" i="2"/>
  <c r="M659" i="5" l="1"/>
  <c r="Q658" i="5"/>
  <c r="M658" i="5"/>
  <c r="I658" i="5"/>
  <c r="E658" i="5"/>
  <c r="AC637" i="5"/>
  <c r="AC292" i="5"/>
  <c r="AC284" i="5"/>
  <c r="AC636" i="5" s="1"/>
  <c r="AB277" i="5"/>
  <c r="AC276" i="5"/>
  <c r="AC635" i="5" s="1"/>
  <c r="AB611" i="5"/>
  <c r="AB609" i="5"/>
  <c r="AB607" i="5"/>
  <c r="AB605" i="5"/>
  <c r="AB603" i="5"/>
  <c r="AB601" i="5"/>
  <c r="AB663" i="5" s="1"/>
  <c r="AB599" i="5"/>
  <c r="AB597" i="5"/>
  <c r="AB595" i="5"/>
  <c r="AB593" i="5"/>
  <c r="AB591" i="5"/>
  <c r="AB589" i="5"/>
  <c r="AB587" i="5"/>
  <c r="AB585" i="5"/>
  <c r="AB583" i="5"/>
  <c r="AB581" i="5"/>
  <c r="AB579" i="5"/>
  <c r="AB577" i="5"/>
  <c r="AB661" i="5" s="1"/>
  <c r="AB575" i="5"/>
  <c r="AB573" i="5"/>
  <c r="AB571" i="5"/>
  <c r="AB569" i="5"/>
  <c r="AB567" i="5"/>
  <c r="AB565" i="5"/>
  <c r="AB563" i="5"/>
  <c r="AB561" i="5"/>
  <c r="AB559" i="5"/>
  <c r="AB557" i="5"/>
  <c r="AB555" i="5"/>
  <c r="AB553" i="5"/>
  <c r="AB551" i="5"/>
  <c r="AB549" i="5"/>
  <c r="AB547" i="5"/>
  <c r="AB545" i="5"/>
  <c r="AB543" i="5"/>
  <c r="AB541" i="5"/>
  <c r="AB539" i="5"/>
  <c r="AB537" i="5"/>
  <c r="AB535" i="5"/>
  <c r="AB533" i="5"/>
  <c r="AB531" i="5"/>
  <c r="AB529" i="5"/>
  <c r="AB527" i="5"/>
  <c r="AB525" i="5"/>
  <c r="AB523" i="5"/>
  <c r="AB521" i="5"/>
  <c r="AB519" i="5"/>
  <c r="AB517" i="5"/>
  <c r="AB515" i="5"/>
  <c r="AB513" i="5"/>
  <c r="AB511" i="5"/>
  <c r="AB509" i="5"/>
  <c r="AB507" i="5"/>
  <c r="AB505" i="5"/>
  <c r="AB503" i="5"/>
  <c r="AB501" i="5"/>
  <c r="AB499" i="5"/>
  <c r="AB497" i="5"/>
  <c r="AB495" i="5"/>
  <c r="AB493" i="5"/>
  <c r="AB491" i="5"/>
  <c r="AB489" i="5"/>
  <c r="AB487" i="5"/>
  <c r="AB485" i="5"/>
  <c r="AB483" i="5"/>
  <c r="AB481" i="5"/>
  <c r="AB479" i="5"/>
  <c r="AB477" i="5"/>
  <c r="AB475" i="5"/>
  <c r="AB473" i="5"/>
  <c r="AB471" i="5"/>
  <c r="AB469" i="5"/>
  <c r="AB467" i="5"/>
  <c r="AB465" i="5"/>
  <c r="AB463" i="5"/>
  <c r="AB461" i="5"/>
  <c r="AB459" i="5"/>
  <c r="AB457" i="5"/>
  <c r="AB455" i="5"/>
  <c r="AB453" i="5"/>
  <c r="AB451" i="5"/>
  <c r="AB449" i="5"/>
  <c r="AB447" i="5"/>
  <c r="AB445" i="5"/>
  <c r="AB443" i="5"/>
  <c r="AB441" i="5"/>
  <c r="AB439" i="5"/>
  <c r="AB437" i="5"/>
  <c r="AB435" i="5"/>
  <c r="AB433" i="5"/>
  <c r="AB431" i="5"/>
  <c r="AB429" i="5"/>
  <c r="AB427" i="5"/>
  <c r="AB425" i="5"/>
  <c r="AB423" i="5"/>
  <c r="AB421" i="5"/>
  <c r="AB419" i="5"/>
  <c r="AB417" i="5"/>
  <c r="AB415" i="5"/>
  <c r="AB413" i="5"/>
  <c r="AB411" i="5"/>
  <c r="AB409" i="5"/>
  <c r="AB407" i="5"/>
  <c r="AB405" i="5"/>
  <c r="AB403" i="5"/>
  <c r="AB401" i="5"/>
  <c r="AB399" i="5"/>
  <c r="AB397" i="5"/>
  <c r="AB395" i="5"/>
  <c r="AB393" i="5"/>
  <c r="AB391" i="5"/>
  <c r="AB389" i="5"/>
  <c r="AB387" i="5"/>
  <c r="AB385" i="5"/>
  <c r="AB383" i="5"/>
  <c r="AB381" i="5"/>
  <c r="AB379" i="5"/>
  <c r="AB377" i="5"/>
  <c r="AB375" i="5"/>
  <c r="AB373" i="5"/>
  <c r="AB371" i="5"/>
  <c r="AB369" i="5"/>
  <c r="AB367" i="5"/>
  <c r="AB365" i="5"/>
  <c r="AB363" i="5"/>
  <c r="AB361" i="5"/>
  <c r="AB359" i="5"/>
  <c r="AB357" i="5"/>
  <c r="AB355" i="5"/>
  <c r="AB353" i="5"/>
  <c r="AB351" i="5"/>
  <c r="AB349" i="5"/>
  <c r="AB347" i="5"/>
  <c r="AB345" i="5"/>
  <c r="AB343" i="5"/>
  <c r="AB341" i="5"/>
  <c r="AB339" i="5"/>
  <c r="AB337" i="5"/>
  <c r="AB335" i="5"/>
  <c r="AB333" i="5"/>
  <c r="AB331" i="5"/>
  <c r="AB329" i="5"/>
  <c r="AB327" i="5"/>
  <c r="AB325" i="5"/>
  <c r="AB323" i="5"/>
  <c r="AB321" i="5"/>
  <c r="AB319" i="5"/>
  <c r="AB317" i="5"/>
  <c r="AB315" i="5"/>
  <c r="AB313" i="5"/>
  <c r="AB302" i="5"/>
  <c r="AB300" i="5"/>
  <c r="AB297" i="5"/>
  <c r="AB294" i="5"/>
  <c r="AB292" i="5"/>
  <c r="AB289" i="5"/>
  <c r="AB286" i="5"/>
  <c r="AB284" i="5"/>
  <c r="AB278" i="5"/>
  <c r="AB276" i="5"/>
  <c r="AB635" i="5" s="1"/>
  <c r="AB301" i="5"/>
  <c r="AB298" i="5"/>
  <c r="AB296" i="5"/>
  <c r="AB293" i="5"/>
  <c r="AB290" i="5"/>
  <c r="AB288" i="5"/>
  <c r="AB285" i="5"/>
  <c r="AB282" i="5"/>
  <c r="AB280" i="5"/>
  <c r="AB311" i="5"/>
  <c r="AB309" i="5"/>
  <c r="AB638" i="5" s="1"/>
  <c r="AB307" i="5"/>
  <c r="AB305" i="5"/>
  <c r="AC226" i="5"/>
  <c r="AB224" i="5"/>
  <c r="AB222" i="5"/>
  <c r="AB220" i="5"/>
  <c r="AB218" i="5"/>
  <c r="AB216" i="5"/>
  <c r="AB214" i="5"/>
  <c r="AB212" i="5"/>
  <c r="AB210" i="5"/>
  <c r="AB208" i="5"/>
  <c r="AB206" i="5"/>
  <c r="AB204" i="5"/>
  <c r="AB202" i="5"/>
  <c r="AB200" i="5"/>
  <c r="AB198" i="5"/>
  <c r="AB196" i="5"/>
  <c r="AB194" i="5"/>
  <c r="AB192" i="5"/>
  <c r="AB190" i="5"/>
  <c r="AB188" i="5"/>
  <c r="AB186" i="5"/>
  <c r="AB184" i="5"/>
  <c r="AB182" i="5"/>
  <c r="AB180" i="5"/>
  <c r="AB178" i="5"/>
  <c r="AB176" i="5"/>
  <c r="AB174" i="5"/>
  <c r="AB172" i="5"/>
  <c r="AB170" i="5"/>
  <c r="AB168" i="5"/>
  <c r="AB166" i="5"/>
  <c r="AB164" i="5"/>
  <c r="AB162" i="5"/>
  <c r="AB160" i="5"/>
  <c r="AB158" i="5"/>
  <c r="AB156" i="5"/>
  <c r="AB154" i="5"/>
  <c r="AB152" i="5"/>
  <c r="AB150" i="5"/>
  <c r="AB148" i="5"/>
  <c r="AB146" i="5"/>
  <c r="AB144" i="5"/>
  <c r="AB142" i="5"/>
  <c r="AB140" i="5"/>
  <c r="AB138" i="5"/>
  <c r="AB136" i="5"/>
  <c r="AB134" i="5"/>
  <c r="AB132" i="5"/>
  <c r="AB130" i="5"/>
  <c r="AC131" i="5"/>
  <c r="AB80" i="5"/>
  <c r="AC73" i="5"/>
  <c r="AB128" i="5"/>
  <c r="AB126" i="5"/>
  <c r="AB124" i="5"/>
  <c r="AB122" i="5"/>
  <c r="AB120" i="5"/>
  <c r="AB118" i="5"/>
  <c r="AB116" i="5"/>
  <c r="AB114" i="5"/>
  <c r="AB112" i="5"/>
  <c r="AB110" i="5"/>
  <c r="AB622" i="5" s="1"/>
  <c r="AB108" i="5"/>
  <c r="AB106" i="5"/>
  <c r="AB104" i="5"/>
  <c r="AB102" i="5"/>
  <c r="AB100" i="5"/>
  <c r="AB98" i="5"/>
  <c r="AB96" i="5"/>
  <c r="AB94" i="5"/>
  <c r="AB92" i="5"/>
  <c r="AB90" i="5"/>
  <c r="AB88" i="5"/>
  <c r="AB86" i="5"/>
  <c r="AB620" i="5" s="1"/>
  <c r="AB84" i="5"/>
  <c r="AB82" i="5"/>
  <c r="AB78" i="5"/>
  <c r="AB76" i="5"/>
  <c r="AB619" i="5" s="1"/>
  <c r="AC129" i="5"/>
  <c r="AC127" i="5"/>
  <c r="AC125" i="5"/>
  <c r="AC123" i="5"/>
  <c r="AC121" i="5"/>
  <c r="AC119" i="5"/>
  <c r="AC117" i="5"/>
  <c r="AC115" i="5"/>
  <c r="AC113" i="5"/>
  <c r="AC111" i="5"/>
  <c r="AC109" i="5"/>
  <c r="AC107" i="5"/>
  <c r="AC105" i="5"/>
  <c r="AC103" i="5"/>
  <c r="AC101" i="5"/>
  <c r="AC99" i="5"/>
  <c r="AC97" i="5"/>
  <c r="AC95" i="5"/>
  <c r="AC93" i="5"/>
  <c r="AC91" i="5"/>
  <c r="AC89" i="5"/>
  <c r="AC87" i="5"/>
  <c r="AC85" i="5"/>
  <c r="AC83" i="5"/>
  <c r="AC81" i="5"/>
  <c r="AC79" i="5"/>
  <c r="AC77" i="5"/>
  <c r="AC75" i="5"/>
  <c r="AB659" i="5"/>
  <c r="AB658" i="5"/>
  <c r="AB657" i="5"/>
  <c r="AB656" i="5"/>
  <c r="AB655" i="5"/>
  <c r="AB654" i="5"/>
  <c r="AB653" i="5"/>
  <c r="AB652" i="5"/>
  <c r="AB651" i="5"/>
  <c r="AB650" i="5"/>
  <c r="AB649" i="5"/>
  <c r="AB648" i="5"/>
  <c r="AB647" i="5"/>
  <c r="AB646" i="5"/>
  <c r="AB645" i="5"/>
  <c r="AB644" i="5"/>
  <c r="AB643" i="5"/>
  <c r="AB642" i="5"/>
  <c r="AB641" i="5"/>
  <c r="AB640" i="5"/>
  <c r="AB639" i="5"/>
  <c r="AC660" i="5"/>
  <c r="AC659" i="5"/>
  <c r="AC658" i="5"/>
  <c r="AC657" i="5"/>
  <c r="AC656" i="5"/>
  <c r="AC655" i="5"/>
  <c r="AC654" i="5"/>
  <c r="AC653" i="5"/>
  <c r="AC652" i="5"/>
  <c r="AC651" i="5"/>
  <c r="AC650" i="5"/>
  <c r="AC649" i="5"/>
  <c r="AC648" i="5"/>
  <c r="AC647" i="5"/>
  <c r="AC646" i="5"/>
  <c r="AC645" i="5"/>
  <c r="AC644" i="5"/>
  <c r="AC643" i="5"/>
  <c r="AC642" i="5"/>
  <c r="AC641" i="5"/>
  <c r="AC640" i="5"/>
  <c r="AC639" i="5"/>
  <c r="AC638" i="5"/>
  <c r="AB236" i="5"/>
  <c r="AB234" i="5"/>
  <c r="AB232" i="5"/>
  <c r="AB230" i="5"/>
  <c r="AB228" i="5"/>
  <c r="AB226" i="5"/>
  <c r="AB631" i="5" s="1"/>
  <c r="AC235" i="5"/>
  <c r="AC233" i="5"/>
  <c r="AC231" i="5"/>
  <c r="AC229" i="5"/>
  <c r="AC227" i="5"/>
  <c r="AC631" i="5" s="1"/>
  <c r="L606" i="6"/>
  <c r="L607" i="6"/>
  <c r="L605" i="6"/>
  <c r="L406" i="6"/>
  <c r="L395" i="6"/>
  <c r="L392" i="6"/>
  <c r="L408" i="6"/>
  <c r="L646" i="6" s="1"/>
  <c r="L397" i="6"/>
  <c r="L645" i="6" s="1"/>
  <c r="L393" i="6"/>
  <c r="L176" i="6"/>
  <c r="L174" i="6"/>
  <c r="L175" i="6"/>
  <c r="L173" i="6"/>
  <c r="S44" i="6"/>
  <c r="S40" i="6"/>
  <c r="S615" i="6" s="1"/>
  <c r="S33" i="6"/>
  <c r="S29" i="6"/>
  <c r="S614" i="6" s="1"/>
  <c r="L71" i="6"/>
  <c r="L617" i="6" s="1"/>
  <c r="AC620" i="5" l="1"/>
  <c r="AB621" i="5"/>
  <c r="AB623" i="5"/>
  <c r="AC619" i="5"/>
  <c r="AB632" i="5"/>
  <c r="AC621" i="5"/>
  <c r="AC623" i="5"/>
  <c r="AB624" i="5"/>
  <c r="AB626" i="5"/>
  <c r="AB628" i="5"/>
  <c r="AB630" i="5"/>
  <c r="AB637" i="5"/>
  <c r="AB660" i="5"/>
  <c r="AB662" i="5"/>
  <c r="AB636" i="5"/>
  <c r="AC632" i="5"/>
  <c r="AC622" i="5"/>
  <c r="AB625" i="5"/>
  <c r="AB627" i="5"/>
  <c r="AB629" i="5"/>
  <c r="L626" i="6"/>
  <c r="L644" i="6"/>
</calcChain>
</file>

<file path=xl/sharedStrings.xml><?xml version="1.0" encoding="utf-8"?>
<sst xmlns="http://schemas.openxmlformats.org/spreadsheetml/2006/main" count="255" uniqueCount="101">
  <si>
    <t>WITHOUT NOx</t>
  </si>
  <si>
    <t>WITH NOx</t>
  </si>
  <si>
    <t>Selection</t>
  </si>
  <si>
    <t>Natural Gas</t>
  </si>
  <si>
    <t>WITHOUT SO2 &amp; NOx</t>
  </si>
  <si>
    <t>WITH SO2 &amp; NOx</t>
  </si>
  <si>
    <t>Heavy Oil SO2</t>
  </si>
  <si>
    <t>HIGH PRICES</t>
  </si>
  <si>
    <t>MEDIUM PRICES</t>
  </si>
  <si>
    <t>LOW PRICES</t>
  </si>
  <si>
    <t>Coal</t>
  </si>
  <si>
    <t>Light Oil SO2</t>
  </si>
  <si>
    <t>Heavy Oil</t>
  </si>
  <si>
    <t>Light Oil</t>
  </si>
  <si>
    <t>$/MMBTU</t>
  </si>
  <si>
    <t>MONTH</t>
  </si>
  <si>
    <t>DISPATCH PRICE WITH SO2 &amp; NOx</t>
  </si>
  <si>
    <t>DISPATCH PRICE WITHOUT SO2 &amp; NOx</t>
  </si>
  <si>
    <t>WEIGHTED AVERAGE WITH SO2 &amp; NOx</t>
  </si>
  <si>
    <t>WEIGHTED AVERAGE WITHOUT SO2 &amp; NOx</t>
  </si>
  <si>
    <t>CEDAR BAY</t>
  </si>
  <si>
    <t>ICL</t>
  </si>
  <si>
    <t>ST. JOHNS RIVER POWER PARK</t>
  </si>
  <si>
    <t>PLANT SCHERER UNIT 4</t>
  </si>
  <si>
    <t>HIGH</t>
  </si>
  <si>
    <t>LOW</t>
  </si>
  <si>
    <t xml:space="preserve"> </t>
  </si>
  <si>
    <t>December 03, 2012 - EUGENE UNGAR</t>
  </si>
  <si>
    <t>DESOTO</t>
  </si>
  <si>
    <t>RIVIERA</t>
  </si>
  <si>
    <t>CANAVERAL</t>
  </si>
  <si>
    <t>MARTIN</t>
  </si>
  <si>
    <t>PUTNAM</t>
  </si>
  <si>
    <t>FT MYERS</t>
  </si>
  <si>
    <t>LAUDERDALE</t>
  </si>
  <si>
    <t>PORT EVERGLADES</t>
  </si>
  <si>
    <t>OLEANDER</t>
  </si>
  <si>
    <t>WCEC</t>
  </si>
  <si>
    <t>TURKEY POINT</t>
  </si>
  <si>
    <t>$/BBL.</t>
  </si>
  <si>
    <t>WTI</t>
  </si>
  <si>
    <t>RIVIERA 1%</t>
  </si>
  <si>
    <t>SANFORD 1%</t>
  </si>
  <si>
    <t>INDIAN RIVER &amp; CANAVERAL 1%</t>
  </si>
  <si>
    <r>
      <t>TURKEY POINT 1%</t>
    </r>
    <r>
      <rPr>
        <b/>
        <sz val="14"/>
        <rFont val="Arial"/>
        <family val="2"/>
      </rPr>
      <t>/</t>
    </r>
    <r>
      <rPr>
        <b/>
        <sz val="14"/>
        <color indexed="17"/>
        <rFont val="Arial"/>
        <family val="2"/>
      </rPr>
      <t>0.7%</t>
    </r>
  </si>
  <si>
    <t>MANATEE 1%</t>
  </si>
  <si>
    <t>PORT EVERGLADES 1%</t>
  </si>
  <si>
    <t>MARTIN 1%</t>
  </si>
  <si>
    <t>MARTIN 0.7%</t>
  </si>
  <si>
    <t>MM$</t>
  </si>
  <si>
    <t>WEIGHTED AVERAGE GULFSTREAM FIRM</t>
  </si>
  <si>
    <t>WEIGHTED AVERAGE FGT FIRM</t>
  </si>
  <si>
    <t>UPS REPLACEMENT SUNK DEMAND CHARGE</t>
  </si>
  <si>
    <t>UPS REPLACEMENT DISPATCH PRICE</t>
  </si>
  <si>
    <t>BAY GAS STORAGE DEMAND CHARGE</t>
  </si>
  <si>
    <t>GULF SOUTH</t>
  </si>
  <si>
    <t>TRANSCO 4A</t>
  </si>
  <si>
    <t>SESH</t>
  </si>
  <si>
    <t>GULFSTREAM</t>
  </si>
  <si>
    <t>FGT</t>
  </si>
  <si>
    <t>HENRY HUB</t>
  </si>
  <si>
    <t>GULFSTREAM NON-FIRM BACKHAUL</t>
  </si>
  <si>
    <t>GULFSTREAM NON-FIRM</t>
  </si>
  <si>
    <r>
      <t xml:space="preserve">GULFSTREAM FIRN </t>
    </r>
    <r>
      <rPr>
        <b/>
        <sz val="12"/>
        <color indexed="10"/>
        <rFont val="Arial"/>
        <family val="2"/>
      </rPr>
      <t>TRANSNCO 4A</t>
    </r>
    <r>
      <rPr>
        <b/>
        <sz val="12"/>
        <rFont val="Arial"/>
        <family val="2"/>
      </rPr>
      <t xml:space="preserve"> VOLUMES</t>
    </r>
  </si>
  <si>
    <t>GULFSTREAM FIRM CONTRACTUAL DISPATCH PRICE</t>
  </si>
  <si>
    <r>
      <t xml:space="preserve">GULFSTREAM FIRM </t>
    </r>
    <r>
      <rPr>
        <b/>
        <sz val="12"/>
        <color indexed="12"/>
        <rFont val="Arial"/>
        <family val="2"/>
      </rPr>
      <t xml:space="preserve">GULF SOUTH </t>
    </r>
    <r>
      <rPr>
        <b/>
        <sz val="12"/>
        <rFont val="Arial"/>
        <family val="2"/>
      </rPr>
      <t>DISPATCH PRICE</t>
    </r>
  </si>
  <si>
    <r>
      <t xml:space="preserve">GULFSTREAM FIRM </t>
    </r>
    <r>
      <rPr>
        <b/>
        <sz val="12"/>
        <color indexed="17"/>
        <rFont val="Arial"/>
        <family val="2"/>
      </rPr>
      <t>SESH</t>
    </r>
    <r>
      <rPr>
        <b/>
        <sz val="12"/>
        <rFont val="Arial"/>
        <family val="2"/>
      </rPr>
      <t xml:space="preserve"> DISPATCH PRICE</t>
    </r>
  </si>
  <si>
    <t>FGT NON-FIRM</t>
  </si>
  <si>
    <t>FUTURE GAS PIPELINE</t>
  </si>
  <si>
    <r>
      <t xml:space="preserve">PHASE VIII FGT FIRM FROM </t>
    </r>
    <r>
      <rPr>
        <b/>
        <sz val="12"/>
        <color indexed="17"/>
        <rFont val="Arial"/>
        <family val="2"/>
      </rPr>
      <t>SESH</t>
    </r>
  </si>
  <si>
    <r>
      <t xml:space="preserve">PHASE VIII FGT FIRM FROM </t>
    </r>
    <r>
      <rPr>
        <b/>
        <sz val="12"/>
        <color indexed="10"/>
        <rFont val="Arial"/>
        <family val="2"/>
      </rPr>
      <t>TRANSCO 4A</t>
    </r>
  </si>
  <si>
    <t>PHASE VIII ZONE 3 MOBILE BAY/DESTIN FGT FIRM</t>
  </si>
  <si>
    <r>
      <t xml:space="preserve">ZONE 3 MOBILE BAY/DESTIN FGT FIRM </t>
    </r>
    <r>
      <rPr>
        <b/>
        <sz val="12"/>
        <color indexed="12"/>
        <rFont val="Arial"/>
        <family val="2"/>
      </rPr>
      <t>GULF SOUTH</t>
    </r>
  </si>
  <si>
    <r>
      <t xml:space="preserve">ZONE 3 MOBILE BAY/DESTIN FGT FIRM </t>
    </r>
    <r>
      <rPr>
        <b/>
        <sz val="12"/>
        <color indexed="17"/>
        <rFont val="Arial"/>
        <family val="2"/>
      </rPr>
      <t>SESH</t>
    </r>
  </si>
  <si>
    <t>ZONE 3 MOBILE BAY/DESTIN FGT FIRM</t>
  </si>
  <si>
    <t>ZONE 3 FGT FIRM</t>
  </si>
  <si>
    <t>ZONE 2 FGT FIRM</t>
  </si>
  <si>
    <t>ZONE 1 FGT FIRM</t>
  </si>
  <si>
    <t>FIRM TRANSPORT AND STORAGE CONTRACTS THROUGH FGT PHASE VIII</t>
  </si>
  <si>
    <t>SUNK DEMAND CHARGE FOR ALL CURRENT</t>
  </si>
  <si>
    <t>MMCF/DAY</t>
  </si>
  <si>
    <t>DAYS</t>
  </si>
  <si>
    <t>GULFSTREAM NON-FIRM &amp; NON-FIRM BACKHAUL</t>
  </si>
  <si>
    <t>TOTAL GULFSTREAM FIRM</t>
  </si>
  <si>
    <t>GULFSTREAM FIRM CONTRACTUAL BALANCE</t>
  </si>
  <si>
    <r>
      <t xml:space="preserve">GULFSTREAM FIRM </t>
    </r>
    <r>
      <rPr>
        <b/>
        <sz val="12"/>
        <color indexed="12"/>
        <rFont val="Arial"/>
        <family val="2"/>
      </rPr>
      <t>GULF SOUTH</t>
    </r>
    <r>
      <rPr>
        <b/>
        <sz val="12"/>
        <rFont val="Arial"/>
        <family val="2"/>
      </rPr>
      <t xml:space="preserve"> VOLUMES</t>
    </r>
  </si>
  <si>
    <r>
      <t xml:space="preserve">GULFSTREAM FIRM </t>
    </r>
    <r>
      <rPr>
        <b/>
        <sz val="12"/>
        <color indexed="17"/>
        <rFont val="Arial"/>
        <family val="2"/>
      </rPr>
      <t>SESH</t>
    </r>
    <r>
      <rPr>
        <b/>
        <sz val="12"/>
        <rFont val="Arial"/>
        <family val="2"/>
      </rPr>
      <t xml:space="preserve"> VOLUMES</t>
    </r>
  </si>
  <si>
    <t>TOTAL FGT FIRM</t>
  </si>
  <si>
    <t>PHASE VIII FTS 3</t>
  </si>
  <si>
    <t>FGT FIRM BY ZONE</t>
  </si>
  <si>
    <t>Florida Power &amp; Light Company</t>
  </si>
  <si>
    <t>Docket No. 160154-EI</t>
  </si>
  <si>
    <t>Staff's First Set of Interrogatories</t>
  </si>
  <si>
    <t>Interrogatory No. 2</t>
  </si>
  <si>
    <t>Tab 1 of 6</t>
  </si>
  <si>
    <t>Attachment No. 11</t>
  </si>
  <si>
    <t>Tab 2 of 6</t>
  </si>
  <si>
    <t>Tab 3 of 6</t>
  </si>
  <si>
    <t>Tab 4 of 6</t>
  </si>
  <si>
    <t>Tab 5 of 6</t>
  </si>
  <si>
    <t>Tab 6 of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</si>
</sst>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00"/>
    <numFmt numFmtId="165" formatCode="0_)"/>
    <numFmt numFmtId="166" formatCode="&quot;$&quot;#,##0.00"/>
    <numFmt numFmtId="167" formatCode="[$-409]mmm\-yy;@"/>
    <numFmt numFmtId="168" formatCode="&quot;$&quot;#,##0.0"/>
    <numFmt numFmtId="169" formatCode="&quot;$&quot;#,##0.0_);[Red]\(&quot;$&quot;#,##0.0\)"/>
    <numFmt numFmtId="170" formatCode="&quot;$&quot;#,##0.0000"/>
    <numFmt numFmtId="171" formatCode="0.0"/>
    <numFmt numFmtId="172" formatCode="#,##0.0"/>
  </numFmts>
  <fonts count="19" x14ac:knownFonts="1">
    <font>
      <sz val="12"/>
      <name val="Helv"/>
    </font>
    <font>
      <sz val="12"/>
      <name val="Helv"/>
    </font>
    <font>
      <sz val="12"/>
      <color indexed="12"/>
      <name val="Helv"/>
    </font>
    <font>
      <b/>
      <sz val="12"/>
      <name val="Helv"/>
    </font>
    <font>
      <sz val="10"/>
      <name val="Arial"/>
      <family val="2"/>
    </font>
    <font>
      <sz val="12"/>
      <name val="Arial"/>
      <family val="2"/>
    </font>
    <font>
      <b/>
      <u val="singleAccounting"/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2"/>
      <name val="Arial"/>
      <family val="2"/>
    </font>
    <font>
      <b/>
      <sz val="14"/>
      <name val="Arial"/>
      <family val="2"/>
    </font>
    <font>
      <b/>
      <sz val="14"/>
      <color indexed="17"/>
      <name val="Arial"/>
      <family val="2"/>
    </font>
    <font>
      <sz val="12"/>
      <color indexed="12"/>
      <name val="Arial"/>
      <family val="2"/>
    </font>
    <font>
      <sz val="12"/>
      <color theme="3"/>
      <name val="Arial"/>
      <family val="2"/>
    </font>
    <font>
      <b/>
      <sz val="12"/>
      <color theme="3"/>
      <name val="Arial"/>
      <family val="2"/>
    </font>
    <font>
      <b/>
      <sz val="14"/>
      <color indexed="12"/>
      <name val="Arial"/>
      <family val="2"/>
    </font>
    <font>
      <b/>
      <sz val="12"/>
      <color indexed="10"/>
      <name val="Arial"/>
      <family val="2"/>
    </font>
    <font>
      <b/>
      <sz val="12"/>
      <color indexed="1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164" fontId="0" fillId="0" borderId="0">
      <alignment horizontal="left" wrapText="1"/>
    </xf>
    <xf numFmtId="44" fontId="4" fillId="0" borderId="0" applyFont="0" applyFill="0" applyBorder="0" applyAlignment="0" applyProtection="0"/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0" fontId="4" fillId="0" borderId="0"/>
  </cellStyleXfs>
  <cellXfs count="125">
    <xf numFmtId="164" fontId="0" fillId="0" borderId="0" xfId="0">
      <alignment horizontal="left" wrapText="1"/>
    </xf>
    <xf numFmtId="165" fontId="0" fillId="0" borderId="0" xfId="0" applyNumberFormat="1" applyAlignment="1"/>
    <xf numFmtId="165" fontId="2" fillId="0" borderId="1" xfId="0" quotePrefix="1" applyNumberFormat="1" applyFont="1" applyBorder="1" applyAlignment="1">
      <alignment horizontal="left"/>
    </xf>
    <xf numFmtId="165" fontId="2" fillId="0" borderId="3" xfId="0" quotePrefix="1" applyNumberFormat="1" applyFont="1" applyBorder="1" applyAlignment="1">
      <alignment horizontal="left"/>
    </xf>
    <xf numFmtId="165" fontId="3" fillId="0" borderId="4" xfId="0" applyNumberFormat="1" applyFont="1" applyBorder="1" applyAlignment="1"/>
    <xf numFmtId="165" fontId="2" fillId="0" borderId="1" xfId="0" applyNumberFormat="1" applyFont="1" applyBorder="1" applyAlignment="1"/>
    <xf numFmtId="165" fontId="2" fillId="0" borderId="3" xfId="0" applyNumberFormat="1" applyFont="1" applyBorder="1" applyAlignment="1"/>
    <xf numFmtId="165" fontId="3" fillId="0" borderId="4" xfId="0" quotePrefix="1" applyNumberFormat="1" applyFont="1" applyBorder="1" applyAlignment="1">
      <alignment horizontal="left"/>
    </xf>
    <xf numFmtId="0" fontId="4" fillId="0" borderId="0" xfId="21"/>
    <xf numFmtId="166" fontId="5" fillId="0" borderId="0" xfId="1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 applyAlignment="1"/>
    <xf numFmtId="17" fontId="1" fillId="0" borderId="0" xfId="0" applyNumberFormat="1" applyFont="1" applyAlignment="1">
      <alignment horizontal="center"/>
    </xf>
    <xf numFmtId="17" fontId="0" fillId="0" borderId="0" xfId="0" applyNumberFormat="1" applyAlignment="1">
      <alignment horizontal="center"/>
    </xf>
    <xf numFmtId="167" fontId="5" fillId="0" borderId="0" xfId="0" applyNumberFormat="1" applyFont="1" applyAlignment="1">
      <alignment horizontal="center"/>
    </xf>
    <xf numFmtId="17" fontId="5" fillId="0" borderId="0" xfId="0" applyNumberFormat="1" applyFont="1" applyAlignment="1">
      <alignment horizontal="center"/>
    </xf>
    <xf numFmtId="166" fontId="5" fillId="0" borderId="0" xfId="21" applyNumberFormat="1" applyFont="1" applyAlignment="1">
      <alignment horizontal="center"/>
    </xf>
    <xf numFmtId="44" fontId="6" fillId="0" borderId="0" xfId="1" applyFont="1" applyAlignment="1">
      <alignment horizontal="center"/>
    </xf>
    <xf numFmtId="0" fontId="7" fillId="0" borderId="0" xfId="21" applyFont="1" applyAlignment="1">
      <alignment horizontal="center"/>
    </xf>
    <xf numFmtId="165" fontId="8" fillId="0" borderId="0" xfId="0" quotePrefix="1" applyNumberFormat="1" applyFont="1" applyFill="1" applyAlignment="1">
      <alignment horizontal="center"/>
    </xf>
    <xf numFmtId="165" fontId="8" fillId="0" borderId="0" xfId="0" applyNumberFormat="1" applyFont="1" applyFill="1" applyAlignment="1">
      <alignment horizontal="center"/>
    </xf>
    <xf numFmtId="165" fontId="8" fillId="2" borderId="0" xfId="0" quotePrefix="1" applyNumberFormat="1" applyFont="1" applyFill="1" applyAlignment="1">
      <alignment horizontal="center"/>
    </xf>
    <xf numFmtId="165" fontId="8" fillId="3" borderId="0" xfId="0" quotePrefix="1" applyNumberFormat="1" applyFont="1" applyFill="1" applyAlignment="1">
      <alignment horizontal="center"/>
    </xf>
    <xf numFmtId="165" fontId="8" fillId="4" borderId="0" xfId="0" quotePrefix="1" applyNumberFormat="1" applyFont="1" applyFill="1" applyAlignment="1">
      <alignment horizontal="center"/>
    </xf>
    <xf numFmtId="0" fontId="4" fillId="0" borderId="0" xfId="21" applyFill="1"/>
    <xf numFmtId="165" fontId="8" fillId="2" borderId="0" xfId="0" quotePrefix="1" applyNumberFormat="1" applyFont="1" applyFill="1" applyAlignment="1">
      <alignment horizontal="center" vertical="center" wrapText="1"/>
    </xf>
    <xf numFmtId="165" fontId="8" fillId="3" borderId="0" xfId="0" quotePrefix="1" applyNumberFormat="1" applyFont="1" applyFill="1" applyAlignment="1">
      <alignment horizontal="center" vertical="center" wrapText="1"/>
    </xf>
    <xf numFmtId="165" fontId="8" fillId="4" borderId="0" xfId="0" quotePrefix="1" applyNumberFormat="1" applyFont="1" applyFill="1" applyAlignment="1">
      <alignment horizontal="center" vertical="center" wrapText="1"/>
    </xf>
    <xf numFmtId="0" fontId="9" fillId="0" borderId="0" xfId="21" applyFont="1"/>
    <xf numFmtId="10" fontId="8" fillId="7" borderId="0" xfId="21" quotePrefix="1" applyNumberFormat="1" applyFont="1" applyFill="1" applyAlignment="1">
      <alignment horizontal="center"/>
    </xf>
    <xf numFmtId="15" fontId="8" fillId="7" borderId="0" xfId="21" applyNumberFormat="1" applyFont="1" applyFill="1" applyAlignment="1">
      <alignment horizontal="left"/>
    </xf>
    <xf numFmtId="15" fontId="8" fillId="0" borderId="0" xfId="21" quotePrefix="1" applyNumberFormat="1" applyFont="1" applyAlignment="1">
      <alignment horizontal="left"/>
    </xf>
    <xf numFmtId="0" fontId="4" fillId="0" borderId="0" xfId="21" applyAlignment="1">
      <alignment horizontal="center"/>
    </xf>
    <xf numFmtId="8" fontId="4" fillId="0" borderId="0" xfId="21" applyNumberFormat="1"/>
    <xf numFmtId="0" fontId="4" fillId="0" borderId="0" xfId="21" applyAlignment="1">
      <alignment horizontal="center" wrapText="1"/>
    </xf>
    <xf numFmtId="0" fontId="8" fillId="0" borderId="0" xfId="21" applyFont="1" applyAlignment="1">
      <alignment horizontal="center" wrapText="1"/>
    </xf>
    <xf numFmtId="0" fontId="7" fillId="0" borderId="0" xfId="21" applyFont="1" applyAlignment="1">
      <alignment horizontal="center" wrapText="1"/>
    </xf>
    <xf numFmtId="0" fontId="8" fillId="0" borderId="0" xfId="21" quotePrefix="1" applyFont="1" applyAlignment="1">
      <alignment horizontal="center" wrapText="1"/>
    </xf>
    <xf numFmtId="10" fontId="10" fillId="7" borderId="0" xfId="21" applyNumberFormat="1" applyFont="1" applyFill="1" applyAlignment="1">
      <alignment horizontal="center"/>
    </xf>
    <xf numFmtId="0" fontId="8" fillId="7" borderId="0" xfId="21" applyFont="1" applyFill="1" applyAlignment="1">
      <alignment horizontal="center"/>
    </xf>
    <xf numFmtId="166" fontId="8" fillId="0" borderId="0" xfId="21" applyNumberFormat="1" applyFont="1" applyFill="1" applyAlignment="1">
      <alignment horizontal="center"/>
    </xf>
    <xf numFmtId="15" fontId="8" fillId="0" borderId="0" xfId="21" applyNumberFormat="1" applyFont="1" applyAlignment="1">
      <alignment horizontal="left"/>
    </xf>
    <xf numFmtId="0" fontId="5" fillId="0" borderId="0" xfId="21" applyFont="1" applyAlignment="1">
      <alignment horizontal="center"/>
    </xf>
    <xf numFmtId="8" fontId="5" fillId="0" borderId="0" xfId="21" applyNumberFormat="1" applyFont="1" applyAlignment="1">
      <alignment horizontal="center"/>
    </xf>
    <xf numFmtId="166" fontId="5" fillId="6" borderId="0" xfId="21" applyNumberFormat="1" applyFont="1" applyFill="1" applyAlignment="1">
      <alignment horizontal="center"/>
    </xf>
    <xf numFmtId="15" fontId="8" fillId="0" borderId="0" xfId="21" applyNumberFormat="1" applyFont="1" applyFill="1" applyAlignment="1">
      <alignment horizontal="left"/>
    </xf>
    <xf numFmtId="0" fontId="4" fillId="0" borderId="0" xfId="21" applyFill="1" applyAlignment="1">
      <alignment horizontal="center"/>
    </xf>
    <xf numFmtId="166" fontId="5" fillId="3" borderId="0" xfId="21" applyNumberFormat="1" applyFont="1" applyFill="1" applyAlignment="1">
      <alignment horizontal="center"/>
    </xf>
    <xf numFmtId="168" fontId="4" fillId="0" borderId="0" xfId="21" applyNumberFormat="1"/>
    <xf numFmtId="166" fontId="4" fillId="0" borderId="0" xfId="21" applyNumberFormat="1"/>
    <xf numFmtId="168" fontId="5" fillId="0" borderId="0" xfId="21" applyNumberFormat="1" applyFont="1" applyAlignment="1">
      <alignment horizontal="center"/>
    </xf>
    <xf numFmtId="166" fontId="8" fillId="5" borderId="0" xfId="21" applyNumberFormat="1" applyFont="1" applyFill="1" applyAlignment="1">
      <alignment horizontal="center"/>
    </xf>
    <xf numFmtId="168" fontId="5" fillId="0" borderId="0" xfId="21" applyNumberFormat="1" applyFont="1"/>
    <xf numFmtId="166" fontId="5" fillId="0" borderId="0" xfId="21" applyNumberFormat="1" applyFont="1"/>
    <xf numFmtId="168" fontId="13" fillId="0" borderId="0" xfId="21" applyNumberFormat="1" applyFont="1" applyAlignment="1">
      <alignment horizontal="center"/>
    </xf>
    <xf numFmtId="169" fontId="5" fillId="0" borderId="0" xfId="21" applyNumberFormat="1" applyFont="1" applyAlignment="1">
      <alignment horizontal="center"/>
    </xf>
    <xf numFmtId="169" fontId="5" fillId="5" borderId="0" xfId="21" applyNumberFormat="1" applyFont="1" applyFill="1" applyAlignment="1">
      <alignment horizontal="center"/>
    </xf>
    <xf numFmtId="166" fontId="5" fillId="5" borderId="0" xfId="21" applyNumberFormat="1" applyFont="1" applyFill="1" applyAlignment="1">
      <alignment horizontal="center"/>
    </xf>
    <xf numFmtId="166" fontId="14" fillId="6" borderId="0" xfId="21" applyNumberFormat="1" applyFont="1" applyFill="1" applyAlignment="1">
      <alignment horizontal="center"/>
    </xf>
    <xf numFmtId="166" fontId="14" fillId="3" borderId="0" xfId="21" applyNumberFormat="1" applyFont="1" applyFill="1" applyAlignment="1">
      <alignment horizontal="center"/>
    </xf>
    <xf numFmtId="168" fontId="14" fillId="0" borderId="0" xfId="21" applyNumberFormat="1" applyFont="1" applyAlignment="1">
      <alignment horizontal="center"/>
    </xf>
    <xf numFmtId="166" fontId="14" fillId="0" borderId="0" xfId="21" applyNumberFormat="1" applyFont="1" applyAlignment="1">
      <alignment horizontal="center"/>
    </xf>
    <xf numFmtId="169" fontId="14" fillId="0" borderId="0" xfId="21" applyNumberFormat="1" applyFont="1" applyAlignment="1">
      <alignment horizontal="center"/>
    </xf>
    <xf numFmtId="166" fontId="15" fillId="5" borderId="0" xfId="21" applyNumberFormat="1" applyFont="1" applyFill="1" applyAlignment="1">
      <alignment horizontal="center"/>
    </xf>
    <xf numFmtId="166" fontId="13" fillId="6" borderId="0" xfId="21" applyNumberFormat="1" applyFont="1" applyFill="1" applyAlignment="1">
      <alignment horizontal="center"/>
    </xf>
    <xf numFmtId="166" fontId="13" fillId="3" borderId="0" xfId="21" applyNumberFormat="1" applyFont="1" applyFill="1" applyAlignment="1">
      <alignment horizontal="center"/>
    </xf>
    <xf numFmtId="166" fontId="13" fillId="0" borderId="0" xfId="21" applyNumberFormat="1" applyFont="1" applyAlignment="1">
      <alignment horizontal="center"/>
    </xf>
    <xf numFmtId="169" fontId="13" fillId="0" borderId="0" xfId="21" applyNumberFormat="1" applyFont="1" applyAlignment="1">
      <alignment horizontal="center"/>
    </xf>
    <xf numFmtId="170" fontId="16" fillId="5" borderId="0" xfId="21" applyNumberFormat="1" applyFont="1" applyFill="1" applyAlignment="1">
      <alignment horizontal="center"/>
    </xf>
    <xf numFmtId="166" fontId="13" fillId="0" borderId="0" xfId="21" applyNumberFormat="1" applyFont="1" applyFill="1" applyAlignment="1">
      <alignment horizontal="center"/>
    </xf>
    <xf numFmtId="166" fontId="10" fillId="5" borderId="0" xfId="21" applyNumberFormat="1" applyFont="1" applyFill="1" applyAlignment="1">
      <alignment horizontal="center"/>
    </xf>
    <xf numFmtId="166" fontId="13" fillId="5" borderId="0" xfId="21" applyNumberFormat="1" applyFont="1" applyFill="1" applyAlignment="1">
      <alignment horizontal="center"/>
    </xf>
    <xf numFmtId="0" fontId="8" fillId="6" borderId="0" xfId="21" applyFont="1" applyFill="1" applyAlignment="1">
      <alignment horizontal="center" wrapText="1"/>
    </xf>
    <xf numFmtId="0" fontId="8" fillId="3" borderId="0" xfId="21" applyFont="1" applyFill="1" applyAlignment="1">
      <alignment horizontal="center" wrapText="1"/>
    </xf>
    <xf numFmtId="0" fontId="8" fillId="5" borderId="0" xfId="21" applyFont="1" applyFill="1" applyAlignment="1">
      <alignment horizontal="center" wrapText="1"/>
    </xf>
    <xf numFmtId="0" fontId="8" fillId="6" borderId="0" xfId="21" quotePrefix="1" applyFont="1" applyFill="1" applyAlignment="1">
      <alignment horizontal="center" wrapText="1"/>
    </xf>
    <xf numFmtId="0" fontId="8" fillId="2" borderId="0" xfId="21" quotePrefix="1" applyFont="1" applyFill="1" applyAlignment="1">
      <alignment horizontal="center" wrapText="1"/>
    </xf>
    <xf numFmtId="0" fontId="8" fillId="3" borderId="0" xfId="21" quotePrefix="1" applyFont="1" applyFill="1" applyAlignment="1">
      <alignment horizontal="center" wrapText="1"/>
    </xf>
    <xf numFmtId="0" fontId="8" fillId="0" borderId="0" xfId="21" applyFont="1" applyAlignment="1">
      <alignment horizontal="center"/>
    </xf>
    <xf numFmtId="10" fontId="8" fillId="0" borderId="0" xfId="21" applyNumberFormat="1" applyFont="1" applyFill="1" applyAlignment="1">
      <alignment horizontal="center"/>
    </xf>
    <xf numFmtId="0" fontId="8" fillId="0" borderId="0" xfId="21" applyFont="1" applyFill="1" applyAlignment="1">
      <alignment horizontal="center"/>
    </xf>
    <xf numFmtId="10" fontId="8" fillId="7" borderId="0" xfId="21" applyNumberFormat="1" applyFont="1" applyFill="1" applyAlignment="1">
      <alignment horizontal="center"/>
    </xf>
    <xf numFmtId="1" fontId="4" fillId="0" borderId="0" xfId="21" applyNumberFormat="1" applyAlignment="1">
      <alignment horizontal="center"/>
    </xf>
    <xf numFmtId="1" fontId="4" fillId="0" borderId="0" xfId="21" applyNumberFormat="1"/>
    <xf numFmtId="1" fontId="5" fillId="0" borderId="0" xfId="21" applyNumberFormat="1" applyFont="1" applyAlignment="1">
      <alignment horizontal="center"/>
    </xf>
    <xf numFmtId="171" fontId="8" fillId="5" borderId="0" xfId="21" applyNumberFormat="1" applyFont="1" applyFill="1" applyAlignment="1">
      <alignment horizontal="center"/>
    </xf>
    <xf numFmtId="1" fontId="5" fillId="0" borderId="0" xfId="21" applyNumberFormat="1" applyFont="1" applyFill="1" applyAlignment="1">
      <alignment horizontal="center"/>
    </xf>
    <xf numFmtId="3" fontId="5" fillId="0" borderId="0" xfId="21" applyNumberFormat="1" applyFont="1" applyAlignment="1">
      <alignment horizontal="center"/>
    </xf>
    <xf numFmtId="3" fontId="5" fillId="0" borderId="0" xfId="21" applyNumberFormat="1" applyFont="1" applyFill="1" applyAlignment="1">
      <alignment horizontal="center"/>
    </xf>
    <xf numFmtId="172" fontId="8" fillId="5" borderId="0" xfId="21" applyNumberFormat="1" applyFont="1" applyFill="1" applyAlignment="1">
      <alignment horizontal="center"/>
    </xf>
    <xf numFmtId="3" fontId="5" fillId="5" borderId="0" xfId="21" applyNumberFormat="1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1" fontId="5" fillId="0" borderId="0" xfId="0" applyNumberFormat="1" applyFont="1" applyAlignment="1"/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5" fillId="0" borderId="0" xfId="0" applyNumberFormat="1" applyFont="1" applyAlignment="1">
      <alignment horizontal="center"/>
    </xf>
    <xf numFmtId="1" fontId="8" fillId="5" borderId="0" xfId="21" applyNumberFormat="1" applyFont="1" applyFill="1" applyAlignment="1">
      <alignment horizontal="center"/>
    </xf>
    <xf numFmtId="1" fontId="5" fillId="5" borderId="0" xfId="21" applyNumberFormat="1" applyFont="1" applyFill="1" applyAlignment="1">
      <alignment horizontal="center"/>
    </xf>
    <xf numFmtId="0" fontId="7" fillId="5" borderId="0" xfId="21" applyFont="1" applyFill="1" applyAlignment="1">
      <alignment horizontal="center" wrapText="1"/>
    </xf>
    <xf numFmtId="0" fontId="8" fillId="2" borderId="0" xfId="21" applyFont="1" applyFill="1" applyAlignment="1">
      <alignment horizontal="center" wrapText="1"/>
    </xf>
    <xf numFmtId="0" fontId="5" fillId="0" borderId="0" xfId="21" applyFont="1" applyAlignment="1">
      <alignment horizontal="center" wrapText="1"/>
    </xf>
    <xf numFmtId="0" fontId="8" fillId="0" borderId="0" xfId="21" quotePrefix="1" applyFont="1" applyFill="1" applyAlignment="1">
      <alignment horizontal="center"/>
    </xf>
    <xf numFmtId="0" fontId="8" fillId="0" borderId="0" xfId="21" applyFont="1" applyFill="1" applyAlignment="1"/>
    <xf numFmtId="0" fontId="8" fillId="4" borderId="0" xfId="21" applyFont="1" applyFill="1" applyAlignment="1">
      <alignment horizontal="center"/>
    </xf>
    <xf numFmtId="0" fontId="8" fillId="6" borderId="0" xfId="21" quotePrefix="1" applyFont="1" applyFill="1" applyAlignment="1">
      <alignment horizontal="center"/>
    </xf>
    <xf numFmtId="0" fontId="8" fillId="0" borderId="0" xfId="21" quotePrefix="1" applyFont="1" applyFill="1" applyAlignment="1">
      <alignment horizontal="center"/>
    </xf>
    <xf numFmtId="165" fontId="0" fillId="0" borderId="0" xfId="0" applyNumberFormat="1" applyFill="1" applyAlignment="1"/>
    <xf numFmtId="165" fontId="3" fillId="0" borderId="4" xfId="0" applyNumberFormat="1" applyFont="1" applyFill="1" applyBorder="1" applyAlignment="1"/>
    <xf numFmtId="0" fontId="8" fillId="0" borderId="0" xfId="21" applyFont="1" applyFill="1"/>
    <xf numFmtId="15" fontId="8" fillId="0" borderId="0" xfId="21" quotePrefix="1" applyNumberFormat="1" applyFont="1" applyFill="1" applyAlignment="1">
      <alignment horizontal="left"/>
    </xf>
    <xf numFmtId="0" fontId="9" fillId="0" borderId="0" xfId="21" applyFont="1" applyFill="1"/>
    <xf numFmtId="165" fontId="3" fillId="0" borderId="0" xfId="0" applyNumberFormat="1" applyFont="1" applyAlignment="1">
      <alignment horizontal="left"/>
    </xf>
    <xf numFmtId="165" fontId="2" fillId="0" borderId="2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8" fillId="6" borderId="0" xfId="0" quotePrefix="1" applyNumberFormat="1" applyFont="1" applyFill="1" applyAlignment="1">
      <alignment horizontal="center"/>
    </xf>
    <xf numFmtId="0" fontId="8" fillId="0" borderId="0" xfId="21" applyFont="1" applyAlignment="1">
      <alignment horizontal="center"/>
    </xf>
    <xf numFmtId="0" fontId="8" fillId="5" borderId="0" xfId="21" quotePrefix="1" applyFont="1" applyFill="1" applyAlignment="1">
      <alignment horizontal="center"/>
    </xf>
    <xf numFmtId="0" fontId="8" fillId="5" borderId="0" xfId="21" applyFont="1" applyFill="1" applyAlignment="1">
      <alignment horizontal="center"/>
    </xf>
    <xf numFmtId="0" fontId="8" fillId="6" borderId="0" xfId="21" applyFont="1" applyFill="1" applyAlignment="1">
      <alignment horizontal="center"/>
    </xf>
    <xf numFmtId="0" fontId="8" fillId="6" borderId="0" xfId="21" quotePrefix="1" applyFont="1" applyFill="1" applyAlignment="1">
      <alignment horizontal="center"/>
    </xf>
    <xf numFmtId="0" fontId="8" fillId="0" borderId="0" xfId="21" quotePrefix="1" applyFont="1" applyFill="1" applyAlignment="1">
      <alignment horizontal="center"/>
    </xf>
    <xf numFmtId="0" fontId="8" fillId="4" borderId="0" xfId="21" quotePrefix="1" applyFont="1" applyFill="1" applyAlignment="1">
      <alignment horizontal="center"/>
    </xf>
    <xf numFmtId="0" fontId="8" fillId="4" borderId="0" xfId="21" applyFont="1" applyFill="1" applyAlignment="1">
      <alignment horizontal="center"/>
    </xf>
  </cellXfs>
  <cellStyles count="22">
    <cellStyle name="_CC Oil" xfId="2"/>
    <cellStyle name="_DSO Oil" xfId="3"/>
    <cellStyle name="_FLCC Oil" xfId="4"/>
    <cellStyle name="_FLPEGT Oil" xfId="5"/>
    <cellStyle name="_FMCT Oil" xfId="6"/>
    <cellStyle name="_GTDW_DataTemplate" xfId="7"/>
    <cellStyle name="_Gulfstream Gas" xfId="8"/>
    <cellStyle name="_MR .7 Oil" xfId="9"/>
    <cellStyle name="_MR 1 Oil" xfId="10"/>
    <cellStyle name="_MRCT Oil" xfId="11"/>
    <cellStyle name="_MT Gulfstream Gas" xfId="12"/>
    <cellStyle name="_MT Oil" xfId="13"/>
    <cellStyle name="_OLCT Oil" xfId="14"/>
    <cellStyle name="_PE Oil" xfId="15"/>
    <cellStyle name="_PN Oil" xfId="16"/>
    <cellStyle name="_RV Oil" xfId="17"/>
    <cellStyle name="_SHCT Oil" xfId="18"/>
    <cellStyle name="_SN Oil" xfId="19"/>
    <cellStyle name="_TP Oil" xfId="20"/>
    <cellStyle name="Currency" xfId="1" builtinId="4"/>
    <cellStyle name="Normal" xfId="0" builtinId="0"/>
    <cellStyle name="Normal_060415 RAP Fuel Price Forecast Template - Case 1 (Historical Spread)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8" fmlaLink="CONTROL!$C$32" fmlaRange="CONTROL!$B$32:$B$34" sel="2" val="0"/>
</file>

<file path=xl/ctrlProps/ctrlProp2.xml><?xml version="1.0" encoding="utf-8"?>
<formControlPr xmlns="http://schemas.microsoft.com/office/spreadsheetml/2009/9/main" objectType="Drop" dropLines="3" dropStyle="combo" dx="18" fmlaLink="CONTROL!$C$9" fmlaRange="CONTROL!$B$9:$B$11" sel="2" val="0"/>
</file>

<file path=xl/ctrlProps/ctrlProp3.xml><?xml version="1.0" encoding="utf-8"?>
<formControlPr xmlns="http://schemas.microsoft.com/office/spreadsheetml/2009/9/main" objectType="Drop" dropLines="2" dropStyle="combo" dx="18" fmlaLink="CONTROL!$C$27" fmlaRange="CONTROL!$B$27:$B$28" val="0"/>
</file>

<file path=xl/ctrlProps/ctrlProp4.xml><?xml version="1.0" encoding="utf-8"?>
<formControlPr xmlns="http://schemas.microsoft.com/office/spreadsheetml/2009/9/main" objectType="Drop" dropLines="3" dropStyle="combo" dx="18" fmlaLink="CONTROL!$C$15" fmlaRange="CONTROL!$B$15:$B$17" sel="2" val="0"/>
</file>

<file path=xl/ctrlProps/ctrlProp5.xml><?xml version="1.0" encoding="utf-8"?>
<formControlPr xmlns="http://schemas.microsoft.com/office/spreadsheetml/2009/9/main" objectType="Drop" dropLines="2" dropStyle="combo" dx="18" fmlaLink="CONTROL!$C$38" fmlaRange="CONTROL!$B$38:$B$39" val="0"/>
</file>

<file path=xl/ctrlProps/ctrlProp6.xml><?xml version="1.0" encoding="utf-8"?>
<formControlPr xmlns="http://schemas.microsoft.com/office/spreadsheetml/2009/9/main" objectType="Drop" dropLines="3" dropStyle="combo" dx="18" fmlaLink="CONTROL!$C$21" fmlaRange="CONTROL!$B$21:$B$23" sel="2" val="0"/>
</file>

<file path=xl/ctrlProps/ctrlProp7.xml><?xml version="1.0" encoding="utf-8"?>
<formControlPr xmlns="http://schemas.microsoft.com/office/spreadsheetml/2009/9/main" objectType="Drop" dropLines="2" dropStyle="combo" dx="18" fmlaLink="CONTROL!$C$42" fmlaRange="CONTROL!$B$42:$B$43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7</xdr:row>
          <xdr:rowOff>28575</xdr:rowOff>
        </xdr:from>
        <xdr:to>
          <xdr:col>6</xdr:col>
          <xdr:colOff>381000</xdr:colOff>
          <xdr:row>8</xdr:row>
          <xdr:rowOff>95250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7</xdr:row>
          <xdr:rowOff>85725</xdr:rowOff>
        </xdr:from>
        <xdr:to>
          <xdr:col>7</xdr:col>
          <xdr:colOff>104775</xdr:colOff>
          <xdr:row>8</xdr:row>
          <xdr:rowOff>171450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7</xdr:row>
          <xdr:rowOff>114300</xdr:rowOff>
        </xdr:from>
        <xdr:to>
          <xdr:col>8</xdr:col>
          <xdr:colOff>295275</xdr:colOff>
          <xdr:row>9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7</xdr:row>
          <xdr:rowOff>180975</xdr:rowOff>
        </xdr:from>
        <xdr:to>
          <xdr:col>8</xdr:col>
          <xdr:colOff>342900</xdr:colOff>
          <xdr:row>9</xdr:row>
          <xdr:rowOff>85725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476250</xdr:colOff>
          <xdr:row>7</xdr:row>
          <xdr:rowOff>180975</xdr:rowOff>
        </xdr:from>
        <xdr:to>
          <xdr:col>9</xdr:col>
          <xdr:colOff>609600</xdr:colOff>
          <xdr:row>9</xdr:row>
          <xdr:rowOff>85725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7</xdr:row>
          <xdr:rowOff>85725</xdr:rowOff>
        </xdr:from>
        <xdr:to>
          <xdr:col>8</xdr:col>
          <xdr:colOff>600075</xdr:colOff>
          <xdr:row>8</xdr:row>
          <xdr:rowOff>171450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7</xdr:row>
          <xdr:rowOff>180975</xdr:rowOff>
        </xdr:from>
        <xdr:to>
          <xdr:col>12</xdr:col>
          <xdr:colOff>323850</xdr:colOff>
          <xdr:row>9</xdr:row>
          <xdr:rowOff>76200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exu0ocl\040609%20FUEL%20COST%20RECOVERY%20-%20IRP%20SHORT%20&amp;%20LONG-TERM%20FOSSIL%20FUEL%20PRICE%20FORECA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uel%20Forecasts/Monthly%20Updates/2012/121203%202012%20-%202061%20LONG-TERM%20FORECAST%20FPL%20METHODOLOGY%20-%20To%20Delet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%20Analys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REG\GenTrader%20Data\Weekly%20Long%20Run\040914\Inputs\GTDW_Data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_Setup_"/>
      <sheetName val="PIRA - LONG TERM OIL BACKUP"/>
      <sheetName val="PIRA - LONG TERM GAS BACKUP"/>
      <sheetName val="OIL &amp; GAS SEASONALITY"/>
      <sheetName val="DISTILLATE &amp; RESIDUAL FUEL OIL"/>
      <sheetName val="FGT NON-FIRM"/>
      <sheetName val="FGT PRIMARY FIRM ZONE 1"/>
      <sheetName val="FGT PRIMARY FIRM ZONE 2"/>
      <sheetName val="FGT PRIMARY FIRM ZONE 3"/>
      <sheetName val="FGT FIRM ZONE 3 MOBILE BAY-DES"/>
      <sheetName val="FTS 3  FIRM ZONE 3 MOBILE BAY-D"/>
      <sheetName val="TRANSCO 4A LATERAL TO FTS 3"/>
      <sheetName val="TRANSCO 4 LATERAL TO GULFSTREAM"/>
      <sheetName val="SESH TO FGT FIRM ZONE 3 MOB BAY"/>
      <sheetName val="SESH TO FTS 3"/>
      <sheetName val="SESH TO GULFSTREAM"/>
      <sheetName val="GULFSTREAM FIRM "/>
      <sheetName val="GULFSTREAM NON-FIRM"/>
      <sheetName val="GULFSTREAM NON-FIRM  BACKHAUL "/>
      <sheetName val="UPS REPLACEMENT"/>
      <sheetName val="FUTURE GAS PIPELINE"/>
      <sheetName val="Upload"/>
      <sheetName val="MOST LIKELY COAL &amp; PET COKE"/>
      <sheetName val="GULF SOUTH TO FGT Z3 MOBILE BAY"/>
      <sheetName val="GULF SOUTH TO GULFSTRE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C43"/>
  <sheetViews>
    <sheetView showGridLines="0" tabSelected="1" workbookViewId="0">
      <selection activeCell="A6" sqref="A6"/>
    </sheetView>
  </sheetViews>
  <sheetFormatPr defaultColWidth="8.88671875" defaultRowHeight="15.75" x14ac:dyDescent="0.25"/>
  <cols>
    <col min="1" max="1" width="8.88671875" style="1"/>
    <col min="2" max="2" width="15.5546875" style="1" bestFit="1" customWidth="1"/>
    <col min="3" max="3" width="9.5546875" style="1" bestFit="1" customWidth="1"/>
    <col min="4" max="16384" width="8.88671875" style="1"/>
  </cols>
  <sheetData>
    <row r="1" spans="1:3" x14ac:dyDescent="0.25">
      <c r="A1" s="112" t="s">
        <v>90</v>
      </c>
    </row>
    <row r="2" spans="1:3" x14ac:dyDescent="0.25">
      <c r="A2" s="112" t="s">
        <v>91</v>
      </c>
    </row>
    <row r="3" spans="1:3" x14ac:dyDescent="0.25">
      <c r="A3" s="112" t="s">
        <v>92</v>
      </c>
    </row>
    <row r="4" spans="1:3" x14ac:dyDescent="0.25">
      <c r="A4" s="112" t="s">
        <v>93</v>
      </c>
    </row>
    <row r="5" spans="1:3" s="107" customFormat="1" x14ac:dyDescent="0.25">
      <c r="A5" s="112" t="s">
        <v>95</v>
      </c>
    </row>
    <row r="6" spans="1:3" s="107" customFormat="1" x14ac:dyDescent="0.25">
      <c r="A6" s="112" t="s">
        <v>94</v>
      </c>
    </row>
    <row r="7" spans="1:3" s="107" customFormat="1" x14ac:dyDescent="0.25"/>
    <row r="8" spans="1:3" s="107" customFormat="1" x14ac:dyDescent="0.25">
      <c r="B8" s="108" t="s">
        <v>13</v>
      </c>
      <c r="C8" s="108" t="s">
        <v>2</v>
      </c>
    </row>
    <row r="9" spans="1:3" x14ac:dyDescent="0.25">
      <c r="B9" s="6" t="s">
        <v>9</v>
      </c>
      <c r="C9" s="113">
        <v>2</v>
      </c>
    </row>
    <row r="10" spans="1:3" x14ac:dyDescent="0.25">
      <c r="B10" s="6" t="s">
        <v>8</v>
      </c>
      <c r="C10" s="115"/>
    </row>
    <row r="11" spans="1:3" x14ac:dyDescent="0.25">
      <c r="B11" s="5" t="s">
        <v>7</v>
      </c>
      <c r="C11" s="114"/>
    </row>
    <row r="14" spans="1:3" x14ac:dyDescent="0.25">
      <c r="B14" s="4" t="s">
        <v>12</v>
      </c>
      <c r="C14" s="4" t="s">
        <v>2</v>
      </c>
    </row>
    <row r="15" spans="1:3" x14ac:dyDescent="0.25">
      <c r="B15" s="6" t="s">
        <v>9</v>
      </c>
      <c r="C15" s="113">
        <v>2</v>
      </c>
    </row>
    <row r="16" spans="1:3" x14ac:dyDescent="0.25">
      <c r="B16" s="6" t="s">
        <v>8</v>
      </c>
      <c r="C16" s="115"/>
    </row>
    <row r="17" spans="2:3" x14ac:dyDescent="0.25">
      <c r="B17" s="5" t="s">
        <v>7</v>
      </c>
      <c r="C17" s="114"/>
    </row>
    <row r="20" spans="2:3" x14ac:dyDescent="0.25">
      <c r="B20" s="4" t="s">
        <v>3</v>
      </c>
      <c r="C20" s="4" t="s">
        <v>2</v>
      </c>
    </row>
    <row r="21" spans="2:3" x14ac:dyDescent="0.25">
      <c r="B21" s="6" t="s">
        <v>9</v>
      </c>
      <c r="C21" s="113">
        <v>2</v>
      </c>
    </row>
    <row r="22" spans="2:3" x14ac:dyDescent="0.25">
      <c r="B22" s="6" t="s">
        <v>8</v>
      </c>
      <c r="C22" s="115"/>
    </row>
    <row r="23" spans="2:3" x14ac:dyDescent="0.25">
      <c r="B23" s="5" t="s">
        <v>7</v>
      </c>
      <c r="C23" s="114"/>
    </row>
    <row r="26" spans="2:3" x14ac:dyDescent="0.25">
      <c r="B26" s="7" t="s">
        <v>11</v>
      </c>
      <c r="C26" s="7" t="s">
        <v>2</v>
      </c>
    </row>
    <row r="27" spans="2:3" x14ac:dyDescent="0.25">
      <c r="B27" s="3" t="s">
        <v>5</v>
      </c>
      <c r="C27" s="113">
        <v>1</v>
      </c>
    </row>
    <row r="28" spans="2:3" x14ac:dyDescent="0.25">
      <c r="B28" s="2" t="s">
        <v>4</v>
      </c>
      <c r="C28" s="114"/>
    </row>
    <row r="31" spans="2:3" x14ac:dyDescent="0.25">
      <c r="B31" s="4" t="s">
        <v>10</v>
      </c>
      <c r="C31" s="4" t="s">
        <v>2</v>
      </c>
    </row>
    <row r="32" spans="2:3" x14ac:dyDescent="0.25">
      <c r="B32" s="6" t="s">
        <v>9</v>
      </c>
      <c r="C32" s="113">
        <v>2</v>
      </c>
    </row>
    <row r="33" spans="2:3" x14ac:dyDescent="0.25">
      <c r="B33" s="6" t="s">
        <v>8</v>
      </c>
      <c r="C33" s="115"/>
    </row>
    <row r="34" spans="2:3" x14ac:dyDescent="0.25">
      <c r="B34" s="5" t="s">
        <v>7</v>
      </c>
      <c r="C34" s="114"/>
    </row>
    <row r="37" spans="2:3" x14ac:dyDescent="0.25">
      <c r="B37" s="4" t="s">
        <v>6</v>
      </c>
      <c r="C37" s="4" t="s">
        <v>2</v>
      </c>
    </row>
    <row r="38" spans="2:3" x14ac:dyDescent="0.25">
      <c r="B38" s="3" t="s">
        <v>5</v>
      </c>
      <c r="C38" s="113">
        <v>1</v>
      </c>
    </row>
    <row r="39" spans="2:3" x14ac:dyDescent="0.25">
      <c r="B39" s="2" t="s">
        <v>4</v>
      </c>
      <c r="C39" s="114"/>
    </row>
    <row r="41" spans="2:3" x14ac:dyDescent="0.25">
      <c r="B41" s="4" t="s">
        <v>3</v>
      </c>
      <c r="C41" s="4" t="s">
        <v>2</v>
      </c>
    </row>
    <row r="42" spans="2:3" x14ac:dyDescent="0.25">
      <c r="B42" s="3" t="s">
        <v>1</v>
      </c>
      <c r="C42" s="113">
        <v>1</v>
      </c>
    </row>
    <row r="43" spans="2:3" x14ac:dyDescent="0.25">
      <c r="B43" s="2" t="s">
        <v>0</v>
      </c>
      <c r="C43" s="114"/>
    </row>
  </sheetData>
  <mergeCells count="7">
    <mergeCell ref="C42:C43"/>
    <mergeCell ref="C32:C34"/>
    <mergeCell ref="C38:C39"/>
    <mergeCell ref="C9:C11"/>
    <mergeCell ref="C15:C17"/>
    <mergeCell ref="C21:C23"/>
    <mergeCell ref="C27:C28"/>
  </mergeCells>
  <pageMargins left="0.5" right="0.25" top="0.5" bottom="0.5" header="0.25" footer="0.25"/>
  <pageSetup scale="70" orientation="landscape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S665"/>
  <sheetViews>
    <sheetView zoomScale="70" zoomScaleNormal="70" workbookViewId="0">
      <pane xSplit="1" ySplit="13" topLeftCell="B14" activePane="bottomRight" state="frozen"/>
      <selection activeCell="A7" sqref="A7"/>
      <selection pane="topRight" activeCell="A7" sqref="A7"/>
      <selection pane="bottomLeft" activeCell="A7" sqref="A7"/>
      <selection pane="bottomRight" activeCell="B14" sqref="B14"/>
    </sheetView>
  </sheetViews>
  <sheetFormatPr defaultColWidth="7.109375" defaultRowHeight="12.75" x14ac:dyDescent="0.2"/>
  <cols>
    <col min="1" max="1" width="14.5546875" style="8" customWidth="1"/>
    <col min="2" max="2" width="19" style="8" customWidth="1"/>
    <col min="3" max="3" width="16.109375" style="8" customWidth="1"/>
    <col min="4" max="4" width="20.21875" style="8" customWidth="1"/>
    <col min="5" max="5" width="20.6640625" style="8" customWidth="1"/>
    <col min="6" max="6" width="16.109375" style="8" customWidth="1"/>
    <col min="7" max="9" width="20" style="8" customWidth="1"/>
    <col min="10" max="10" width="16.109375" style="8" customWidth="1"/>
    <col min="11" max="13" width="19.109375" style="8" customWidth="1"/>
    <col min="14" max="14" width="16.109375" style="8" customWidth="1"/>
    <col min="15" max="15" width="19.77734375" style="8" customWidth="1"/>
    <col min="16" max="16" width="16.109375" style="8" customWidth="1"/>
    <col min="17" max="19" width="17.6640625" style="8" customWidth="1"/>
    <col min="20" max="16384" width="7.109375" style="8"/>
  </cols>
  <sheetData>
    <row r="1" spans="1:19" ht="15.75" x14ac:dyDescent="0.25">
      <c r="A1" s="112" t="s">
        <v>90</v>
      </c>
    </row>
    <row r="2" spans="1:19" ht="15.75" x14ac:dyDescent="0.25">
      <c r="A2" s="112" t="s">
        <v>91</v>
      </c>
    </row>
    <row r="3" spans="1:19" ht="15.75" x14ac:dyDescent="0.25">
      <c r="A3" s="112" t="s">
        <v>92</v>
      </c>
    </row>
    <row r="4" spans="1:19" ht="15.75" x14ac:dyDescent="0.25">
      <c r="A4" s="112" t="s">
        <v>93</v>
      </c>
    </row>
    <row r="5" spans="1:19" ht="15.75" x14ac:dyDescent="0.25">
      <c r="A5" s="112" t="s">
        <v>95</v>
      </c>
    </row>
    <row r="6" spans="1:19" ht="15.75" x14ac:dyDescent="0.25">
      <c r="A6" s="112" t="s">
        <v>96</v>
      </c>
    </row>
    <row r="7" spans="1:19" ht="15.75" x14ac:dyDescent="0.25">
      <c r="A7" s="112"/>
    </row>
    <row r="8" spans="1:19" s="25" customFormat="1" ht="18" x14ac:dyDescent="0.25">
      <c r="A8" s="110" t="s">
        <v>27</v>
      </c>
      <c r="B8" s="110"/>
      <c r="H8" s="111" t="s">
        <v>26</v>
      </c>
    </row>
    <row r="9" spans="1:19" ht="18" x14ac:dyDescent="0.25">
      <c r="A9" s="32"/>
      <c r="B9" s="31" t="s">
        <v>25</v>
      </c>
      <c r="C9" s="30">
        <f>1-0.149</f>
        <v>0.85099999999999998</v>
      </c>
      <c r="D9" s="31" t="s">
        <v>24</v>
      </c>
      <c r="E9" s="30">
        <v>1.149</v>
      </c>
      <c r="H9" s="29"/>
      <c r="P9" s="117"/>
      <c r="Q9" s="117"/>
      <c r="R9" s="117"/>
      <c r="S9" s="117"/>
    </row>
    <row r="10" spans="1:19" ht="15.75" x14ac:dyDescent="0.25">
      <c r="B10" s="116" t="s">
        <v>23</v>
      </c>
      <c r="C10" s="116"/>
      <c r="D10" s="116"/>
      <c r="E10" s="118" t="s">
        <v>22</v>
      </c>
      <c r="F10" s="118"/>
      <c r="G10" s="119"/>
      <c r="H10" s="120" t="s">
        <v>21</v>
      </c>
      <c r="I10" s="120"/>
      <c r="J10" s="120"/>
      <c r="K10" s="120"/>
      <c r="L10" s="119" t="s">
        <v>20</v>
      </c>
      <c r="M10" s="119"/>
      <c r="N10" s="119"/>
      <c r="O10" s="119"/>
      <c r="P10" s="117"/>
      <c r="Q10" s="117"/>
      <c r="R10" s="117"/>
      <c r="S10" s="117"/>
    </row>
    <row r="11" spans="1:19" ht="63" x14ac:dyDescent="0.25">
      <c r="B11" s="28" t="s">
        <v>19</v>
      </c>
      <c r="C11" s="27" t="s">
        <v>17</v>
      </c>
      <c r="D11" s="26" t="s">
        <v>16</v>
      </c>
      <c r="E11" s="28" t="s">
        <v>19</v>
      </c>
      <c r="F11" s="27" t="s">
        <v>17</v>
      </c>
      <c r="G11" s="26" t="s">
        <v>16</v>
      </c>
      <c r="H11" s="28" t="s">
        <v>19</v>
      </c>
      <c r="I11" s="28" t="s">
        <v>18</v>
      </c>
      <c r="J11" s="27" t="s">
        <v>17</v>
      </c>
      <c r="K11" s="26" t="s">
        <v>16</v>
      </c>
      <c r="L11" s="28" t="s">
        <v>19</v>
      </c>
      <c r="M11" s="28" t="s">
        <v>18</v>
      </c>
      <c r="N11" s="27" t="s">
        <v>17</v>
      </c>
      <c r="O11" s="26" t="s">
        <v>16</v>
      </c>
      <c r="P11" s="25"/>
      <c r="Q11" s="21"/>
      <c r="R11" s="21"/>
      <c r="S11" s="21"/>
    </row>
    <row r="12" spans="1:19" ht="13.5" customHeight="1" x14ac:dyDescent="0.25">
      <c r="B12" s="24"/>
      <c r="C12" s="23"/>
      <c r="D12" s="22"/>
      <c r="E12" s="24"/>
      <c r="F12" s="23"/>
      <c r="G12" s="22"/>
      <c r="H12" s="24"/>
      <c r="I12" s="24"/>
      <c r="J12" s="23"/>
      <c r="K12" s="22"/>
      <c r="L12" s="24"/>
      <c r="M12" s="24"/>
      <c r="N12" s="23"/>
      <c r="O12" s="22"/>
      <c r="P12" s="21"/>
      <c r="Q12" s="20"/>
      <c r="R12" s="20"/>
      <c r="S12" s="20"/>
    </row>
    <row r="13" spans="1:19" ht="20.25" x14ac:dyDescent="0.55000000000000004">
      <c r="A13" s="19" t="s">
        <v>15</v>
      </c>
      <c r="B13" s="18" t="s">
        <v>14</v>
      </c>
      <c r="C13" s="18" t="s">
        <v>14</v>
      </c>
      <c r="D13" s="18" t="s">
        <v>14</v>
      </c>
      <c r="E13" s="18" t="s">
        <v>14</v>
      </c>
      <c r="F13" s="18" t="s">
        <v>14</v>
      </c>
      <c r="G13" s="18" t="s">
        <v>14</v>
      </c>
      <c r="H13" s="18" t="s">
        <v>14</v>
      </c>
      <c r="I13" s="18" t="s">
        <v>14</v>
      </c>
      <c r="J13" s="18" t="s">
        <v>14</v>
      </c>
      <c r="K13" s="18" t="s">
        <v>14</v>
      </c>
      <c r="L13" s="18" t="s">
        <v>14</v>
      </c>
      <c r="M13" s="18" t="s">
        <v>14</v>
      </c>
      <c r="N13" s="18" t="s">
        <v>14</v>
      </c>
      <c r="O13" s="18" t="s">
        <v>14</v>
      </c>
      <c r="P13" s="18"/>
      <c r="Q13" s="18"/>
      <c r="R13" s="18"/>
      <c r="S13" s="18"/>
    </row>
    <row r="14" spans="1:19" ht="15" x14ac:dyDescent="0.2">
      <c r="A14" s="16">
        <v>40909</v>
      </c>
      <c r="B14" s="10">
        <f>2.3206 * CHOOSE(CONTROL!$C$32, $C$9, 100%, $E$9)</f>
        <v>2.3206000000000002</v>
      </c>
      <c r="C14" s="10">
        <f>2.2623 * CHOOSE(CONTROL!$C$32, $C$9, 100%, $E$9)</f>
        <v>2.2623000000000002</v>
      </c>
      <c r="D14" s="10">
        <f>2.2652 * CHOOSE(CONTROL!$C$32, $C$9, 100%, $E$9)</f>
        <v>2.2652000000000001</v>
      </c>
      <c r="E14" s="9">
        <f>3.8804 * CHOOSE(CONTROL!$C$32, $C$9, 100%, $E$9)</f>
        <v>3.8803999999999998</v>
      </c>
      <c r="F14" s="9">
        <f>3.3805 * CHOOSE(CONTROL!$C$32, $C$9, 100%, $E$9)</f>
        <v>3.3805000000000001</v>
      </c>
      <c r="G14" s="9">
        <f>3.392 * CHOOSE(CONTROL!$C$32, $C$9, 100%, $E$9)</f>
        <v>3.3919999999999999</v>
      </c>
      <c r="H14" s="9">
        <f>3.9997 * CHOOSE(CONTROL!$C$32, $C$9, 100%, $E$9)</f>
        <v>3.9996999999999998</v>
      </c>
      <c r="I14" s="9">
        <f>4.0112 * CHOOSE(CONTROL!$C$32, $C$9, 100%, $E$9)</f>
        <v>4.0111999999999997</v>
      </c>
      <c r="J14" s="9">
        <f>3.9997 * CHOOSE(CONTROL!$C$32, $C$9, 100%, $E$9)</f>
        <v>3.9996999999999998</v>
      </c>
      <c r="K14" s="9">
        <f>4.0112 * CHOOSE(CONTROL!$C$32, $C$9, 100%, $E$9)</f>
        <v>4.0111999999999997</v>
      </c>
      <c r="L14" s="9">
        <f>3.8804 * CHOOSE(CONTROL!$C$32, $C$9, 100%, $E$9)</f>
        <v>3.8803999999999998</v>
      </c>
      <c r="M14" s="9">
        <f>3.8919 * CHOOSE(CONTROL!$C$32, $C$9, 100%, $E$9)</f>
        <v>3.8919000000000001</v>
      </c>
      <c r="N14" s="9">
        <f>3.8804 * CHOOSE(CONTROL!$C$32, $C$9, 100%, $E$9)</f>
        <v>3.8803999999999998</v>
      </c>
      <c r="O14" s="9">
        <f>3.8919 * CHOOSE(CONTROL!$C$32, $C$9, 100%, $E$9)</f>
        <v>3.8919000000000001</v>
      </c>
      <c r="P14" s="9"/>
      <c r="Q14" s="9"/>
      <c r="R14" s="17"/>
      <c r="S14" s="17"/>
    </row>
    <row r="15" spans="1:19" ht="15" x14ac:dyDescent="0.2">
      <c r="A15" s="16">
        <v>40940</v>
      </c>
      <c r="B15" s="10">
        <f>2.323 * CHOOSE(CONTROL!$C$32, $C$9, 100%, $E$9)</f>
        <v>2.323</v>
      </c>
      <c r="C15" s="10">
        <f>2.219 * CHOOSE(CONTROL!$C$32, $C$9, 100%, $E$9)</f>
        <v>2.2189999999999999</v>
      </c>
      <c r="D15" s="10">
        <f>2.222 * CHOOSE(CONTROL!$C$32, $C$9, 100%, $E$9)</f>
        <v>2.222</v>
      </c>
      <c r="E15" s="9">
        <f>3.6389 * CHOOSE(CONTROL!$C$32, $C$9, 100%, $E$9)</f>
        <v>3.6389</v>
      </c>
      <c r="F15" s="9">
        <f>3.2373 * CHOOSE(CONTROL!$C$32, $C$9, 100%, $E$9)</f>
        <v>3.2372999999999998</v>
      </c>
      <c r="G15" s="9">
        <f>3.2488 * CHOOSE(CONTROL!$C$32, $C$9, 100%, $E$9)</f>
        <v>3.2488000000000001</v>
      </c>
      <c r="H15" s="9">
        <f>3.8497 * CHOOSE(CONTROL!$C$32, $C$9, 100%, $E$9)</f>
        <v>3.8496999999999999</v>
      </c>
      <c r="I15" s="9">
        <f>3.8612 * CHOOSE(CONTROL!$C$32, $C$9, 100%, $E$9)</f>
        <v>3.8612000000000002</v>
      </c>
      <c r="J15" s="9">
        <f>3.8497 * CHOOSE(CONTROL!$C$32, $C$9, 100%, $E$9)</f>
        <v>3.8496999999999999</v>
      </c>
      <c r="K15" s="9">
        <f>3.8612 * CHOOSE(CONTROL!$C$32, $C$9, 100%, $E$9)</f>
        <v>3.8612000000000002</v>
      </c>
      <c r="L15" s="9">
        <f>3.6389 * CHOOSE(CONTROL!$C$32, $C$9, 100%, $E$9)</f>
        <v>3.6389</v>
      </c>
      <c r="M15" s="9">
        <f>3.6503 * CHOOSE(CONTROL!$C$32, $C$9, 100%, $E$9)</f>
        <v>3.6503000000000001</v>
      </c>
      <c r="N15" s="9">
        <f>3.6389 * CHOOSE(CONTROL!$C$32, $C$9, 100%, $E$9)</f>
        <v>3.6389</v>
      </c>
      <c r="O15" s="9">
        <f>3.6503 * CHOOSE(CONTROL!$C$32, $C$9, 100%, $E$9)</f>
        <v>3.6503000000000001</v>
      </c>
      <c r="P15" s="9"/>
      <c r="Q15" s="9"/>
      <c r="R15" s="17"/>
      <c r="S15" s="17"/>
    </row>
    <row r="16" spans="1:19" ht="15" x14ac:dyDescent="0.2">
      <c r="A16" s="16">
        <v>40969</v>
      </c>
      <c r="B16" s="10">
        <f>2.3237 * CHOOSE(CONTROL!$C$32, $C$9, 100%, $E$9)</f>
        <v>2.3237000000000001</v>
      </c>
      <c r="C16" s="10">
        <f>2.2137 * CHOOSE(CONTROL!$C$32, $C$9, 100%, $E$9)</f>
        <v>2.2136999999999998</v>
      </c>
      <c r="D16" s="10">
        <f>2.2166 * CHOOSE(CONTROL!$C$32, $C$9, 100%, $E$9)</f>
        <v>2.2166000000000001</v>
      </c>
      <c r="E16" s="9">
        <f>3.7144 * CHOOSE(CONTROL!$C$32, $C$9, 100%, $E$9)</f>
        <v>3.7143999999999999</v>
      </c>
      <c r="F16" s="9">
        <f>3.1805 * CHOOSE(CONTROL!$C$32, $C$9, 100%, $E$9)</f>
        <v>3.1804999999999999</v>
      </c>
      <c r="G16" s="9">
        <f>3.192 * CHOOSE(CONTROL!$C$32, $C$9, 100%, $E$9)</f>
        <v>3.1920000000000002</v>
      </c>
      <c r="H16" s="9">
        <f>3.7737 * CHOOSE(CONTROL!$C$32, $C$9, 100%, $E$9)</f>
        <v>3.7736999999999998</v>
      </c>
      <c r="I16" s="9">
        <f>3.7852 * CHOOSE(CONTROL!$C$32, $C$9, 100%, $E$9)</f>
        <v>3.7852000000000001</v>
      </c>
      <c r="J16" s="9">
        <f>3.7737 * CHOOSE(CONTROL!$C$32, $C$9, 100%, $E$9)</f>
        <v>3.7736999999999998</v>
      </c>
      <c r="K16" s="9">
        <f>3.7852 * CHOOSE(CONTROL!$C$32, $C$9, 100%, $E$9)</f>
        <v>3.7852000000000001</v>
      </c>
      <c r="L16" s="9">
        <f>3.7144 * CHOOSE(CONTROL!$C$32, $C$9, 100%, $E$9)</f>
        <v>3.7143999999999999</v>
      </c>
      <c r="M16" s="9">
        <f>3.7259 * CHOOSE(CONTROL!$C$32, $C$9, 100%, $E$9)</f>
        <v>3.7259000000000002</v>
      </c>
      <c r="N16" s="9">
        <f>3.7144 * CHOOSE(CONTROL!$C$32, $C$9, 100%, $E$9)</f>
        <v>3.7143999999999999</v>
      </c>
      <c r="O16" s="9">
        <f>3.7259 * CHOOSE(CONTROL!$C$32, $C$9, 100%, $E$9)</f>
        <v>3.7259000000000002</v>
      </c>
      <c r="P16" s="9"/>
      <c r="Q16" s="9"/>
      <c r="R16" s="17"/>
      <c r="S16" s="17"/>
    </row>
    <row r="17" spans="1:19" ht="15" x14ac:dyDescent="0.2">
      <c r="A17" s="16">
        <v>41000</v>
      </c>
      <c r="B17" s="10">
        <f>2.3285 * CHOOSE(CONTROL!$C$32, $C$9, 100%, $E$9)</f>
        <v>2.3285</v>
      </c>
      <c r="C17" s="10">
        <f>2.2063 * CHOOSE(CONTROL!$C$32, $C$9, 100%, $E$9)</f>
        <v>2.2063000000000001</v>
      </c>
      <c r="D17" s="10">
        <f>2.2092 * CHOOSE(CONTROL!$C$32, $C$9, 100%, $E$9)</f>
        <v>2.2092000000000001</v>
      </c>
      <c r="E17" s="9">
        <f>3.7083 * CHOOSE(CONTROL!$C$32, $C$9, 100%, $E$9)</f>
        <v>3.7082999999999999</v>
      </c>
      <c r="F17" s="9">
        <f>3.1842 * CHOOSE(CONTROL!$C$32, $C$9, 100%, $E$9)</f>
        <v>3.1842000000000001</v>
      </c>
      <c r="G17" s="9">
        <f>3.1957 * CHOOSE(CONTROL!$C$32, $C$9, 100%, $E$9)</f>
        <v>3.1957</v>
      </c>
      <c r="H17" s="9">
        <f>3.7818 * CHOOSE(CONTROL!$C$32, $C$9, 100%, $E$9)</f>
        <v>3.7818000000000001</v>
      </c>
      <c r="I17" s="9">
        <f>3.7933 * CHOOSE(CONTROL!$C$32, $C$9, 100%, $E$9)</f>
        <v>3.7932999999999999</v>
      </c>
      <c r="J17" s="9">
        <f>3.7818 * CHOOSE(CONTROL!$C$32, $C$9, 100%, $E$9)</f>
        <v>3.7818000000000001</v>
      </c>
      <c r="K17" s="9">
        <f>3.7933 * CHOOSE(CONTROL!$C$32, $C$9, 100%, $E$9)</f>
        <v>3.7932999999999999</v>
      </c>
      <c r="L17" s="9">
        <f>3.7083 * CHOOSE(CONTROL!$C$32, $C$9, 100%, $E$9)</f>
        <v>3.7082999999999999</v>
      </c>
      <c r="M17" s="9">
        <f>3.7198 * CHOOSE(CONTROL!$C$32, $C$9, 100%, $E$9)</f>
        <v>3.7198000000000002</v>
      </c>
      <c r="N17" s="9">
        <f>3.7083 * CHOOSE(CONTROL!$C$32, $C$9, 100%, $E$9)</f>
        <v>3.7082999999999999</v>
      </c>
      <c r="O17" s="9">
        <f>3.7198 * CHOOSE(CONTROL!$C$32, $C$9, 100%, $E$9)</f>
        <v>3.7198000000000002</v>
      </c>
      <c r="P17" s="9"/>
      <c r="Q17" s="9"/>
      <c r="R17" s="17"/>
      <c r="S17" s="17"/>
    </row>
    <row r="18" spans="1:19" ht="15" x14ac:dyDescent="0.2">
      <c r="A18" s="16">
        <v>41030</v>
      </c>
      <c r="B18" s="10">
        <f>2.3377 * CHOOSE(CONTROL!$C$32, $C$9, 100%, $E$9)</f>
        <v>2.3376999999999999</v>
      </c>
      <c r="C18" s="10">
        <f>2.1912 * CHOOSE(CONTROL!$C$32, $C$9, 100%, $E$9)</f>
        <v>2.1911999999999998</v>
      </c>
      <c r="D18" s="10">
        <f>2.2389 * CHOOSE(CONTROL!$C$32, $C$9, 100%, $E$9)</f>
        <v>2.2389000000000001</v>
      </c>
      <c r="E18" s="9">
        <f>3.7881 * CHOOSE(CONTROL!$C$32, $C$9, 100%, $E$9)</f>
        <v>3.7881</v>
      </c>
      <c r="F18" s="9">
        <f>3.191 * CHOOSE(CONTROL!$C$32, $C$9, 100%, $E$9)</f>
        <v>3.1909999999999998</v>
      </c>
      <c r="G18" s="9">
        <f>3.2067 * CHOOSE(CONTROL!$C$32, $C$9, 100%, $E$9)</f>
        <v>3.2067000000000001</v>
      </c>
      <c r="H18" s="9">
        <f>3.7638 * CHOOSE(CONTROL!$C$32, $C$9, 100%, $E$9)</f>
        <v>3.7637999999999998</v>
      </c>
      <c r="I18" s="9">
        <f>3.7795 * CHOOSE(CONTROL!$C$32, $C$9, 100%, $E$9)</f>
        <v>3.7795000000000001</v>
      </c>
      <c r="J18" s="9">
        <f>3.7638 * CHOOSE(CONTROL!$C$32, $C$9, 100%, $E$9)</f>
        <v>3.7637999999999998</v>
      </c>
      <c r="K18" s="9">
        <f>3.7795 * CHOOSE(CONTROL!$C$32, $C$9, 100%, $E$9)</f>
        <v>3.7795000000000001</v>
      </c>
      <c r="L18" s="9">
        <f>3.7881 * CHOOSE(CONTROL!$C$32, $C$9, 100%, $E$9)</f>
        <v>3.7881</v>
      </c>
      <c r="M18" s="9">
        <f>3.8038 * CHOOSE(CONTROL!$C$32, $C$9, 100%, $E$9)</f>
        <v>3.8037999999999998</v>
      </c>
      <c r="N18" s="9">
        <f>3.7881 * CHOOSE(CONTROL!$C$32, $C$9, 100%, $E$9)</f>
        <v>3.7881</v>
      </c>
      <c r="O18" s="9">
        <f>3.8038 * CHOOSE(CONTROL!$C$32, $C$9, 100%, $E$9)</f>
        <v>3.8037999999999998</v>
      </c>
      <c r="P18" s="9"/>
      <c r="Q18" s="9"/>
      <c r="R18" s="17"/>
      <c r="S18" s="17"/>
    </row>
    <row r="19" spans="1:19" ht="15" x14ac:dyDescent="0.2">
      <c r="A19" s="16">
        <v>41061</v>
      </c>
      <c r="B19" s="10">
        <f>2.3333 * CHOOSE(CONTROL!$C$32, $C$9, 100%, $E$9)</f>
        <v>2.3332999999999999</v>
      </c>
      <c r="C19" s="10">
        <f>2.1746 * CHOOSE(CONTROL!$C$32, $C$9, 100%, $E$9)</f>
        <v>2.1745999999999999</v>
      </c>
      <c r="D19" s="10">
        <f>2.2223 * CHOOSE(CONTROL!$C$32, $C$9, 100%, $E$9)</f>
        <v>2.2223000000000002</v>
      </c>
      <c r="E19" s="9">
        <f>3.7702 * CHOOSE(CONTROL!$C$32, $C$9, 100%, $E$9)</f>
        <v>3.7702</v>
      </c>
      <c r="F19" s="9">
        <f>3.2251 * CHOOSE(CONTROL!$C$32, $C$9, 100%, $E$9)</f>
        <v>3.2250999999999999</v>
      </c>
      <c r="G19" s="9">
        <f>3.2408 * CHOOSE(CONTROL!$C$32, $C$9, 100%, $E$9)</f>
        <v>3.2408000000000001</v>
      </c>
      <c r="H19" s="9">
        <f>3.7718 * CHOOSE(CONTROL!$C$32, $C$9, 100%, $E$9)</f>
        <v>3.7717999999999998</v>
      </c>
      <c r="I19" s="9">
        <f>3.7875 * CHOOSE(CONTROL!$C$32, $C$9, 100%, $E$9)</f>
        <v>3.7875000000000001</v>
      </c>
      <c r="J19" s="9">
        <f>3.7718 * CHOOSE(CONTROL!$C$32, $C$9, 100%, $E$9)</f>
        <v>3.7717999999999998</v>
      </c>
      <c r="K19" s="9">
        <f>3.7875 * CHOOSE(CONTROL!$C$32, $C$9, 100%, $E$9)</f>
        <v>3.7875000000000001</v>
      </c>
      <c r="L19" s="9">
        <f>3.7702 * CHOOSE(CONTROL!$C$32, $C$9, 100%, $E$9)</f>
        <v>3.7702</v>
      </c>
      <c r="M19" s="9">
        <f>3.7859 * CHOOSE(CONTROL!$C$32, $C$9, 100%, $E$9)</f>
        <v>3.7858999999999998</v>
      </c>
      <c r="N19" s="9">
        <f>3.7702 * CHOOSE(CONTROL!$C$32, $C$9, 100%, $E$9)</f>
        <v>3.7702</v>
      </c>
      <c r="O19" s="9">
        <f>3.7859 * CHOOSE(CONTROL!$C$32, $C$9, 100%, $E$9)</f>
        <v>3.7858999999999998</v>
      </c>
      <c r="P19" s="9"/>
      <c r="Q19" s="9"/>
      <c r="R19" s="17"/>
      <c r="S19" s="17"/>
    </row>
    <row r="20" spans="1:19" ht="15" x14ac:dyDescent="0.2">
      <c r="A20" s="16">
        <v>41091</v>
      </c>
      <c r="B20" s="10">
        <f>2.3333 * CHOOSE(CONTROL!$C$32, $C$9, 100%, $E$9)</f>
        <v>2.3332999999999999</v>
      </c>
      <c r="C20" s="10">
        <f>2.2111 * CHOOSE(CONTROL!$C$32, $C$9, 100%, $E$9)</f>
        <v>2.2111000000000001</v>
      </c>
      <c r="D20" s="10">
        <f>2.2588 * CHOOSE(CONTROL!$C$32, $C$9, 100%, $E$9)</f>
        <v>2.2587999999999999</v>
      </c>
      <c r="E20" s="9">
        <f>3.8317 * CHOOSE(CONTROL!$C$32, $C$9, 100%, $E$9)</f>
        <v>3.8317000000000001</v>
      </c>
      <c r="F20" s="9">
        <f>3.3022 * CHOOSE(CONTROL!$C$32, $C$9, 100%, $E$9)</f>
        <v>3.3022</v>
      </c>
      <c r="G20" s="9">
        <f>3.3179 * CHOOSE(CONTROL!$C$32, $C$9, 100%, $E$9)</f>
        <v>3.3178999999999998</v>
      </c>
      <c r="H20" s="9">
        <f>3.7947 * CHOOSE(CONTROL!$C$32, $C$9, 100%, $E$9)</f>
        <v>3.7947000000000002</v>
      </c>
      <c r="I20" s="9">
        <f>3.8104 * CHOOSE(CONTROL!$C$32, $C$9, 100%, $E$9)</f>
        <v>3.8104</v>
      </c>
      <c r="J20" s="9">
        <f>3.7947 * CHOOSE(CONTROL!$C$32, $C$9, 100%, $E$9)</f>
        <v>3.7947000000000002</v>
      </c>
      <c r="K20" s="9">
        <f>3.8104 * CHOOSE(CONTROL!$C$32, $C$9, 100%, $E$9)</f>
        <v>3.8104</v>
      </c>
      <c r="L20" s="9">
        <f>3.8317 * CHOOSE(CONTROL!$C$32, $C$9, 100%, $E$9)</f>
        <v>3.8317000000000001</v>
      </c>
      <c r="M20" s="9">
        <f>3.8474 * CHOOSE(CONTROL!$C$32, $C$9, 100%, $E$9)</f>
        <v>3.8473999999999999</v>
      </c>
      <c r="N20" s="9">
        <f>3.8317 * CHOOSE(CONTROL!$C$32, $C$9, 100%, $E$9)</f>
        <v>3.8317000000000001</v>
      </c>
      <c r="O20" s="9">
        <f>3.8474 * CHOOSE(CONTROL!$C$32, $C$9, 100%, $E$9)</f>
        <v>3.8473999999999999</v>
      </c>
      <c r="P20" s="9"/>
      <c r="Q20" s="9"/>
      <c r="R20" s="17"/>
      <c r="S20" s="17"/>
    </row>
    <row r="21" spans="1:19" ht="15" x14ac:dyDescent="0.2">
      <c r="A21" s="16">
        <v>41122</v>
      </c>
      <c r="B21" s="10">
        <f>2.3378 * CHOOSE(CONTROL!$C$32, $C$9, 100%, $E$9)</f>
        <v>2.3378000000000001</v>
      </c>
      <c r="C21" s="10">
        <f>2.2703 * CHOOSE(CONTROL!$C$32, $C$9, 100%, $E$9)</f>
        <v>2.2703000000000002</v>
      </c>
      <c r="D21" s="10">
        <f>2.3178 * CHOOSE(CONTROL!$C$32, $C$9, 100%, $E$9)</f>
        <v>2.3178000000000001</v>
      </c>
      <c r="E21" s="9">
        <f>3.8666 * CHOOSE(CONTROL!$C$32, $C$9, 100%, $E$9)</f>
        <v>3.8666</v>
      </c>
      <c r="F21" s="9">
        <f>3.3612 * CHOOSE(CONTROL!$C$32, $C$9, 100%, $E$9)</f>
        <v>3.3612000000000002</v>
      </c>
      <c r="G21" s="9">
        <f>3.377 * CHOOSE(CONTROL!$C$32, $C$9, 100%, $E$9)</f>
        <v>3.3769999999999998</v>
      </c>
      <c r="H21" s="9">
        <f>3.8087 * CHOOSE(CONTROL!$C$32, $C$9, 100%, $E$9)</f>
        <v>3.8087</v>
      </c>
      <c r="I21" s="9">
        <f>3.8244 * CHOOSE(CONTROL!$C$32, $C$9, 100%, $E$9)</f>
        <v>3.8243999999999998</v>
      </c>
      <c r="J21" s="9">
        <f>3.8087 * CHOOSE(CONTROL!$C$32, $C$9, 100%, $E$9)</f>
        <v>3.8087</v>
      </c>
      <c r="K21" s="9">
        <f>3.8244 * CHOOSE(CONTROL!$C$32, $C$9, 100%, $E$9)</f>
        <v>3.8243999999999998</v>
      </c>
      <c r="L21" s="9">
        <f>3.8666 * CHOOSE(CONTROL!$C$32, $C$9, 100%, $E$9)</f>
        <v>3.8666</v>
      </c>
      <c r="M21" s="9">
        <f>3.8823 * CHOOSE(CONTROL!$C$32, $C$9, 100%, $E$9)</f>
        <v>3.8822999999999999</v>
      </c>
      <c r="N21" s="9">
        <f>3.8666 * CHOOSE(CONTROL!$C$32, $C$9, 100%, $E$9)</f>
        <v>3.8666</v>
      </c>
      <c r="O21" s="9">
        <f>3.8823 * CHOOSE(CONTROL!$C$32, $C$9, 100%, $E$9)</f>
        <v>3.8822999999999999</v>
      </c>
      <c r="P21" s="9"/>
      <c r="Q21" s="9"/>
      <c r="R21" s="17"/>
      <c r="S21" s="17"/>
    </row>
    <row r="22" spans="1:19" ht="15" x14ac:dyDescent="0.2">
      <c r="A22" s="16">
        <v>41153</v>
      </c>
      <c r="B22" s="10">
        <f>2.3377 * CHOOSE(CONTROL!$C$32, $C$9, 100%, $E$9)</f>
        <v>2.3376999999999999</v>
      </c>
      <c r="C22" s="10">
        <f>2.3401 * CHOOSE(CONTROL!$C$32, $C$9, 100%, $E$9)</f>
        <v>2.3401000000000001</v>
      </c>
      <c r="D22" s="10">
        <f>2.3877 * CHOOSE(CONTROL!$C$32, $C$9, 100%, $E$9)</f>
        <v>2.3877000000000002</v>
      </c>
      <c r="E22" s="9">
        <f>3.8666 * CHOOSE(CONTROL!$C$32, $C$9, 100%, $E$9)</f>
        <v>3.8666</v>
      </c>
      <c r="F22" s="9">
        <f>3.3862 * CHOOSE(CONTROL!$C$32, $C$9, 100%, $E$9)</f>
        <v>3.3862000000000001</v>
      </c>
      <c r="G22" s="9">
        <f>3.402 * CHOOSE(CONTROL!$C$32, $C$9, 100%, $E$9)</f>
        <v>3.4020000000000001</v>
      </c>
      <c r="H22" s="9">
        <f>3.7967 * CHOOSE(CONTROL!$C$32, $C$9, 100%, $E$9)</f>
        <v>3.7967</v>
      </c>
      <c r="I22" s="9">
        <f>3.8124 * CHOOSE(CONTROL!$C$32, $C$9, 100%, $E$9)</f>
        <v>3.8123999999999998</v>
      </c>
      <c r="J22" s="9">
        <f>3.7967 * CHOOSE(CONTROL!$C$32, $C$9, 100%, $E$9)</f>
        <v>3.7967</v>
      </c>
      <c r="K22" s="9">
        <f>3.8124 * CHOOSE(CONTROL!$C$32, $C$9, 100%, $E$9)</f>
        <v>3.8123999999999998</v>
      </c>
      <c r="L22" s="9">
        <f>3.8666 * CHOOSE(CONTROL!$C$32, $C$9, 100%, $E$9)</f>
        <v>3.8666</v>
      </c>
      <c r="M22" s="9">
        <f>3.8823 * CHOOSE(CONTROL!$C$32, $C$9, 100%, $E$9)</f>
        <v>3.8822999999999999</v>
      </c>
      <c r="N22" s="9">
        <f>3.8666 * CHOOSE(CONTROL!$C$32, $C$9, 100%, $E$9)</f>
        <v>3.8666</v>
      </c>
      <c r="O22" s="9">
        <f>3.8823 * CHOOSE(CONTROL!$C$32, $C$9, 100%, $E$9)</f>
        <v>3.8822999999999999</v>
      </c>
      <c r="P22" s="9"/>
      <c r="Q22" s="9"/>
      <c r="R22" s="17"/>
      <c r="S22" s="17"/>
    </row>
    <row r="23" spans="1:19" ht="15" x14ac:dyDescent="0.2">
      <c r="A23" s="16">
        <v>41183</v>
      </c>
      <c r="B23" s="10">
        <f>2.3377 * CHOOSE(CONTROL!$C$32, $C$9, 100%, $E$9)</f>
        <v>2.3376999999999999</v>
      </c>
      <c r="C23" s="10">
        <f>2.3857 * CHOOSE(CONTROL!$C$32, $C$9, 100%, $E$9)</f>
        <v>2.3856999999999999</v>
      </c>
      <c r="D23" s="10">
        <f>2.4203 * CHOOSE(CONTROL!$C$32, $C$9, 100%, $E$9)</f>
        <v>2.4203000000000001</v>
      </c>
      <c r="E23" s="9">
        <f>3.9197 * CHOOSE(CONTROL!$C$32, $C$9, 100%, $E$9)</f>
        <v>3.9197000000000002</v>
      </c>
      <c r="F23" s="9">
        <f>3.4261 * CHOOSE(CONTROL!$C$32, $C$9, 100%, $E$9)</f>
        <v>3.4260999999999999</v>
      </c>
      <c r="G23" s="9">
        <f>3.4375 * CHOOSE(CONTROL!$C$32, $C$9, 100%, $E$9)</f>
        <v>3.4375</v>
      </c>
      <c r="H23" s="9">
        <f>3.7796 * CHOOSE(CONTROL!$C$32, $C$9, 100%, $E$9)</f>
        <v>3.7795999999999998</v>
      </c>
      <c r="I23" s="9">
        <f>3.7911 * CHOOSE(CONTROL!$C$32, $C$9, 100%, $E$9)</f>
        <v>3.7911000000000001</v>
      </c>
      <c r="J23" s="9">
        <f>3.7796 * CHOOSE(CONTROL!$C$32, $C$9, 100%, $E$9)</f>
        <v>3.7795999999999998</v>
      </c>
      <c r="K23" s="9">
        <f>3.7911 * CHOOSE(CONTROL!$C$32, $C$9, 100%, $E$9)</f>
        <v>3.7911000000000001</v>
      </c>
      <c r="L23" s="9">
        <f>3.9197 * CHOOSE(CONTROL!$C$32, $C$9, 100%, $E$9)</f>
        <v>3.9197000000000002</v>
      </c>
      <c r="M23" s="9">
        <f>3.9312 * CHOOSE(CONTROL!$C$32, $C$9, 100%, $E$9)</f>
        <v>3.9312</v>
      </c>
      <c r="N23" s="9">
        <f>3.9197 * CHOOSE(CONTROL!$C$32, $C$9, 100%, $E$9)</f>
        <v>3.9197000000000002</v>
      </c>
      <c r="O23" s="9">
        <f>3.9312 * CHOOSE(CONTROL!$C$32, $C$9, 100%, $E$9)</f>
        <v>3.9312</v>
      </c>
      <c r="P23" s="9"/>
      <c r="Q23" s="9"/>
      <c r="R23" s="17"/>
      <c r="S23" s="17"/>
    </row>
    <row r="24" spans="1:19" ht="15" x14ac:dyDescent="0.2">
      <c r="A24" s="16">
        <v>41214</v>
      </c>
      <c r="B24" s="10">
        <f>2.3422 * CHOOSE(CONTROL!$C$32, $C$9, 100%, $E$9)</f>
        <v>2.3422000000000001</v>
      </c>
      <c r="C24" s="10">
        <f>2.4176 * CHOOSE(CONTROL!$C$32, $C$9, 100%, $E$9)</f>
        <v>2.4176000000000002</v>
      </c>
      <c r="D24" s="10">
        <f>2.4521 * CHOOSE(CONTROL!$C$32, $C$9, 100%, $E$9)</f>
        <v>2.4521000000000002</v>
      </c>
      <c r="E24" s="9">
        <f>3.9491 * CHOOSE(CONTROL!$C$32, $C$9, 100%, $E$9)</f>
        <v>3.9491000000000001</v>
      </c>
      <c r="F24" s="9">
        <f>3.4624 * CHOOSE(CONTROL!$C$32, $C$9, 100%, $E$9)</f>
        <v>3.4624000000000001</v>
      </c>
      <c r="G24" s="9">
        <f>3.4739 * CHOOSE(CONTROL!$C$32, $C$9, 100%, $E$9)</f>
        <v>3.4739</v>
      </c>
      <c r="H24" s="9">
        <f>3.7816 * CHOOSE(CONTROL!$C$32, $C$9, 100%, $E$9)</f>
        <v>3.7816000000000001</v>
      </c>
      <c r="I24" s="9">
        <f>3.7931 * CHOOSE(CONTROL!$C$32, $C$9, 100%, $E$9)</f>
        <v>3.7930999999999999</v>
      </c>
      <c r="J24" s="9">
        <f>3.7816 * CHOOSE(CONTROL!$C$32, $C$9, 100%, $E$9)</f>
        <v>3.7816000000000001</v>
      </c>
      <c r="K24" s="9">
        <f>3.7931 * CHOOSE(CONTROL!$C$32, $C$9, 100%, $E$9)</f>
        <v>3.7930999999999999</v>
      </c>
      <c r="L24" s="9">
        <f>3.9491 * CHOOSE(CONTROL!$C$32, $C$9, 100%, $E$9)</f>
        <v>3.9491000000000001</v>
      </c>
      <c r="M24" s="9">
        <f>3.9606 * CHOOSE(CONTROL!$C$32, $C$9, 100%, $E$9)</f>
        <v>3.9605999999999999</v>
      </c>
      <c r="N24" s="9">
        <f>3.9491 * CHOOSE(CONTROL!$C$32, $C$9, 100%, $E$9)</f>
        <v>3.9491000000000001</v>
      </c>
      <c r="O24" s="9">
        <f>3.9606 * CHOOSE(CONTROL!$C$32, $C$9, 100%, $E$9)</f>
        <v>3.9605999999999999</v>
      </c>
      <c r="P24" s="9"/>
      <c r="Q24" s="9"/>
      <c r="R24" s="17"/>
      <c r="S24" s="17"/>
    </row>
    <row r="25" spans="1:19" ht="15" x14ac:dyDescent="0.2">
      <c r="A25" s="16">
        <v>41244</v>
      </c>
      <c r="B25" s="10">
        <f>2.3421 * CHOOSE(CONTROL!$C$32, $C$9, 100%, $E$9)</f>
        <v>2.3420999999999998</v>
      </c>
      <c r="C25" s="10">
        <f>2.4448 * CHOOSE(CONTROL!$C$32, $C$9, 100%, $E$9)</f>
        <v>2.4447999999999999</v>
      </c>
      <c r="D25" s="10">
        <f>2.4794 * CHOOSE(CONTROL!$C$32, $C$9, 100%, $E$9)</f>
        <v>2.4794</v>
      </c>
      <c r="E25" s="9">
        <f>3.9588 * CHOOSE(CONTROL!$C$32, $C$9, 100%, $E$9)</f>
        <v>3.9588000000000001</v>
      </c>
      <c r="F25" s="9">
        <f>3.4783 * CHOOSE(CONTROL!$C$32, $C$9, 100%, $E$9)</f>
        <v>3.4782999999999999</v>
      </c>
      <c r="G25" s="9">
        <f>3.4898 * CHOOSE(CONTROL!$C$32, $C$9, 100%, $E$9)</f>
        <v>3.4897999999999998</v>
      </c>
      <c r="H25" s="9">
        <f>3.7876 * CHOOSE(CONTROL!$C$32, $C$9, 100%, $E$9)</f>
        <v>3.7875999999999999</v>
      </c>
      <c r="I25" s="9">
        <f>3.7991 * CHOOSE(CONTROL!$C$32, $C$9, 100%, $E$9)</f>
        <v>3.7991000000000001</v>
      </c>
      <c r="J25" s="9">
        <f>3.7876 * CHOOSE(CONTROL!$C$32, $C$9, 100%, $E$9)</f>
        <v>3.7875999999999999</v>
      </c>
      <c r="K25" s="9">
        <f>3.7991 * CHOOSE(CONTROL!$C$32, $C$9, 100%, $E$9)</f>
        <v>3.7991000000000001</v>
      </c>
      <c r="L25" s="9">
        <f>3.9588 * CHOOSE(CONTROL!$C$32, $C$9, 100%, $E$9)</f>
        <v>3.9588000000000001</v>
      </c>
      <c r="M25" s="9">
        <f>3.9703 * CHOOSE(CONTROL!$C$32, $C$9, 100%, $E$9)</f>
        <v>3.9702999999999999</v>
      </c>
      <c r="N25" s="9">
        <f>3.9588 * CHOOSE(CONTROL!$C$32, $C$9, 100%, $E$9)</f>
        <v>3.9588000000000001</v>
      </c>
      <c r="O25" s="9">
        <f>3.9703 * CHOOSE(CONTROL!$C$32, $C$9, 100%, $E$9)</f>
        <v>3.9702999999999999</v>
      </c>
      <c r="P25" s="9"/>
      <c r="Q25" s="9"/>
      <c r="R25" s="17"/>
      <c r="S25" s="17"/>
    </row>
    <row r="26" spans="1:19" ht="15" x14ac:dyDescent="0.2">
      <c r="A26" s="16">
        <v>41275</v>
      </c>
      <c r="B26" s="10">
        <f>2.4363 * CHOOSE(CONTROL!$C$32, $C$9, 100%, $E$9)</f>
        <v>2.4363000000000001</v>
      </c>
      <c r="C26" s="10">
        <f>2.4856 * CHOOSE(CONTROL!$C$32, $C$9, 100%, $E$9)</f>
        <v>2.4855999999999998</v>
      </c>
      <c r="D26" s="10">
        <f>2.5202 * CHOOSE(CONTROL!$C$32, $C$9, 100%, $E$9)</f>
        <v>2.5202</v>
      </c>
      <c r="E26" s="9">
        <f>4.0897 * CHOOSE(CONTROL!$C$32, $C$9, 100%, $E$9)</f>
        <v>4.0896999999999997</v>
      </c>
      <c r="F26" s="9">
        <f>3.5487 * CHOOSE(CONTROL!$C$32, $C$9, 100%, $E$9)</f>
        <v>3.5487000000000002</v>
      </c>
      <c r="G26" s="9">
        <f>3.5602 * CHOOSE(CONTROL!$C$32, $C$9, 100%, $E$9)</f>
        <v>3.5602</v>
      </c>
      <c r="H26" s="9">
        <f>3.832 * CHOOSE(CONTROL!$C$32, $C$9, 100%, $E$9)</f>
        <v>3.8319999999999999</v>
      </c>
      <c r="I26" s="9">
        <f>3.8435 * CHOOSE(CONTROL!$C$32, $C$9, 100%, $E$9)</f>
        <v>3.8435000000000001</v>
      </c>
      <c r="J26" s="9">
        <f>3.832 * CHOOSE(CONTROL!$C$32, $C$9, 100%, $E$9)</f>
        <v>3.8319999999999999</v>
      </c>
      <c r="K26" s="9">
        <f>3.8435 * CHOOSE(CONTROL!$C$32, $C$9, 100%, $E$9)</f>
        <v>3.8435000000000001</v>
      </c>
      <c r="L26" s="9">
        <f>4.0897 * CHOOSE(CONTROL!$C$32, $C$9, 100%, $E$9)</f>
        <v>4.0896999999999997</v>
      </c>
      <c r="M26" s="9">
        <f>4.1012 * CHOOSE(CONTROL!$C$32, $C$9, 100%, $E$9)</f>
        <v>4.1012000000000004</v>
      </c>
      <c r="N26" s="9">
        <f>4.0897 * CHOOSE(CONTROL!$C$32, $C$9, 100%, $E$9)</f>
        <v>4.0896999999999997</v>
      </c>
      <c r="O26" s="9">
        <f>4.1012 * CHOOSE(CONTROL!$C$32, $C$9, 100%, $E$9)</f>
        <v>4.1012000000000004</v>
      </c>
      <c r="P26" s="17"/>
      <c r="Q26" s="9"/>
      <c r="R26" s="9"/>
    </row>
    <row r="27" spans="1:19" ht="15" x14ac:dyDescent="0.2">
      <c r="A27" s="16">
        <v>41306</v>
      </c>
      <c r="B27" s="10">
        <f>2.441 * CHOOSE(CONTROL!$C$32, $C$9, 100%, $E$9)</f>
        <v>2.4409999999999998</v>
      </c>
      <c r="C27" s="10">
        <f>2.4903 * CHOOSE(CONTROL!$C$32, $C$9, 100%, $E$9)</f>
        <v>2.4903</v>
      </c>
      <c r="D27" s="10">
        <f>2.5249 * CHOOSE(CONTROL!$C$32, $C$9, 100%, $E$9)</f>
        <v>2.5249000000000001</v>
      </c>
      <c r="E27" s="9">
        <f>3.9826 * CHOOSE(CONTROL!$C$32, $C$9, 100%, $E$9)</f>
        <v>3.9826000000000001</v>
      </c>
      <c r="F27" s="9">
        <f>3.5669 * CHOOSE(CONTROL!$C$32, $C$9, 100%, $E$9)</f>
        <v>3.5669</v>
      </c>
      <c r="G27" s="9">
        <f>3.5783 * CHOOSE(CONTROL!$C$32, $C$9, 100%, $E$9)</f>
        <v>3.5783</v>
      </c>
      <c r="H27" s="9">
        <f>3.828 * CHOOSE(CONTROL!$C$32, $C$9, 100%, $E$9)</f>
        <v>3.8279999999999998</v>
      </c>
      <c r="I27" s="9">
        <f>3.8395 * CHOOSE(CONTROL!$C$32, $C$9, 100%, $E$9)</f>
        <v>3.8395000000000001</v>
      </c>
      <c r="J27" s="9">
        <f>3.828 * CHOOSE(CONTROL!$C$32, $C$9, 100%, $E$9)</f>
        <v>3.8279999999999998</v>
      </c>
      <c r="K27" s="9">
        <f>3.8395 * CHOOSE(CONTROL!$C$32, $C$9, 100%, $E$9)</f>
        <v>3.8395000000000001</v>
      </c>
      <c r="L27" s="9">
        <f>3.9826 * CHOOSE(CONTROL!$C$32, $C$9, 100%, $E$9)</f>
        <v>3.9826000000000001</v>
      </c>
      <c r="M27" s="9">
        <f>3.994 * CHOOSE(CONTROL!$C$32, $C$9, 100%, $E$9)</f>
        <v>3.9940000000000002</v>
      </c>
      <c r="N27" s="9">
        <f>3.9826 * CHOOSE(CONTROL!$C$32, $C$9, 100%, $E$9)</f>
        <v>3.9826000000000001</v>
      </c>
      <c r="O27" s="9">
        <f>3.994 * CHOOSE(CONTROL!$C$32, $C$9, 100%, $E$9)</f>
        <v>3.9940000000000002</v>
      </c>
      <c r="P27" s="17"/>
      <c r="Q27" s="9"/>
      <c r="R27" s="9"/>
    </row>
    <row r="28" spans="1:19" ht="15" x14ac:dyDescent="0.2">
      <c r="A28" s="16">
        <v>41334</v>
      </c>
      <c r="B28" s="10">
        <f>2.4418 * CHOOSE(CONTROL!$C$32, $C$9, 100%, $E$9)</f>
        <v>2.4418000000000002</v>
      </c>
      <c r="C28" s="10">
        <f>2.4932 * CHOOSE(CONTROL!$C$32, $C$9, 100%, $E$9)</f>
        <v>2.4931999999999999</v>
      </c>
      <c r="D28" s="10">
        <f>2.5278 * CHOOSE(CONTROL!$C$32, $C$9, 100%, $E$9)</f>
        <v>2.5278</v>
      </c>
      <c r="E28" s="9">
        <f>3.9826 * CHOOSE(CONTROL!$C$32, $C$9, 100%, $E$9)</f>
        <v>3.9826000000000001</v>
      </c>
      <c r="F28" s="9">
        <f>3.5919 * CHOOSE(CONTROL!$C$32, $C$9, 100%, $E$9)</f>
        <v>3.5918999999999999</v>
      </c>
      <c r="G28" s="9">
        <f>3.6033 * CHOOSE(CONTROL!$C$32, $C$9, 100%, $E$9)</f>
        <v>3.6032999999999999</v>
      </c>
      <c r="H28" s="9">
        <f>3.822 * CHOOSE(CONTROL!$C$32, $C$9, 100%, $E$9)</f>
        <v>3.8220000000000001</v>
      </c>
      <c r="I28" s="9">
        <f>3.8335 * CHOOSE(CONTROL!$C$32, $C$9, 100%, $E$9)</f>
        <v>3.8334999999999999</v>
      </c>
      <c r="J28" s="9">
        <f>3.822 * CHOOSE(CONTROL!$C$32, $C$9, 100%, $E$9)</f>
        <v>3.8220000000000001</v>
      </c>
      <c r="K28" s="9">
        <f>3.8335 * CHOOSE(CONTROL!$C$32, $C$9, 100%, $E$9)</f>
        <v>3.8334999999999999</v>
      </c>
      <c r="L28" s="9">
        <f>3.9826 * CHOOSE(CONTROL!$C$32, $C$9, 100%, $E$9)</f>
        <v>3.9826000000000001</v>
      </c>
      <c r="M28" s="9">
        <f>3.994 * CHOOSE(CONTROL!$C$32, $C$9, 100%, $E$9)</f>
        <v>3.9940000000000002</v>
      </c>
      <c r="N28" s="9">
        <f>3.9826 * CHOOSE(CONTROL!$C$32, $C$9, 100%, $E$9)</f>
        <v>3.9826000000000001</v>
      </c>
      <c r="O28" s="9">
        <f>3.994 * CHOOSE(CONTROL!$C$32, $C$9, 100%, $E$9)</f>
        <v>3.9940000000000002</v>
      </c>
      <c r="P28" s="17"/>
      <c r="Q28" s="9"/>
      <c r="R28" s="9"/>
    </row>
    <row r="29" spans="1:19" ht="15" x14ac:dyDescent="0.2">
      <c r="A29" s="16">
        <v>41365</v>
      </c>
      <c r="B29" s="10">
        <f>2.4427 * CHOOSE(CONTROL!$C$32, $C$9, 100%, $E$9)</f>
        <v>2.4426999999999999</v>
      </c>
      <c r="C29" s="10">
        <f>2.4963 * CHOOSE(CONTROL!$C$32, $C$9, 100%, $E$9)</f>
        <v>2.4963000000000002</v>
      </c>
      <c r="D29" s="10">
        <f>2.5309 * CHOOSE(CONTROL!$C$32, $C$9, 100%, $E$9)</f>
        <v>2.5308999999999999</v>
      </c>
      <c r="E29" s="9">
        <f>4.0701 * CHOOSE(CONTROL!$C$32, $C$9, 100%, $E$9)</f>
        <v>4.0701000000000001</v>
      </c>
      <c r="F29" s="9">
        <f>3.5985 * CHOOSE(CONTROL!$C$32, $C$9, 100%, $E$9)</f>
        <v>3.5985</v>
      </c>
      <c r="G29" s="9">
        <f>3.6099 * CHOOSE(CONTROL!$C$32, $C$9, 100%, $E$9)</f>
        <v>3.6099000000000001</v>
      </c>
      <c r="H29" s="9">
        <f>3.8213 * CHOOSE(CONTROL!$C$32, $C$9, 100%, $E$9)</f>
        <v>3.8212999999999999</v>
      </c>
      <c r="I29" s="9">
        <f>3.8328 * CHOOSE(CONTROL!$C$32, $C$9, 100%, $E$9)</f>
        <v>3.8328000000000002</v>
      </c>
      <c r="J29" s="9">
        <f>3.8213 * CHOOSE(CONTROL!$C$32, $C$9, 100%, $E$9)</f>
        <v>3.8212999999999999</v>
      </c>
      <c r="K29" s="9">
        <f>3.8328 * CHOOSE(CONTROL!$C$32, $C$9, 100%, $E$9)</f>
        <v>3.8328000000000002</v>
      </c>
      <c r="L29" s="9">
        <f>4.0701 * CHOOSE(CONTROL!$C$32, $C$9, 100%, $E$9)</f>
        <v>4.0701000000000001</v>
      </c>
      <c r="M29" s="9">
        <f>4.0815 * CHOOSE(CONTROL!$C$32, $C$9, 100%, $E$9)</f>
        <v>4.0815000000000001</v>
      </c>
      <c r="N29" s="9">
        <f>4.0701 * CHOOSE(CONTROL!$C$32, $C$9, 100%, $E$9)</f>
        <v>4.0701000000000001</v>
      </c>
      <c r="O29" s="9">
        <f>4.0815 * CHOOSE(CONTROL!$C$32, $C$9, 100%, $E$9)</f>
        <v>4.0815000000000001</v>
      </c>
      <c r="P29" s="17"/>
      <c r="Q29" s="9"/>
      <c r="R29" s="9"/>
    </row>
    <row r="30" spans="1:19" ht="15" x14ac:dyDescent="0.2">
      <c r="A30" s="16">
        <v>41395</v>
      </c>
      <c r="B30" s="10">
        <f>2.4463 * CHOOSE(CONTROL!$C$32, $C$9, 100%, $E$9)</f>
        <v>2.4462999999999999</v>
      </c>
      <c r="C30" s="10">
        <f>2.4978 * CHOOSE(CONTROL!$C$32, $C$9, 100%, $E$9)</f>
        <v>2.4977999999999998</v>
      </c>
      <c r="D30" s="10">
        <f>2.5453 * CHOOSE(CONTROL!$C$32, $C$9, 100%, $E$9)</f>
        <v>2.5453000000000001</v>
      </c>
      <c r="E30" s="9">
        <f>4.1148 * CHOOSE(CONTROL!$C$32, $C$9, 100%, $E$9)</f>
        <v>4.1147999999999998</v>
      </c>
      <c r="F30" s="9">
        <f>3.5985 * CHOOSE(CONTROL!$C$32, $C$9, 100%, $E$9)</f>
        <v>3.5985</v>
      </c>
      <c r="G30" s="9">
        <f>3.6142 * CHOOSE(CONTROL!$C$32, $C$9, 100%, $E$9)</f>
        <v>3.6141999999999999</v>
      </c>
      <c r="H30" s="9">
        <f>3.8133 * CHOOSE(CONTROL!$C$32, $C$9, 100%, $E$9)</f>
        <v>3.8132999999999999</v>
      </c>
      <c r="I30" s="9">
        <f>3.829 * CHOOSE(CONTROL!$C$32, $C$9, 100%, $E$9)</f>
        <v>3.8290000000000002</v>
      </c>
      <c r="J30" s="9">
        <f>3.8133 * CHOOSE(CONTROL!$C$32, $C$9, 100%, $E$9)</f>
        <v>3.8132999999999999</v>
      </c>
      <c r="K30" s="9">
        <f>3.829 * CHOOSE(CONTROL!$C$32, $C$9, 100%, $E$9)</f>
        <v>3.8290000000000002</v>
      </c>
      <c r="L30" s="9">
        <f>4.1148 * CHOOSE(CONTROL!$C$32, $C$9, 100%, $E$9)</f>
        <v>4.1147999999999998</v>
      </c>
      <c r="M30" s="9">
        <f>4.1305 * CHOOSE(CONTROL!$C$32, $C$9, 100%, $E$9)</f>
        <v>4.1304999999999996</v>
      </c>
      <c r="N30" s="9">
        <f>4.1148 * CHOOSE(CONTROL!$C$32, $C$9, 100%, $E$9)</f>
        <v>4.1147999999999998</v>
      </c>
      <c r="O30" s="9">
        <f>4.1305 * CHOOSE(CONTROL!$C$32, $C$9, 100%, $E$9)</f>
        <v>4.1304999999999996</v>
      </c>
      <c r="P30" s="17"/>
      <c r="Q30" s="9"/>
      <c r="R30" s="9"/>
    </row>
    <row r="31" spans="1:19" ht="15" x14ac:dyDescent="0.2">
      <c r="A31" s="16">
        <v>41426</v>
      </c>
      <c r="B31" s="10">
        <f>2.4471 * CHOOSE(CONTROL!$C$32, $C$9, 100%, $E$9)</f>
        <v>2.4470999999999998</v>
      </c>
      <c r="C31" s="10">
        <f>2.5007 * CHOOSE(CONTROL!$C$32, $C$9, 100%, $E$9)</f>
        <v>2.5007000000000001</v>
      </c>
      <c r="D31" s="10">
        <f>2.5482 * CHOOSE(CONTROL!$C$32, $C$9, 100%, $E$9)</f>
        <v>2.5482</v>
      </c>
      <c r="E31" s="9">
        <f>4.1148 * CHOOSE(CONTROL!$C$32, $C$9, 100%, $E$9)</f>
        <v>4.1147999999999998</v>
      </c>
      <c r="F31" s="9">
        <f>3.5985 * CHOOSE(CONTROL!$C$32, $C$9, 100%, $E$9)</f>
        <v>3.5985</v>
      </c>
      <c r="G31" s="9">
        <f>3.6142 * CHOOSE(CONTROL!$C$32, $C$9, 100%, $E$9)</f>
        <v>3.6141999999999999</v>
      </c>
      <c r="H31" s="9">
        <f>3.8253 * CHOOSE(CONTROL!$C$32, $C$9, 100%, $E$9)</f>
        <v>3.8252999999999999</v>
      </c>
      <c r="I31" s="9">
        <f>3.841 * CHOOSE(CONTROL!$C$32, $C$9, 100%, $E$9)</f>
        <v>3.8410000000000002</v>
      </c>
      <c r="J31" s="9">
        <f>3.8253 * CHOOSE(CONTROL!$C$32, $C$9, 100%, $E$9)</f>
        <v>3.8252999999999999</v>
      </c>
      <c r="K31" s="9">
        <f>3.841 * CHOOSE(CONTROL!$C$32, $C$9, 100%, $E$9)</f>
        <v>3.8410000000000002</v>
      </c>
      <c r="L31" s="9">
        <f>4.1148 * CHOOSE(CONTROL!$C$32, $C$9, 100%, $E$9)</f>
        <v>4.1147999999999998</v>
      </c>
      <c r="M31" s="9">
        <f>4.1305 * CHOOSE(CONTROL!$C$32, $C$9, 100%, $E$9)</f>
        <v>4.1304999999999996</v>
      </c>
      <c r="N31" s="9">
        <f>4.1148 * CHOOSE(CONTROL!$C$32, $C$9, 100%, $E$9)</f>
        <v>4.1147999999999998</v>
      </c>
      <c r="O31" s="9">
        <f>4.1305 * CHOOSE(CONTROL!$C$32, $C$9, 100%, $E$9)</f>
        <v>4.1304999999999996</v>
      </c>
      <c r="P31" s="17"/>
      <c r="Q31" s="9"/>
      <c r="R31" s="9"/>
    </row>
    <row r="32" spans="1:19" ht="15" x14ac:dyDescent="0.2">
      <c r="A32" s="16">
        <v>41456</v>
      </c>
      <c r="B32" s="10">
        <f>2.449 * CHOOSE(CONTROL!$C$32, $C$9, 100%, $E$9)</f>
        <v>2.4489999999999998</v>
      </c>
      <c r="C32" s="10">
        <f>2.5067 * CHOOSE(CONTROL!$C$32, $C$9, 100%, $E$9)</f>
        <v>2.5066999999999999</v>
      </c>
      <c r="D32" s="10">
        <f>2.5543 * CHOOSE(CONTROL!$C$32, $C$9, 100%, $E$9)</f>
        <v>2.5543</v>
      </c>
      <c r="E32" s="9">
        <f>4.2046 * CHOOSE(CONTROL!$C$32, $C$9, 100%, $E$9)</f>
        <v>4.2046000000000001</v>
      </c>
      <c r="F32" s="9">
        <f>3.6027 * CHOOSE(CONTROL!$C$32, $C$9, 100%, $E$9)</f>
        <v>3.6027</v>
      </c>
      <c r="G32" s="9">
        <f>3.6184 * CHOOSE(CONTROL!$C$32, $C$9, 100%, $E$9)</f>
        <v>3.6183999999999998</v>
      </c>
      <c r="H32" s="9">
        <f>3.822 * CHOOSE(CONTROL!$C$32, $C$9, 100%, $E$9)</f>
        <v>3.8220000000000001</v>
      </c>
      <c r="I32" s="9">
        <f>3.8377 * CHOOSE(CONTROL!$C$32, $C$9, 100%, $E$9)</f>
        <v>3.8376999999999999</v>
      </c>
      <c r="J32" s="9">
        <f>3.822 * CHOOSE(CONTROL!$C$32, $C$9, 100%, $E$9)</f>
        <v>3.8220000000000001</v>
      </c>
      <c r="K32" s="9">
        <f>3.8377 * CHOOSE(CONTROL!$C$32, $C$9, 100%, $E$9)</f>
        <v>3.8376999999999999</v>
      </c>
      <c r="L32" s="9">
        <f>4.2046 * CHOOSE(CONTROL!$C$32, $C$9, 100%, $E$9)</f>
        <v>4.2046000000000001</v>
      </c>
      <c r="M32" s="9">
        <f>4.2203 * CHOOSE(CONTROL!$C$32, $C$9, 100%, $E$9)</f>
        <v>4.2202999999999999</v>
      </c>
      <c r="N32" s="9">
        <f>4.2046 * CHOOSE(CONTROL!$C$32, $C$9, 100%, $E$9)</f>
        <v>4.2046000000000001</v>
      </c>
      <c r="O32" s="9">
        <f>4.2203 * CHOOSE(CONTROL!$C$32, $C$9, 100%, $E$9)</f>
        <v>4.2202999999999999</v>
      </c>
      <c r="P32" s="17"/>
      <c r="Q32" s="9"/>
      <c r="R32" s="9"/>
    </row>
    <row r="33" spans="1:18" ht="15" x14ac:dyDescent="0.2">
      <c r="A33" s="16">
        <v>41487</v>
      </c>
      <c r="B33" s="10">
        <f>2.4554 * CHOOSE(CONTROL!$C$32, $C$9, 100%, $E$9)</f>
        <v>2.4554</v>
      </c>
      <c r="C33" s="10">
        <f>2.5174 * CHOOSE(CONTROL!$C$32, $C$9, 100%, $E$9)</f>
        <v>2.5173999999999999</v>
      </c>
      <c r="D33" s="10">
        <f>2.5649 * CHOOSE(CONTROL!$C$32, $C$9, 100%, $E$9)</f>
        <v>2.5649000000000002</v>
      </c>
      <c r="E33" s="9">
        <f>4.1681 * CHOOSE(CONTROL!$C$32, $C$9, 100%, $E$9)</f>
        <v>4.1680999999999999</v>
      </c>
      <c r="F33" s="9">
        <f>3.605 * CHOOSE(CONTROL!$C$32, $C$9, 100%, $E$9)</f>
        <v>3.605</v>
      </c>
      <c r="G33" s="9">
        <f>3.6207 * CHOOSE(CONTROL!$C$32, $C$9, 100%, $E$9)</f>
        <v>3.6206999999999998</v>
      </c>
      <c r="H33" s="9">
        <f>3.8213 * CHOOSE(CONTROL!$C$32, $C$9, 100%, $E$9)</f>
        <v>3.8212999999999999</v>
      </c>
      <c r="I33" s="9">
        <f>3.837 * CHOOSE(CONTROL!$C$32, $C$9, 100%, $E$9)</f>
        <v>3.8370000000000002</v>
      </c>
      <c r="J33" s="9">
        <f>3.8213 * CHOOSE(CONTROL!$C$32, $C$9, 100%, $E$9)</f>
        <v>3.8212999999999999</v>
      </c>
      <c r="K33" s="9">
        <f>3.837 * CHOOSE(CONTROL!$C$32, $C$9, 100%, $E$9)</f>
        <v>3.8370000000000002</v>
      </c>
      <c r="L33" s="9">
        <f>4.1681 * CHOOSE(CONTROL!$C$32, $C$9, 100%, $E$9)</f>
        <v>4.1680999999999999</v>
      </c>
      <c r="M33" s="9">
        <f>4.1838 * CHOOSE(CONTROL!$C$32, $C$9, 100%, $E$9)</f>
        <v>4.1837999999999997</v>
      </c>
      <c r="N33" s="9">
        <f>4.1681 * CHOOSE(CONTROL!$C$32, $C$9, 100%, $E$9)</f>
        <v>4.1680999999999999</v>
      </c>
      <c r="O33" s="9">
        <f>4.1838 * CHOOSE(CONTROL!$C$32, $C$9, 100%, $E$9)</f>
        <v>4.1837999999999997</v>
      </c>
      <c r="P33" s="17"/>
      <c r="Q33" s="9"/>
      <c r="R33" s="9"/>
    </row>
    <row r="34" spans="1:18" ht="15" x14ac:dyDescent="0.2">
      <c r="A34" s="16">
        <v>41518</v>
      </c>
      <c r="B34" s="10">
        <f>2.4534 * CHOOSE(CONTROL!$C$32, $C$9, 100%, $E$9)</f>
        <v>2.4533999999999998</v>
      </c>
      <c r="C34" s="10">
        <f>2.5111 * CHOOSE(CONTROL!$C$32, $C$9, 100%, $E$9)</f>
        <v>2.5110999999999999</v>
      </c>
      <c r="D34" s="10">
        <f>2.5587 * CHOOSE(CONTROL!$C$32, $C$9, 100%, $E$9)</f>
        <v>2.5587</v>
      </c>
      <c r="E34" s="9">
        <f>4.1681 * CHOOSE(CONTROL!$C$32, $C$9, 100%, $E$9)</f>
        <v>4.1680999999999999</v>
      </c>
      <c r="F34" s="9">
        <f>3.6459 * CHOOSE(CONTROL!$C$32, $C$9, 100%, $E$9)</f>
        <v>3.6459000000000001</v>
      </c>
      <c r="G34" s="9">
        <f>3.6616 * CHOOSE(CONTROL!$C$32, $C$9, 100%, $E$9)</f>
        <v>3.6616</v>
      </c>
      <c r="H34" s="9">
        <f>3.8566 * CHOOSE(CONTROL!$C$32, $C$9, 100%, $E$9)</f>
        <v>3.8565999999999998</v>
      </c>
      <c r="I34" s="9">
        <f>3.8723 * CHOOSE(CONTROL!$C$32, $C$9, 100%, $E$9)</f>
        <v>3.8723000000000001</v>
      </c>
      <c r="J34" s="9">
        <f>3.8566 * CHOOSE(CONTROL!$C$32, $C$9, 100%, $E$9)</f>
        <v>3.8565999999999998</v>
      </c>
      <c r="K34" s="9">
        <f>3.8723 * CHOOSE(CONTROL!$C$32, $C$9, 100%, $E$9)</f>
        <v>3.8723000000000001</v>
      </c>
      <c r="L34" s="9">
        <f>4.1681 * CHOOSE(CONTROL!$C$32, $C$9, 100%, $E$9)</f>
        <v>4.1680999999999999</v>
      </c>
      <c r="M34" s="9">
        <f>4.1838 * CHOOSE(CONTROL!$C$32, $C$9, 100%, $E$9)</f>
        <v>4.1837999999999997</v>
      </c>
      <c r="N34" s="9">
        <f>4.1681 * CHOOSE(CONTROL!$C$32, $C$9, 100%, $E$9)</f>
        <v>4.1680999999999999</v>
      </c>
      <c r="O34" s="9">
        <f>4.1838 * CHOOSE(CONTROL!$C$32, $C$9, 100%, $E$9)</f>
        <v>4.1837999999999997</v>
      </c>
      <c r="P34" s="17"/>
      <c r="Q34" s="9"/>
      <c r="R34" s="9"/>
    </row>
    <row r="35" spans="1:18" ht="15" x14ac:dyDescent="0.2">
      <c r="A35" s="16">
        <v>41548</v>
      </c>
      <c r="B35" s="10">
        <f>2.4506 * CHOOSE(CONTROL!$C$32, $C$9, 100%, $E$9)</f>
        <v>2.4506000000000001</v>
      </c>
      <c r="C35" s="10">
        <f>2.502 * CHOOSE(CONTROL!$C$32, $C$9, 100%, $E$9)</f>
        <v>2.5019999999999998</v>
      </c>
      <c r="D35" s="10">
        <f>2.5366 * CHOOSE(CONTROL!$C$32, $C$9, 100%, $E$9)</f>
        <v>2.5366</v>
      </c>
      <c r="E35" s="9">
        <f>4.2553 * CHOOSE(CONTROL!$C$32, $C$9, 100%, $E$9)</f>
        <v>4.2553000000000001</v>
      </c>
      <c r="F35" s="9">
        <f>3.6481 * CHOOSE(CONTROL!$C$32, $C$9, 100%, $E$9)</f>
        <v>3.6480999999999999</v>
      </c>
      <c r="G35" s="9">
        <f>3.6596 * CHOOSE(CONTROL!$C$32, $C$9, 100%, $E$9)</f>
        <v>3.6596000000000002</v>
      </c>
      <c r="H35" s="9">
        <f>3.8489 * CHOOSE(CONTROL!$C$32, $C$9, 100%, $E$9)</f>
        <v>3.8489</v>
      </c>
      <c r="I35" s="9">
        <f>3.8604 * CHOOSE(CONTROL!$C$32, $C$9, 100%, $E$9)</f>
        <v>3.8603999999999998</v>
      </c>
      <c r="J35" s="9">
        <f>3.8489 * CHOOSE(CONTROL!$C$32, $C$9, 100%, $E$9)</f>
        <v>3.8489</v>
      </c>
      <c r="K35" s="9">
        <f>3.8604 * CHOOSE(CONTROL!$C$32, $C$9, 100%, $E$9)</f>
        <v>3.8603999999999998</v>
      </c>
      <c r="L35" s="9">
        <f>4.2553 * CHOOSE(CONTROL!$C$32, $C$9, 100%, $E$9)</f>
        <v>4.2553000000000001</v>
      </c>
      <c r="M35" s="9">
        <f>4.2668 * CHOOSE(CONTROL!$C$32, $C$9, 100%, $E$9)</f>
        <v>4.2667999999999999</v>
      </c>
      <c r="N35" s="9">
        <f>4.2553 * CHOOSE(CONTROL!$C$32, $C$9, 100%, $E$9)</f>
        <v>4.2553000000000001</v>
      </c>
      <c r="O35" s="9">
        <f>4.2668 * CHOOSE(CONTROL!$C$32, $C$9, 100%, $E$9)</f>
        <v>4.2667999999999999</v>
      </c>
      <c r="P35" s="17"/>
      <c r="Q35" s="9"/>
      <c r="R35" s="9"/>
    </row>
    <row r="36" spans="1:18" ht="15" x14ac:dyDescent="0.2">
      <c r="A36" s="16">
        <v>41579</v>
      </c>
      <c r="B36" s="10">
        <f>2.4533 * CHOOSE(CONTROL!$C$32, $C$9, 100%, $E$9)</f>
        <v>2.4533</v>
      </c>
      <c r="C36" s="10">
        <f>2.5005 * CHOOSE(CONTROL!$C$32, $C$9, 100%, $E$9)</f>
        <v>2.5005000000000002</v>
      </c>
      <c r="D36" s="10">
        <f>2.5351 * CHOOSE(CONTROL!$C$32, $C$9, 100%, $E$9)</f>
        <v>2.5350999999999999</v>
      </c>
      <c r="E36" s="9">
        <f>4.2163 * CHOOSE(CONTROL!$C$32, $C$9, 100%, $E$9)</f>
        <v>4.2163000000000004</v>
      </c>
      <c r="F36" s="9">
        <f>3.6458 * CHOOSE(CONTROL!$C$32, $C$9, 100%, $E$9)</f>
        <v>3.6457999999999999</v>
      </c>
      <c r="G36" s="9">
        <f>3.6573 * CHOOSE(CONTROL!$C$32, $C$9, 100%, $E$9)</f>
        <v>3.6573000000000002</v>
      </c>
      <c r="H36" s="9">
        <f>3.8649 * CHOOSE(CONTROL!$C$32, $C$9, 100%, $E$9)</f>
        <v>3.8649</v>
      </c>
      <c r="I36" s="9">
        <f>3.8764 * CHOOSE(CONTROL!$C$32, $C$9, 100%, $E$9)</f>
        <v>3.8763999999999998</v>
      </c>
      <c r="J36" s="9">
        <f>3.8649 * CHOOSE(CONTROL!$C$32, $C$9, 100%, $E$9)</f>
        <v>3.8649</v>
      </c>
      <c r="K36" s="9">
        <f>3.8764 * CHOOSE(CONTROL!$C$32, $C$9, 100%, $E$9)</f>
        <v>3.8763999999999998</v>
      </c>
      <c r="L36" s="9">
        <f>4.2163 * CHOOSE(CONTROL!$C$32, $C$9, 100%, $E$9)</f>
        <v>4.2163000000000004</v>
      </c>
      <c r="M36" s="9">
        <f>4.2278 * CHOOSE(CONTROL!$C$32, $C$9, 100%, $E$9)</f>
        <v>4.2278000000000002</v>
      </c>
      <c r="N36" s="9">
        <f>4.2163 * CHOOSE(CONTROL!$C$32, $C$9, 100%, $E$9)</f>
        <v>4.2163000000000004</v>
      </c>
      <c r="O36" s="9">
        <f>4.2278 * CHOOSE(CONTROL!$C$32, $C$9, 100%, $E$9)</f>
        <v>4.2278000000000002</v>
      </c>
      <c r="P36" s="17"/>
      <c r="Q36" s="9"/>
      <c r="R36" s="9"/>
    </row>
    <row r="37" spans="1:18" ht="15" x14ac:dyDescent="0.2">
      <c r="A37" s="16">
        <v>41609</v>
      </c>
      <c r="B37" s="10">
        <f>2.4559 * CHOOSE(CONTROL!$C$32, $C$9, 100%, $E$9)</f>
        <v>2.4559000000000002</v>
      </c>
      <c r="C37" s="10">
        <f>2.5094 * CHOOSE(CONTROL!$C$32, $C$9, 100%, $E$9)</f>
        <v>2.5093999999999999</v>
      </c>
      <c r="D37" s="10">
        <f>2.544 * CHOOSE(CONTROL!$C$32, $C$9, 100%, $E$9)</f>
        <v>2.544</v>
      </c>
      <c r="E37" s="9">
        <f>4.1195 * CHOOSE(CONTROL!$C$32, $C$9, 100%, $E$9)</f>
        <v>4.1195000000000004</v>
      </c>
      <c r="F37" s="9">
        <f>3.6458 * CHOOSE(CONTROL!$C$32, $C$9, 100%, $E$9)</f>
        <v>3.6457999999999999</v>
      </c>
      <c r="G37" s="9">
        <f>3.6573 * CHOOSE(CONTROL!$C$32, $C$9, 100%, $E$9)</f>
        <v>3.6573000000000002</v>
      </c>
      <c r="H37" s="9">
        <f>3.8829 * CHOOSE(CONTROL!$C$32, $C$9, 100%, $E$9)</f>
        <v>3.8828999999999998</v>
      </c>
      <c r="I37" s="9">
        <f>3.8944 * CHOOSE(CONTROL!$C$32, $C$9, 100%, $E$9)</f>
        <v>3.8944000000000001</v>
      </c>
      <c r="J37" s="9">
        <f>3.8829 * CHOOSE(CONTROL!$C$32, $C$9, 100%, $E$9)</f>
        <v>3.8828999999999998</v>
      </c>
      <c r="K37" s="9">
        <f>3.8944 * CHOOSE(CONTROL!$C$32, $C$9, 100%, $E$9)</f>
        <v>3.8944000000000001</v>
      </c>
      <c r="L37" s="9">
        <f>4.1195 * CHOOSE(CONTROL!$C$32, $C$9, 100%, $E$9)</f>
        <v>4.1195000000000004</v>
      </c>
      <c r="M37" s="9">
        <f>4.131 * CHOOSE(CONTROL!$C$32, $C$9, 100%, $E$9)</f>
        <v>4.1310000000000002</v>
      </c>
      <c r="N37" s="9">
        <f>4.1195 * CHOOSE(CONTROL!$C$32, $C$9, 100%, $E$9)</f>
        <v>4.1195000000000004</v>
      </c>
      <c r="O37" s="9">
        <f>4.131 * CHOOSE(CONTROL!$C$32, $C$9, 100%, $E$9)</f>
        <v>4.1310000000000002</v>
      </c>
      <c r="P37" s="17"/>
      <c r="Q37" s="9"/>
      <c r="R37" s="9"/>
    </row>
    <row r="38" spans="1:18" ht="15" x14ac:dyDescent="0.2">
      <c r="A38" s="16">
        <v>41640</v>
      </c>
      <c r="B38" s="10">
        <f>2.4985 * CHOOSE(CONTROL!$C$32, $C$9, 100%, $E$9)</f>
        <v>2.4984999999999999</v>
      </c>
      <c r="C38" s="10">
        <f>2.5259 * CHOOSE(CONTROL!$C$32, $C$9, 100%, $E$9)</f>
        <v>2.5259</v>
      </c>
      <c r="D38" s="10">
        <f>2.5605 * CHOOSE(CONTROL!$C$32, $C$9, 100%, $E$9)</f>
        <v>2.5605000000000002</v>
      </c>
      <c r="E38" s="9">
        <f>3.5428 * CHOOSE(CONTROL!$C$32, $C$9, 100%, $E$9)</f>
        <v>3.5428000000000002</v>
      </c>
      <c r="F38" s="9">
        <f>3.525 * CHOOSE(CONTROL!$C$32, $C$9, 100%, $E$9)</f>
        <v>3.5249999999999999</v>
      </c>
      <c r="G38" s="9">
        <f>3.5365 * CHOOSE(CONTROL!$C$32, $C$9, 100%, $E$9)</f>
        <v>3.5365000000000002</v>
      </c>
      <c r="H38" s="9">
        <f>3.9139 * CHOOSE(CONTROL!$C$32, $C$9, 100%, $E$9)</f>
        <v>3.9138999999999999</v>
      </c>
      <c r="I38" s="9">
        <f>3.9254 * CHOOSE(CONTROL!$C$32, $C$9, 100%, $E$9)</f>
        <v>3.9253999999999998</v>
      </c>
      <c r="J38" s="9">
        <f>3.9139 * CHOOSE(CONTROL!$C$32, $C$9, 100%, $E$9)</f>
        <v>3.9138999999999999</v>
      </c>
      <c r="K38" s="9">
        <f>3.9254 * CHOOSE(CONTROL!$C$32, $C$9, 100%, $E$9)</f>
        <v>3.9253999999999998</v>
      </c>
      <c r="L38" s="9">
        <f>3.5428 * CHOOSE(CONTROL!$C$32, $C$9, 100%, $E$9)</f>
        <v>3.5428000000000002</v>
      </c>
      <c r="M38" s="9">
        <f>3.5543 * CHOOSE(CONTROL!$C$32, $C$9, 100%, $E$9)</f>
        <v>3.5543</v>
      </c>
      <c r="N38" s="9">
        <f>3.5428 * CHOOSE(CONTROL!$C$32, $C$9, 100%, $E$9)</f>
        <v>3.5428000000000002</v>
      </c>
      <c r="O38" s="9">
        <f>3.5543 * CHOOSE(CONTROL!$C$32, $C$9, 100%, $E$9)</f>
        <v>3.5543</v>
      </c>
      <c r="P38" s="17"/>
      <c r="Q38" s="9"/>
      <c r="R38" s="9"/>
    </row>
    <row r="39" spans="1:18" ht="15" x14ac:dyDescent="0.2">
      <c r="A39" s="16">
        <v>41671</v>
      </c>
      <c r="B39" s="10">
        <f>2.5018 * CHOOSE(CONTROL!$C$32, $C$9, 100%, $E$9)</f>
        <v>2.5017999999999998</v>
      </c>
      <c r="C39" s="10">
        <f>2.5277 * CHOOSE(CONTROL!$C$32, $C$9, 100%, $E$9)</f>
        <v>2.5276999999999998</v>
      </c>
      <c r="D39" s="10">
        <f>2.5622 * CHOOSE(CONTROL!$C$32, $C$9, 100%, $E$9)</f>
        <v>2.5621999999999998</v>
      </c>
      <c r="E39" s="9">
        <f>3.5391 * CHOOSE(CONTROL!$C$32, $C$9, 100%, $E$9)</f>
        <v>3.5390999999999999</v>
      </c>
      <c r="F39" s="9">
        <f>3.517 * CHOOSE(CONTROL!$C$32, $C$9, 100%, $E$9)</f>
        <v>3.5169999999999999</v>
      </c>
      <c r="G39" s="9">
        <f>3.5285 * CHOOSE(CONTROL!$C$32, $C$9, 100%, $E$9)</f>
        <v>3.5285000000000002</v>
      </c>
      <c r="H39" s="9">
        <f>3.9059 * CHOOSE(CONTROL!$C$32, $C$9, 100%, $E$9)</f>
        <v>3.9058999999999999</v>
      </c>
      <c r="I39" s="9">
        <f>3.9174 * CHOOSE(CONTROL!$C$32, $C$9, 100%, $E$9)</f>
        <v>3.9174000000000002</v>
      </c>
      <c r="J39" s="9">
        <f>3.9059 * CHOOSE(CONTROL!$C$32, $C$9, 100%, $E$9)</f>
        <v>3.9058999999999999</v>
      </c>
      <c r="K39" s="9">
        <f>3.9174 * CHOOSE(CONTROL!$C$32, $C$9, 100%, $E$9)</f>
        <v>3.9174000000000002</v>
      </c>
      <c r="L39" s="9">
        <f>3.5391 * CHOOSE(CONTROL!$C$32, $C$9, 100%, $E$9)</f>
        <v>3.5390999999999999</v>
      </c>
      <c r="M39" s="9">
        <f>3.5505 * CHOOSE(CONTROL!$C$32, $C$9, 100%, $E$9)</f>
        <v>3.5505</v>
      </c>
      <c r="N39" s="9">
        <f>3.5391 * CHOOSE(CONTROL!$C$32, $C$9, 100%, $E$9)</f>
        <v>3.5390999999999999</v>
      </c>
      <c r="O39" s="9">
        <f>3.5505 * CHOOSE(CONTROL!$C$32, $C$9, 100%, $E$9)</f>
        <v>3.5505</v>
      </c>
      <c r="P39" s="17"/>
      <c r="Q39" s="9"/>
      <c r="R39" s="9"/>
    </row>
    <row r="40" spans="1:18" ht="15" x14ac:dyDescent="0.2">
      <c r="A40" s="16">
        <v>41699</v>
      </c>
      <c r="B40" s="10">
        <f>2.5001 * CHOOSE(CONTROL!$C$32, $C$9, 100%, $E$9)</f>
        <v>2.5001000000000002</v>
      </c>
      <c r="C40" s="10">
        <f>2.5244 * CHOOSE(CONTROL!$C$32, $C$9, 100%, $E$9)</f>
        <v>2.5244</v>
      </c>
      <c r="D40" s="10">
        <f>2.559 * CHOOSE(CONTROL!$C$32, $C$9, 100%, $E$9)</f>
        <v>2.5590000000000002</v>
      </c>
      <c r="E40" s="9">
        <f>3.5362 * CHOOSE(CONTROL!$C$32, $C$9, 100%, $E$9)</f>
        <v>3.5362</v>
      </c>
      <c r="F40" s="9">
        <f>3.511 * CHOOSE(CONTROL!$C$32, $C$9, 100%, $E$9)</f>
        <v>3.5110000000000001</v>
      </c>
      <c r="G40" s="9">
        <f>3.5225 * CHOOSE(CONTROL!$C$32, $C$9, 100%, $E$9)</f>
        <v>3.5225</v>
      </c>
      <c r="H40" s="9">
        <f>3.8999 * CHOOSE(CONTROL!$C$32, $C$9, 100%, $E$9)</f>
        <v>3.8999000000000001</v>
      </c>
      <c r="I40" s="9">
        <f>3.9114 * CHOOSE(CONTROL!$C$32, $C$9, 100%, $E$9)</f>
        <v>3.9114</v>
      </c>
      <c r="J40" s="9">
        <f>3.8999 * CHOOSE(CONTROL!$C$32, $C$9, 100%, $E$9)</f>
        <v>3.8999000000000001</v>
      </c>
      <c r="K40" s="9">
        <f>3.9114 * CHOOSE(CONTROL!$C$32, $C$9, 100%, $E$9)</f>
        <v>3.9114</v>
      </c>
      <c r="L40" s="9">
        <f>3.5362 * CHOOSE(CONTROL!$C$32, $C$9, 100%, $E$9)</f>
        <v>3.5362</v>
      </c>
      <c r="M40" s="9">
        <f>3.5477 * CHOOSE(CONTROL!$C$32, $C$9, 100%, $E$9)</f>
        <v>3.5476999999999999</v>
      </c>
      <c r="N40" s="9">
        <f>3.5362 * CHOOSE(CONTROL!$C$32, $C$9, 100%, $E$9)</f>
        <v>3.5362</v>
      </c>
      <c r="O40" s="9">
        <f>3.5477 * CHOOSE(CONTROL!$C$32, $C$9, 100%, $E$9)</f>
        <v>3.5476999999999999</v>
      </c>
      <c r="P40" s="17"/>
      <c r="Q40" s="9"/>
      <c r="R40" s="9"/>
    </row>
    <row r="41" spans="1:18" ht="15" x14ac:dyDescent="0.2">
      <c r="A41" s="16">
        <v>41730</v>
      </c>
      <c r="B41" s="10">
        <f>2.4986 * CHOOSE(CONTROL!$C$32, $C$9, 100%, $E$9)</f>
        <v>2.4986000000000002</v>
      </c>
      <c r="C41" s="10">
        <f>2.5214 * CHOOSE(CONTROL!$C$32, $C$9, 100%, $E$9)</f>
        <v>2.5213999999999999</v>
      </c>
      <c r="D41" s="10">
        <f>2.5559 * CHOOSE(CONTROL!$C$32, $C$9, 100%, $E$9)</f>
        <v>2.5558999999999998</v>
      </c>
      <c r="E41" s="9">
        <f>3.5358 * CHOOSE(CONTROL!$C$32, $C$9, 100%, $E$9)</f>
        <v>3.5358000000000001</v>
      </c>
      <c r="F41" s="9">
        <f>3.5101 * CHOOSE(CONTROL!$C$32, $C$9, 100%, $E$9)</f>
        <v>3.5101</v>
      </c>
      <c r="G41" s="9">
        <f>3.5215 * CHOOSE(CONTROL!$C$32, $C$9, 100%, $E$9)</f>
        <v>3.5215000000000001</v>
      </c>
      <c r="H41" s="9">
        <f>3.9001 * CHOOSE(CONTROL!$C$32, $C$9, 100%, $E$9)</f>
        <v>3.9001000000000001</v>
      </c>
      <c r="I41" s="9">
        <f>3.9116 * CHOOSE(CONTROL!$C$32, $C$9, 100%, $E$9)</f>
        <v>3.9116</v>
      </c>
      <c r="J41" s="9">
        <f>3.9001 * CHOOSE(CONTROL!$C$32, $C$9, 100%, $E$9)</f>
        <v>3.9001000000000001</v>
      </c>
      <c r="K41" s="9">
        <f>3.9116 * CHOOSE(CONTROL!$C$32, $C$9, 100%, $E$9)</f>
        <v>3.9116</v>
      </c>
      <c r="L41" s="9">
        <f>3.5358 * CHOOSE(CONTROL!$C$32, $C$9, 100%, $E$9)</f>
        <v>3.5358000000000001</v>
      </c>
      <c r="M41" s="9">
        <f>3.5472 * CHOOSE(CONTROL!$C$32, $C$9, 100%, $E$9)</f>
        <v>3.5472000000000001</v>
      </c>
      <c r="N41" s="9">
        <f>3.5358 * CHOOSE(CONTROL!$C$32, $C$9, 100%, $E$9)</f>
        <v>3.5358000000000001</v>
      </c>
      <c r="O41" s="9">
        <f>3.5472 * CHOOSE(CONTROL!$C$32, $C$9, 100%, $E$9)</f>
        <v>3.5472000000000001</v>
      </c>
      <c r="P41" s="17"/>
      <c r="Q41" s="9"/>
      <c r="R41" s="9"/>
    </row>
    <row r="42" spans="1:18" ht="15" x14ac:dyDescent="0.2">
      <c r="A42" s="16">
        <v>41760</v>
      </c>
      <c r="B42" s="10">
        <f>2.5017 * CHOOSE(CONTROL!$C$32, $C$9, 100%, $E$9)</f>
        <v>2.5017</v>
      </c>
      <c r="C42" s="10">
        <f>2.5229 * CHOOSE(CONTROL!$C$32, $C$9, 100%, $E$9)</f>
        <v>2.5228999999999999</v>
      </c>
      <c r="D42" s="10">
        <f>2.5705 * CHOOSE(CONTROL!$C$32, $C$9, 100%, $E$9)</f>
        <v>2.5705</v>
      </c>
      <c r="E42" s="9">
        <f>3.5348 * CHOOSE(CONTROL!$C$32, $C$9, 100%, $E$9)</f>
        <v>3.5348000000000002</v>
      </c>
      <c r="F42" s="9">
        <f>3.5081 * CHOOSE(CONTROL!$C$32, $C$9, 100%, $E$9)</f>
        <v>3.5081000000000002</v>
      </c>
      <c r="G42" s="9">
        <f>3.5238 * CHOOSE(CONTROL!$C$32, $C$9, 100%, $E$9)</f>
        <v>3.5238</v>
      </c>
      <c r="H42" s="9">
        <f>3.8981 * CHOOSE(CONTROL!$C$32, $C$9, 100%, $E$9)</f>
        <v>3.8980999999999999</v>
      </c>
      <c r="I42" s="9">
        <f>3.9138 * CHOOSE(CONTROL!$C$32, $C$9, 100%, $E$9)</f>
        <v>3.9138000000000002</v>
      </c>
      <c r="J42" s="9">
        <f>3.8981 * CHOOSE(CONTROL!$C$32, $C$9, 100%, $E$9)</f>
        <v>3.8980999999999999</v>
      </c>
      <c r="K42" s="9">
        <f>3.9138 * CHOOSE(CONTROL!$C$32, $C$9, 100%, $E$9)</f>
        <v>3.9138000000000002</v>
      </c>
      <c r="L42" s="9">
        <f>3.5348 * CHOOSE(CONTROL!$C$32, $C$9, 100%, $E$9)</f>
        <v>3.5348000000000002</v>
      </c>
      <c r="M42" s="9">
        <f>3.5506 * CHOOSE(CONTROL!$C$32, $C$9, 100%, $E$9)</f>
        <v>3.5506000000000002</v>
      </c>
      <c r="N42" s="9">
        <f>3.5348 * CHOOSE(CONTROL!$C$32, $C$9, 100%, $E$9)</f>
        <v>3.5348000000000002</v>
      </c>
      <c r="O42" s="9">
        <f>3.5506 * CHOOSE(CONTROL!$C$32, $C$9, 100%, $E$9)</f>
        <v>3.5506000000000002</v>
      </c>
      <c r="P42" s="17"/>
      <c r="Q42" s="9"/>
      <c r="R42" s="9"/>
    </row>
    <row r="43" spans="1:18" ht="15" x14ac:dyDescent="0.2">
      <c r="A43" s="16">
        <v>41791</v>
      </c>
      <c r="B43" s="10">
        <f>2.5045 * CHOOSE(CONTROL!$C$32, $C$9, 100%, $E$9)</f>
        <v>2.5045000000000002</v>
      </c>
      <c r="C43" s="10">
        <f>2.5288 * CHOOSE(CONTROL!$C$32, $C$9, 100%, $E$9)</f>
        <v>2.5287999999999999</v>
      </c>
      <c r="D43" s="10">
        <f>2.5763 * CHOOSE(CONTROL!$C$32, $C$9, 100%, $E$9)</f>
        <v>2.5762999999999998</v>
      </c>
      <c r="E43" s="9">
        <f>3.5367 * CHOOSE(CONTROL!$C$32, $C$9, 100%, $E$9)</f>
        <v>3.5367000000000002</v>
      </c>
      <c r="F43" s="9">
        <f>3.5121 * CHOOSE(CONTROL!$C$32, $C$9, 100%, $E$9)</f>
        <v>3.5121000000000002</v>
      </c>
      <c r="G43" s="9">
        <f>3.5278 * CHOOSE(CONTROL!$C$32, $C$9, 100%, $E$9)</f>
        <v>3.5278</v>
      </c>
      <c r="H43" s="9">
        <f>3.9021 * CHOOSE(CONTROL!$C$32, $C$9, 100%, $E$9)</f>
        <v>3.9020999999999999</v>
      </c>
      <c r="I43" s="9">
        <f>3.9178 * CHOOSE(CONTROL!$C$32, $C$9, 100%, $E$9)</f>
        <v>3.9178000000000002</v>
      </c>
      <c r="J43" s="9">
        <f>3.9021 * CHOOSE(CONTROL!$C$32, $C$9, 100%, $E$9)</f>
        <v>3.9020999999999999</v>
      </c>
      <c r="K43" s="9">
        <f>3.9178 * CHOOSE(CONTROL!$C$32, $C$9, 100%, $E$9)</f>
        <v>3.9178000000000002</v>
      </c>
      <c r="L43" s="9">
        <f>3.5367 * CHOOSE(CONTROL!$C$32, $C$9, 100%, $E$9)</f>
        <v>3.5367000000000002</v>
      </c>
      <c r="M43" s="9">
        <f>3.5524 * CHOOSE(CONTROL!$C$32, $C$9, 100%, $E$9)</f>
        <v>3.5524</v>
      </c>
      <c r="N43" s="9">
        <f>3.5367 * CHOOSE(CONTROL!$C$32, $C$9, 100%, $E$9)</f>
        <v>3.5367000000000002</v>
      </c>
      <c r="O43" s="9">
        <f>3.5524 * CHOOSE(CONTROL!$C$32, $C$9, 100%, $E$9)</f>
        <v>3.5524</v>
      </c>
      <c r="P43" s="17"/>
      <c r="Q43" s="9"/>
      <c r="R43" s="9"/>
    </row>
    <row r="44" spans="1:18" ht="15" x14ac:dyDescent="0.2">
      <c r="A44" s="16">
        <v>41821</v>
      </c>
      <c r="B44" s="10">
        <f>2.506 * CHOOSE(CONTROL!$C$32, $C$9, 100%, $E$9)</f>
        <v>2.5059999999999998</v>
      </c>
      <c r="C44" s="10">
        <f>2.5318 * CHOOSE(CONTROL!$C$32, $C$9, 100%, $E$9)</f>
        <v>2.5318000000000001</v>
      </c>
      <c r="D44" s="10">
        <f>2.5794 * CHOOSE(CONTROL!$C$32, $C$9, 100%, $E$9)</f>
        <v>2.5794000000000001</v>
      </c>
      <c r="E44" s="9">
        <f>3.5464 * CHOOSE(CONTROL!$C$32, $C$9, 100%, $E$9)</f>
        <v>3.5464000000000002</v>
      </c>
      <c r="F44" s="9">
        <f>3.5326 * CHOOSE(CONTROL!$C$32, $C$9, 100%, $E$9)</f>
        <v>3.5326</v>
      </c>
      <c r="G44" s="9">
        <f>3.5483 * CHOOSE(CONTROL!$C$32, $C$9, 100%, $E$9)</f>
        <v>3.5482999999999998</v>
      </c>
      <c r="H44" s="9">
        <f>3.9243 * CHOOSE(CONTROL!$C$32, $C$9, 100%, $E$9)</f>
        <v>3.9243000000000001</v>
      </c>
      <c r="I44" s="9">
        <f>3.94 * CHOOSE(CONTROL!$C$32, $C$9, 100%, $E$9)</f>
        <v>3.94</v>
      </c>
      <c r="J44" s="9">
        <f>3.9243 * CHOOSE(CONTROL!$C$32, $C$9, 100%, $E$9)</f>
        <v>3.9243000000000001</v>
      </c>
      <c r="K44" s="9">
        <f>3.94 * CHOOSE(CONTROL!$C$32, $C$9, 100%, $E$9)</f>
        <v>3.94</v>
      </c>
      <c r="L44" s="9">
        <f>3.5464 * CHOOSE(CONTROL!$C$32, $C$9, 100%, $E$9)</f>
        <v>3.5464000000000002</v>
      </c>
      <c r="M44" s="9">
        <f>3.5621 * CHOOSE(CONTROL!$C$32, $C$9, 100%, $E$9)</f>
        <v>3.5621</v>
      </c>
      <c r="N44" s="9">
        <f>3.5464 * CHOOSE(CONTROL!$C$32, $C$9, 100%, $E$9)</f>
        <v>3.5464000000000002</v>
      </c>
      <c r="O44" s="9">
        <f>3.5621 * CHOOSE(CONTROL!$C$32, $C$9, 100%, $E$9)</f>
        <v>3.5621</v>
      </c>
      <c r="P44" s="17"/>
      <c r="Q44" s="9"/>
      <c r="R44" s="9"/>
    </row>
    <row r="45" spans="1:18" ht="15" x14ac:dyDescent="0.2">
      <c r="A45" s="16">
        <v>41852</v>
      </c>
      <c r="B45" s="10">
        <f>2.5091 * CHOOSE(CONTROL!$C$32, $C$9, 100%, $E$9)</f>
        <v>2.5091000000000001</v>
      </c>
      <c r="C45" s="10">
        <f>2.5334 * CHOOSE(CONTROL!$C$32, $C$9, 100%, $E$9)</f>
        <v>2.5333999999999999</v>
      </c>
      <c r="D45" s="10">
        <f>2.581 * CHOOSE(CONTROL!$C$32, $C$9, 100%, $E$9)</f>
        <v>2.581</v>
      </c>
      <c r="E45" s="9">
        <f>3.5511 * CHOOSE(CONTROL!$C$32, $C$9, 100%, $E$9)</f>
        <v>3.5510999999999999</v>
      </c>
      <c r="F45" s="9">
        <f>3.5426 * CHOOSE(CONTROL!$C$32, $C$9, 100%, $E$9)</f>
        <v>3.5426000000000002</v>
      </c>
      <c r="G45" s="9">
        <f>3.5583 * CHOOSE(CONTROL!$C$32, $C$9, 100%, $E$9)</f>
        <v>3.5583</v>
      </c>
      <c r="H45" s="9">
        <f>3.9343 * CHOOSE(CONTROL!$C$32, $C$9, 100%, $E$9)</f>
        <v>3.9342999999999999</v>
      </c>
      <c r="I45" s="9">
        <f>3.95 * CHOOSE(CONTROL!$C$32, $C$9, 100%, $E$9)</f>
        <v>3.95</v>
      </c>
      <c r="J45" s="9">
        <f>3.9343 * CHOOSE(CONTROL!$C$32, $C$9, 100%, $E$9)</f>
        <v>3.9342999999999999</v>
      </c>
      <c r="K45" s="9">
        <f>3.95 * CHOOSE(CONTROL!$C$32, $C$9, 100%, $E$9)</f>
        <v>3.95</v>
      </c>
      <c r="L45" s="9">
        <f>3.5511 * CHOOSE(CONTROL!$C$32, $C$9, 100%, $E$9)</f>
        <v>3.5510999999999999</v>
      </c>
      <c r="M45" s="9">
        <f>3.5669 * CHOOSE(CONTROL!$C$32, $C$9, 100%, $E$9)</f>
        <v>3.5669</v>
      </c>
      <c r="N45" s="9">
        <f>3.5511 * CHOOSE(CONTROL!$C$32, $C$9, 100%, $E$9)</f>
        <v>3.5510999999999999</v>
      </c>
      <c r="O45" s="9">
        <f>3.5669 * CHOOSE(CONTROL!$C$32, $C$9, 100%, $E$9)</f>
        <v>3.5669</v>
      </c>
      <c r="P45" s="17"/>
      <c r="Q45" s="9"/>
      <c r="R45" s="9"/>
    </row>
    <row r="46" spans="1:18" ht="15" x14ac:dyDescent="0.2">
      <c r="A46" s="16">
        <v>41883</v>
      </c>
      <c r="B46" s="10">
        <f>2.5029 * CHOOSE(CONTROL!$C$32, $C$9, 100%, $E$9)</f>
        <v>2.5028999999999999</v>
      </c>
      <c r="C46" s="10">
        <f>2.521 * CHOOSE(CONTROL!$C$32, $C$9, 100%, $E$9)</f>
        <v>2.5209999999999999</v>
      </c>
      <c r="D46" s="10">
        <f>2.5686 * CHOOSE(CONTROL!$C$32, $C$9, 100%, $E$9)</f>
        <v>2.5686</v>
      </c>
      <c r="E46" s="9">
        <f>3.5445 * CHOOSE(CONTROL!$C$32, $C$9, 100%, $E$9)</f>
        <v>3.5445000000000002</v>
      </c>
      <c r="F46" s="9">
        <f>3.5286 * CHOOSE(CONTROL!$C$32, $C$9, 100%, $E$9)</f>
        <v>3.5286</v>
      </c>
      <c r="G46" s="9">
        <f>3.5443 * CHOOSE(CONTROL!$C$32, $C$9, 100%, $E$9)</f>
        <v>3.5442999999999998</v>
      </c>
      <c r="H46" s="9">
        <f>3.9203 * CHOOSE(CONTROL!$C$32, $C$9, 100%, $E$9)</f>
        <v>3.9203000000000001</v>
      </c>
      <c r="I46" s="9">
        <f>3.936 * CHOOSE(CONTROL!$C$32, $C$9, 100%, $E$9)</f>
        <v>3.9359999999999999</v>
      </c>
      <c r="J46" s="9">
        <f>3.9203 * CHOOSE(CONTROL!$C$32, $C$9, 100%, $E$9)</f>
        <v>3.9203000000000001</v>
      </c>
      <c r="K46" s="9">
        <f>3.936 * CHOOSE(CONTROL!$C$32, $C$9, 100%, $E$9)</f>
        <v>3.9359999999999999</v>
      </c>
      <c r="L46" s="9">
        <f>3.5445 * CHOOSE(CONTROL!$C$32, $C$9, 100%, $E$9)</f>
        <v>3.5445000000000002</v>
      </c>
      <c r="M46" s="9">
        <f>3.5602 * CHOOSE(CONTROL!$C$32, $C$9, 100%, $E$9)</f>
        <v>3.5602</v>
      </c>
      <c r="N46" s="9">
        <f>3.5445 * CHOOSE(CONTROL!$C$32, $C$9, 100%, $E$9)</f>
        <v>3.5445000000000002</v>
      </c>
      <c r="O46" s="9">
        <f>3.5602 * CHOOSE(CONTROL!$C$32, $C$9, 100%, $E$9)</f>
        <v>3.5602</v>
      </c>
      <c r="P46" s="17"/>
      <c r="Q46" s="9"/>
      <c r="R46" s="9"/>
    </row>
    <row r="47" spans="1:18" ht="15" x14ac:dyDescent="0.2">
      <c r="A47" s="16">
        <v>41913</v>
      </c>
      <c r="B47" s="10">
        <f>2.497 * CHOOSE(CONTROL!$C$32, $C$9, 100%, $E$9)</f>
        <v>2.4969999999999999</v>
      </c>
      <c r="C47" s="10">
        <f>2.5088 * CHOOSE(CONTROL!$C$32, $C$9, 100%, $E$9)</f>
        <v>2.5087999999999999</v>
      </c>
      <c r="D47" s="10">
        <f>2.5434 * CHOOSE(CONTROL!$C$32, $C$9, 100%, $E$9)</f>
        <v>2.5434000000000001</v>
      </c>
      <c r="E47" s="9">
        <f>3.5338 * CHOOSE(CONTROL!$C$32, $C$9, 100%, $E$9)</f>
        <v>3.5337999999999998</v>
      </c>
      <c r="F47" s="9">
        <f>3.5059 * CHOOSE(CONTROL!$C$32, $C$9, 100%, $E$9)</f>
        <v>3.5059</v>
      </c>
      <c r="G47" s="9">
        <f>3.5174 * CHOOSE(CONTROL!$C$32, $C$9, 100%, $E$9)</f>
        <v>3.5173999999999999</v>
      </c>
      <c r="H47" s="9">
        <f>3.9004 * CHOOSE(CONTROL!$C$32, $C$9, 100%, $E$9)</f>
        <v>3.9003999999999999</v>
      </c>
      <c r="I47" s="9">
        <f>3.9118 * CHOOSE(CONTROL!$C$32, $C$9, 100%, $E$9)</f>
        <v>3.9117999999999999</v>
      </c>
      <c r="J47" s="9">
        <f>3.9004 * CHOOSE(CONTROL!$C$32, $C$9, 100%, $E$9)</f>
        <v>3.9003999999999999</v>
      </c>
      <c r="K47" s="9">
        <f>3.9118 * CHOOSE(CONTROL!$C$32, $C$9, 100%, $E$9)</f>
        <v>3.9117999999999999</v>
      </c>
      <c r="L47" s="9">
        <f>3.5338 * CHOOSE(CONTROL!$C$32, $C$9, 100%, $E$9)</f>
        <v>3.5337999999999998</v>
      </c>
      <c r="M47" s="9">
        <f>3.5453 * CHOOSE(CONTROL!$C$32, $C$9, 100%, $E$9)</f>
        <v>3.5453000000000001</v>
      </c>
      <c r="N47" s="9">
        <f>3.5338 * CHOOSE(CONTROL!$C$32, $C$9, 100%, $E$9)</f>
        <v>3.5337999999999998</v>
      </c>
      <c r="O47" s="9">
        <f>3.5453 * CHOOSE(CONTROL!$C$32, $C$9, 100%, $E$9)</f>
        <v>3.5453000000000001</v>
      </c>
      <c r="P47" s="17"/>
      <c r="Q47" s="9"/>
      <c r="R47" s="9"/>
    </row>
    <row r="48" spans="1:18" ht="15" x14ac:dyDescent="0.2">
      <c r="A48" s="16">
        <v>41944</v>
      </c>
      <c r="B48" s="10">
        <f>2.5002 * CHOOSE(CONTROL!$C$32, $C$9, 100%, $E$9)</f>
        <v>2.5002</v>
      </c>
      <c r="C48" s="10">
        <f>2.5105 * CHOOSE(CONTROL!$C$32, $C$9, 100%, $E$9)</f>
        <v>2.5105</v>
      </c>
      <c r="D48" s="10">
        <f>2.5451 * CHOOSE(CONTROL!$C$32, $C$9, 100%, $E$9)</f>
        <v>2.5451000000000001</v>
      </c>
      <c r="E48" s="9">
        <f>3.5206 * CHOOSE(CONTROL!$C$32, $C$9, 100%, $E$9)</f>
        <v>3.5206</v>
      </c>
      <c r="F48" s="9">
        <f>3.4779 * CHOOSE(CONTROL!$C$32, $C$9, 100%, $E$9)</f>
        <v>3.4779</v>
      </c>
      <c r="G48" s="9">
        <f>3.4894 * CHOOSE(CONTROL!$C$32, $C$9, 100%, $E$9)</f>
        <v>3.4893999999999998</v>
      </c>
      <c r="H48" s="9">
        <f>3.8724 * CHOOSE(CONTROL!$C$32, $C$9, 100%, $E$9)</f>
        <v>3.8723999999999998</v>
      </c>
      <c r="I48" s="9">
        <f>3.8838 * CHOOSE(CONTROL!$C$32, $C$9, 100%, $E$9)</f>
        <v>3.8837999999999999</v>
      </c>
      <c r="J48" s="9">
        <f>3.8724 * CHOOSE(CONTROL!$C$32, $C$9, 100%, $E$9)</f>
        <v>3.8723999999999998</v>
      </c>
      <c r="K48" s="9">
        <f>3.8838 * CHOOSE(CONTROL!$C$32, $C$9, 100%, $E$9)</f>
        <v>3.8837999999999999</v>
      </c>
      <c r="L48" s="9">
        <f>3.5206 * CHOOSE(CONTROL!$C$32, $C$9, 100%, $E$9)</f>
        <v>3.5206</v>
      </c>
      <c r="M48" s="9">
        <f>3.532 * CHOOSE(CONTROL!$C$32, $C$9, 100%, $E$9)</f>
        <v>3.532</v>
      </c>
      <c r="N48" s="9">
        <f>3.5206 * CHOOSE(CONTROL!$C$32, $C$9, 100%, $E$9)</f>
        <v>3.5206</v>
      </c>
      <c r="O48" s="9">
        <f>3.532 * CHOOSE(CONTROL!$C$32, $C$9, 100%, $E$9)</f>
        <v>3.532</v>
      </c>
      <c r="P48" s="17"/>
      <c r="Q48" s="9"/>
      <c r="R48" s="9"/>
    </row>
    <row r="49" spans="1:18" ht="15" x14ac:dyDescent="0.2">
      <c r="A49" s="16">
        <v>41974</v>
      </c>
      <c r="B49" s="10">
        <f>2.4999 * CHOOSE(CONTROL!$C$32, $C$9, 100%, $E$9)</f>
        <v>2.4998999999999998</v>
      </c>
      <c r="C49" s="10">
        <f>2.5102 * CHOOSE(CONTROL!$C$32, $C$9, 100%, $E$9)</f>
        <v>2.5102000000000002</v>
      </c>
      <c r="D49" s="10">
        <f>2.5448 * CHOOSE(CONTROL!$C$32, $C$9, 100%, $E$9)</f>
        <v>2.5448</v>
      </c>
      <c r="E49" s="9">
        <f>3.5215 * CHOOSE(CONTROL!$C$32, $C$9, 100%, $E$9)</f>
        <v>3.5215000000000001</v>
      </c>
      <c r="F49" s="9">
        <f>3.4799 * CHOOSE(CONTROL!$C$32, $C$9, 100%, $E$9)</f>
        <v>3.4799000000000002</v>
      </c>
      <c r="G49" s="9">
        <f>3.4914 * CHOOSE(CONTROL!$C$32, $C$9, 100%, $E$9)</f>
        <v>3.4914000000000001</v>
      </c>
      <c r="H49" s="9">
        <f>3.8744 * CHOOSE(CONTROL!$C$32, $C$9, 100%, $E$9)</f>
        <v>3.8744000000000001</v>
      </c>
      <c r="I49" s="9">
        <f>3.8858 * CHOOSE(CONTROL!$C$32, $C$9, 100%, $E$9)</f>
        <v>3.8858000000000001</v>
      </c>
      <c r="J49" s="9">
        <f>3.8744 * CHOOSE(CONTROL!$C$32, $C$9, 100%, $E$9)</f>
        <v>3.8744000000000001</v>
      </c>
      <c r="K49" s="9">
        <f>3.8858 * CHOOSE(CONTROL!$C$32, $C$9, 100%, $E$9)</f>
        <v>3.8858000000000001</v>
      </c>
      <c r="L49" s="9">
        <f>3.5215 * CHOOSE(CONTROL!$C$32, $C$9, 100%, $E$9)</f>
        <v>3.5215000000000001</v>
      </c>
      <c r="M49" s="9">
        <f>3.533 * CHOOSE(CONTROL!$C$32, $C$9, 100%, $E$9)</f>
        <v>3.5329999999999999</v>
      </c>
      <c r="N49" s="9">
        <f>3.5215 * CHOOSE(CONTROL!$C$32, $C$9, 100%, $E$9)</f>
        <v>3.5215000000000001</v>
      </c>
      <c r="O49" s="9">
        <f>3.533 * CHOOSE(CONTROL!$C$32, $C$9, 100%, $E$9)</f>
        <v>3.5329999999999999</v>
      </c>
      <c r="P49" s="17"/>
      <c r="Q49" s="9"/>
      <c r="R49" s="9"/>
    </row>
    <row r="50" spans="1:18" ht="15" x14ac:dyDescent="0.2">
      <c r="A50" s="16">
        <v>42005</v>
      </c>
      <c r="B50" s="10">
        <f>2.5418 * CHOOSE(CONTROL!$C$32, $C$9, 100%, $E$9)</f>
        <v>2.5417999999999998</v>
      </c>
      <c r="C50" s="10">
        <f>2.5418 * CHOOSE(CONTROL!$C$32, $C$9, 100%, $E$9)</f>
        <v>2.5417999999999998</v>
      </c>
      <c r="D50" s="10">
        <f>2.5427 * CHOOSE(CONTROL!$C$32, $C$9, 100%, $E$9)</f>
        <v>2.5427</v>
      </c>
      <c r="E50" s="9">
        <f>3.6045 * CHOOSE(CONTROL!$C$32, $C$9, 100%, $E$9)</f>
        <v>3.6044999999999998</v>
      </c>
      <c r="F50" s="9">
        <f>3.5836 * CHOOSE(CONTROL!$C$32, $C$9, 100%, $E$9)</f>
        <v>3.5836000000000001</v>
      </c>
      <c r="G50" s="9">
        <f>3.5868 * CHOOSE(CONTROL!$C$32, $C$9, 100%, $E$9)</f>
        <v>3.5868000000000002</v>
      </c>
      <c r="H50" s="9">
        <f>3.9275 * CHOOSE(CONTROL!$C$32, $C$9, 100%, $E$9)</f>
        <v>3.9275000000000002</v>
      </c>
      <c r="I50" s="9">
        <f>3.9306 * CHOOSE(CONTROL!$C$32, $C$9, 100%, $E$9)</f>
        <v>3.9306000000000001</v>
      </c>
      <c r="J50" s="9">
        <f>3.9275 * CHOOSE(CONTROL!$C$32, $C$9, 100%, $E$9)</f>
        <v>3.9275000000000002</v>
      </c>
      <c r="K50" s="9">
        <f>3.9306 * CHOOSE(CONTROL!$C$32, $C$9, 100%, $E$9)</f>
        <v>3.9306000000000001</v>
      </c>
      <c r="L50" s="9">
        <f>3.6045 * CHOOSE(CONTROL!$C$32, $C$9, 100%, $E$9)</f>
        <v>3.6044999999999998</v>
      </c>
      <c r="M50" s="9">
        <f>3.6076 * CHOOSE(CONTROL!$C$32, $C$9, 100%, $E$9)</f>
        <v>3.6076000000000001</v>
      </c>
      <c r="N50" s="9">
        <f>3.6045 * CHOOSE(CONTROL!$C$32, $C$9, 100%, $E$9)</f>
        <v>3.6044999999999998</v>
      </c>
      <c r="O50" s="9">
        <f>3.6076 * CHOOSE(CONTROL!$C$32, $C$9, 100%, $E$9)</f>
        <v>3.6076000000000001</v>
      </c>
      <c r="P50" s="17"/>
      <c r="Q50" s="9"/>
      <c r="R50" s="9"/>
    </row>
    <row r="51" spans="1:18" ht="15" x14ac:dyDescent="0.2">
      <c r="A51" s="16">
        <v>42036</v>
      </c>
      <c r="B51" s="10">
        <f>2.5436 * CHOOSE(CONTROL!$C$32, $C$9, 100%, $E$9)</f>
        <v>2.5436000000000001</v>
      </c>
      <c r="C51" s="10">
        <f>2.5436 * CHOOSE(CONTROL!$C$32, $C$9, 100%, $E$9)</f>
        <v>2.5436000000000001</v>
      </c>
      <c r="D51" s="10">
        <f>2.5445 * CHOOSE(CONTROL!$C$32, $C$9, 100%, $E$9)</f>
        <v>2.5445000000000002</v>
      </c>
      <c r="E51" s="9">
        <f>3.6045 * CHOOSE(CONTROL!$C$32, $C$9, 100%, $E$9)</f>
        <v>3.6044999999999998</v>
      </c>
      <c r="F51" s="9">
        <f>3.5836 * CHOOSE(CONTROL!$C$32, $C$9, 100%, $E$9)</f>
        <v>3.5836000000000001</v>
      </c>
      <c r="G51" s="9">
        <f>3.5868 * CHOOSE(CONTROL!$C$32, $C$9, 100%, $E$9)</f>
        <v>3.5868000000000002</v>
      </c>
      <c r="H51" s="9">
        <f>3.9255 * CHOOSE(CONTROL!$C$32, $C$9, 100%, $E$9)</f>
        <v>3.9255</v>
      </c>
      <c r="I51" s="9">
        <f>3.9286 * CHOOSE(CONTROL!$C$32, $C$9, 100%, $E$9)</f>
        <v>3.9285999999999999</v>
      </c>
      <c r="J51" s="9">
        <f>3.9255 * CHOOSE(CONTROL!$C$32, $C$9, 100%, $E$9)</f>
        <v>3.9255</v>
      </c>
      <c r="K51" s="9">
        <f>3.9286 * CHOOSE(CONTROL!$C$32, $C$9, 100%, $E$9)</f>
        <v>3.9285999999999999</v>
      </c>
      <c r="L51" s="9">
        <f>3.6045 * CHOOSE(CONTROL!$C$32, $C$9, 100%, $E$9)</f>
        <v>3.6044999999999998</v>
      </c>
      <c r="M51" s="9">
        <f>3.6076 * CHOOSE(CONTROL!$C$32, $C$9, 100%, $E$9)</f>
        <v>3.6076000000000001</v>
      </c>
      <c r="N51" s="9">
        <f>3.6045 * CHOOSE(CONTROL!$C$32, $C$9, 100%, $E$9)</f>
        <v>3.6044999999999998</v>
      </c>
      <c r="O51" s="9">
        <f>3.6076 * CHOOSE(CONTROL!$C$32, $C$9, 100%, $E$9)</f>
        <v>3.6076000000000001</v>
      </c>
      <c r="P51" s="17"/>
      <c r="Q51" s="9"/>
      <c r="R51" s="9"/>
    </row>
    <row r="52" spans="1:18" ht="15" x14ac:dyDescent="0.2">
      <c r="A52" s="16">
        <v>42064</v>
      </c>
      <c r="B52" s="10">
        <f>2.5403 * CHOOSE(CONTROL!$C$32, $C$9, 100%, $E$9)</f>
        <v>2.5402999999999998</v>
      </c>
      <c r="C52" s="10">
        <f>2.5403 * CHOOSE(CONTROL!$C$32, $C$9, 100%, $E$9)</f>
        <v>2.5402999999999998</v>
      </c>
      <c r="D52" s="10">
        <f>2.5413 * CHOOSE(CONTROL!$C$32, $C$9, 100%, $E$9)</f>
        <v>2.5413000000000001</v>
      </c>
      <c r="E52" s="9">
        <f>3.6045 * CHOOSE(CONTROL!$C$32, $C$9, 100%, $E$9)</f>
        <v>3.6044999999999998</v>
      </c>
      <c r="F52" s="9">
        <f>3.5836 * CHOOSE(CONTROL!$C$32, $C$9, 100%, $E$9)</f>
        <v>3.5836000000000001</v>
      </c>
      <c r="G52" s="9">
        <f>3.5868 * CHOOSE(CONTROL!$C$32, $C$9, 100%, $E$9)</f>
        <v>3.5868000000000002</v>
      </c>
      <c r="H52" s="9">
        <f>3.9235 * CHOOSE(CONTROL!$C$32, $C$9, 100%, $E$9)</f>
        <v>3.9235000000000002</v>
      </c>
      <c r="I52" s="9">
        <f>3.9266 * CHOOSE(CONTROL!$C$32, $C$9, 100%, $E$9)</f>
        <v>3.9266000000000001</v>
      </c>
      <c r="J52" s="9">
        <f>3.9235 * CHOOSE(CONTROL!$C$32, $C$9, 100%, $E$9)</f>
        <v>3.9235000000000002</v>
      </c>
      <c r="K52" s="9">
        <f>3.9266 * CHOOSE(CONTROL!$C$32, $C$9, 100%, $E$9)</f>
        <v>3.9266000000000001</v>
      </c>
      <c r="L52" s="9">
        <f>3.6045 * CHOOSE(CONTROL!$C$32, $C$9, 100%, $E$9)</f>
        <v>3.6044999999999998</v>
      </c>
      <c r="M52" s="9">
        <f>3.6076 * CHOOSE(CONTROL!$C$32, $C$9, 100%, $E$9)</f>
        <v>3.6076000000000001</v>
      </c>
      <c r="N52" s="9">
        <f>3.6045 * CHOOSE(CONTROL!$C$32, $C$9, 100%, $E$9)</f>
        <v>3.6044999999999998</v>
      </c>
      <c r="O52" s="9">
        <f>3.6076 * CHOOSE(CONTROL!$C$32, $C$9, 100%, $E$9)</f>
        <v>3.6076000000000001</v>
      </c>
      <c r="P52" s="17"/>
      <c r="Q52" s="9"/>
      <c r="R52" s="9"/>
    </row>
    <row r="53" spans="1:18" ht="15" x14ac:dyDescent="0.2">
      <c r="A53" s="16">
        <v>42095</v>
      </c>
      <c r="B53" s="10">
        <f>2.5343 * CHOOSE(CONTROL!$C$32, $C$9, 100%, $E$9)</f>
        <v>2.5343</v>
      </c>
      <c r="C53" s="10">
        <f>2.5343 * CHOOSE(CONTROL!$C$32, $C$9, 100%, $E$9)</f>
        <v>2.5343</v>
      </c>
      <c r="D53" s="10">
        <f>2.5352 * CHOOSE(CONTROL!$C$32, $C$9, 100%, $E$9)</f>
        <v>2.5352000000000001</v>
      </c>
      <c r="E53" s="9">
        <f>3.6045 * CHOOSE(CONTROL!$C$32, $C$9, 100%, $E$9)</f>
        <v>3.6044999999999998</v>
      </c>
      <c r="F53" s="9">
        <f>3.5836 * CHOOSE(CONTROL!$C$32, $C$9, 100%, $E$9)</f>
        <v>3.5836000000000001</v>
      </c>
      <c r="G53" s="9">
        <f>3.5868 * CHOOSE(CONTROL!$C$32, $C$9, 100%, $E$9)</f>
        <v>3.5868000000000002</v>
      </c>
      <c r="H53" s="9">
        <f>3.9214 * CHOOSE(CONTROL!$C$32, $C$9, 100%, $E$9)</f>
        <v>3.9214000000000002</v>
      </c>
      <c r="I53" s="9">
        <f>3.9245 * CHOOSE(CONTROL!$C$32, $C$9, 100%, $E$9)</f>
        <v>3.9245000000000001</v>
      </c>
      <c r="J53" s="9">
        <f>3.9214 * CHOOSE(CONTROL!$C$32, $C$9, 100%, $E$9)</f>
        <v>3.9214000000000002</v>
      </c>
      <c r="K53" s="9">
        <f>3.9245 * CHOOSE(CONTROL!$C$32, $C$9, 100%, $E$9)</f>
        <v>3.9245000000000001</v>
      </c>
      <c r="L53" s="9">
        <f>3.6045 * CHOOSE(CONTROL!$C$32, $C$9, 100%, $E$9)</f>
        <v>3.6044999999999998</v>
      </c>
      <c r="M53" s="9">
        <f>3.6076 * CHOOSE(CONTROL!$C$32, $C$9, 100%, $E$9)</f>
        <v>3.6076000000000001</v>
      </c>
      <c r="N53" s="9">
        <f>3.6045 * CHOOSE(CONTROL!$C$32, $C$9, 100%, $E$9)</f>
        <v>3.6044999999999998</v>
      </c>
      <c r="O53" s="9">
        <f>3.6076 * CHOOSE(CONTROL!$C$32, $C$9, 100%, $E$9)</f>
        <v>3.6076000000000001</v>
      </c>
      <c r="P53" s="17"/>
      <c r="Q53" s="9"/>
      <c r="R53" s="9"/>
    </row>
    <row r="54" spans="1:18" ht="15" x14ac:dyDescent="0.2">
      <c r="A54" s="16">
        <v>42125</v>
      </c>
      <c r="B54" s="10">
        <f>2.539 * CHOOSE(CONTROL!$C$32, $C$9, 100%, $E$9)</f>
        <v>2.5390000000000001</v>
      </c>
      <c r="C54" s="10">
        <f>2.539 * CHOOSE(CONTROL!$C$32, $C$9, 100%, $E$9)</f>
        <v>2.5390000000000001</v>
      </c>
      <c r="D54" s="10">
        <f>2.5403 * CHOOSE(CONTROL!$C$32, $C$9, 100%, $E$9)</f>
        <v>2.5402999999999998</v>
      </c>
      <c r="E54" s="9">
        <f>3.6045 * CHOOSE(CONTROL!$C$32, $C$9, 100%, $E$9)</f>
        <v>3.6044999999999998</v>
      </c>
      <c r="F54" s="9">
        <f>3.5836 * CHOOSE(CONTROL!$C$32, $C$9, 100%, $E$9)</f>
        <v>3.5836000000000001</v>
      </c>
      <c r="G54" s="9">
        <f>3.588 * CHOOSE(CONTROL!$C$32, $C$9, 100%, $E$9)</f>
        <v>3.5880000000000001</v>
      </c>
      <c r="H54" s="9">
        <f>3.9214 * CHOOSE(CONTROL!$C$32, $C$9, 100%, $E$9)</f>
        <v>3.9214000000000002</v>
      </c>
      <c r="I54" s="9">
        <f>3.9257 * CHOOSE(CONTROL!$C$32, $C$9, 100%, $E$9)</f>
        <v>3.9257</v>
      </c>
      <c r="J54" s="9">
        <f>3.9214 * CHOOSE(CONTROL!$C$32, $C$9, 100%, $E$9)</f>
        <v>3.9214000000000002</v>
      </c>
      <c r="K54" s="9">
        <f>3.9257 * CHOOSE(CONTROL!$C$32, $C$9, 100%, $E$9)</f>
        <v>3.9257</v>
      </c>
      <c r="L54" s="9">
        <f>3.6045 * CHOOSE(CONTROL!$C$32, $C$9, 100%, $E$9)</f>
        <v>3.6044999999999998</v>
      </c>
      <c r="M54" s="9">
        <f>3.6088 * CHOOSE(CONTROL!$C$32, $C$9, 100%, $E$9)</f>
        <v>3.6088</v>
      </c>
      <c r="N54" s="9">
        <f>3.6045 * CHOOSE(CONTROL!$C$32, $C$9, 100%, $E$9)</f>
        <v>3.6044999999999998</v>
      </c>
      <c r="O54" s="9">
        <f>3.6088 * CHOOSE(CONTROL!$C$32, $C$9, 100%, $E$9)</f>
        <v>3.6088</v>
      </c>
      <c r="P54" s="17"/>
      <c r="Q54" s="9"/>
      <c r="R54" s="9"/>
    </row>
    <row r="55" spans="1:18" ht="15" x14ac:dyDescent="0.2">
      <c r="A55" s="16">
        <v>42156</v>
      </c>
      <c r="B55" s="10">
        <f>2.5448 * CHOOSE(CONTROL!$C$32, $C$9, 100%, $E$9)</f>
        <v>2.5448</v>
      </c>
      <c r="C55" s="10">
        <f>2.5448 * CHOOSE(CONTROL!$C$32, $C$9, 100%, $E$9)</f>
        <v>2.5448</v>
      </c>
      <c r="D55" s="10">
        <f>2.5461 * CHOOSE(CONTROL!$C$32, $C$9, 100%, $E$9)</f>
        <v>2.5461</v>
      </c>
      <c r="E55" s="9">
        <f>3.6045 * CHOOSE(CONTROL!$C$32, $C$9, 100%, $E$9)</f>
        <v>3.6044999999999998</v>
      </c>
      <c r="F55" s="9">
        <f>3.5836 * CHOOSE(CONTROL!$C$32, $C$9, 100%, $E$9)</f>
        <v>3.5836000000000001</v>
      </c>
      <c r="G55" s="9">
        <f>3.588 * CHOOSE(CONTROL!$C$32, $C$9, 100%, $E$9)</f>
        <v>3.5880000000000001</v>
      </c>
      <c r="H55" s="9">
        <f>3.9254 * CHOOSE(CONTROL!$C$32, $C$9, 100%, $E$9)</f>
        <v>3.9253999999999998</v>
      </c>
      <c r="I55" s="9">
        <f>3.9297 * CHOOSE(CONTROL!$C$32, $C$9, 100%, $E$9)</f>
        <v>3.9297</v>
      </c>
      <c r="J55" s="9">
        <f>3.9254 * CHOOSE(CONTROL!$C$32, $C$9, 100%, $E$9)</f>
        <v>3.9253999999999998</v>
      </c>
      <c r="K55" s="9">
        <f>3.9297 * CHOOSE(CONTROL!$C$32, $C$9, 100%, $E$9)</f>
        <v>3.9297</v>
      </c>
      <c r="L55" s="9">
        <f>3.6045 * CHOOSE(CONTROL!$C$32, $C$9, 100%, $E$9)</f>
        <v>3.6044999999999998</v>
      </c>
      <c r="M55" s="9">
        <f>3.6088 * CHOOSE(CONTROL!$C$32, $C$9, 100%, $E$9)</f>
        <v>3.6088</v>
      </c>
      <c r="N55" s="9">
        <f>3.6045 * CHOOSE(CONTROL!$C$32, $C$9, 100%, $E$9)</f>
        <v>3.6044999999999998</v>
      </c>
      <c r="O55" s="9">
        <f>3.6088 * CHOOSE(CONTROL!$C$32, $C$9, 100%, $E$9)</f>
        <v>3.6088</v>
      </c>
      <c r="P55" s="17"/>
      <c r="Q55" s="9"/>
      <c r="R55" s="9"/>
    </row>
    <row r="56" spans="1:18" ht="15" x14ac:dyDescent="0.2">
      <c r="A56" s="16">
        <v>42186</v>
      </c>
      <c r="B56" s="10">
        <f>2.5884 * CHOOSE(CONTROL!$C$32, $C$9, 100%, $E$9)</f>
        <v>2.5884</v>
      </c>
      <c r="C56" s="10">
        <f>2.5884 * CHOOSE(CONTROL!$C$32, $C$9, 100%, $E$9)</f>
        <v>2.5884</v>
      </c>
      <c r="D56" s="10">
        <f>2.5897 * CHOOSE(CONTROL!$C$32, $C$9, 100%, $E$9)</f>
        <v>2.5897000000000001</v>
      </c>
      <c r="E56" s="9">
        <f>3.6045 * CHOOSE(CONTROL!$C$32, $C$9, 100%, $E$9)</f>
        <v>3.6044999999999998</v>
      </c>
      <c r="F56" s="9">
        <f>3.5836 * CHOOSE(CONTROL!$C$32, $C$9, 100%, $E$9)</f>
        <v>3.5836000000000001</v>
      </c>
      <c r="G56" s="9">
        <f>3.588 * CHOOSE(CONTROL!$C$32, $C$9, 100%, $E$9)</f>
        <v>3.5880000000000001</v>
      </c>
      <c r="H56" s="9">
        <f>4.0448 * CHOOSE(CONTROL!$C$32, $C$9, 100%, $E$9)</f>
        <v>4.0448000000000004</v>
      </c>
      <c r="I56" s="9">
        <f>4.0492 * CHOOSE(CONTROL!$C$32, $C$9, 100%, $E$9)</f>
        <v>4.0491999999999999</v>
      </c>
      <c r="J56" s="9">
        <f>4.0448 * CHOOSE(CONTROL!$C$32, $C$9, 100%, $E$9)</f>
        <v>4.0448000000000004</v>
      </c>
      <c r="K56" s="9">
        <f>4.0492 * CHOOSE(CONTROL!$C$32, $C$9, 100%, $E$9)</f>
        <v>4.0491999999999999</v>
      </c>
      <c r="L56" s="9">
        <f>3.6045 * CHOOSE(CONTROL!$C$32, $C$9, 100%, $E$9)</f>
        <v>3.6044999999999998</v>
      </c>
      <c r="M56" s="9">
        <f>3.6088 * CHOOSE(CONTROL!$C$32, $C$9, 100%, $E$9)</f>
        <v>3.6088</v>
      </c>
      <c r="N56" s="9">
        <f>3.6045 * CHOOSE(CONTROL!$C$32, $C$9, 100%, $E$9)</f>
        <v>3.6044999999999998</v>
      </c>
      <c r="O56" s="9">
        <f>3.6088 * CHOOSE(CONTROL!$C$32, $C$9, 100%, $E$9)</f>
        <v>3.6088</v>
      </c>
      <c r="P56" s="17"/>
      <c r="Q56" s="9"/>
      <c r="R56" s="9"/>
    </row>
    <row r="57" spans="1:18" ht="15" x14ac:dyDescent="0.2">
      <c r="A57" s="16">
        <v>42217</v>
      </c>
      <c r="B57" s="10">
        <f>2.5998 * CHOOSE(CONTROL!$C$32, $C$9, 100%, $E$9)</f>
        <v>2.5998000000000001</v>
      </c>
      <c r="C57" s="10">
        <f>2.5998 * CHOOSE(CONTROL!$C$32, $C$9, 100%, $E$9)</f>
        <v>2.5998000000000001</v>
      </c>
      <c r="D57" s="10">
        <f>2.6012 * CHOOSE(CONTROL!$C$32, $C$9, 100%, $E$9)</f>
        <v>2.6012</v>
      </c>
      <c r="E57" s="9">
        <f>3.6045 * CHOOSE(CONTROL!$C$32, $C$9, 100%, $E$9)</f>
        <v>3.6044999999999998</v>
      </c>
      <c r="F57" s="9">
        <f>3.5836 * CHOOSE(CONTROL!$C$32, $C$9, 100%, $E$9)</f>
        <v>3.5836000000000001</v>
      </c>
      <c r="G57" s="9">
        <f>3.588 * CHOOSE(CONTROL!$C$32, $C$9, 100%, $E$9)</f>
        <v>3.5880000000000001</v>
      </c>
      <c r="H57" s="9">
        <f>4.0492 * CHOOSE(CONTROL!$C$32, $C$9, 100%, $E$9)</f>
        <v>4.0491999999999999</v>
      </c>
      <c r="I57" s="9">
        <f>4.0536 * CHOOSE(CONTROL!$C$32, $C$9, 100%, $E$9)</f>
        <v>4.0536000000000003</v>
      </c>
      <c r="J57" s="9">
        <f>4.0492 * CHOOSE(CONTROL!$C$32, $C$9, 100%, $E$9)</f>
        <v>4.0491999999999999</v>
      </c>
      <c r="K57" s="9">
        <f>4.0536 * CHOOSE(CONTROL!$C$32, $C$9, 100%, $E$9)</f>
        <v>4.0536000000000003</v>
      </c>
      <c r="L57" s="9">
        <f>3.6045 * CHOOSE(CONTROL!$C$32, $C$9, 100%, $E$9)</f>
        <v>3.6044999999999998</v>
      </c>
      <c r="M57" s="9">
        <f>3.6088 * CHOOSE(CONTROL!$C$32, $C$9, 100%, $E$9)</f>
        <v>3.6088</v>
      </c>
      <c r="N57" s="9">
        <f>3.6045 * CHOOSE(CONTROL!$C$32, $C$9, 100%, $E$9)</f>
        <v>3.6044999999999998</v>
      </c>
      <c r="O57" s="9">
        <f>3.6088 * CHOOSE(CONTROL!$C$32, $C$9, 100%, $E$9)</f>
        <v>3.6088</v>
      </c>
      <c r="P57" s="17"/>
      <c r="Q57" s="9"/>
      <c r="R57" s="9"/>
    </row>
    <row r="58" spans="1:18" ht="15" x14ac:dyDescent="0.2">
      <c r="A58" s="16">
        <v>42248</v>
      </c>
      <c r="B58" s="10">
        <f>2.5965 * CHOOSE(CONTROL!$C$32, $C$9, 100%, $E$9)</f>
        <v>2.5964999999999998</v>
      </c>
      <c r="C58" s="10">
        <f>2.5965 * CHOOSE(CONTROL!$C$32, $C$9, 100%, $E$9)</f>
        <v>2.5964999999999998</v>
      </c>
      <c r="D58" s="10">
        <f>2.5979 * CHOOSE(CONTROL!$C$32, $C$9, 100%, $E$9)</f>
        <v>2.5979000000000001</v>
      </c>
      <c r="E58" s="9">
        <f>3.6045 * CHOOSE(CONTROL!$C$32, $C$9, 100%, $E$9)</f>
        <v>3.6044999999999998</v>
      </c>
      <c r="F58" s="9">
        <f>3.5836 * CHOOSE(CONTROL!$C$32, $C$9, 100%, $E$9)</f>
        <v>3.5836000000000001</v>
      </c>
      <c r="G58" s="9">
        <f>3.588 * CHOOSE(CONTROL!$C$32, $C$9, 100%, $E$9)</f>
        <v>3.5880000000000001</v>
      </c>
      <c r="H58" s="9">
        <f>4.0472 * CHOOSE(CONTROL!$C$32, $C$9, 100%, $E$9)</f>
        <v>4.0472000000000001</v>
      </c>
      <c r="I58" s="9">
        <f>4.0516 * CHOOSE(CONTROL!$C$32, $C$9, 100%, $E$9)</f>
        <v>4.0515999999999996</v>
      </c>
      <c r="J58" s="9">
        <f>4.0472 * CHOOSE(CONTROL!$C$32, $C$9, 100%, $E$9)</f>
        <v>4.0472000000000001</v>
      </c>
      <c r="K58" s="9">
        <f>4.0516 * CHOOSE(CONTROL!$C$32, $C$9, 100%, $E$9)</f>
        <v>4.0515999999999996</v>
      </c>
      <c r="L58" s="9">
        <f>3.6045 * CHOOSE(CONTROL!$C$32, $C$9, 100%, $E$9)</f>
        <v>3.6044999999999998</v>
      </c>
      <c r="M58" s="9">
        <f>3.6088 * CHOOSE(CONTROL!$C$32, $C$9, 100%, $E$9)</f>
        <v>3.6088</v>
      </c>
      <c r="N58" s="9">
        <f>3.6045 * CHOOSE(CONTROL!$C$32, $C$9, 100%, $E$9)</f>
        <v>3.6044999999999998</v>
      </c>
      <c r="O58" s="9">
        <f>3.6088 * CHOOSE(CONTROL!$C$32, $C$9, 100%, $E$9)</f>
        <v>3.6088</v>
      </c>
      <c r="P58" s="17"/>
      <c r="Q58" s="9"/>
      <c r="R58" s="9"/>
    </row>
    <row r="59" spans="1:18" ht="15" x14ac:dyDescent="0.2">
      <c r="A59" s="16">
        <v>42278</v>
      </c>
      <c r="B59" s="10">
        <f>2.5773 * CHOOSE(CONTROL!$C$32, $C$9, 100%, $E$9)</f>
        <v>2.5773000000000001</v>
      </c>
      <c r="C59" s="10">
        <f>2.5773 * CHOOSE(CONTROL!$C$32, $C$9, 100%, $E$9)</f>
        <v>2.5773000000000001</v>
      </c>
      <c r="D59" s="10">
        <f>2.5782 * CHOOSE(CONTROL!$C$32, $C$9, 100%, $E$9)</f>
        <v>2.5781999999999998</v>
      </c>
      <c r="E59" s="9">
        <f>3.6045 * CHOOSE(CONTROL!$C$32, $C$9, 100%, $E$9)</f>
        <v>3.6044999999999998</v>
      </c>
      <c r="F59" s="9">
        <f>3.5836 * CHOOSE(CONTROL!$C$32, $C$9, 100%, $E$9)</f>
        <v>3.5836000000000001</v>
      </c>
      <c r="G59" s="9">
        <f>3.5868 * CHOOSE(CONTROL!$C$32, $C$9, 100%, $E$9)</f>
        <v>3.5868000000000002</v>
      </c>
      <c r="H59" s="9">
        <f>4.042 * CHOOSE(CONTROL!$C$32, $C$9, 100%, $E$9)</f>
        <v>4.0419999999999998</v>
      </c>
      <c r="I59" s="9">
        <f>4.0451 * CHOOSE(CONTROL!$C$32, $C$9, 100%, $E$9)</f>
        <v>4.0450999999999997</v>
      </c>
      <c r="J59" s="9">
        <f>4.042 * CHOOSE(CONTROL!$C$32, $C$9, 100%, $E$9)</f>
        <v>4.0419999999999998</v>
      </c>
      <c r="K59" s="9">
        <f>4.0451 * CHOOSE(CONTROL!$C$32, $C$9, 100%, $E$9)</f>
        <v>4.0450999999999997</v>
      </c>
      <c r="L59" s="9">
        <f>3.6045 * CHOOSE(CONTROL!$C$32, $C$9, 100%, $E$9)</f>
        <v>3.6044999999999998</v>
      </c>
      <c r="M59" s="9">
        <f>3.6076 * CHOOSE(CONTROL!$C$32, $C$9, 100%, $E$9)</f>
        <v>3.6076000000000001</v>
      </c>
      <c r="N59" s="9">
        <f>3.6045 * CHOOSE(CONTROL!$C$32, $C$9, 100%, $E$9)</f>
        <v>3.6044999999999998</v>
      </c>
      <c r="O59" s="9">
        <f>3.6076 * CHOOSE(CONTROL!$C$32, $C$9, 100%, $E$9)</f>
        <v>3.6076000000000001</v>
      </c>
      <c r="P59" s="17"/>
      <c r="Q59" s="9"/>
      <c r="R59" s="9"/>
    </row>
    <row r="60" spans="1:18" ht="15" x14ac:dyDescent="0.2">
      <c r="A60" s="16">
        <v>42309</v>
      </c>
      <c r="B60" s="10">
        <f>2.5851 * CHOOSE(CONTROL!$C$32, $C$9, 100%, $E$9)</f>
        <v>2.5851000000000002</v>
      </c>
      <c r="C60" s="10">
        <f>2.5851 * CHOOSE(CONTROL!$C$32, $C$9, 100%, $E$9)</f>
        <v>2.5851000000000002</v>
      </c>
      <c r="D60" s="10">
        <f>2.586 * CHOOSE(CONTROL!$C$32, $C$9, 100%, $E$9)</f>
        <v>2.5859999999999999</v>
      </c>
      <c r="E60" s="9">
        <f>3.6045 * CHOOSE(CONTROL!$C$32, $C$9, 100%, $E$9)</f>
        <v>3.6044999999999998</v>
      </c>
      <c r="F60" s="9">
        <f>3.5836 * CHOOSE(CONTROL!$C$32, $C$9, 100%, $E$9)</f>
        <v>3.5836000000000001</v>
      </c>
      <c r="G60" s="9">
        <f>3.5868 * CHOOSE(CONTROL!$C$32, $C$9, 100%, $E$9)</f>
        <v>3.5868000000000002</v>
      </c>
      <c r="H60" s="9">
        <f>4.044 * CHOOSE(CONTROL!$C$32, $C$9, 100%, $E$9)</f>
        <v>4.0439999999999996</v>
      </c>
      <c r="I60" s="9">
        <f>4.0471 * CHOOSE(CONTROL!$C$32, $C$9, 100%, $E$9)</f>
        <v>4.0471000000000004</v>
      </c>
      <c r="J60" s="9">
        <f>4.044 * CHOOSE(CONTROL!$C$32, $C$9, 100%, $E$9)</f>
        <v>4.0439999999999996</v>
      </c>
      <c r="K60" s="9">
        <f>4.0471 * CHOOSE(CONTROL!$C$32, $C$9, 100%, $E$9)</f>
        <v>4.0471000000000004</v>
      </c>
      <c r="L60" s="9">
        <f>3.6045 * CHOOSE(CONTROL!$C$32, $C$9, 100%, $E$9)</f>
        <v>3.6044999999999998</v>
      </c>
      <c r="M60" s="9">
        <f>3.6076 * CHOOSE(CONTROL!$C$32, $C$9, 100%, $E$9)</f>
        <v>3.6076000000000001</v>
      </c>
      <c r="N60" s="9">
        <f>3.6045 * CHOOSE(CONTROL!$C$32, $C$9, 100%, $E$9)</f>
        <v>3.6044999999999998</v>
      </c>
      <c r="O60" s="9">
        <f>3.6076 * CHOOSE(CONTROL!$C$32, $C$9, 100%, $E$9)</f>
        <v>3.6076000000000001</v>
      </c>
      <c r="P60" s="17"/>
      <c r="Q60" s="9"/>
      <c r="R60" s="9"/>
    </row>
    <row r="61" spans="1:18" ht="15" x14ac:dyDescent="0.2">
      <c r="A61" s="16">
        <v>42339</v>
      </c>
      <c r="B61" s="10">
        <f>2.5848 * CHOOSE(CONTROL!$C$32, $C$9, 100%, $E$9)</f>
        <v>2.5848</v>
      </c>
      <c r="C61" s="10">
        <f>2.5848 * CHOOSE(CONTROL!$C$32, $C$9, 100%, $E$9)</f>
        <v>2.5848</v>
      </c>
      <c r="D61" s="10">
        <f>2.5858 * CHOOSE(CONTROL!$C$32, $C$9, 100%, $E$9)</f>
        <v>2.5857999999999999</v>
      </c>
      <c r="E61" s="9">
        <f>3.6045 * CHOOSE(CONTROL!$C$32, $C$9, 100%, $E$9)</f>
        <v>3.6044999999999998</v>
      </c>
      <c r="F61" s="9">
        <f>3.5836 * CHOOSE(CONTROL!$C$32, $C$9, 100%, $E$9)</f>
        <v>3.5836000000000001</v>
      </c>
      <c r="G61" s="9">
        <f>3.5868 * CHOOSE(CONTROL!$C$32, $C$9, 100%, $E$9)</f>
        <v>3.5868000000000002</v>
      </c>
      <c r="H61" s="9">
        <f>4.044 * CHOOSE(CONTROL!$C$32, $C$9, 100%, $E$9)</f>
        <v>4.0439999999999996</v>
      </c>
      <c r="I61" s="9">
        <f>4.0471 * CHOOSE(CONTROL!$C$32, $C$9, 100%, $E$9)</f>
        <v>4.0471000000000004</v>
      </c>
      <c r="J61" s="9">
        <f>4.044 * CHOOSE(CONTROL!$C$32, $C$9, 100%, $E$9)</f>
        <v>4.0439999999999996</v>
      </c>
      <c r="K61" s="9">
        <f>4.0471 * CHOOSE(CONTROL!$C$32, $C$9, 100%, $E$9)</f>
        <v>4.0471000000000004</v>
      </c>
      <c r="L61" s="9">
        <f>3.6045 * CHOOSE(CONTROL!$C$32, $C$9, 100%, $E$9)</f>
        <v>3.6044999999999998</v>
      </c>
      <c r="M61" s="9">
        <f>3.6076 * CHOOSE(CONTROL!$C$32, $C$9, 100%, $E$9)</f>
        <v>3.6076000000000001</v>
      </c>
      <c r="N61" s="9">
        <f>3.6045 * CHOOSE(CONTROL!$C$32, $C$9, 100%, $E$9)</f>
        <v>3.6044999999999998</v>
      </c>
      <c r="O61" s="9">
        <f>3.6076 * CHOOSE(CONTROL!$C$32, $C$9, 100%, $E$9)</f>
        <v>3.6076000000000001</v>
      </c>
      <c r="P61" s="17"/>
      <c r="Q61" s="9"/>
      <c r="R61" s="9"/>
    </row>
    <row r="62" spans="1:18" ht="15" x14ac:dyDescent="0.2">
      <c r="A62" s="16">
        <v>42370</v>
      </c>
      <c r="B62" s="10">
        <f>2.5868 * CHOOSE(CONTROL!$C$32, $C$9, 100%, $E$9)</f>
        <v>2.5868000000000002</v>
      </c>
      <c r="C62" s="10">
        <f>2.5868 * CHOOSE(CONTROL!$C$32, $C$9, 100%, $E$9)</f>
        <v>2.5868000000000002</v>
      </c>
      <c r="D62" s="10">
        <f>2.5878 * CHOOSE(CONTROL!$C$32, $C$9, 100%, $E$9)</f>
        <v>2.5878000000000001</v>
      </c>
      <c r="E62" s="9">
        <f>3.7019 * CHOOSE(CONTROL!$C$32, $C$9, 100%, $E$9)</f>
        <v>3.7019000000000002</v>
      </c>
      <c r="F62" s="9">
        <f>3.6856 * CHOOSE(CONTROL!$C$32, $C$9, 100%, $E$9)</f>
        <v>3.6856</v>
      </c>
      <c r="G62" s="9">
        <f>3.6888 * CHOOSE(CONTROL!$C$32, $C$9, 100%, $E$9)</f>
        <v>3.6888000000000001</v>
      </c>
      <c r="H62" s="9">
        <f>4.0739 * CHOOSE(CONTROL!$C$32, $C$9, 100%, $E$9)</f>
        <v>4.0739000000000001</v>
      </c>
      <c r="I62" s="9">
        <f>4.077 * CHOOSE(CONTROL!$C$32, $C$9, 100%, $E$9)</f>
        <v>4.077</v>
      </c>
      <c r="J62" s="9">
        <f>4.0739 * CHOOSE(CONTROL!$C$32, $C$9, 100%, $E$9)</f>
        <v>4.0739000000000001</v>
      </c>
      <c r="K62" s="9">
        <f>4.077 * CHOOSE(CONTROL!$C$32, $C$9, 100%, $E$9)</f>
        <v>4.077</v>
      </c>
      <c r="L62" s="9">
        <f>3.7019 * CHOOSE(CONTROL!$C$32, $C$9, 100%, $E$9)</f>
        <v>3.7019000000000002</v>
      </c>
      <c r="M62" s="9">
        <f>3.7051 * CHOOSE(CONTROL!$C$32, $C$9, 100%, $E$9)</f>
        <v>3.7050999999999998</v>
      </c>
      <c r="N62" s="9">
        <f>3.7019 * CHOOSE(CONTROL!$C$32, $C$9, 100%, $E$9)</f>
        <v>3.7019000000000002</v>
      </c>
      <c r="O62" s="9">
        <f>3.7051 * CHOOSE(CONTROL!$C$32, $C$9, 100%, $E$9)</f>
        <v>3.7050999999999998</v>
      </c>
      <c r="P62" s="17"/>
      <c r="Q62" s="9"/>
      <c r="R62" s="9"/>
    </row>
    <row r="63" spans="1:18" ht="15" x14ac:dyDescent="0.2">
      <c r="A63" s="16">
        <v>42401</v>
      </c>
      <c r="B63" s="10">
        <f>2.5887 * CHOOSE(CONTROL!$C$32, $C$9, 100%, $E$9)</f>
        <v>2.5886999999999998</v>
      </c>
      <c r="C63" s="10">
        <f>2.5887 * CHOOSE(CONTROL!$C$32, $C$9, 100%, $E$9)</f>
        <v>2.5886999999999998</v>
      </c>
      <c r="D63" s="10">
        <f>2.5897 * CHOOSE(CONTROL!$C$32, $C$9, 100%, $E$9)</f>
        <v>2.5897000000000001</v>
      </c>
      <c r="E63" s="9">
        <f>3.7019 * CHOOSE(CONTROL!$C$32, $C$9, 100%, $E$9)</f>
        <v>3.7019000000000002</v>
      </c>
      <c r="F63" s="9">
        <f>3.6856 * CHOOSE(CONTROL!$C$32, $C$9, 100%, $E$9)</f>
        <v>3.6856</v>
      </c>
      <c r="G63" s="9">
        <f>3.6888 * CHOOSE(CONTROL!$C$32, $C$9, 100%, $E$9)</f>
        <v>3.6888000000000001</v>
      </c>
      <c r="H63" s="9">
        <f>4.0719 * CHOOSE(CONTROL!$C$32, $C$9, 100%, $E$9)</f>
        <v>4.0719000000000003</v>
      </c>
      <c r="I63" s="9">
        <f>4.075 * CHOOSE(CONTROL!$C$32, $C$9, 100%, $E$9)</f>
        <v>4.0750000000000002</v>
      </c>
      <c r="J63" s="9">
        <f>4.0719 * CHOOSE(CONTROL!$C$32, $C$9, 100%, $E$9)</f>
        <v>4.0719000000000003</v>
      </c>
      <c r="K63" s="9">
        <f>4.075 * CHOOSE(CONTROL!$C$32, $C$9, 100%, $E$9)</f>
        <v>4.0750000000000002</v>
      </c>
      <c r="L63" s="9">
        <f>3.7019 * CHOOSE(CONTROL!$C$32, $C$9, 100%, $E$9)</f>
        <v>3.7019000000000002</v>
      </c>
      <c r="M63" s="9">
        <f>3.7051 * CHOOSE(CONTROL!$C$32, $C$9, 100%, $E$9)</f>
        <v>3.7050999999999998</v>
      </c>
      <c r="N63" s="9">
        <f>3.7019 * CHOOSE(CONTROL!$C$32, $C$9, 100%, $E$9)</f>
        <v>3.7019000000000002</v>
      </c>
      <c r="O63" s="9">
        <f>3.7051 * CHOOSE(CONTROL!$C$32, $C$9, 100%, $E$9)</f>
        <v>3.7050999999999998</v>
      </c>
      <c r="P63" s="17"/>
      <c r="Q63" s="9"/>
      <c r="R63" s="9"/>
    </row>
    <row r="64" spans="1:18" ht="15" x14ac:dyDescent="0.2">
      <c r="A64" s="16">
        <v>42430</v>
      </c>
      <c r="B64" s="10">
        <f>2.5855 * CHOOSE(CONTROL!$C$32, $C$9, 100%, $E$9)</f>
        <v>2.5855000000000001</v>
      </c>
      <c r="C64" s="10">
        <f>2.5855 * CHOOSE(CONTROL!$C$32, $C$9, 100%, $E$9)</f>
        <v>2.5855000000000001</v>
      </c>
      <c r="D64" s="10">
        <f>2.5864 * CHOOSE(CONTROL!$C$32, $C$9, 100%, $E$9)</f>
        <v>2.5863999999999998</v>
      </c>
      <c r="E64" s="9">
        <f>3.7019 * CHOOSE(CONTROL!$C$32, $C$9, 100%, $E$9)</f>
        <v>3.7019000000000002</v>
      </c>
      <c r="F64" s="9">
        <f>3.6856 * CHOOSE(CONTROL!$C$32, $C$9, 100%, $E$9)</f>
        <v>3.6856</v>
      </c>
      <c r="G64" s="9">
        <f>3.6888 * CHOOSE(CONTROL!$C$32, $C$9, 100%, $E$9)</f>
        <v>3.6888000000000001</v>
      </c>
      <c r="H64" s="9">
        <f>4.0699 * CHOOSE(CONTROL!$C$32, $C$9, 100%, $E$9)</f>
        <v>4.0698999999999996</v>
      </c>
      <c r="I64" s="9">
        <f>4.073 * CHOOSE(CONTROL!$C$32, $C$9, 100%, $E$9)</f>
        <v>4.0730000000000004</v>
      </c>
      <c r="J64" s="9">
        <f>4.0699 * CHOOSE(CONTROL!$C$32, $C$9, 100%, $E$9)</f>
        <v>4.0698999999999996</v>
      </c>
      <c r="K64" s="9">
        <f>4.073 * CHOOSE(CONTROL!$C$32, $C$9, 100%, $E$9)</f>
        <v>4.0730000000000004</v>
      </c>
      <c r="L64" s="9">
        <f>3.7019 * CHOOSE(CONTROL!$C$32, $C$9, 100%, $E$9)</f>
        <v>3.7019000000000002</v>
      </c>
      <c r="M64" s="9">
        <f>3.7051 * CHOOSE(CONTROL!$C$32, $C$9, 100%, $E$9)</f>
        <v>3.7050999999999998</v>
      </c>
      <c r="N64" s="9">
        <f>3.7019 * CHOOSE(CONTROL!$C$32, $C$9, 100%, $E$9)</f>
        <v>3.7019000000000002</v>
      </c>
      <c r="O64" s="9">
        <f>3.7051 * CHOOSE(CONTROL!$C$32, $C$9, 100%, $E$9)</f>
        <v>3.7050999999999998</v>
      </c>
      <c r="P64" s="17"/>
      <c r="Q64" s="9"/>
      <c r="R64" s="9"/>
    </row>
    <row r="65" spans="1:18" ht="15" x14ac:dyDescent="0.2">
      <c r="A65" s="16">
        <v>42461</v>
      </c>
      <c r="B65" s="10">
        <f>2.5794 * CHOOSE(CONTROL!$C$32, $C$9, 100%, $E$9)</f>
        <v>2.5794000000000001</v>
      </c>
      <c r="C65" s="10">
        <f>2.5794 * CHOOSE(CONTROL!$C$32, $C$9, 100%, $E$9)</f>
        <v>2.5794000000000001</v>
      </c>
      <c r="D65" s="10">
        <f>2.5803 * CHOOSE(CONTROL!$C$32, $C$9, 100%, $E$9)</f>
        <v>2.5802999999999998</v>
      </c>
      <c r="E65" s="9">
        <f>3.7019 * CHOOSE(CONTROL!$C$32, $C$9, 100%, $E$9)</f>
        <v>3.7019000000000002</v>
      </c>
      <c r="F65" s="9">
        <f>3.6856 * CHOOSE(CONTROL!$C$32, $C$9, 100%, $E$9)</f>
        <v>3.6856</v>
      </c>
      <c r="G65" s="9">
        <f>3.6888 * CHOOSE(CONTROL!$C$32, $C$9, 100%, $E$9)</f>
        <v>3.6888000000000001</v>
      </c>
      <c r="H65" s="9">
        <f>4.0678 * CHOOSE(CONTROL!$C$32, $C$9, 100%, $E$9)</f>
        <v>4.0678000000000001</v>
      </c>
      <c r="I65" s="9">
        <f>4.071 * CHOOSE(CONTROL!$C$32, $C$9, 100%, $E$9)</f>
        <v>4.0709999999999997</v>
      </c>
      <c r="J65" s="9">
        <f>4.0678 * CHOOSE(CONTROL!$C$32, $C$9, 100%, $E$9)</f>
        <v>4.0678000000000001</v>
      </c>
      <c r="K65" s="9">
        <f>4.071 * CHOOSE(CONTROL!$C$32, $C$9, 100%, $E$9)</f>
        <v>4.0709999999999997</v>
      </c>
      <c r="L65" s="9">
        <f>3.7019 * CHOOSE(CONTROL!$C$32, $C$9, 100%, $E$9)</f>
        <v>3.7019000000000002</v>
      </c>
      <c r="M65" s="9">
        <f>3.7051 * CHOOSE(CONTROL!$C$32, $C$9, 100%, $E$9)</f>
        <v>3.7050999999999998</v>
      </c>
      <c r="N65" s="9">
        <f>3.7019 * CHOOSE(CONTROL!$C$32, $C$9, 100%, $E$9)</f>
        <v>3.7019000000000002</v>
      </c>
      <c r="O65" s="9">
        <f>3.7051 * CHOOSE(CONTROL!$C$32, $C$9, 100%, $E$9)</f>
        <v>3.7050999999999998</v>
      </c>
      <c r="P65" s="17"/>
      <c r="Q65" s="9"/>
      <c r="R65" s="9"/>
    </row>
    <row r="66" spans="1:18" ht="15" x14ac:dyDescent="0.2">
      <c r="A66" s="16">
        <v>42491</v>
      </c>
      <c r="B66" s="10">
        <f>2.5842 * CHOOSE(CONTROL!$C$32, $C$9, 100%, $E$9)</f>
        <v>2.5842000000000001</v>
      </c>
      <c r="C66" s="10">
        <f>2.5842 * CHOOSE(CONTROL!$C$32, $C$9, 100%, $E$9)</f>
        <v>2.5842000000000001</v>
      </c>
      <c r="D66" s="10">
        <f>2.5855 * CHOOSE(CONTROL!$C$32, $C$9, 100%, $E$9)</f>
        <v>2.5855000000000001</v>
      </c>
      <c r="E66" s="9">
        <f>3.7019 * CHOOSE(CONTROL!$C$32, $C$9, 100%, $E$9)</f>
        <v>3.7019000000000002</v>
      </c>
      <c r="F66" s="9">
        <f>3.6856 * CHOOSE(CONTROL!$C$32, $C$9, 100%, $E$9)</f>
        <v>3.6856</v>
      </c>
      <c r="G66" s="9">
        <f>3.69 * CHOOSE(CONTROL!$C$32, $C$9, 100%, $E$9)</f>
        <v>3.69</v>
      </c>
      <c r="H66" s="9">
        <f>4.0678 * CHOOSE(CONTROL!$C$32, $C$9, 100%, $E$9)</f>
        <v>4.0678000000000001</v>
      </c>
      <c r="I66" s="9">
        <f>4.0722 * CHOOSE(CONTROL!$C$32, $C$9, 100%, $E$9)</f>
        <v>4.0721999999999996</v>
      </c>
      <c r="J66" s="9">
        <f>4.0678 * CHOOSE(CONTROL!$C$32, $C$9, 100%, $E$9)</f>
        <v>4.0678000000000001</v>
      </c>
      <c r="K66" s="9">
        <f>4.0722 * CHOOSE(CONTROL!$C$32, $C$9, 100%, $E$9)</f>
        <v>4.0721999999999996</v>
      </c>
      <c r="L66" s="9">
        <f>3.7019 * CHOOSE(CONTROL!$C$32, $C$9, 100%, $E$9)</f>
        <v>3.7019000000000002</v>
      </c>
      <c r="M66" s="9">
        <f>3.7063 * CHOOSE(CONTROL!$C$32, $C$9, 100%, $E$9)</f>
        <v>3.7063000000000001</v>
      </c>
      <c r="N66" s="9">
        <f>3.7019 * CHOOSE(CONTROL!$C$32, $C$9, 100%, $E$9)</f>
        <v>3.7019000000000002</v>
      </c>
      <c r="O66" s="9">
        <f>3.7063 * CHOOSE(CONTROL!$C$32, $C$9, 100%, $E$9)</f>
        <v>3.7063000000000001</v>
      </c>
      <c r="P66" s="17"/>
      <c r="Q66" s="9"/>
      <c r="R66" s="9"/>
    </row>
    <row r="67" spans="1:18" ht="15" x14ac:dyDescent="0.2">
      <c r="A67" s="16">
        <v>42522</v>
      </c>
      <c r="B67" s="10">
        <f>2.59 * CHOOSE(CONTROL!$C$32, $C$9, 100%, $E$9)</f>
        <v>2.59</v>
      </c>
      <c r="C67" s="10">
        <f>2.59 * CHOOSE(CONTROL!$C$32, $C$9, 100%, $E$9)</f>
        <v>2.59</v>
      </c>
      <c r="D67" s="10">
        <f>2.5913 * CHOOSE(CONTROL!$C$32, $C$9, 100%, $E$9)</f>
        <v>2.5912999999999999</v>
      </c>
      <c r="E67" s="9">
        <f>3.7019 * CHOOSE(CONTROL!$C$32, $C$9, 100%, $E$9)</f>
        <v>3.7019000000000002</v>
      </c>
      <c r="F67" s="9">
        <f>3.6856 * CHOOSE(CONTROL!$C$32, $C$9, 100%, $E$9)</f>
        <v>3.6856</v>
      </c>
      <c r="G67" s="9">
        <f>3.69 * CHOOSE(CONTROL!$C$32, $C$9, 100%, $E$9)</f>
        <v>3.69</v>
      </c>
      <c r="H67" s="9">
        <f>4.0718 * CHOOSE(CONTROL!$C$32, $C$9, 100%, $E$9)</f>
        <v>4.0717999999999996</v>
      </c>
      <c r="I67" s="9">
        <f>4.0762 * CHOOSE(CONTROL!$C$32, $C$9, 100%, $E$9)</f>
        <v>4.0762</v>
      </c>
      <c r="J67" s="9">
        <f>4.0718 * CHOOSE(CONTROL!$C$32, $C$9, 100%, $E$9)</f>
        <v>4.0717999999999996</v>
      </c>
      <c r="K67" s="9">
        <f>4.0762 * CHOOSE(CONTROL!$C$32, $C$9, 100%, $E$9)</f>
        <v>4.0762</v>
      </c>
      <c r="L67" s="9">
        <f>3.7019 * CHOOSE(CONTROL!$C$32, $C$9, 100%, $E$9)</f>
        <v>3.7019000000000002</v>
      </c>
      <c r="M67" s="9">
        <f>3.7063 * CHOOSE(CONTROL!$C$32, $C$9, 100%, $E$9)</f>
        <v>3.7063000000000001</v>
      </c>
      <c r="N67" s="9">
        <f>3.7019 * CHOOSE(CONTROL!$C$32, $C$9, 100%, $E$9)</f>
        <v>3.7019000000000002</v>
      </c>
      <c r="O67" s="9">
        <f>3.7063 * CHOOSE(CONTROL!$C$32, $C$9, 100%, $E$9)</f>
        <v>3.7063000000000001</v>
      </c>
      <c r="P67" s="17"/>
      <c r="Q67" s="9"/>
      <c r="R67" s="9"/>
    </row>
    <row r="68" spans="1:18" ht="15" x14ac:dyDescent="0.2">
      <c r="A68" s="16">
        <v>42552</v>
      </c>
      <c r="B68" s="10">
        <f>2.5606 * CHOOSE(CONTROL!$C$32, $C$9, 100%, $E$9)</f>
        <v>2.5606</v>
      </c>
      <c r="C68" s="10">
        <f>2.5606 * CHOOSE(CONTROL!$C$32, $C$9, 100%, $E$9)</f>
        <v>2.5606</v>
      </c>
      <c r="D68" s="10">
        <f>2.5619 * CHOOSE(CONTROL!$C$32, $C$9, 100%, $E$9)</f>
        <v>2.5619000000000001</v>
      </c>
      <c r="E68" s="9">
        <f>3.7019 * CHOOSE(CONTROL!$C$32, $C$9, 100%, $E$9)</f>
        <v>3.7019000000000002</v>
      </c>
      <c r="F68" s="9">
        <f>3.6856 * CHOOSE(CONTROL!$C$32, $C$9, 100%, $E$9)</f>
        <v>3.6856</v>
      </c>
      <c r="G68" s="9">
        <f>3.69 * CHOOSE(CONTROL!$C$32, $C$9, 100%, $E$9)</f>
        <v>3.69</v>
      </c>
      <c r="H68" s="9">
        <f>4.1308 * CHOOSE(CONTROL!$C$32, $C$9, 100%, $E$9)</f>
        <v>4.1307999999999998</v>
      </c>
      <c r="I68" s="9">
        <f>4.1352 * CHOOSE(CONTROL!$C$32, $C$9, 100%, $E$9)</f>
        <v>4.1352000000000002</v>
      </c>
      <c r="J68" s="9">
        <f>4.1308 * CHOOSE(CONTROL!$C$32, $C$9, 100%, $E$9)</f>
        <v>4.1307999999999998</v>
      </c>
      <c r="K68" s="9">
        <f>4.1352 * CHOOSE(CONTROL!$C$32, $C$9, 100%, $E$9)</f>
        <v>4.1352000000000002</v>
      </c>
      <c r="L68" s="9">
        <f>3.7019 * CHOOSE(CONTROL!$C$32, $C$9, 100%, $E$9)</f>
        <v>3.7019000000000002</v>
      </c>
      <c r="M68" s="9">
        <f>3.7063 * CHOOSE(CONTROL!$C$32, $C$9, 100%, $E$9)</f>
        <v>3.7063000000000001</v>
      </c>
      <c r="N68" s="9">
        <f>3.7019 * CHOOSE(CONTROL!$C$32, $C$9, 100%, $E$9)</f>
        <v>3.7019000000000002</v>
      </c>
      <c r="O68" s="9">
        <f>3.7063 * CHOOSE(CONTROL!$C$32, $C$9, 100%, $E$9)</f>
        <v>3.7063000000000001</v>
      </c>
      <c r="P68" s="17"/>
      <c r="Q68" s="17"/>
      <c r="R68" s="17"/>
    </row>
    <row r="69" spans="1:18" ht="15" x14ac:dyDescent="0.2">
      <c r="A69" s="16">
        <v>42583</v>
      </c>
      <c r="B69" s="10">
        <f>2.5721 * CHOOSE(CONTROL!$C$32, $C$9, 100%, $E$9)</f>
        <v>2.5720999999999998</v>
      </c>
      <c r="C69" s="10">
        <f>2.5721 * CHOOSE(CONTROL!$C$32, $C$9, 100%, $E$9)</f>
        <v>2.5720999999999998</v>
      </c>
      <c r="D69" s="10">
        <f>2.5734 * CHOOSE(CONTROL!$C$32, $C$9, 100%, $E$9)</f>
        <v>2.5733999999999999</v>
      </c>
      <c r="E69" s="9">
        <f>3.7019 * CHOOSE(CONTROL!$C$32, $C$9, 100%, $E$9)</f>
        <v>3.7019000000000002</v>
      </c>
      <c r="F69" s="9">
        <f>3.6856 * CHOOSE(CONTROL!$C$32, $C$9, 100%, $E$9)</f>
        <v>3.6856</v>
      </c>
      <c r="G69" s="9">
        <f>3.69 * CHOOSE(CONTROL!$C$32, $C$9, 100%, $E$9)</f>
        <v>3.69</v>
      </c>
      <c r="H69" s="9">
        <f>4.1352 * CHOOSE(CONTROL!$C$32, $C$9, 100%, $E$9)</f>
        <v>4.1352000000000002</v>
      </c>
      <c r="I69" s="9">
        <f>4.1396 * CHOOSE(CONTROL!$C$32, $C$9, 100%, $E$9)</f>
        <v>4.1395999999999997</v>
      </c>
      <c r="J69" s="9">
        <f>4.1352 * CHOOSE(CONTROL!$C$32, $C$9, 100%, $E$9)</f>
        <v>4.1352000000000002</v>
      </c>
      <c r="K69" s="9">
        <f>4.1396 * CHOOSE(CONTROL!$C$32, $C$9, 100%, $E$9)</f>
        <v>4.1395999999999997</v>
      </c>
      <c r="L69" s="9">
        <f>3.7019 * CHOOSE(CONTROL!$C$32, $C$9, 100%, $E$9)</f>
        <v>3.7019000000000002</v>
      </c>
      <c r="M69" s="9">
        <f>3.7063 * CHOOSE(CONTROL!$C$32, $C$9, 100%, $E$9)</f>
        <v>3.7063000000000001</v>
      </c>
      <c r="N69" s="9">
        <f>3.7019 * CHOOSE(CONTROL!$C$32, $C$9, 100%, $E$9)</f>
        <v>3.7019000000000002</v>
      </c>
      <c r="O69" s="9">
        <f>3.7063 * CHOOSE(CONTROL!$C$32, $C$9, 100%, $E$9)</f>
        <v>3.7063000000000001</v>
      </c>
      <c r="P69" s="17"/>
      <c r="Q69" s="17"/>
      <c r="R69" s="17"/>
    </row>
    <row r="70" spans="1:18" ht="15" x14ac:dyDescent="0.2">
      <c r="A70" s="16">
        <v>42614</v>
      </c>
      <c r="B70" s="10">
        <f>2.5688 * CHOOSE(CONTROL!$C$32, $C$9, 100%, $E$9)</f>
        <v>2.5688</v>
      </c>
      <c r="C70" s="10">
        <f>2.5688 * CHOOSE(CONTROL!$C$32, $C$9, 100%, $E$9)</f>
        <v>2.5688</v>
      </c>
      <c r="D70" s="10">
        <f>2.5701 * CHOOSE(CONTROL!$C$32, $C$9, 100%, $E$9)</f>
        <v>2.5701000000000001</v>
      </c>
      <c r="E70" s="9">
        <f>3.7019 * CHOOSE(CONTROL!$C$32, $C$9, 100%, $E$9)</f>
        <v>3.7019000000000002</v>
      </c>
      <c r="F70" s="9">
        <f>3.6856 * CHOOSE(CONTROL!$C$32, $C$9, 100%, $E$9)</f>
        <v>3.6856</v>
      </c>
      <c r="G70" s="9">
        <f>3.69 * CHOOSE(CONTROL!$C$32, $C$9, 100%, $E$9)</f>
        <v>3.69</v>
      </c>
      <c r="H70" s="9">
        <f>4.1332 * CHOOSE(CONTROL!$C$32, $C$9, 100%, $E$9)</f>
        <v>4.1332000000000004</v>
      </c>
      <c r="I70" s="9">
        <f>4.1376 * CHOOSE(CONTROL!$C$32, $C$9, 100%, $E$9)</f>
        <v>4.1375999999999999</v>
      </c>
      <c r="J70" s="9">
        <f>4.1332 * CHOOSE(CONTROL!$C$32, $C$9, 100%, $E$9)</f>
        <v>4.1332000000000004</v>
      </c>
      <c r="K70" s="9">
        <f>4.1376 * CHOOSE(CONTROL!$C$32, $C$9, 100%, $E$9)</f>
        <v>4.1375999999999999</v>
      </c>
      <c r="L70" s="9">
        <f>3.7019 * CHOOSE(CONTROL!$C$32, $C$9, 100%, $E$9)</f>
        <v>3.7019000000000002</v>
      </c>
      <c r="M70" s="9">
        <f>3.7063 * CHOOSE(CONTROL!$C$32, $C$9, 100%, $E$9)</f>
        <v>3.7063000000000001</v>
      </c>
      <c r="N70" s="9">
        <f>3.7019 * CHOOSE(CONTROL!$C$32, $C$9, 100%, $E$9)</f>
        <v>3.7019000000000002</v>
      </c>
      <c r="O70" s="9">
        <f>3.7063 * CHOOSE(CONTROL!$C$32, $C$9, 100%, $E$9)</f>
        <v>3.7063000000000001</v>
      </c>
      <c r="P70" s="17"/>
      <c r="Q70" s="17"/>
      <c r="R70" s="17"/>
    </row>
    <row r="71" spans="1:18" ht="15" x14ac:dyDescent="0.2">
      <c r="A71" s="16">
        <v>42644</v>
      </c>
      <c r="B71" s="10">
        <f>2.5496 * CHOOSE(CONTROL!$C$32, $C$9, 100%, $E$9)</f>
        <v>2.5495999999999999</v>
      </c>
      <c r="C71" s="10">
        <f>2.5496 * CHOOSE(CONTROL!$C$32, $C$9, 100%, $E$9)</f>
        <v>2.5495999999999999</v>
      </c>
      <c r="D71" s="10">
        <f>2.5505 * CHOOSE(CONTROL!$C$32, $C$9, 100%, $E$9)</f>
        <v>2.5505</v>
      </c>
      <c r="E71" s="9">
        <f>3.7019 * CHOOSE(CONTROL!$C$32, $C$9, 100%, $E$9)</f>
        <v>3.7019000000000002</v>
      </c>
      <c r="F71" s="9">
        <f>3.6856 * CHOOSE(CONTROL!$C$32, $C$9, 100%, $E$9)</f>
        <v>3.6856</v>
      </c>
      <c r="G71" s="9">
        <f>3.6888 * CHOOSE(CONTROL!$C$32, $C$9, 100%, $E$9)</f>
        <v>3.6888000000000001</v>
      </c>
      <c r="H71" s="9">
        <f>4.1283 * CHOOSE(CONTROL!$C$32, $C$9, 100%, $E$9)</f>
        <v>4.1283000000000003</v>
      </c>
      <c r="I71" s="9">
        <f>4.1315 * CHOOSE(CONTROL!$C$32, $C$9, 100%, $E$9)</f>
        <v>4.1315</v>
      </c>
      <c r="J71" s="9">
        <f>4.1283 * CHOOSE(CONTROL!$C$32, $C$9, 100%, $E$9)</f>
        <v>4.1283000000000003</v>
      </c>
      <c r="K71" s="9">
        <f>4.1315 * CHOOSE(CONTROL!$C$32, $C$9, 100%, $E$9)</f>
        <v>4.1315</v>
      </c>
      <c r="L71" s="9">
        <f>3.7019 * CHOOSE(CONTROL!$C$32, $C$9, 100%, $E$9)</f>
        <v>3.7019000000000002</v>
      </c>
      <c r="M71" s="9">
        <f>3.7051 * CHOOSE(CONTROL!$C$32, $C$9, 100%, $E$9)</f>
        <v>3.7050999999999998</v>
      </c>
      <c r="N71" s="9">
        <f>3.7019 * CHOOSE(CONTROL!$C$32, $C$9, 100%, $E$9)</f>
        <v>3.7019000000000002</v>
      </c>
      <c r="O71" s="9">
        <f>3.7051 * CHOOSE(CONTROL!$C$32, $C$9, 100%, $E$9)</f>
        <v>3.7050999999999998</v>
      </c>
      <c r="P71" s="17"/>
      <c r="Q71" s="17"/>
      <c r="R71" s="17"/>
    </row>
    <row r="72" spans="1:18" ht="15" x14ac:dyDescent="0.2">
      <c r="A72" s="16">
        <v>42675</v>
      </c>
      <c r="B72" s="10">
        <f>2.5575 * CHOOSE(CONTROL!$C$32, $C$9, 100%, $E$9)</f>
        <v>2.5575000000000001</v>
      </c>
      <c r="C72" s="10">
        <f>2.5575 * CHOOSE(CONTROL!$C$32, $C$9, 100%, $E$9)</f>
        <v>2.5575000000000001</v>
      </c>
      <c r="D72" s="10">
        <f>2.5584 * CHOOSE(CONTROL!$C$32, $C$9, 100%, $E$9)</f>
        <v>2.5583999999999998</v>
      </c>
      <c r="E72" s="9">
        <f>3.7019 * CHOOSE(CONTROL!$C$32, $C$9, 100%, $E$9)</f>
        <v>3.7019000000000002</v>
      </c>
      <c r="F72" s="9">
        <f>3.6856 * CHOOSE(CONTROL!$C$32, $C$9, 100%, $E$9)</f>
        <v>3.6856</v>
      </c>
      <c r="G72" s="9">
        <f>3.6888 * CHOOSE(CONTROL!$C$32, $C$9, 100%, $E$9)</f>
        <v>3.6888000000000001</v>
      </c>
      <c r="H72" s="9">
        <f>4.1303 * CHOOSE(CONTROL!$C$32, $C$9, 100%, $E$9)</f>
        <v>4.1303000000000001</v>
      </c>
      <c r="I72" s="9">
        <f>4.1335 * CHOOSE(CONTROL!$C$32, $C$9, 100%, $E$9)</f>
        <v>4.1334999999999997</v>
      </c>
      <c r="J72" s="9">
        <f>4.1303 * CHOOSE(CONTROL!$C$32, $C$9, 100%, $E$9)</f>
        <v>4.1303000000000001</v>
      </c>
      <c r="K72" s="9">
        <f>4.1335 * CHOOSE(CONTROL!$C$32, $C$9, 100%, $E$9)</f>
        <v>4.1334999999999997</v>
      </c>
      <c r="L72" s="9">
        <f>3.7019 * CHOOSE(CONTROL!$C$32, $C$9, 100%, $E$9)</f>
        <v>3.7019000000000002</v>
      </c>
      <c r="M72" s="9">
        <f>3.7051 * CHOOSE(CONTROL!$C$32, $C$9, 100%, $E$9)</f>
        <v>3.7050999999999998</v>
      </c>
      <c r="N72" s="9">
        <f>3.7019 * CHOOSE(CONTROL!$C$32, $C$9, 100%, $E$9)</f>
        <v>3.7019000000000002</v>
      </c>
      <c r="O72" s="9">
        <f>3.7051 * CHOOSE(CONTROL!$C$32, $C$9, 100%, $E$9)</f>
        <v>3.7050999999999998</v>
      </c>
      <c r="P72" s="17"/>
      <c r="Q72" s="17"/>
      <c r="R72" s="17"/>
    </row>
    <row r="73" spans="1:18" ht="15" x14ac:dyDescent="0.2">
      <c r="A73" s="16">
        <v>42705</v>
      </c>
      <c r="B73" s="10">
        <f>2.5572 * CHOOSE(CONTROL!$C$32, $C$9, 100%, $E$9)</f>
        <v>2.5571999999999999</v>
      </c>
      <c r="C73" s="10">
        <f>2.5572 * CHOOSE(CONTROL!$C$32, $C$9, 100%, $E$9)</f>
        <v>2.5571999999999999</v>
      </c>
      <c r="D73" s="10">
        <f>2.5581 * CHOOSE(CONTROL!$C$32, $C$9, 100%, $E$9)</f>
        <v>2.5581</v>
      </c>
      <c r="E73" s="9">
        <f>3.7019 * CHOOSE(CONTROL!$C$32, $C$9, 100%, $E$9)</f>
        <v>3.7019000000000002</v>
      </c>
      <c r="F73" s="9">
        <f>3.6856 * CHOOSE(CONTROL!$C$32, $C$9, 100%, $E$9)</f>
        <v>3.6856</v>
      </c>
      <c r="G73" s="9">
        <f>3.6888 * CHOOSE(CONTROL!$C$32, $C$9, 100%, $E$9)</f>
        <v>3.6888000000000001</v>
      </c>
      <c r="H73" s="9">
        <f>4.1303 * CHOOSE(CONTROL!$C$32, $C$9, 100%, $E$9)</f>
        <v>4.1303000000000001</v>
      </c>
      <c r="I73" s="9">
        <f>4.1335 * CHOOSE(CONTROL!$C$32, $C$9, 100%, $E$9)</f>
        <v>4.1334999999999997</v>
      </c>
      <c r="J73" s="9">
        <f>4.1303 * CHOOSE(CONTROL!$C$32, $C$9, 100%, $E$9)</f>
        <v>4.1303000000000001</v>
      </c>
      <c r="K73" s="9">
        <f>4.1335 * CHOOSE(CONTROL!$C$32, $C$9, 100%, $E$9)</f>
        <v>4.1334999999999997</v>
      </c>
      <c r="L73" s="9">
        <f>3.7019 * CHOOSE(CONTROL!$C$32, $C$9, 100%, $E$9)</f>
        <v>3.7019000000000002</v>
      </c>
      <c r="M73" s="9">
        <f>3.7051 * CHOOSE(CONTROL!$C$32, $C$9, 100%, $E$9)</f>
        <v>3.7050999999999998</v>
      </c>
      <c r="N73" s="9">
        <f>3.7019 * CHOOSE(CONTROL!$C$32, $C$9, 100%, $E$9)</f>
        <v>3.7019000000000002</v>
      </c>
      <c r="O73" s="9">
        <f>3.7051 * CHOOSE(CONTROL!$C$32, $C$9, 100%, $E$9)</f>
        <v>3.7050999999999998</v>
      </c>
      <c r="P73" s="17"/>
      <c r="Q73" s="17"/>
      <c r="R73" s="17"/>
    </row>
    <row r="74" spans="1:18" ht="15" x14ac:dyDescent="0.2">
      <c r="A74" s="16">
        <v>42736</v>
      </c>
      <c r="B74" s="10">
        <f>2.6003 * CHOOSE(CONTROL!$C$32, $C$9, 100%, $E$9)</f>
        <v>2.6002999999999998</v>
      </c>
      <c r="C74" s="10">
        <f>2.6003 * CHOOSE(CONTROL!$C$32, $C$9, 100%, $E$9)</f>
        <v>2.6002999999999998</v>
      </c>
      <c r="D74" s="10">
        <f>2.6013 * CHOOSE(CONTROL!$C$32, $C$9, 100%, $E$9)</f>
        <v>2.6013000000000002</v>
      </c>
      <c r="E74" s="9">
        <f>3.7587 * CHOOSE(CONTROL!$C$32, $C$9, 100%, $E$9)</f>
        <v>3.7587000000000002</v>
      </c>
      <c r="F74" s="9">
        <f>3.7587 * CHOOSE(CONTROL!$C$32, $C$9, 100%, $E$9)</f>
        <v>3.7587000000000002</v>
      </c>
      <c r="G74" s="9">
        <f>3.7619 * CHOOSE(CONTROL!$C$32, $C$9, 100%, $E$9)</f>
        <v>3.7618999999999998</v>
      </c>
      <c r="H74" s="9">
        <f>4.1828 * CHOOSE(CONTROL!$C$32, $C$9, 100%, $E$9)</f>
        <v>4.1828000000000003</v>
      </c>
      <c r="I74" s="9">
        <f>4.186 * CHOOSE(CONTROL!$C$32, $C$9, 100%, $E$9)</f>
        <v>4.1859999999999999</v>
      </c>
      <c r="J74" s="9">
        <f>4.1828 * CHOOSE(CONTROL!$C$32, $C$9, 100%, $E$9)</f>
        <v>4.1828000000000003</v>
      </c>
      <c r="K74" s="9">
        <f>4.186 * CHOOSE(CONTROL!$C$32, $C$9, 100%, $E$9)</f>
        <v>4.1859999999999999</v>
      </c>
      <c r="L74" s="9">
        <f>3.7587 * CHOOSE(CONTROL!$C$32, $C$9, 100%, $E$9)</f>
        <v>3.7587000000000002</v>
      </c>
      <c r="M74" s="9">
        <f>3.7619 * CHOOSE(CONTROL!$C$32, $C$9, 100%, $E$9)</f>
        <v>3.7618999999999998</v>
      </c>
      <c r="N74" s="9">
        <f>3.7587 * CHOOSE(CONTROL!$C$32, $C$9, 100%, $E$9)</f>
        <v>3.7587000000000002</v>
      </c>
      <c r="O74" s="9">
        <f>3.7619 * CHOOSE(CONTROL!$C$32, $C$9, 100%, $E$9)</f>
        <v>3.7618999999999998</v>
      </c>
      <c r="P74" s="17"/>
      <c r="Q74" s="17"/>
      <c r="R74" s="17"/>
    </row>
    <row r="75" spans="1:18" ht="15" x14ac:dyDescent="0.2">
      <c r="A75" s="16">
        <v>42767</v>
      </c>
      <c r="B75" s="10">
        <f>2.6023 * CHOOSE(CONTROL!$C$32, $C$9, 100%, $E$9)</f>
        <v>2.6023000000000001</v>
      </c>
      <c r="C75" s="10">
        <f>2.6023 * CHOOSE(CONTROL!$C$32, $C$9, 100%, $E$9)</f>
        <v>2.6023000000000001</v>
      </c>
      <c r="D75" s="10">
        <f>2.6033 * CHOOSE(CONTROL!$C$32, $C$9, 100%, $E$9)</f>
        <v>2.6032999999999999</v>
      </c>
      <c r="E75" s="9">
        <f>3.7567 * CHOOSE(CONTROL!$C$32, $C$9, 100%, $E$9)</f>
        <v>3.7566999999999999</v>
      </c>
      <c r="F75" s="9">
        <f>3.7567 * CHOOSE(CONTROL!$C$32, $C$9, 100%, $E$9)</f>
        <v>3.7566999999999999</v>
      </c>
      <c r="G75" s="9">
        <f>3.7599 * CHOOSE(CONTROL!$C$32, $C$9, 100%, $E$9)</f>
        <v>3.7599</v>
      </c>
      <c r="H75" s="9">
        <f>4.1808 * CHOOSE(CONTROL!$C$32, $C$9, 100%, $E$9)</f>
        <v>4.1807999999999996</v>
      </c>
      <c r="I75" s="9">
        <f>4.184 * CHOOSE(CONTROL!$C$32, $C$9, 100%, $E$9)</f>
        <v>4.1840000000000002</v>
      </c>
      <c r="J75" s="9">
        <f>4.1808 * CHOOSE(CONTROL!$C$32, $C$9, 100%, $E$9)</f>
        <v>4.1807999999999996</v>
      </c>
      <c r="K75" s="9">
        <f>4.184 * CHOOSE(CONTROL!$C$32, $C$9, 100%, $E$9)</f>
        <v>4.1840000000000002</v>
      </c>
      <c r="L75" s="9">
        <f>3.7567 * CHOOSE(CONTROL!$C$32, $C$9, 100%, $E$9)</f>
        <v>3.7566999999999999</v>
      </c>
      <c r="M75" s="9">
        <f>3.7599 * CHOOSE(CONTROL!$C$32, $C$9, 100%, $E$9)</f>
        <v>3.7599</v>
      </c>
      <c r="N75" s="9">
        <f>3.7567 * CHOOSE(CONTROL!$C$32, $C$9, 100%, $E$9)</f>
        <v>3.7566999999999999</v>
      </c>
      <c r="O75" s="9">
        <f>3.7599 * CHOOSE(CONTROL!$C$32, $C$9, 100%, $E$9)</f>
        <v>3.7599</v>
      </c>
      <c r="P75" s="17"/>
      <c r="Q75" s="17"/>
      <c r="R75" s="17"/>
    </row>
    <row r="76" spans="1:18" ht="15" x14ac:dyDescent="0.2">
      <c r="A76" s="16">
        <v>42795</v>
      </c>
      <c r="B76" s="10">
        <f>2.5991 * CHOOSE(CONTROL!$C$32, $C$9, 100%, $E$9)</f>
        <v>2.5991</v>
      </c>
      <c r="C76" s="10">
        <f>2.5991 * CHOOSE(CONTROL!$C$32, $C$9, 100%, $E$9)</f>
        <v>2.5991</v>
      </c>
      <c r="D76" s="10">
        <f>2.6 * CHOOSE(CONTROL!$C$32, $C$9, 100%, $E$9)</f>
        <v>2.6</v>
      </c>
      <c r="E76" s="9">
        <f>3.7547 * CHOOSE(CONTROL!$C$32, $C$9, 100%, $E$9)</f>
        <v>3.7547000000000001</v>
      </c>
      <c r="F76" s="9">
        <f>3.7547 * CHOOSE(CONTROL!$C$32, $C$9, 100%, $E$9)</f>
        <v>3.7547000000000001</v>
      </c>
      <c r="G76" s="9">
        <f>3.7579 * CHOOSE(CONTROL!$C$32, $C$9, 100%, $E$9)</f>
        <v>3.7578999999999998</v>
      </c>
      <c r="H76" s="9">
        <f>4.1788 * CHOOSE(CONTROL!$C$32, $C$9, 100%, $E$9)</f>
        <v>4.1787999999999998</v>
      </c>
      <c r="I76" s="9">
        <f>4.182 * CHOOSE(CONTROL!$C$32, $C$9, 100%, $E$9)</f>
        <v>4.1820000000000004</v>
      </c>
      <c r="J76" s="9">
        <f>4.1788 * CHOOSE(CONTROL!$C$32, $C$9, 100%, $E$9)</f>
        <v>4.1787999999999998</v>
      </c>
      <c r="K76" s="9">
        <f>4.182 * CHOOSE(CONTROL!$C$32, $C$9, 100%, $E$9)</f>
        <v>4.1820000000000004</v>
      </c>
      <c r="L76" s="9">
        <f>3.7547 * CHOOSE(CONTROL!$C$32, $C$9, 100%, $E$9)</f>
        <v>3.7547000000000001</v>
      </c>
      <c r="M76" s="9">
        <f>3.7579 * CHOOSE(CONTROL!$C$32, $C$9, 100%, $E$9)</f>
        <v>3.7578999999999998</v>
      </c>
      <c r="N76" s="9">
        <f>3.7547 * CHOOSE(CONTROL!$C$32, $C$9, 100%, $E$9)</f>
        <v>3.7547000000000001</v>
      </c>
      <c r="O76" s="9">
        <f>3.7579 * CHOOSE(CONTROL!$C$32, $C$9, 100%, $E$9)</f>
        <v>3.7578999999999998</v>
      </c>
      <c r="P76" s="17"/>
      <c r="Q76" s="17"/>
      <c r="R76" s="17"/>
    </row>
    <row r="77" spans="1:18" ht="15" x14ac:dyDescent="0.2">
      <c r="A77" s="16">
        <v>42826</v>
      </c>
      <c r="B77" s="10">
        <f>2.593 * CHOOSE(CONTROL!$C$32, $C$9, 100%, $E$9)</f>
        <v>2.593</v>
      </c>
      <c r="C77" s="10">
        <f>2.593 * CHOOSE(CONTROL!$C$32, $C$9, 100%, $E$9)</f>
        <v>2.593</v>
      </c>
      <c r="D77" s="10">
        <f>2.5939 * CHOOSE(CONTROL!$C$32, $C$9, 100%, $E$9)</f>
        <v>2.5939000000000001</v>
      </c>
      <c r="E77" s="9">
        <f>3.7522 * CHOOSE(CONTROL!$C$32, $C$9, 100%, $E$9)</f>
        <v>3.7522000000000002</v>
      </c>
      <c r="F77" s="9">
        <f>3.7522 * CHOOSE(CONTROL!$C$32, $C$9, 100%, $E$9)</f>
        <v>3.7522000000000002</v>
      </c>
      <c r="G77" s="9">
        <f>3.7553 * CHOOSE(CONTROL!$C$32, $C$9, 100%, $E$9)</f>
        <v>3.7553000000000001</v>
      </c>
      <c r="H77" s="9">
        <f>4.1769 * CHOOSE(CONTROL!$C$32, $C$9, 100%, $E$9)</f>
        <v>4.1768999999999998</v>
      </c>
      <c r="I77" s="9">
        <f>4.18 * CHOOSE(CONTROL!$C$32, $C$9, 100%, $E$9)</f>
        <v>4.18</v>
      </c>
      <c r="J77" s="9">
        <f>4.1769 * CHOOSE(CONTROL!$C$32, $C$9, 100%, $E$9)</f>
        <v>4.1768999999999998</v>
      </c>
      <c r="K77" s="9">
        <f>4.18 * CHOOSE(CONTROL!$C$32, $C$9, 100%, $E$9)</f>
        <v>4.18</v>
      </c>
      <c r="L77" s="9">
        <f>3.7522 * CHOOSE(CONTROL!$C$32, $C$9, 100%, $E$9)</f>
        <v>3.7522000000000002</v>
      </c>
      <c r="M77" s="9">
        <f>3.7553 * CHOOSE(CONTROL!$C$32, $C$9, 100%, $E$9)</f>
        <v>3.7553000000000001</v>
      </c>
      <c r="N77" s="9">
        <f>3.7522 * CHOOSE(CONTROL!$C$32, $C$9, 100%, $E$9)</f>
        <v>3.7522000000000002</v>
      </c>
      <c r="O77" s="9">
        <f>3.7553 * CHOOSE(CONTROL!$C$32, $C$9, 100%, $E$9)</f>
        <v>3.7553000000000001</v>
      </c>
      <c r="P77" s="17"/>
      <c r="Q77" s="17"/>
      <c r="R77" s="17"/>
    </row>
    <row r="78" spans="1:18" ht="15" x14ac:dyDescent="0.2">
      <c r="A78" s="16">
        <v>42856</v>
      </c>
      <c r="B78" s="10">
        <f>2.5979 * CHOOSE(CONTROL!$C$32, $C$9, 100%, $E$9)</f>
        <v>2.5979000000000001</v>
      </c>
      <c r="C78" s="10">
        <f>2.5979 * CHOOSE(CONTROL!$C$32, $C$9, 100%, $E$9)</f>
        <v>2.5979000000000001</v>
      </c>
      <c r="D78" s="10">
        <f>2.5992 * CHOOSE(CONTROL!$C$32, $C$9, 100%, $E$9)</f>
        <v>2.5992000000000002</v>
      </c>
      <c r="E78" s="9">
        <f>3.7522 * CHOOSE(CONTROL!$C$32, $C$9, 100%, $E$9)</f>
        <v>3.7522000000000002</v>
      </c>
      <c r="F78" s="9">
        <f>3.7522 * CHOOSE(CONTROL!$C$32, $C$9, 100%, $E$9)</f>
        <v>3.7522000000000002</v>
      </c>
      <c r="G78" s="9">
        <f>3.7565 * CHOOSE(CONTROL!$C$32, $C$9, 100%, $E$9)</f>
        <v>3.7565</v>
      </c>
      <c r="H78" s="9">
        <f>4.1769 * CHOOSE(CONTROL!$C$32, $C$9, 100%, $E$9)</f>
        <v>4.1768999999999998</v>
      </c>
      <c r="I78" s="9">
        <f>4.1812 * CHOOSE(CONTROL!$C$32, $C$9, 100%, $E$9)</f>
        <v>4.1811999999999996</v>
      </c>
      <c r="J78" s="9">
        <f>4.1769 * CHOOSE(CONTROL!$C$32, $C$9, 100%, $E$9)</f>
        <v>4.1768999999999998</v>
      </c>
      <c r="K78" s="9">
        <f>4.1812 * CHOOSE(CONTROL!$C$32, $C$9, 100%, $E$9)</f>
        <v>4.1811999999999996</v>
      </c>
      <c r="L78" s="9">
        <f>3.7522 * CHOOSE(CONTROL!$C$32, $C$9, 100%, $E$9)</f>
        <v>3.7522000000000002</v>
      </c>
      <c r="M78" s="9">
        <f>3.7565 * CHOOSE(CONTROL!$C$32, $C$9, 100%, $E$9)</f>
        <v>3.7565</v>
      </c>
      <c r="N78" s="9">
        <f>3.7522 * CHOOSE(CONTROL!$C$32, $C$9, 100%, $E$9)</f>
        <v>3.7522000000000002</v>
      </c>
      <c r="O78" s="9">
        <f>3.7565 * CHOOSE(CONTROL!$C$32, $C$9, 100%, $E$9)</f>
        <v>3.7565</v>
      </c>
      <c r="P78" s="17"/>
      <c r="Q78" s="17"/>
      <c r="R78" s="17"/>
    </row>
    <row r="79" spans="1:18" ht="15" x14ac:dyDescent="0.2">
      <c r="A79" s="16">
        <v>42887</v>
      </c>
      <c r="B79" s="10">
        <f>2.6037 * CHOOSE(CONTROL!$C$32, $C$9, 100%, $E$9)</f>
        <v>2.6036999999999999</v>
      </c>
      <c r="C79" s="10">
        <f>2.6037 * CHOOSE(CONTROL!$C$32, $C$9, 100%, $E$9)</f>
        <v>2.6036999999999999</v>
      </c>
      <c r="D79" s="10">
        <f>2.605 * CHOOSE(CONTROL!$C$32, $C$9, 100%, $E$9)</f>
        <v>2.605</v>
      </c>
      <c r="E79" s="9">
        <f>3.7562 * CHOOSE(CONTROL!$C$32, $C$9, 100%, $E$9)</f>
        <v>3.7562000000000002</v>
      </c>
      <c r="F79" s="9">
        <f>3.7562 * CHOOSE(CONTROL!$C$32, $C$9, 100%, $E$9)</f>
        <v>3.7562000000000002</v>
      </c>
      <c r="G79" s="9">
        <f>3.7605 * CHOOSE(CONTROL!$C$32, $C$9, 100%, $E$9)</f>
        <v>3.7605</v>
      </c>
      <c r="H79" s="9">
        <f>4.1809 * CHOOSE(CONTROL!$C$32, $C$9, 100%, $E$9)</f>
        <v>4.1809000000000003</v>
      </c>
      <c r="I79" s="9">
        <f>4.1852 * CHOOSE(CONTROL!$C$32, $C$9, 100%, $E$9)</f>
        <v>4.1852</v>
      </c>
      <c r="J79" s="9">
        <f>4.1809 * CHOOSE(CONTROL!$C$32, $C$9, 100%, $E$9)</f>
        <v>4.1809000000000003</v>
      </c>
      <c r="K79" s="9">
        <f>4.1852 * CHOOSE(CONTROL!$C$32, $C$9, 100%, $E$9)</f>
        <v>4.1852</v>
      </c>
      <c r="L79" s="9">
        <f>3.7562 * CHOOSE(CONTROL!$C$32, $C$9, 100%, $E$9)</f>
        <v>3.7562000000000002</v>
      </c>
      <c r="M79" s="9">
        <f>3.7605 * CHOOSE(CONTROL!$C$32, $C$9, 100%, $E$9)</f>
        <v>3.7605</v>
      </c>
      <c r="N79" s="9">
        <f>3.7562 * CHOOSE(CONTROL!$C$32, $C$9, 100%, $E$9)</f>
        <v>3.7562000000000002</v>
      </c>
      <c r="O79" s="9">
        <f>3.7605 * CHOOSE(CONTROL!$C$32, $C$9, 100%, $E$9)</f>
        <v>3.7605</v>
      </c>
      <c r="P79" s="17"/>
      <c r="Q79" s="17"/>
      <c r="R79" s="17"/>
    </row>
    <row r="80" spans="1:18" ht="15" x14ac:dyDescent="0.2">
      <c r="A80" s="16">
        <v>42917</v>
      </c>
      <c r="B80" s="10">
        <f>2.6742 * CHOOSE(CONTROL!$C$32, $C$9, 100%, $E$9)</f>
        <v>2.6741999999999999</v>
      </c>
      <c r="C80" s="10">
        <f>2.6742 * CHOOSE(CONTROL!$C$32, $C$9, 100%, $E$9)</f>
        <v>2.6741999999999999</v>
      </c>
      <c r="D80" s="10">
        <f>2.6755 * CHOOSE(CONTROL!$C$32, $C$9, 100%, $E$9)</f>
        <v>2.6755</v>
      </c>
      <c r="E80" s="9">
        <f>3.8719 * CHOOSE(CONTROL!$C$32, $C$9, 100%, $E$9)</f>
        <v>3.8719000000000001</v>
      </c>
      <c r="F80" s="9">
        <f>3.8719 * CHOOSE(CONTROL!$C$32, $C$9, 100%, $E$9)</f>
        <v>3.8719000000000001</v>
      </c>
      <c r="G80" s="9">
        <f>3.8762 * CHOOSE(CONTROL!$C$32, $C$9, 100%, $E$9)</f>
        <v>3.8761999999999999</v>
      </c>
      <c r="H80" s="9">
        <f>4.2997 * CHOOSE(CONTROL!$C$32, $C$9, 100%, $E$9)</f>
        <v>4.2996999999999996</v>
      </c>
      <c r="I80" s="9">
        <f>4.3041 * CHOOSE(CONTROL!$C$32, $C$9, 100%, $E$9)</f>
        <v>4.3041</v>
      </c>
      <c r="J80" s="9">
        <f>4.2997 * CHOOSE(CONTROL!$C$32, $C$9, 100%, $E$9)</f>
        <v>4.2996999999999996</v>
      </c>
      <c r="K80" s="9">
        <f>4.3041 * CHOOSE(CONTROL!$C$32, $C$9, 100%, $E$9)</f>
        <v>4.3041</v>
      </c>
      <c r="L80" s="9">
        <f>3.8719 * CHOOSE(CONTROL!$C$32, $C$9, 100%, $E$9)</f>
        <v>3.8719000000000001</v>
      </c>
      <c r="M80" s="9">
        <f>3.8762 * CHOOSE(CONTROL!$C$32, $C$9, 100%, $E$9)</f>
        <v>3.8761999999999999</v>
      </c>
      <c r="N80" s="9">
        <f>3.8719 * CHOOSE(CONTROL!$C$32, $C$9, 100%, $E$9)</f>
        <v>3.8719000000000001</v>
      </c>
      <c r="O80" s="9">
        <f>3.8762 * CHOOSE(CONTROL!$C$32, $C$9, 100%, $E$9)</f>
        <v>3.8761999999999999</v>
      </c>
      <c r="P80" s="17"/>
      <c r="Q80" s="17"/>
      <c r="R80" s="17"/>
    </row>
    <row r="81" spans="1:18" ht="15" x14ac:dyDescent="0.2">
      <c r="A81" s="16">
        <v>42948</v>
      </c>
      <c r="B81" s="10">
        <f>2.6858 * CHOOSE(CONTROL!$C$32, $C$9, 100%, $E$9)</f>
        <v>2.6858</v>
      </c>
      <c r="C81" s="10">
        <f>2.6858 * CHOOSE(CONTROL!$C$32, $C$9, 100%, $E$9)</f>
        <v>2.6858</v>
      </c>
      <c r="D81" s="10">
        <f>2.6871 * CHOOSE(CONTROL!$C$32, $C$9, 100%, $E$9)</f>
        <v>2.6871</v>
      </c>
      <c r="E81" s="9">
        <f>3.8763 * CHOOSE(CONTROL!$C$32, $C$9, 100%, $E$9)</f>
        <v>3.8763000000000001</v>
      </c>
      <c r="F81" s="9">
        <f>3.8763 * CHOOSE(CONTROL!$C$32, $C$9, 100%, $E$9)</f>
        <v>3.8763000000000001</v>
      </c>
      <c r="G81" s="9">
        <f>3.8806 * CHOOSE(CONTROL!$C$32, $C$9, 100%, $E$9)</f>
        <v>3.8805999999999998</v>
      </c>
      <c r="H81" s="9">
        <f>4.3041 * CHOOSE(CONTROL!$C$32, $C$9, 100%, $E$9)</f>
        <v>4.3041</v>
      </c>
      <c r="I81" s="9">
        <f>4.3085 * CHOOSE(CONTROL!$C$32, $C$9, 100%, $E$9)</f>
        <v>4.3085000000000004</v>
      </c>
      <c r="J81" s="9">
        <f>4.3041 * CHOOSE(CONTROL!$C$32, $C$9, 100%, $E$9)</f>
        <v>4.3041</v>
      </c>
      <c r="K81" s="9">
        <f>4.3085 * CHOOSE(CONTROL!$C$32, $C$9, 100%, $E$9)</f>
        <v>4.3085000000000004</v>
      </c>
      <c r="L81" s="9">
        <f>3.8763 * CHOOSE(CONTROL!$C$32, $C$9, 100%, $E$9)</f>
        <v>3.8763000000000001</v>
      </c>
      <c r="M81" s="9">
        <f>3.8806 * CHOOSE(CONTROL!$C$32, $C$9, 100%, $E$9)</f>
        <v>3.8805999999999998</v>
      </c>
      <c r="N81" s="9">
        <f>3.8763 * CHOOSE(CONTROL!$C$32, $C$9, 100%, $E$9)</f>
        <v>3.8763000000000001</v>
      </c>
      <c r="O81" s="9">
        <f>3.8806 * CHOOSE(CONTROL!$C$32, $C$9, 100%, $E$9)</f>
        <v>3.8805999999999998</v>
      </c>
      <c r="P81" s="17"/>
      <c r="Q81" s="17"/>
      <c r="R81" s="17"/>
    </row>
    <row r="82" spans="1:18" ht="15" x14ac:dyDescent="0.2">
      <c r="A82" s="16">
        <v>42979</v>
      </c>
      <c r="B82" s="10">
        <f>2.6825 * CHOOSE(CONTROL!$C$32, $C$9, 100%, $E$9)</f>
        <v>2.6825000000000001</v>
      </c>
      <c r="C82" s="10">
        <f>2.6825 * CHOOSE(CONTROL!$C$32, $C$9, 100%, $E$9)</f>
        <v>2.6825000000000001</v>
      </c>
      <c r="D82" s="10">
        <f>2.6838 * CHOOSE(CONTROL!$C$32, $C$9, 100%, $E$9)</f>
        <v>2.6838000000000002</v>
      </c>
      <c r="E82" s="9">
        <f>3.8743 * CHOOSE(CONTROL!$C$32, $C$9, 100%, $E$9)</f>
        <v>3.8742999999999999</v>
      </c>
      <c r="F82" s="9">
        <f>3.8743 * CHOOSE(CONTROL!$C$32, $C$9, 100%, $E$9)</f>
        <v>3.8742999999999999</v>
      </c>
      <c r="G82" s="9">
        <f>3.8786 * CHOOSE(CONTROL!$C$32, $C$9, 100%, $E$9)</f>
        <v>3.8786</v>
      </c>
      <c r="H82" s="9">
        <f>4.3021 * CHOOSE(CONTROL!$C$32, $C$9, 100%, $E$9)</f>
        <v>4.3021000000000003</v>
      </c>
      <c r="I82" s="9">
        <f>4.3065 * CHOOSE(CONTROL!$C$32, $C$9, 100%, $E$9)</f>
        <v>4.3064999999999998</v>
      </c>
      <c r="J82" s="9">
        <f>4.3021 * CHOOSE(CONTROL!$C$32, $C$9, 100%, $E$9)</f>
        <v>4.3021000000000003</v>
      </c>
      <c r="K82" s="9">
        <f>4.3065 * CHOOSE(CONTROL!$C$32, $C$9, 100%, $E$9)</f>
        <v>4.3064999999999998</v>
      </c>
      <c r="L82" s="9">
        <f>3.8743 * CHOOSE(CONTROL!$C$32, $C$9, 100%, $E$9)</f>
        <v>3.8742999999999999</v>
      </c>
      <c r="M82" s="9">
        <f>3.8786 * CHOOSE(CONTROL!$C$32, $C$9, 100%, $E$9)</f>
        <v>3.8786</v>
      </c>
      <c r="N82" s="9">
        <f>3.8743 * CHOOSE(CONTROL!$C$32, $C$9, 100%, $E$9)</f>
        <v>3.8742999999999999</v>
      </c>
      <c r="O82" s="9">
        <f>3.8786 * CHOOSE(CONTROL!$C$32, $C$9, 100%, $E$9)</f>
        <v>3.8786</v>
      </c>
      <c r="P82" s="17"/>
      <c r="Q82" s="17"/>
      <c r="R82" s="17"/>
    </row>
    <row r="83" spans="1:18" ht="15" x14ac:dyDescent="0.2">
      <c r="A83" s="16">
        <v>43009</v>
      </c>
      <c r="B83" s="10">
        <f>2.6632 * CHOOSE(CONTROL!$C$32, $C$9, 100%, $E$9)</f>
        <v>2.6631999999999998</v>
      </c>
      <c r="C83" s="10">
        <f>2.6632 * CHOOSE(CONTROL!$C$32, $C$9, 100%, $E$9)</f>
        <v>2.6631999999999998</v>
      </c>
      <c r="D83" s="10">
        <f>2.6642 * CHOOSE(CONTROL!$C$32, $C$9, 100%, $E$9)</f>
        <v>2.6642000000000001</v>
      </c>
      <c r="E83" s="9">
        <f>3.8673 * CHOOSE(CONTROL!$C$32, $C$9, 100%, $E$9)</f>
        <v>3.8673000000000002</v>
      </c>
      <c r="F83" s="9">
        <f>3.8673 * CHOOSE(CONTROL!$C$32, $C$9, 100%, $E$9)</f>
        <v>3.8673000000000002</v>
      </c>
      <c r="G83" s="9">
        <f>3.8705 * CHOOSE(CONTROL!$C$32, $C$9, 100%, $E$9)</f>
        <v>3.8704999999999998</v>
      </c>
      <c r="H83" s="9">
        <f>4.2973 * CHOOSE(CONTROL!$C$32, $C$9, 100%, $E$9)</f>
        <v>4.2972999999999999</v>
      </c>
      <c r="I83" s="9">
        <f>4.3005 * CHOOSE(CONTROL!$C$32, $C$9, 100%, $E$9)</f>
        <v>4.3005000000000004</v>
      </c>
      <c r="J83" s="9">
        <f>4.2973 * CHOOSE(CONTROL!$C$32, $C$9, 100%, $E$9)</f>
        <v>4.2972999999999999</v>
      </c>
      <c r="K83" s="9">
        <f>4.3005 * CHOOSE(CONTROL!$C$32, $C$9, 100%, $E$9)</f>
        <v>4.3005000000000004</v>
      </c>
      <c r="L83" s="9">
        <f>3.8673 * CHOOSE(CONTROL!$C$32, $C$9, 100%, $E$9)</f>
        <v>3.8673000000000002</v>
      </c>
      <c r="M83" s="9">
        <f>3.8705 * CHOOSE(CONTROL!$C$32, $C$9, 100%, $E$9)</f>
        <v>3.8704999999999998</v>
      </c>
      <c r="N83" s="9">
        <f>3.8673 * CHOOSE(CONTROL!$C$32, $C$9, 100%, $E$9)</f>
        <v>3.8673000000000002</v>
      </c>
      <c r="O83" s="9">
        <f>3.8705 * CHOOSE(CONTROL!$C$32, $C$9, 100%, $E$9)</f>
        <v>3.8704999999999998</v>
      </c>
      <c r="P83" s="17"/>
      <c r="Q83" s="17"/>
      <c r="R83" s="17"/>
    </row>
    <row r="84" spans="1:18" ht="15" x14ac:dyDescent="0.2">
      <c r="A84" s="16">
        <v>43040</v>
      </c>
      <c r="B84" s="10">
        <f>2.6712 * CHOOSE(CONTROL!$C$32, $C$9, 100%, $E$9)</f>
        <v>2.6711999999999998</v>
      </c>
      <c r="C84" s="10">
        <f>2.6712 * CHOOSE(CONTROL!$C$32, $C$9, 100%, $E$9)</f>
        <v>2.6711999999999998</v>
      </c>
      <c r="D84" s="10">
        <f>2.6722 * CHOOSE(CONTROL!$C$32, $C$9, 100%, $E$9)</f>
        <v>2.6722000000000001</v>
      </c>
      <c r="E84" s="9">
        <f>3.8693 * CHOOSE(CONTROL!$C$32, $C$9, 100%, $E$9)</f>
        <v>3.8693</v>
      </c>
      <c r="F84" s="9">
        <f>3.8693 * CHOOSE(CONTROL!$C$32, $C$9, 100%, $E$9)</f>
        <v>3.8693</v>
      </c>
      <c r="G84" s="9">
        <f>3.8725 * CHOOSE(CONTROL!$C$32, $C$9, 100%, $E$9)</f>
        <v>3.8725000000000001</v>
      </c>
      <c r="H84" s="9">
        <f>4.2993 * CHOOSE(CONTROL!$C$32, $C$9, 100%, $E$9)</f>
        <v>4.2992999999999997</v>
      </c>
      <c r="I84" s="9">
        <f>4.3025 * CHOOSE(CONTROL!$C$32, $C$9, 100%, $E$9)</f>
        <v>4.3025000000000002</v>
      </c>
      <c r="J84" s="9">
        <f>4.2993 * CHOOSE(CONTROL!$C$32, $C$9, 100%, $E$9)</f>
        <v>4.2992999999999997</v>
      </c>
      <c r="K84" s="9">
        <f>4.3025 * CHOOSE(CONTROL!$C$32, $C$9, 100%, $E$9)</f>
        <v>4.3025000000000002</v>
      </c>
      <c r="L84" s="9">
        <f>3.8693 * CHOOSE(CONTROL!$C$32, $C$9, 100%, $E$9)</f>
        <v>3.8693</v>
      </c>
      <c r="M84" s="9">
        <f>3.8725 * CHOOSE(CONTROL!$C$32, $C$9, 100%, $E$9)</f>
        <v>3.8725000000000001</v>
      </c>
      <c r="N84" s="9">
        <f>3.8693 * CHOOSE(CONTROL!$C$32, $C$9, 100%, $E$9)</f>
        <v>3.8693</v>
      </c>
      <c r="O84" s="9">
        <f>3.8725 * CHOOSE(CONTROL!$C$32, $C$9, 100%, $E$9)</f>
        <v>3.8725000000000001</v>
      </c>
      <c r="P84" s="17"/>
      <c r="Q84" s="17"/>
      <c r="R84" s="17"/>
    </row>
    <row r="85" spans="1:18" ht="15" x14ac:dyDescent="0.2">
      <c r="A85" s="16">
        <v>43070</v>
      </c>
      <c r="B85" s="10">
        <f>2.6709 * CHOOSE(CONTROL!$C$32, $C$9, 100%, $E$9)</f>
        <v>2.6709000000000001</v>
      </c>
      <c r="C85" s="10">
        <f>2.6709 * CHOOSE(CONTROL!$C$32, $C$9, 100%, $E$9)</f>
        <v>2.6709000000000001</v>
      </c>
      <c r="D85" s="10">
        <f>2.6719 * CHOOSE(CONTROL!$C$32, $C$9, 100%, $E$9)</f>
        <v>2.6718999999999999</v>
      </c>
      <c r="E85" s="9">
        <f>3.8693 * CHOOSE(CONTROL!$C$32, $C$9, 100%, $E$9)</f>
        <v>3.8693</v>
      </c>
      <c r="F85" s="9">
        <f>3.8693 * CHOOSE(CONTROL!$C$32, $C$9, 100%, $E$9)</f>
        <v>3.8693</v>
      </c>
      <c r="G85" s="9">
        <f>3.8725 * CHOOSE(CONTROL!$C$32, $C$9, 100%, $E$9)</f>
        <v>3.8725000000000001</v>
      </c>
      <c r="H85" s="9">
        <f>4.2993 * CHOOSE(CONTROL!$C$32, $C$9, 100%, $E$9)</f>
        <v>4.2992999999999997</v>
      </c>
      <c r="I85" s="9">
        <f>4.3025 * CHOOSE(CONTROL!$C$32, $C$9, 100%, $E$9)</f>
        <v>4.3025000000000002</v>
      </c>
      <c r="J85" s="9">
        <f>4.2993 * CHOOSE(CONTROL!$C$32, $C$9, 100%, $E$9)</f>
        <v>4.2992999999999997</v>
      </c>
      <c r="K85" s="9">
        <f>4.3025 * CHOOSE(CONTROL!$C$32, $C$9, 100%, $E$9)</f>
        <v>4.3025000000000002</v>
      </c>
      <c r="L85" s="9">
        <f>3.8693 * CHOOSE(CONTROL!$C$32, $C$9, 100%, $E$9)</f>
        <v>3.8693</v>
      </c>
      <c r="M85" s="9">
        <f>3.8725 * CHOOSE(CONTROL!$C$32, $C$9, 100%, $E$9)</f>
        <v>3.8725000000000001</v>
      </c>
      <c r="N85" s="9">
        <f>3.8693 * CHOOSE(CONTROL!$C$32, $C$9, 100%, $E$9)</f>
        <v>3.8693</v>
      </c>
      <c r="O85" s="9">
        <f>3.8725 * CHOOSE(CONTROL!$C$32, $C$9, 100%, $E$9)</f>
        <v>3.8725000000000001</v>
      </c>
      <c r="P85" s="17"/>
      <c r="Q85" s="17"/>
      <c r="R85" s="17"/>
    </row>
    <row r="86" spans="1:18" ht="15" x14ac:dyDescent="0.2">
      <c r="A86" s="16">
        <v>43101</v>
      </c>
      <c r="B86" s="10">
        <f>2.6913 * CHOOSE(CONTROL!$C$32, $C$9, 100%, $E$9)</f>
        <v>2.6913</v>
      </c>
      <c r="C86" s="10">
        <f>2.6913 * CHOOSE(CONTROL!$C$32, $C$9, 100%, $E$9)</f>
        <v>2.6913</v>
      </c>
      <c r="D86" s="10">
        <f>2.6922 * CHOOSE(CONTROL!$C$32, $C$9, 100%, $E$9)</f>
        <v>2.6922000000000001</v>
      </c>
      <c r="E86" s="9">
        <f>3.8998 * CHOOSE(CONTROL!$C$32, $C$9, 100%, $E$9)</f>
        <v>3.8997999999999999</v>
      </c>
      <c r="F86" s="9">
        <f>3.8998 * CHOOSE(CONTROL!$C$32, $C$9, 100%, $E$9)</f>
        <v>3.8997999999999999</v>
      </c>
      <c r="G86" s="9">
        <f>3.903 * CHOOSE(CONTROL!$C$32, $C$9, 100%, $E$9)</f>
        <v>3.903</v>
      </c>
      <c r="H86" s="9">
        <f>4.3339 * CHOOSE(CONTROL!$C$32, $C$9, 100%, $E$9)</f>
        <v>4.3338999999999999</v>
      </c>
      <c r="I86" s="9">
        <f>4.3371 * CHOOSE(CONTROL!$C$32, $C$9, 100%, $E$9)</f>
        <v>4.3371000000000004</v>
      </c>
      <c r="J86" s="9">
        <f>4.3339 * CHOOSE(CONTROL!$C$32, $C$9, 100%, $E$9)</f>
        <v>4.3338999999999999</v>
      </c>
      <c r="K86" s="9">
        <f>4.3371 * CHOOSE(CONTROL!$C$32, $C$9, 100%, $E$9)</f>
        <v>4.3371000000000004</v>
      </c>
      <c r="L86" s="9">
        <f>3.8998 * CHOOSE(CONTROL!$C$32, $C$9, 100%, $E$9)</f>
        <v>3.8997999999999999</v>
      </c>
      <c r="M86" s="9">
        <f>3.903 * CHOOSE(CONTROL!$C$32, $C$9, 100%, $E$9)</f>
        <v>3.903</v>
      </c>
      <c r="N86" s="9">
        <f>3.8998 * CHOOSE(CONTROL!$C$32, $C$9, 100%, $E$9)</f>
        <v>3.8997999999999999</v>
      </c>
      <c r="O86" s="9">
        <f>3.903 * CHOOSE(CONTROL!$C$32, $C$9, 100%, $E$9)</f>
        <v>3.903</v>
      </c>
      <c r="P86" s="17"/>
      <c r="Q86" s="17"/>
      <c r="R86" s="17"/>
    </row>
    <row r="87" spans="1:18" ht="15" x14ac:dyDescent="0.2">
      <c r="A87" s="16">
        <v>43132</v>
      </c>
      <c r="B87" s="10">
        <f>2.6934 * CHOOSE(CONTROL!$C$32, $C$9, 100%, $E$9)</f>
        <v>2.6934</v>
      </c>
      <c r="C87" s="10">
        <f>2.6934 * CHOOSE(CONTROL!$C$32, $C$9, 100%, $E$9)</f>
        <v>2.6934</v>
      </c>
      <c r="D87" s="10">
        <f>2.6943 * CHOOSE(CONTROL!$C$32, $C$9, 100%, $E$9)</f>
        <v>2.6943000000000001</v>
      </c>
      <c r="E87" s="9">
        <f>3.8978 * CHOOSE(CONTROL!$C$32, $C$9, 100%, $E$9)</f>
        <v>3.8978000000000002</v>
      </c>
      <c r="F87" s="9">
        <f>3.8978 * CHOOSE(CONTROL!$C$32, $C$9, 100%, $E$9)</f>
        <v>3.8978000000000002</v>
      </c>
      <c r="G87" s="9">
        <f>3.901 * CHOOSE(CONTROL!$C$32, $C$9, 100%, $E$9)</f>
        <v>3.9009999999999998</v>
      </c>
      <c r="H87" s="9">
        <f>4.3319 * CHOOSE(CONTROL!$C$32, $C$9, 100%, $E$9)</f>
        <v>4.3319000000000001</v>
      </c>
      <c r="I87" s="9">
        <f>4.3351 * CHOOSE(CONTROL!$C$32, $C$9, 100%, $E$9)</f>
        <v>4.3350999999999997</v>
      </c>
      <c r="J87" s="9">
        <f>4.3319 * CHOOSE(CONTROL!$C$32, $C$9, 100%, $E$9)</f>
        <v>4.3319000000000001</v>
      </c>
      <c r="K87" s="9">
        <f>4.3351 * CHOOSE(CONTROL!$C$32, $C$9, 100%, $E$9)</f>
        <v>4.3350999999999997</v>
      </c>
      <c r="L87" s="9">
        <f>3.8978 * CHOOSE(CONTROL!$C$32, $C$9, 100%, $E$9)</f>
        <v>3.8978000000000002</v>
      </c>
      <c r="M87" s="9">
        <f>3.901 * CHOOSE(CONTROL!$C$32, $C$9, 100%, $E$9)</f>
        <v>3.9009999999999998</v>
      </c>
      <c r="N87" s="9">
        <f>3.8978 * CHOOSE(CONTROL!$C$32, $C$9, 100%, $E$9)</f>
        <v>3.8978000000000002</v>
      </c>
      <c r="O87" s="9">
        <f>3.901 * CHOOSE(CONTROL!$C$32, $C$9, 100%, $E$9)</f>
        <v>3.9009999999999998</v>
      </c>
      <c r="P87" s="17"/>
      <c r="Q87" s="17"/>
      <c r="R87" s="17"/>
    </row>
    <row r="88" spans="1:18" ht="15" x14ac:dyDescent="0.2">
      <c r="A88" s="16">
        <v>43160</v>
      </c>
      <c r="B88" s="10">
        <f>2.6901 * CHOOSE(CONTROL!$C$32, $C$9, 100%, $E$9)</f>
        <v>2.6901000000000002</v>
      </c>
      <c r="C88" s="10">
        <f>2.6901 * CHOOSE(CONTROL!$C$32, $C$9, 100%, $E$9)</f>
        <v>2.6901000000000002</v>
      </c>
      <c r="D88" s="10">
        <f>2.6911 * CHOOSE(CONTROL!$C$32, $C$9, 100%, $E$9)</f>
        <v>2.6911</v>
      </c>
      <c r="E88" s="9">
        <f>3.8958 * CHOOSE(CONTROL!$C$32, $C$9, 100%, $E$9)</f>
        <v>3.8957999999999999</v>
      </c>
      <c r="F88" s="9">
        <f>3.8958 * CHOOSE(CONTROL!$C$32, $C$9, 100%, $E$9)</f>
        <v>3.8957999999999999</v>
      </c>
      <c r="G88" s="9">
        <f>3.899 * CHOOSE(CONTROL!$C$32, $C$9, 100%, $E$9)</f>
        <v>3.899</v>
      </c>
      <c r="H88" s="9">
        <f>4.3299 * CHOOSE(CONTROL!$C$32, $C$9, 100%, $E$9)</f>
        <v>4.3299000000000003</v>
      </c>
      <c r="I88" s="9">
        <f>4.3331 * CHOOSE(CONTROL!$C$32, $C$9, 100%, $E$9)</f>
        <v>4.3331</v>
      </c>
      <c r="J88" s="9">
        <f>4.3299 * CHOOSE(CONTROL!$C$32, $C$9, 100%, $E$9)</f>
        <v>4.3299000000000003</v>
      </c>
      <c r="K88" s="9">
        <f>4.3331 * CHOOSE(CONTROL!$C$32, $C$9, 100%, $E$9)</f>
        <v>4.3331</v>
      </c>
      <c r="L88" s="9">
        <f>3.8958 * CHOOSE(CONTROL!$C$32, $C$9, 100%, $E$9)</f>
        <v>3.8957999999999999</v>
      </c>
      <c r="M88" s="9">
        <f>3.899 * CHOOSE(CONTROL!$C$32, $C$9, 100%, $E$9)</f>
        <v>3.899</v>
      </c>
      <c r="N88" s="9">
        <f>3.8958 * CHOOSE(CONTROL!$C$32, $C$9, 100%, $E$9)</f>
        <v>3.8957999999999999</v>
      </c>
      <c r="O88" s="9">
        <f>3.899 * CHOOSE(CONTROL!$C$32, $C$9, 100%, $E$9)</f>
        <v>3.899</v>
      </c>
      <c r="P88" s="17"/>
      <c r="Q88" s="17"/>
      <c r="R88" s="17"/>
    </row>
    <row r="89" spans="1:18" ht="15" x14ac:dyDescent="0.2">
      <c r="A89" s="16">
        <v>43191</v>
      </c>
      <c r="B89" s="10">
        <f>2.684 * CHOOSE(CONTROL!$C$32, $C$9, 100%, $E$9)</f>
        <v>2.6840000000000002</v>
      </c>
      <c r="C89" s="10">
        <f>2.684 * CHOOSE(CONTROL!$C$32, $C$9, 100%, $E$9)</f>
        <v>2.6840000000000002</v>
      </c>
      <c r="D89" s="10">
        <f>2.685 * CHOOSE(CONTROL!$C$32, $C$9, 100%, $E$9)</f>
        <v>2.6850000000000001</v>
      </c>
      <c r="E89" s="9">
        <f>3.8933 * CHOOSE(CONTROL!$C$32, $C$9, 100%, $E$9)</f>
        <v>3.8933</v>
      </c>
      <c r="F89" s="9">
        <f>3.8933 * CHOOSE(CONTROL!$C$32, $C$9, 100%, $E$9)</f>
        <v>3.8933</v>
      </c>
      <c r="G89" s="9">
        <f>3.8965 * CHOOSE(CONTROL!$C$32, $C$9, 100%, $E$9)</f>
        <v>3.8965000000000001</v>
      </c>
      <c r="H89" s="9">
        <f>4.3279 * CHOOSE(CONTROL!$C$32, $C$9, 100%, $E$9)</f>
        <v>4.3278999999999996</v>
      </c>
      <c r="I89" s="9">
        <f>4.3311 * CHOOSE(CONTROL!$C$32, $C$9, 100%, $E$9)</f>
        <v>4.3311000000000002</v>
      </c>
      <c r="J89" s="9">
        <f>4.3279 * CHOOSE(CONTROL!$C$32, $C$9, 100%, $E$9)</f>
        <v>4.3278999999999996</v>
      </c>
      <c r="K89" s="9">
        <f>4.3311 * CHOOSE(CONTROL!$C$32, $C$9, 100%, $E$9)</f>
        <v>4.3311000000000002</v>
      </c>
      <c r="L89" s="9">
        <f>3.8933 * CHOOSE(CONTROL!$C$32, $C$9, 100%, $E$9)</f>
        <v>3.8933</v>
      </c>
      <c r="M89" s="9">
        <f>3.8965 * CHOOSE(CONTROL!$C$32, $C$9, 100%, $E$9)</f>
        <v>3.8965000000000001</v>
      </c>
      <c r="N89" s="9">
        <f>3.8933 * CHOOSE(CONTROL!$C$32, $C$9, 100%, $E$9)</f>
        <v>3.8933</v>
      </c>
      <c r="O89" s="9">
        <f>3.8965 * CHOOSE(CONTROL!$C$32, $C$9, 100%, $E$9)</f>
        <v>3.8965000000000001</v>
      </c>
      <c r="P89" s="17"/>
      <c r="Q89" s="17"/>
      <c r="R89" s="17"/>
    </row>
    <row r="90" spans="1:18" ht="15" x14ac:dyDescent="0.2">
      <c r="A90" s="16">
        <v>43221</v>
      </c>
      <c r="B90" s="10">
        <f>2.689 * CHOOSE(CONTROL!$C$32, $C$9, 100%, $E$9)</f>
        <v>2.6890000000000001</v>
      </c>
      <c r="C90" s="10">
        <f>2.689 * CHOOSE(CONTROL!$C$32, $C$9, 100%, $E$9)</f>
        <v>2.6890000000000001</v>
      </c>
      <c r="D90" s="10">
        <f>2.6903 * CHOOSE(CONTROL!$C$32, $C$9, 100%, $E$9)</f>
        <v>2.6903000000000001</v>
      </c>
      <c r="E90" s="9">
        <f>3.8933 * CHOOSE(CONTROL!$C$32, $C$9, 100%, $E$9)</f>
        <v>3.8933</v>
      </c>
      <c r="F90" s="9">
        <f>3.8933 * CHOOSE(CONTROL!$C$32, $C$9, 100%, $E$9)</f>
        <v>3.8933</v>
      </c>
      <c r="G90" s="9">
        <f>3.8977 * CHOOSE(CONTROL!$C$32, $C$9, 100%, $E$9)</f>
        <v>3.8976999999999999</v>
      </c>
      <c r="H90" s="9">
        <f>4.3279 * CHOOSE(CONTROL!$C$32, $C$9, 100%, $E$9)</f>
        <v>4.3278999999999996</v>
      </c>
      <c r="I90" s="9">
        <f>4.3323 * CHOOSE(CONTROL!$C$32, $C$9, 100%, $E$9)</f>
        <v>4.3323</v>
      </c>
      <c r="J90" s="9">
        <f>4.3279 * CHOOSE(CONTROL!$C$32, $C$9, 100%, $E$9)</f>
        <v>4.3278999999999996</v>
      </c>
      <c r="K90" s="9">
        <f>4.3323 * CHOOSE(CONTROL!$C$32, $C$9, 100%, $E$9)</f>
        <v>4.3323</v>
      </c>
      <c r="L90" s="9">
        <f>3.8933 * CHOOSE(CONTROL!$C$32, $C$9, 100%, $E$9)</f>
        <v>3.8933</v>
      </c>
      <c r="M90" s="9">
        <f>3.8977 * CHOOSE(CONTROL!$C$32, $C$9, 100%, $E$9)</f>
        <v>3.8976999999999999</v>
      </c>
      <c r="N90" s="9">
        <f>3.8933 * CHOOSE(CONTROL!$C$32, $C$9, 100%, $E$9)</f>
        <v>3.8933</v>
      </c>
      <c r="O90" s="9">
        <f>3.8977 * CHOOSE(CONTROL!$C$32, $C$9, 100%, $E$9)</f>
        <v>3.8976999999999999</v>
      </c>
      <c r="P90" s="17"/>
      <c r="Q90" s="17"/>
      <c r="R90" s="17"/>
    </row>
    <row r="91" spans="1:18" ht="15" x14ac:dyDescent="0.2">
      <c r="A91" s="16">
        <v>43252</v>
      </c>
      <c r="B91" s="10">
        <f>2.6949 * CHOOSE(CONTROL!$C$32, $C$9, 100%, $E$9)</f>
        <v>2.6949000000000001</v>
      </c>
      <c r="C91" s="10">
        <f>2.6949 * CHOOSE(CONTROL!$C$32, $C$9, 100%, $E$9)</f>
        <v>2.6949000000000001</v>
      </c>
      <c r="D91" s="10">
        <f>2.6962 * CHOOSE(CONTROL!$C$32, $C$9, 100%, $E$9)</f>
        <v>2.6962000000000002</v>
      </c>
      <c r="E91" s="9">
        <f>3.8973 * CHOOSE(CONTROL!$C$32, $C$9, 100%, $E$9)</f>
        <v>3.8973</v>
      </c>
      <c r="F91" s="9">
        <f>3.8973 * CHOOSE(CONTROL!$C$32, $C$9, 100%, $E$9)</f>
        <v>3.8973</v>
      </c>
      <c r="G91" s="9">
        <f>3.9017 * CHOOSE(CONTROL!$C$32, $C$9, 100%, $E$9)</f>
        <v>3.9016999999999999</v>
      </c>
      <c r="H91" s="9">
        <f>4.3319 * CHOOSE(CONTROL!$C$32, $C$9, 100%, $E$9)</f>
        <v>4.3319000000000001</v>
      </c>
      <c r="I91" s="9">
        <f>4.3363 * CHOOSE(CONTROL!$C$32, $C$9, 100%, $E$9)</f>
        <v>4.3362999999999996</v>
      </c>
      <c r="J91" s="9">
        <f>4.3319 * CHOOSE(CONTROL!$C$32, $C$9, 100%, $E$9)</f>
        <v>4.3319000000000001</v>
      </c>
      <c r="K91" s="9">
        <f>4.3363 * CHOOSE(CONTROL!$C$32, $C$9, 100%, $E$9)</f>
        <v>4.3362999999999996</v>
      </c>
      <c r="L91" s="9">
        <f>3.8973 * CHOOSE(CONTROL!$C$32, $C$9, 100%, $E$9)</f>
        <v>3.8973</v>
      </c>
      <c r="M91" s="9">
        <f>3.9017 * CHOOSE(CONTROL!$C$32, $C$9, 100%, $E$9)</f>
        <v>3.9016999999999999</v>
      </c>
      <c r="N91" s="9">
        <f>3.8973 * CHOOSE(CONTROL!$C$32, $C$9, 100%, $E$9)</f>
        <v>3.8973</v>
      </c>
      <c r="O91" s="9">
        <f>3.9017 * CHOOSE(CONTROL!$C$32, $C$9, 100%, $E$9)</f>
        <v>3.9016999999999999</v>
      </c>
      <c r="P91" s="17"/>
      <c r="Q91" s="17"/>
      <c r="R91" s="17"/>
    </row>
    <row r="92" spans="1:18" ht="15" x14ac:dyDescent="0.2">
      <c r="A92" s="16">
        <v>43282</v>
      </c>
      <c r="B92" s="10">
        <f>2.7088 * CHOOSE(CONTROL!$C$32, $C$9, 100%, $E$9)</f>
        <v>2.7088000000000001</v>
      </c>
      <c r="C92" s="10">
        <f>2.7088 * CHOOSE(CONTROL!$C$32, $C$9, 100%, $E$9)</f>
        <v>2.7088000000000001</v>
      </c>
      <c r="D92" s="10">
        <f>2.7101 * CHOOSE(CONTROL!$C$32, $C$9, 100%, $E$9)</f>
        <v>2.7101000000000002</v>
      </c>
      <c r="E92" s="9">
        <f>3.9634 * CHOOSE(CONTROL!$C$32, $C$9, 100%, $E$9)</f>
        <v>3.9634</v>
      </c>
      <c r="F92" s="9">
        <f>3.9634 * CHOOSE(CONTROL!$C$32, $C$9, 100%, $E$9)</f>
        <v>3.9634</v>
      </c>
      <c r="G92" s="9">
        <f>3.9677 * CHOOSE(CONTROL!$C$32, $C$9, 100%, $E$9)</f>
        <v>3.9676999999999998</v>
      </c>
      <c r="H92" s="9">
        <f>4.4041 * CHOOSE(CONTROL!$C$32, $C$9, 100%, $E$9)</f>
        <v>4.4040999999999997</v>
      </c>
      <c r="I92" s="9">
        <f>4.4085 * CHOOSE(CONTROL!$C$32, $C$9, 100%, $E$9)</f>
        <v>4.4085000000000001</v>
      </c>
      <c r="J92" s="9">
        <f>4.4041 * CHOOSE(CONTROL!$C$32, $C$9, 100%, $E$9)</f>
        <v>4.4040999999999997</v>
      </c>
      <c r="K92" s="9">
        <f>4.4085 * CHOOSE(CONTROL!$C$32, $C$9, 100%, $E$9)</f>
        <v>4.4085000000000001</v>
      </c>
      <c r="L92" s="9">
        <f>3.9634 * CHOOSE(CONTROL!$C$32, $C$9, 100%, $E$9)</f>
        <v>3.9634</v>
      </c>
      <c r="M92" s="9">
        <f>3.9677 * CHOOSE(CONTROL!$C$32, $C$9, 100%, $E$9)</f>
        <v>3.9676999999999998</v>
      </c>
      <c r="N92" s="9">
        <f>3.9634 * CHOOSE(CONTROL!$C$32, $C$9, 100%, $E$9)</f>
        <v>3.9634</v>
      </c>
      <c r="O92" s="9">
        <f>3.9677 * CHOOSE(CONTROL!$C$32, $C$9, 100%, $E$9)</f>
        <v>3.9676999999999998</v>
      </c>
      <c r="P92" s="17"/>
      <c r="Q92" s="17"/>
      <c r="R92" s="17"/>
    </row>
    <row r="93" spans="1:18" ht="15" x14ac:dyDescent="0.2">
      <c r="A93" s="16">
        <v>43313</v>
      </c>
      <c r="B93" s="10">
        <f>2.7205 * CHOOSE(CONTROL!$C$32, $C$9, 100%, $E$9)</f>
        <v>2.7204999999999999</v>
      </c>
      <c r="C93" s="10">
        <f>2.7205 * CHOOSE(CONTROL!$C$32, $C$9, 100%, $E$9)</f>
        <v>2.7204999999999999</v>
      </c>
      <c r="D93" s="10">
        <f>2.7218 * CHOOSE(CONTROL!$C$32, $C$9, 100%, $E$9)</f>
        <v>2.7218</v>
      </c>
      <c r="E93" s="9">
        <f>3.9678 * CHOOSE(CONTROL!$C$32, $C$9, 100%, $E$9)</f>
        <v>3.9678</v>
      </c>
      <c r="F93" s="9">
        <f>3.9678 * CHOOSE(CONTROL!$C$32, $C$9, 100%, $E$9)</f>
        <v>3.9678</v>
      </c>
      <c r="G93" s="9">
        <f>3.9721 * CHOOSE(CONTROL!$C$32, $C$9, 100%, $E$9)</f>
        <v>3.9721000000000002</v>
      </c>
      <c r="H93" s="9">
        <f>4.4085 * CHOOSE(CONTROL!$C$32, $C$9, 100%, $E$9)</f>
        <v>4.4085000000000001</v>
      </c>
      <c r="I93" s="9">
        <f>4.4129 * CHOOSE(CONTROL!$C$32, $C$9, 100%, $E$9)</f>
        <v>4.4128999999999996</v>
      </c>
      <c r="J93" s="9">
        <f>4.4085 * CHOOSE(CONTROL!$C$32, $C$9, 100%, $E$9)</f>
        <v>4.4085000000000001</v>
      </c>
      <c r="K93" s="9">
        <f>4.4129 * CHOOSE(CONTROL!$C$32, $C$9, 100%, $E$9)</f>
        <v>4.4128999999999996</v>
      </c>
      <c r="L93" s="9">
        <f>3.9678 * CHOOSE(CONTROL!$C$32, $C$9, 100%, $E$9)</f>
        <v>3.9678</v>
      </c>
      <c r="M93" s="9">
        <f>3.9721 * CHOOSE(CONTROL!$C$32, $C$9, 100%, $E$9)</f>
        <v>3.9721000000000002</v>
      </c>
      <c r="N93" s="9">
        <f>3.9678 * CHOOSE(CONTROL!$C$32, $C$9, 100%, $E$9)</f>
        <v>3.9678</v>
      </c>
      <c r="O93" s="9">
        <f>3.9721 * CHOOSE(CONTROL!$C$32, $C$9, 100%, $E$9)</f>
        <v>3.9721000000000002</v>
      </c>
      <c r="P93" s="17"/>
      <c r="Q93" s="17"/>
      <c r="R93" s="17"/>
    </row>
    <row r="94" spans="1:18" ht="15" x14ac:dyDescent="0.2">
      <c r="A94" s="16">
        <v>43344</v>
      </c>
      <c r="B94" s="10">
        <f>2.7172 * CHOOSE(CONTROL!$C$32, $C$9, 100%, $E$9)</f>
        <v>2.7172000000000001</v>
      </c>
      <c r="C94" s="10">
        <f>2.7172 * CHOOSE(CONTROL!$C$32, $C$9, 100%, $E$9)</f>
        <v>2.7172000000000001</v>
      </c>
      <c r="D94" s="10">
        <f>2.7185 * CHOOSE(CONTROL!$C$32, $C$9, 100%, $E$9)</f>
        <v>2.7185000000000001</v>
      </c>
      <c r="E94" s="9">
        <f>3.9658 * CHOOSE(CONTROL!$C$32, $C$9, 100%, $E$9)</f>
        <v>3.9658000000000002</v>
      </c>
      <c r="F94" s="9">
        <f>3.9658 * CHOOSE(CONTROL!$C$32, $C$9, 100%, $E$9)</f>
        <v>3.9658000000000002</v>
      </c>
      <c r="G94" s="9">
        <f>3.9701 * CHOOSE(CONTROL!$C$32, $C$9, 100%, $E$9)</f>
        <v>3.9701</v>
      </c>
      <c r="H94" s="9">
        <f>4.4065 * CHOOSE(CONTROL!$C$32, $C$9, 100%, $E$9)</f>
        <v>4.4065000000000003</v>
      </c>
      <c r="I94" s="9">
        <f>4.4109 * CHOOSE(CONTROL!$C$32, $C$9, 100%, $E$9)</f>
        <v>4.4108999999999998</v>
      </c>
      <c r="J94" s="9">
        <f>4.4065 * CHOOSE(CONTROL!$C$32, $C$9, 100%, $E$9)</f>
        <v>4.4065000000000003</v>
      </c>
      <c r="K94" s="9">
        <f>4.4109 * CHOOSE(CONTROL!$C$32, $C$9, 100%, $E$9)</f>
        <v>4.4108999999999998</v>
      </c>
      <c r="L94" s="9">
        <f>3.9658 * CHOOSE(CONTROL!$C$32, $C$9, 100%, $E$9)</f>
        <v>3.9658000000000002</v>
      </c>
      <c r="M94" s="9">
        <f>3.9701 * CHOOSE(CONTROL!$C$32, $C$9, 100%, $E$9)</f>
        <v>3.9701</v>
      </c>
      <c r="N94" s="9">
        <f>3.9658 * CHOOSE(CONTROL!$C$32, $C$9, 100%, $E$9)</f>
        <v>3.9658000000000002</v>
      </c>
      <c r="O94" s="9">
        <f>3.9701 * CHOOSE(CONTROL!$C$32, $C$9, 100%, $E$9)</f>
        <v>3.9701</v>
      </c>
      <c r="P94" s="17"/>
      <c r="Q94" s="17"/>
      <c r="R94" s="17"/>
    </row>
    <row r="95" spans="1:18" ht="15" x14ac:dyDescent="0.2">
      <c r="A95" s="16">
        <v>43374</v>
      </c>
      <c r="B95" s="10">
        <f>2.698 * CHOOSE(CONTROL!$C$32, $C$9, 100%, $E$9)</f>
        <v>2.698</v>
      </c>
      <c r="C95" s="10">
        <f>2.698 * CHOOSE(CONTROL!$C$32, $C$9, 100%, $E$9)</f>
        <v>2.698</v>
      </c>
      <c r="D95" s="10">
        <f>2.6989 * CHOOSE(CONTROL!$C$32, $C$9, 100%, $E$9)</f>
        <v>2.6989000000000001</v>
      </c>
      <c r="E95" s="9">
        <f>3.959 * CHOOSE(CONTROL!$C$32, $C$9, 100%, $E$9)</f>
        <v>3.9590000000000001</v>
      </c>
      <c r="F95" s="9">
        <f>3.959 * CHOOSE(CONTROL!$C$32, $C$9, 100%, $E$9)</f>
        <v>3.9590000000000001</v>
      </c>
      <c r="G95" s="9">
        <f>3.9622 * CHOOSE(CONTROL!$C$32, $C$9, 100%, $E$9)</f>
        <v>3.9622000000000002</v>
      </c>
      <c r="H95" s="9">
        <f>4.4019 * CHOOSE(CONTROL!$C$32, $C$9, 100%, $E$9)</f>
        <v>4.4019000000000004</v>
      </c>
      <c r="I95" s="9">
        <f>4.4051 * CHOOSE(CONTROL!$C$32, $C$9, 100%, $E$9)</f>
        <v>4.4051</v>
      </c>
      <c r="J95" s="9">
        <f>4.4019 * CHOOSE(CONTROL!$C$32, $C$9, 100%, $E$9)</f>
        <v>4.4019000000000004</v>
      </c>
      <c r="K95" s="9">
        <f>4.4051 * CHOOSE(CONTROL!$C$32, $C$9, 100%, $E$9)</f>
        <v>4.4051</v>
      </c>
      <c r="L95" s="9">
        <f>3.959 * CHOOSE(CONTROL!$C$32, $C$9, 100%, $E$9)</f>
        <v>3.9590000000000001</v>
      </c>
      <c r="M95" s="9">
        <f>3.9622 * CHOOSE(CONTROL!$C$32, $C$9, 100%, $E$9)</f>
        <v>3.9622000000000002</v>
      </c>
      <c r="N95" s="9">
        <f>3.959 * CHOOSE(CONTROL!$C$32, $C$9, 100%, $E$9)</f>
        <v>3.9590000000000001</v>
      </c>
      <c r="O95" s="9">
        <f>3.9622 * CHOOSE(CONTROL!$C$32, $C$9, 100%, $E$9)</f>
        <v>3.9622000000000002</v>
      </c>
      <c r="P95" s="17"/>
      <c r="Q95" s="17"/>
      <c r="R95" s="17"/>
    </row>
    <row r="96" spans="1:18" ht="15" x14ac:dyDescent="0.2">
      <c r="A96" s="16">
        <v>43405</v>
      </c>
      <c r="B96" s="10">
        <f>2.7061 * CHOOSE(CONTROL!$C$32, $C$9, 100%, $E$9)</f>
        <v>2.7061000000000002</v>
      </c>
      <c r="C96" s="10">
        <f>2.7061 * CHOOSE(CONTROL!$C$32, $C$9, 100%, $E$9)</f>
        <v>2.7061000000000002</v>
      </c>
      <c r="D96" s="10">
        <f>2.707 * CHOOSE(CONTROL!$C$32, $C$9, 100%, $E$9)</f>
        <v>2.7069999999999999</v>
      </c>
      <c r="E96" s="9">
        <f>3.961 * CHOOSE(CONTROL!$C$32, $C$9, 100%, $E$9)</f>
        <v>3.9609999999999999</v>
      </c>
      <c r="F96" s="9">
        <f>3.961 * CHOOSE(CONTROL!$C$32, $C$9, 100%, $E$9)</f>
        <v>3.9609999999999999</v>
      </c>
      <c r="G96" s="9">
        <f>3.9642 * CHOOSE(CONTROL!$C$32, $C$9, 100%, $E$9)</f>
        <v>3.9641999999999999</v>
      </c>
      <c r="H96" s="9">
        <f>4.4039 * CHOOSE(CONTROL!$C$32, $C$9, 100%, $E$9)</f>
        <v>4.4039000000000001</v>
      </c>
      <c r="I96" s="9">
        <f>4.4071 * CHOOSE(CONTROL!$C$32, $C$9, 100%, $E$9)</f>
        <v>4.4070999999999998</v>
      </c>
      <c r="J96" s="9">
        <f>4.4039 * CHOOSE(CONTROL!$C$32, $C$9, 100%, $E$9)</f>
        <v>4.4039000000000001</v>
      </c>
      <c r="K96" s="9">
        <f>4.4071 * CHOOSE(CONTROL!$C$32, $C$9, 100%, $E$9)</f>
        <v>4.4070999999999998</v>
      </c>
      <c r="L96" s="9">
        <f>3.961 * CHOOSE(CONTROL!$C$32, $C$9, 100%, $E$9)</f>
        <v>3.9609999999999999</v>
      </c>
      <c r="M96" s="9">
        <f>3.9642 * CHOOSE(CONTROL!$C$32, $C$9, 100%, $E$9)</f>
        <v>3.9641999999999999</v>
      </c>
      <c r="N96" s="9">
        <f>3.961 * CHOOSE(CONTROL!$C$32, $C$9, 100%, $E$9)</f>
        <v>3.9609999999999999</v>
      </c>
      <c r="O96" s="9">
        <f>3.9642 * CHOOSE(CONTROL!$C$32, $C$9, 100%, $E$9)</f>
        <v>3.9641999999999999</v>
      </c>
      <c r="P96" s="17"/>
      <c r="Q96" s="17"/>
      <c r="R96" s="17"/>
    </row>
    <row r="97" spans="1:18" ht="15" x14ac:dyDescent="0.2">
      <c r="A97" s="16">
        <v>43435</v>
      </c>
      <c r="B97" s="10">
        <f>2.7058 * CHOOSE(CONTROL!$C$32, $C$9, 100%, $E$9)</f>
        <v>2.7058</v>
      </c>
      <c r="C97" s="10">
        <f>2.7058 * CHOOSE(CONTROL!$C$32, $C$9, 100%, $E$9)</f>
        <v>2.7058</v>
      </c>
      <c r="D97" s="10">
        <f>2.7067 * CHOOSE(CONTROL!$C$32, $C$9, 100%, $E$9)</f>
        <v>2.7067000000000001</v>
      </c>
      <c r="E97" s="9">
        <f>3.961 * CHOOSE(CONTROL!$C$32, $C$9, 100%, $E$9)</f>
        <v>3.9609999999999999</v>
      </c>
      <c r="F97" s="9">
        <f>3.961 * CHOOSE(CONTROL!$C$32, $C$9, 100%, $E$9)</f>
        <v>3.9609999999999999</v>
      </c>
      <c r="G97" s="9">
        <f>3.9642 * CHOOSE(CONTROL!$C$32, $C$9, 100%, $E$9)</f>
        <v>3.9641999999999999</v>
      </c>
      <c r="H97" s="9">
        <f>4.4039 * CHOOSE(CONTROL!$C$32, $C$9, 100%, $E$9)</f>
        <v>4.4039000000000001</v>
      </c>
      <c r="I97" s="9">
        <f>4.4071 * CHOOSE(CONTROL!$C$32, $C$9, 100%, $E$9)</f>
        <v>4.4070999999999998</v>
      </c>
      <c r="J97" s="9">
        <f>4.4039 * CHOOSE(CONTROL!$C$32, $C$9, 100%, $E$9)</f>
        <v>4.4039000000000001</v>
      </c>
      <c r="K97" s="9">
        <f>4.4071 * CHOOSE(CONTROL!$C$32, $C$9, 100%, $E$9)</f>
        <v>4.4070999999999998</v>
      </c>
      <c r="L97" s="9">
        <f>3.961 * CHOOSE(CONTROL!$C$32, $C$9, 100%, $E$9)</f>
        <v>3.9609999999999999</v>
      </c>
      <c r="M97" s="9">
        <f>3.9642 * CHOOSE(CONTROL!$C$32, $C$9, 100%, $E$9)</f>
        <v>3.9641999999999999</v>
      </c>
      <c r="N97" s="9">
        <f>3.961 * CHOOSE(CONTROL!$C$32, $C$9, 100%, $E$9)</f>
        <v>3.9609999999999999</v>
      </c>
      <c r="O97" s="9">
        <f>3.9642 * CHOOSE(CONTROL!$C$32, $C$9, 100%, $E$9)</f>
        <v>3.9641999999999999</v>
      </c>
      <c r="P97" s="17"/>
      <c r="Q97" s="17"/>
      <c r="R97" s="17"/>
    </row>
    <row r="98" spans="1:18" ht="15" x14ac:dyDescent="0.2">
      <c r="A98" s="16">
        <v>43466</v>
      </c>
      <c r="B98" s="10">
        <f>3.5916 * CHOOSE(CONTROL!$C$32, $C$9, 100%, $E$9)</f>
        <v>3.5916000000000001</v>
      </c>
      <c r="C98" s="10">
        <f>3.5916 * CHOOSE(CONTROL!$C$32, $C$9, 100%, $E$9)</f>
        <v>3.5916000000000001</v>
      </c>
      <c r="D98" s="10">
        <f>3.5926 * CHOOSE(CONTROL!$C$32, $C$9, 100%, $E$9)</f>
        <v>3.5926</v>
      </c>
      <c r="E98" s="9">
        <f>4.003 * CHOOSE(CONTROL!$C$32, $C$9, 100%, $E$9)</f>
        <v>4.0030000000000001</v>
      </c>
      <c r="F98" s="9">
        <f>4.003 * CHOOSE(CONTROL!$C$32, $C$9, 100%, $E$9)</f>
        <v>4.0030000000000001</v>
      </c>
      <c r="G98" s="9">
        <f>4.0062 * CHOOSE(CONTROL!$C$32, $C$9, 100%, $E$9)</f>
        <v>4.0061999999999998</v>
      </c>
      <c r="H98" s="9">
        <f>4.4495 * CHOOSE(CONTROL!$C$32, $C$9, 100%, $E$9)</f>
        <v>4.4494999999999996</v>
      </c>
      <c r="I98" s="9">
        <f>4.4527 * CHOOSE(CONTROL!$C$32, $C$9, 100%, $E$9)</f>
        <v>4.4527000000000001</v>
      </c>
      <c r="J98" s="9">
        <f>4.4495 * CHOOSE(CONTROL!$C$32, $C$9, 100%, $E$9)</f>
        <v>4.4494999999999996</v>
      </c>
      <c r="K98" s="9">
        <f>4.4527 * CHOOSE(CONTROL!$C$32, $C$9, 100%, $E$9)</f>
        <v>4.4527000000000001</v>
      </c>
      <c r="L98" s="9">
        <f>4.003 * CHOOSE(CONTROL!$C$32, $C$9, 100%, $E$9)</f>
        <v>4.0030000000000001</v>
      </c>
      <c r="M98" s="9">
        <f>4.0062 * CHOOSE(CONTROL!$C$32, $C$9, 100%, $E$9)</f>
        <v>4.0061999999999998</v>
      </c>
      <c r="N98" s="9">
        <f>4.003 * CHOOSE(CONTROL!$C$32, $C$9, 100%, $E$9)</f>
        <v>4.0030000000000001</v>
      </c>
      <c r="O98" s="9">
        <f>4.0062 * CHOOSE(CONTROL!$C$32, $C$9, 100%, $E$9)</f>
        <v>4.0061999999999998</v>
      </c>
      <c r="P98" s="17"/>
      <c r="Q98" s="17"/>
      <c r="R98" s="17"/>
    </row>
    <row r="99" spans="1:18" ht="15" x14ac:dyDescent="0.2">
      <c r="A99" s="16">
        <v>43497</v>
      </c>
      <c r="B99" s="10">
        <f>3.5886 * CHOOSE(CONTROL!$C$32, $C$9, 100%, $E$9)</f>
        <v>3.5886</v>
      </c>
      <c r="C99" s="10">
        <f>3.5886 * CHOOSE(CONTROL!$C$32, $C$9, 100%, $E$9)</f>
        <v>3.5886</v>
      </c>
      <c r="D99" s="10">
        <f>3.5895 * CHOOSE(CONTROL!$C$32, $C$9, 100%, $E$9)</f>
        <v>3.5895000000000001</v>
      </c>
      <c r="E99" s="9">
        <f>4.2325 * CHOOSE(CONTROL!$C$32, $C$9, 100%, $E$9)</f>
        <v>4.2324999999999999</v>
      </c>
      <c r="F99" s="9">
        <f>4.2325 * CHOOSE(CONTROL!$C$32, $C$9, 100%, $E$9)</f>
        <v>4.2324999999999999</v>
      </c>
      <c r="G99" s="9">
        <f>4.2356 * CHOOSE(CONTROL!$C$32, $C$9, 100%, $E$9)</f>
        <v>4.2355999999999998</v>
      </c>
      <c r="H99" s="9">
        <f>4.4475 * CHOOSE(CONTROL!$C$32, $C$9, 100%, $E$9)</f>
        <v>4.4474999999999998</v>
      </c>
      <c r="I99" s="9">
        <f>4.4507 * CHOOSE(CONTROL!$C$32, $C$9, 100%, $E$9)</f>
        <v>4.4507000000000003</v>
      </c>
      <c r="J99" s="9">
        <f>4.4475 * CHOOSE(CONTROL!$C$32, $C$9, 100%, $E$9)</f>
        <v>4.4474999999999998</v>
      </c>
      <c r="K99" s="9">
        <f>4.4507 * CHOOSE(CONTROL!$C$32, $C$9, 100%, $E$9)</f>
        <v>4.4507000000000003</v>
      </c>
      <c r="L99" s="9">
        <f>4.2325 * CHOOSE(CONTROL!$C$32, $C$9, 100%, $E$9)</f>
        <v>4.2324999999999999</v>
      </c>
      <c r="M99" s="9">
        <f>4.2356 * CHOOSE(CONTROL!$C$32, $C$9, 100%, $E$9)</f>
        <v>4.2355999999999998</v>
      </c>
      <c r="N99" s="9">
        <f>4.2325 * CHOOSE(CONTROL!$C$32, $C$9, 100%, $E$9)</f>
        <v>4.2324999999999999</v>
      </c>
      <c r="O99" s="9">
        <f>4.2356 * CHOOSE(CONTROL!$C$32, $C$9, 100%, $E$9)</f>
        <v>4.2355999999999998</v>
      </c>
      <c r="P99" s="17"/>
      <c r="Q99" s="17"/>
      <c r="R99" s="17"/>
    </row>
    <row r="100" spans="1:18" ht="15" x14ac:dyDescent="0.2">
      <c r="A100" s="16">
        <v>43525</v>
      </c>
      <c r="B100" s="10">
        <f>3.5855 * CHOOSE(CONTROL!$C$32, $C$9, 100%, $E$9)</f>
        <v>3.5855000000000001</v>
      </c>
      <c r="C100" s="10">
        <f>3.5855 * CHOOSE(CONTROL!$C$32, $C$9, 100%, $E$9)</f>
        <v>3.5855000000000001</v>
      </c>
      <c r="D100" s="10">
        <f>3.5865 * CHOOSE(CONTROL!$C$32, $C$9, 100%, $E$9)</f>
        <v>3.5865</v>
      </c>
      <c r="E100" s="9">
        <f>3.999 * CHOOSE(CONTROL!$C$32, $C$9, 100%, $E$9)</f>
        <v>3.9990000000000001</v>
      </c>
      <c r="F100" s="9">
        <f>3.999 * CHOOSE(CONTROL!$C$32, $C$9, 100%, $E$9)</f>
        <v>3.9990000000000001</v>
      </c>
      <c r="G100" s="9">
        <f>4.0022 * CHOOSE(CONTROL!$C$32, $C$9, 100%, $E$9)</f>
        <v>4.0022000000000002</v>
      </c>
      <c r="H100" s="9">
        <f>4.4455 * CHOOSE(CONTROL!$C$32, $C$9, 100%, $E$9)</f>
        <v>4.4455</v>
      </c>
      <c r="I100" s="9">
        <f>4.4487 * CHOOSE(CONTROL!$C$32, $C$9, 100%, $E$9)</f>
        <v>4.4486999999999997</v>
      </c>
      <c r="J100" s="9">
        <f>4.4455 * CHOOSE(CONTROL!$C$32, $C$9, 100%, $E$9)</f>
        <v>4.4455</v>
      </c>
      <c r="K100" s="9">
        <f>4.4487 * CHOOSE(CONTROL!$C$32, $C$9, 100%, $E$9)</f>
        <v>4.4486999999999997</v>
      </c>
      <c r="L100" s="9">
        <f>3.999 * CHOOSE(CONTROL!$C$32, $C$9, 100%, $E$9)</f>
        <v>3.9990000000000001</v>
      </c>
      <c r="M100" s="9">
        <f>4.0022 * CHOOSE(CONTROL!$C$32, $C$9, 100%, $E$9)</f>
        <v>4.0022000000000002</v>
      </c>
      <c r="N100" s="9">
        <f>3.999 * CHOOSE(CONTROL!$C$32, $C$9, 100%, $E$9)</f>
        <v>3.9990000000000001</v>
      </c>
      <c r="O100" s="9">
        <f>4.0022 * CHOOSE(CONTROL!$C$32, $C$9, 100%, $E$9)</f>
        <v>4.0022000000000002</v>
      </c>
      <c r="P100" s="17"/>
      <c r="Q100" s="17"/>
      <c r="R100" s="17"/>
    </row>
    <row r="101" spans="1:18" ht="15" x14ac:dyDescent="0.2">
      <c r="A101" s="16">
        <v>43556</v>
      </c>
      <c r="B101" s="10">
        <f>3.5829 * CHOOSE(CONTROL!$C$32, $C$9, 100%, $E$9)</f>
        <v>3.5829</v>
      </c>
      <c r="C101" s="10">
        <f>3.5829 * CHOOSE(CONTROL!$C$32, $C$9, 100%, $E$9)</f>
        <v>3.5829</v>
      </c>
      <c r="D101" s="10">
        <f>3.5838 * CHOOSE(CONTROL!$C$32, $C$9, 100%, $E$9)</f>
        <v>3.5838000000000001</v>
      </c>
      <c r="E101" s="9">
        <f>3.9966 * CHOOSE(CONTROL!$C$32, $C$9, 100%, $E$9)</f>
        <v>3.9965999999999999</v>
      </c>
      <c r="F101" s="9">
        <f>3.9966 * CHOOSE(CONTROL!$C$32, $C$9, 100%, $E$9)</f>
        <v>3.9965999999999999</v>
      </c>
      <c r="G101" s="9">
        <f>3.9997 * CHOOSE(CONTROL!$C$32, $C$9, 100%, $E$9)</f>
        <v>3.9996999999999998</v>
      </c>
      <c r="H101" s="9">
        <f>4.4436 * CHOOSE(CONTROL!$C$32, $C$9, 100%, $E$9)</f>
        <v>4.4436</v>
      </c>
      <c r="I101" s="9">
        <f>4.4468 * CHOOSE(CONTROL!$C$32, $C$9, 100%, $E$9)</f>
        <v>4.4467999999999996</v>
      </c>
      <c r="J101" s="9">
        <f>4.4436 * CHOOSE(CONTROL!$C$32, $C$9, 100%, $E$9)</f>
        <v>4.4436</v>
      </c>
      <c r="K101" s="9">
        <f>4.4468 * CHOOSE(CONTROL!$C$32, $C$9, 100%, $E$9)</f>
        <v>4.4467999999999996</v>
      </c>
      <c r="L101" s="9">
        <f>3.9966 * CHOOSE(CONTROL!$C$32, $C$9, 100%, $E$9)</f>
        <v>3.9965999999999999</v>
      </c>
      <c r="M101" s="9">
        <f>3.9997 * CHOOSE(CONTROL!$C$32, $C$9, 100%, $E$9)</f>
        <v>3.9996999999999998</v>
      </c>
      <c r="N101" s="9">
        <f>3.9966 * CHOOSE(CONTROL!$C$32, $C$9, 100%, $E$9)</f>
        <v>3.9965999999999999</v>
      </c>
      <c r="O101" s="9">
        <f>3.9997 * CHOOSE(CONTROL!$C$32, $C$9, 100%, $E$9)</f>
        <v>3.9996999999999998</v>
      </c>
      <c r="P101" s="17"/>
      <c r="Q101" s="17"/>
      <c r="R101" s="17"/>
    </row>
    <row r="102" spans="1:18" ht="15" x14ac:dyDescent="0.2">
      <c r="A102" s="16">
        <v>43586</v>
      </c>
      <c r="B102" s="10">
        <f>3.5829 * CHOOSE(CONTROL!$C$32, $C$9, 100%, $E$9)</f>
        <v>3.5829</v>
      </c>
      <c r="C102" s="10">
        <f>3.5829 * CHOOSE(CONTROL!$C$32, $C$9, 100%, $E$9)</f>
        <v>3.5829</v>
      </c>
      <c r="D102" s="10">
        <f>3.5842 * CHOOSE(CONTROL!$C$32, $C$9, 100%, $E$9)</f>
        <v>3.5842000000000001</v>
      </c>
      <c r="E102" s="9">
        <f>3.9966 * CHOOSE(CONTROL!$C$32, $C$9, 100%, $E$9)</f>
        <v>3.9965999999999999</v>
      </c>
      <c r="F102" s="9">
        <f>3.9966 * CHOOSE(CONTROL!$C$32, $C$9, 100%, $E$9)</f>
        <v>3.9965999999999999</v>
      </c>
      <c r="G102" s="9">
        <f>4.0009 * CHOOSE(CONTROL!$C$32, $C$9, 100%, $E$9)</f>
        <v>4.0008999999999997</v>
      </c>
      <c r="H102" s="9">
        <f>4.4436 * CHOOSE(CONTROL!$C$32, $C$9, 100%, $E$9)</f>
        <v>4.4436</v>
      </c>
      <c r="I102" s="9">
        <f>4.448 * CHOOSE(CONTROL!$C$32, $C$9, 100%, $E$9)</f>
        <v>4.4480000000000004</v>
      </c>
      <c r="J102" s="9">
        <f>4.4436 * CHOOSE(CONTROL!$C$32, $C$9, 100%, $E$9)</f>
        <v>4.4436</v>
      </c>
      <c r="K102" s="9">
        <f>4.448 * CHOOSE(CONTROL!$C$32, $C$9, 100%, $E$9)</f>
        <v>4.4480000000000004</v>
      </c>
      <c r="L102" s="9">
        <f>3.9966 * CHOOSE(CONTROL!$C$32, $C$9, 100%, $E$9)</f>
        <v>3.9965999999999999</v>
      </c>
      <c r="M102" s="9">
        <f>4.0009 * CHOOSE(CONTROL!$C$32, $C$9, 100%, $E$9)</f>
        <v>4.0008999999999997</v>
      </c>
      <c r="N102" s="9">
        <f>3.9966 * CHOOSE(CONTROL!$C$32, $C$9, 100%, $E$9)</f>
        <v>3.9965999999999999</v>
      </c>
      <c r="O102" s="9">
        <f>4.0009 * CHOOSE(CONTROL!$C$32, $C$9, 100%, $E$9)</f>
        <v>4.0008999999999997</v>
      </c>
      <c r="P102" s="17"/>
      <c r="Q102" s="17"/>
      <c r="R102" s="17"/>
    </row>
    <row r="103" spans="1:18" ht="15" x14ac:dyDescent="0.2">
      <c r="A103" s="16">
        <v>43617</v>
      </c>
      <c r="B103" s="10">
        <f>3.589 * CHOOSE(CONTROL!$C$32, $C$9, 100%, $E$9)</f>
        <v>3.589</v>
      </c>
      <c r="C103" s="10">
        <f>3.589 * CHOOSE(CONTROL!$C$32, $C$9, 100%, $E$9)</f>
        <v>3.589</v>
      </c>
      <c r="D103" s="10">
        <f>3.5903 * CHOOSE(CONTROL!$C$32, $C$9, 100%, $E$9)</f>
        <v>3.5903</v>
      </c>
      <c r="E103" s="9">
        <f>4.0006 * CHOOSE(CONTROL!$C$32, $C$9, 100%, $E$9)</f>
        <v>4.0006000000000004</v>
      </c>
      <c r="F103" s="9">
        <f>4.0006 * CHOOSE(CONTROL!$C$32, $C$9, 100%, $E$9)</f>
        <v>4.0006000000000004</v>
      </c>
      <c r="G103" s="9">
        <f>4.0049 * CHOOSE(CONTROL!$C$32, $C$9, 100%, $E$9)</f>
        <v>4.0049000000000001</v>
      </c>
      <c r="H103" s="9">
        <f>4.4476 * CHOOSE(CONTROL!$C$32, $C$9, 100%, $E$9)</f>
        <v>4.4476000000000004</v>
      </c>
      <c r="I103" s="9">
        <f>4.452 * CHOOSE(CONTROL!$C$32, $C$9, 100%, $E$9)</f>
        <v>4.452</v>
      </c>
      <c r="J103" s="9">
        <f>4.4476 * CHOOSE(CONTROL!$C$32, $C$9, 100%, $E$9)</f>
        <v>4.4476000000000004</v>
      </c>
      <c r="K103" s="9">
        <f>4.452 * CHOOSE(CONTROL!$C$32, $C$9, 100%, $E$9)</f>
        <v>4.452</v>
      </c>
      <c r="L103" s="9">
        <f>4.0006 * CHOOSE(CONTROL!$C$32, $C$9, 100%, $E$9)</f>
        <v>4.0006000000000004</v>
      </c>
      <c r="M103" s="9">
        <f>4.0049 * CHOOSE(CONTROL!$C$32, $C$9, 100%, $E$9)</f>
        <v>4.0049000000000001</v>
      </c>
      <c r="N103" s="9">
        <f>4.0006 * CHOOSE(CONTROL!$C$32, $C$9, 100%, $E$9)</f>
        <v>4.0006000000000004</v>
      </c>
      <c r="O103" s="9">
        <f>4.0049 * CHOOSE(CONTROL!$C$32, $C$9, 100%, $E$9)</f>
        <v>4.0049000000000001</v>
      </c>
      <c r="P103" s="17"/>
      <c r="Q103" s="17"/>
      <c r="R103" s="17"/>
    </row>
    <row r="104" spans="1:18" ht="15" x14ac:dyDescent="0.2">
      <c r="A104" s="16">
        <v>43647</v>
      </c>
      <c r="B104" s="10">
        <f>3.6647 * CHOOSE(CONTROL!$C$32, $C$9, 100%, $E$9)</f>
        <v>3.6646999999999998</v>
      </c>
      <c r="C104" s="10">
        <f>3.6647 * CHOOSE(CONTROL!$C$32, $C$9, 100%, $E$9)</f>
        <v>3.6646999999999998</v>
      </c>
      <c r="D104" s="10">
        <f>3.666 * CHOOSE(CONTROL!$C$32, $C$9, 100%, $E$9)</f>
        <v>3.6659999999999999</v>
      </c>
      <c r="E104" s="9">
        <f>4.2819 * CHOOSE(CONTROL!$C$32, $C$9, 100%, $E$9)</f>
        <v>4.2819000000000003</v>
      </c>
      <c r="F104" s="9">
        <f>4.2819 * CHOOSE(CONTROL!$C$32, $C$9, 100%, $E$9)</f>
        <v>4.2819000000000003</v>
      </c>
      <c r="G104" s="9">
        <f>4.2863 * CHOOSE(CONTROL!$C$32, $C$9, 100%, $E$9)</f>
        <v>4.2862999999999998</v>
      </c>
      <c r="H104" s="9">
        <f>4.5473 * CHOOSE(CONTROL!$C$32, $C$9, 100%, $E$9)</f>
        <v>4.5472999999999999</v>
      </c>
      <c r="I104" s="9">
        <f>4.5517 * CHOOSE(CONTROL!$C$32, $C$9, 100%, $E$9)</f>
        <v>4.5517000000000003</v>
      </c>
      <c r="J104" s="9">
        <f>4.5473 * CHOOSE(CONTROL!$C$32, $C$9, 100%, $E$9)</f>
        <v>4.5472999999999999</v>
      </c>
      <c r="K104" s="9">
        <f>4.5517 * CHOOSE(CONTROL!$C$32, $C$9, 100%, $E$9)</f>
        <v>4.5517000000000003</v>
      </c>
      <c r="L104" s="9">
        <f>4.2819 * CHOOSE(CONTROL!$C$32, $C$9, 100%, $E$9)</f>
        <v>4.2819000000000003</v>
      </c>
      <c r="M104" s="9">
        <f>4.2863 * CHOOSE(CONTROL!$C$32, $C$9, 100%, $E$9)</f>
        <v>4.2862999999999998</v>
      </c>
      <c r="N104" s="9">
        <f>4.2819 * CHOOSE(CONTROL!$C$32, $C$9, 100%, $E$9)</f>
        <v>4.2819000000000003</v>
      </c>
      <c r="O104" s="9">
        <f>4.2863 * CHOOSE(CONTROL!$C$32, $C$9, 100%, $E$9)</f>
        <v>4.2862999999999998</v>
      </c>
      <c r="P104" s="17"/>
      <c r="Q104" s="17"/>
      <c r="R104" s="17"/>
    </row>
    <row r="105" spans="1:18" ht="15" x14ac:dyDescent="0.2">
      <c r="A105" s="16">
        <v>43678</v>
      </c>
      <c r="B105" s="10">
        <f>3.6714 * CHOOSE(CONTROL!$C$32, $C$9, 100%, $E$9)</f>
        <v>3.6714000000000002</v>
      </c>
      <c r="C105" s="10">
        <f>3.6714 * CHOOSE(CONTROL!$C$32, $C$9, 100%, $E$9)</f>
        <v>3.6714000000000002</v>
      </c>
      <c r="D105" s="10">
        <f>3.6727 * CHOOSE(CONTROL!$C$32, $C$9, 100%, $E$9)</f>
        <v>3.6726999999999999</v>
      </c>
      <c r="E105" s="9">
        <f>4.2315 * CHOOSE(CONTROL!$C$32, $C$9, 100%, $E$9)</f>
        <v>4.2314999999999996</v>
      </c>
      <c r="F105" s="9">
        <f>4.2315 * CHOOSE(CONTROL!$C$32, $C$9, 100%, $E$9)</f>
        <v>4.2314999999999996</v>
      </c>
      <c r="G105" s="9">
        <f>4.2359 * CHOOSE(CONTROL!$C$32, $C$9, 100%, $E$9)</f>
        <v>4.2359</v>
      </c>
      <c r="H105" s="9">
        <f>4.5517 * CHOOSE(CONTROL!$C$32, $C$9, 100%, $E$9)</f>
        <v>4.5517000000000003</v>
      </c>
      <c r="I105" s="9">
        <f>4.5561 * CHOOSE(CONTROL!$C$32, $C$9, 100%, $E$9)</f>
        <v>4.5560999999999998</v>
      </c>
      <c r="J105" s="9">
        <f>4.5517 * CHOOSE(CONTROL!$C$32, $C$9, 100%, $E$9)</f>
        <v>4.5517000000000003</v>
      </c>
      <c r="K105" s="9">
        <f>4.5561 * CHOOSE(CONTROL!$C$32, $C$9, 100%, $E$9)</f>
        <v>4.5560999999999998</v>
      </c>
      <c r="L105" s="9">
        <f>4.2315 * CHOOSE(CONTROL!$C$32, $C$9, 100%, $E$9)</f>
        <v>4.2314999999999996</v>
      </c>
      <c r="M105" s="9">
        <f>4.2359 * CHOOSE(CONTROL!$C$32, $C$9, 100%, $E$9)</f>
        <v>4.2359</v>
      </c>
      <c r="N105" s="9">
        <f>4.2315 * CHOOSE(CONTROL!$C$32, $C$9, 100%, $E$9)</f>
        <v>4.2314999999999996</v>
      </c>
      <c r="O105" s="9">
        <f>4.2359 * CHOOSE(CONTROL!$C$32, $C$9, 100%, $E$9)</f>
        <v>4.2359</v>
      </c>
      <c r="P105" s="17"/>
      <c r="Q105" s="17"/>
      <c r="R105" s="17"/>
    </row>
    <row r="106" spans="1:18" ht="15" x14ac:dyDescent="0.2">
      <c r="A106" s="16">
        <v>43709</v>
      </c>
      <c r="B106" s="10">
        <f>3.6684 * CHOOSE(CONTROL!$C$32, $C$9, 100%, $E$9)</f>
        <v>3.6684000000000001</v>
      </c>
      <c r="C106" s="10">
        <f>3.6684 * CHOOSE(CONTROL!$C$32, $C$9, 100%, $E$9)</f>
        <v>3.6684000000000001</v>
      </c>
      <c r="D106" s="10">
        <f>3.6697 * CHOOSE(CONTROL!$C$32, $C$9, 100%, $E$9)</f>
        <v>3.6697000000000002</v>
      </c>
      <c r="E106" s="9">
        <f>4.2233 * CHOOSE(CONTROL!$C$32, $C$9, 100%, $E$9)</f>
        <v>4.2233000000000001</v>
      </c>
      <c r="F106" s="9">
        <f>4.2233 * CHOOSE(CONTROL!$C$32, $C$9, 100%, $E$9)</f>
        <v>4.2233000000000001</v>
      </c>
      <c r="G106" s="9">
        <f>4.2276 * CHOOSE(CONTROL!$C$32, $C$9, 100%, $E$9)</f>
        <v>4.2275999999999998</v>
      </c>
      <c r="H106" s="9">
        <f>4.5497 * CHOOSE(CONTROL!$C$32, $C$9, 100%, $E$9)</f>
        <v>4.5496999999999996</v>
      </c>
      <c r="I106" s="9">
        <f>4.5541 * CHOOSE(CONTROL!$C$32, $C$9, 100%, $E$9)</f>
        <v>4.5541</v>
      </c>
      <c r="J106" s="9">
        <f>4.5497 * CHOOSE(CONTROL!$C$32, $C$9, 100%, $E$9)</f>
        <v>4.5496999999999996</v>
      </c>
      <c r="K106" s="9">
        <f>4.5541 * CHOOSE(CONTROL!$C$32, $C$9, 100%, $E$9)</f>
        <v>4.5541</v>
      </c>
      <c r="L106" s="9">
        <f>4.2233 * CHOOSE(CONTROL!$C$32, $C$9, 100%, $E$9)</f>
        <v>4.2233000000000001</v>
      </c>
      <c r="M106" s="9">
        <f>4.2276 * CHOOSE(CONTROL!$C$32, $C$9, 100%, $E$9)</f>
        <v>4.2275999999999998</v>
      </c>
      <c r="N106" s="9">
        <f>4.2233 * CHOOSE(CONTROL!$C$32, $C$9, 100%, $E$9)</f>
        <v>4.2233000000000001</v>
      </c>
      <c r="O106" s="9">
        <f>4.2276 * CHOOSE(CONTROL!$C$32, $C$9, 100%, $E$9)</f>
        <v>4.2275999999999998</v>
      </c>
      <c r="P106" s="17"/>
      <c r="Q106" s="17"/>
      <c r="R106" s="17"/>
    </row>
    <row r="107" spans="1:18" ht="15" x14ac:dyDescent="0.2">
      <c r="A107" s="16">
        <v>43739</v>
      </c>
      <c r="B107" s="10">
        <f>3.6625 * CHOOSE(CONTROL!$C$32, $C$9, 100%, $E$9)</f>
        <v>3.6625000000000001</v>
      </c>
      <c r="C107" s="10">
        <f>3.6625 * CHOOSE(CONTROL!$C$32, $C$9, 100%, $E$9)</f>
        <v>3.6625000000000001</v>
      </c>
      <c r="D107" s="10">
        <f>3.6635 * CHOOSE(CONTROL!$C$32, $C$9, 100%, $E$9)</f>
        <v>3.6635</v>
      </c>
      <c r="E107" s="9">
        <f>4.2343 * CHOOSE(CONTROL!$C$32, $C$9, 100%, $E$9)</f>
        <v>4.2343000000000002</v>
      </c>
      <c r="F107" s="9">
        <f>4.2343 * CHOOSE(CONTROL!$C$32, $C$9, 100%, $E$9)</f>
        <v>4.2343000000000002</v>
      </c>
      <c r="G107" s="9">
        <f>4.2375 * CHOOSE(CONTROL!$C$32, $C$9, 100%, $E$9)</f>
        <v>4.2374999999999998</v>
      </c>
      <c r="H107" s="9">
        <f>4.5454 * CHOOSE(CONTROL!$C$32, $C$9, 100%, $E$9)</f>
        <v>4.5453999999999999</v>
      </c>
      <c r="I107" s="9">
        <f>4.5485 * CHOOSE(CONTROL!$C$32, $C$9, 100%, $E$9)</f>
        <v>4.5484999999999998</v>
      </c>
      <c r="J107" s="9">
        <f>4.5454 * CHOOSE(CONTROL!$C$32, $C$9, 100%, $E$9)</f>
        <v>4.5453999999999999</v>
      </c>
      <c r="K107" s="9">
        <f>4.5485 * CHOOSE(CONTROL!$C$32, $C$9, 100%, $E$9)</f>
        <v>4.5484999999999998</v>
      </c>
      <c r="L107" s="9">
        <f>4.2343 * CHOOSE(CONTROL!$C$32, $C$9, 100%, $E$9)</f>
        <v>4.2343000000000002</v>
      </c>
      <c r="M107" s="9">
        <f>4.2375 * CHOOSE(CONTROL!$C$32, $C$9, 100%, $E$9)</f>
        <v>4.2374999999999998</v>
      </c>
      <c r="N107" s="9">
        <f>4.2343 * CHOOSE(CONTROL!$C$32, $C$9, 100%, $E$9)</f>
        <v>4.2343000000000002</v>
      </c>
      <c r="O107" s="9">
        <f>4.2375 * CHOOSE(CONTROL!$C$32, $C$9, 100%, $E$9)</f>
        <v>4.2374999999999998</v>
      </c>
      <c r="P107" s="17"/>
      <c r="Q107" s="17"/>
      <c r="R107" s="17"/>
    </row>
    <row r="108" spans="1:18" ht="15" x14ac:dyDescent="0.2">
      <c r="A108" s="16">
        <v>43770</v>
      </c>
      <c r="B108" s="10">
        <f>3.6656 * CHOOSE(CONTROL!$C$32, $C$9, 100%, $E$9)</f>
        <v>3.6656</v>
      </c>
      <c r="C108" s="10">
        <f>3.6656 * CHOOSE(CONTROL!$C$32, $C$9, 100%, $E$9)</f>
        <v>3.6656</v>
      </c>
      <c r="D108" s="10">
        <f>3.6665 * CHOOSE(CONTROL!$C$32, $C$9, 100%, $E$9)</f>
        <v>3.6665000000000001</v>
      </c>
      <c r="E108" s="9">
        <f>4.2487 * CHOOSE(CONTROL!$C$32, $C$9, 100%, $E$9)</f>
        <v>4.2487000000000004</v>
      </c>
      <c r="F108" s="9">
        <f>4.2487 * CHOOSE(CONTROL!$C$32, $C$9, 100%, $E$9)</f>
        <v>4.2487000000000004</v>
      </c>
      <c r="G108" s="9">
        <f>4.2519 * CHOOSE(CONTROL!$C$32, $C$9, 100%, $E$9)</f>
        <v>4.2519</v>
      </c>
      <c r="H108" s="9">
        <f>4.5474 * CHOOSE(CONTROL!$C$32, $C$9, 100%, $E$9)</f>
        <v>4.5473999999999997</v>
      </c>
      <c r="I108" s="9">
        <f>4.5505 * CHOOSE(CONTROL!$C$32, $C$9, 100%, $E$9)</f>
        <v>4.5505000000000004</v>
      </c>
      <c r="J108" s="9">
        <f>4.5474 * CHOOSE(CONTROL!$C$32, $C$9, 100%, $E$9)</f>
        <v>4.5473999999999997</v>
      </c>
      <c r="K108" s="9">
        <f>4.5505 * CHOOSE(CONTROL!$C$32, $C$9, 100%, $E$9)</f>
        <v>4.5505000000000004</v>
      </c>
      <c r="L108" s="9">
        <f>4.2487 * CHOOSE(CONTROL!$C$32, $C$9, 100%, $E$9)</f>
        <v>4.2487000000000004</v>
      </c>
      <c r="M108" s="9">
        <f>4.2519 * CHOOSE(CONTROL!$C$32, $C$9, 100%, $E$9)</f>
        <v>4.2519</v>
      </c>
      <c r="N108" s="9">
        <f>4.2487 * CHOOSE(CONTROL!$C$32, $C$9, 100%, $E$9)</f>
        <v>4.2487000000000004</v>
      </c>
      <c r="O108" s="9">
        <f>4.2519 * CHOOSE(CONTROL!$C$32, $C$9, 100%, $E$9)</f>
        <v>4.2519</v>
      </c>
      <c r="P108" s="17"/>
      <c r="Q108" s="17"/>
      <c r="R108" s="17"/>
    </row>
    <row r="109" spans="1:18" ht="15" x14ac:dyDescent="0.2">
      <c r="A109" s="16">
        <v>43800</v>
      </c>
      <c r="B109" s="10">
        <f>3.6656 * CHOOSE(CONTROL!$C$32, $C$9, 100%, $E$9)</f>
        <v>3.6656</v>
      </c>
      <c r="C109" s="10">
        <f>3.6656 * CHOOSE(CONTROL!$C$32, $C$9, 100%, $E$9)</f>
        <v>3.6656</v>
      </c>
      <c r="D109" s="10">
        <f>3.6665 * CHOOSE(CONTROL!$C$32, $C$9, 100%, $E$9)</f>
        <v>3.6665000000000001</v>
      </c>
      <c r="E109" s="9">
        <f>4.2181 * CHOOSE(CONTROL!$C$32, $C$9, 100%, $E$9)</f>
        <v>4.2180999999999997</v>
      </c>
      <c r="F109" s="9">
        <f>4.2181 * CHOOSE(CONTROL!$C$32, $C$9, 100%, $E$9)</f>
        <v>4.2180999999999997</v>
      </c>
      <c r="G109" s="9">
        <f>4.2213 * CHOOSE(CONTROL!$C$32, $C$9, 100%, $E$9)</f>
        <v>4.2213000000000003</v>
      </c>
      <c r="H109" s="9">
        <f>4.5474 * CHOOSE(CONTROL!$C$32, $C$9, 100%, $E$9)</f>
        <v>4.5473999999999997</v>
      </c>
      <c r="I109" s="9">
        <f>4.5505 * CHOOSE(CONTROL!$C$32, $C$9, 100%, $E$9)</f>
        <v>4.5505000000000004</v>
      </c>
      <c r="J109" s="9">
        <f>4.5474 * CHOOSE(CONTROL!$C$32, $C$9, 100%, $E$9)</f>
        <v>4.5473999999999997</v>
      </c>
      <c r="K109" s="9">
        <f>4.5505 * CHOOSE(CONTROL!$C$32, $C$9, 100%, $E$9)</f>
        <v>4.5505000000000004</v>
      </c>
      <c r="L109" s="9">
        <f>4.2181 * CHOOSE(CONTROL!$C$32, $C$9, 100%, $E$9)</f>
        <v>4.2180999999999997</v>
      </c>
      <c r="M109" s="9">
        <f>4.2213 * CHOOSE(CONTROL!$C$32, $C$9, 100%, $E$9)</f>
        <v>4.2213000000000003</v>
      </c>
      <c r="N109" s="9">
        <f>4.2181 * CHOOSE(CONTROL!$C$32, $C$9, 100%, $E$9)</f>
        <v>4.2180999999999997</v>
      </c>
      <c r="O109" s="9">
        <f>4.2213 * CHOOSE(CONTROL!$C$32, $C$9, 100%, $E$9)</f>
        <v>4.2213000000000003</v>
      </c>
      <c r="P109" s="17"/>
      <c r="Q109" s="17"/>
      <c r="R109" s="17"/>
    </row>
    <row r="110" spans="1:18" ht="15" x14ac:dyDescent="0.2">
      <c r="A110" s="16">
        <v>43831</v>
      </c>
      <c r="B110" s="10">
        <f>3.7012 * CHOOSE(CONTROL!$C$32, $C$9, 100%, $E$9)</f>
        <v>3.7012</v>
      </c>
      <c r="C110" s="10">
        <f>3.7012 * CHOOSE(CONTROL!$C$32, $C$9, 100%, $E$9)</f>
        <v>3.7012</v>
      </c>
      <c r="D110" s="10">
        <f>3.7022 * CHOOSE(CONTROL!$C$32, $C$9, 100%, $E$9)</f>
        <v>3.7021999999999999</v>
      </c>
      <c r="E110" s="9">
        <f>4.287 * CHOOSE(CONTROL!$C$32, $C$9, 100%, $E$9)</f>
        <v>4.2869999999999999</v>
      </c>
      <c r="F110" s="9">
        <f>4.287 * CHOOSE(CONTROL!$C$32, $C$9, 100%, $E$9)</f>
        <v>4.2869999999999999</v>
      </c>
      <c r="G110" s="9">
        <f>4.2901 * CHOOSE(CONTROL!$C$32, $C$9, 100%, $E$9)</f>
        <v>4.2900999999999998</v>
      </c>
      <c r="H110" s="9">
        <f>4.5908 * CHOOSE(CONTROL!$C$32, $C$9, 100%, $E$9)</f>
        <v>4.5907999999999998</v>
      </c>
      <c r="I110" s="9">
        <f>4.594 * CHOOSE(CONTROL!$C$32, $C$9, 100%, $E$9)</f>
        <v>4.5940000000000003</v>
      </c>
      <c r="J110" s="9">
        <f>4.5908 * CHOOSE(CONTROL!$C$32, $C$9, 100%, $E$9)</f>
        <v>4.5907999999999998</v>
      </c>
      <c r="K110" s="9">
        <f>4.594 * CHOOSE(CONTROL!$C$32, $C$9, 100%, $E$9)</f>
        <v>4.5940000000000003</v>
      </c>
      <c r="L110" s="9">
        <f>4.287 * CHOOSE(CONTROL!$C$32, $C$9, 100%, $E$9)</f>
        <v>4.2869999999999999</v>
      </c>
      <c r="M110" s="9">
        <f>4.2901 * CHOOSE(CONTROL!$C$32, $C$9, 100%, $E$9)</f>
        <v>4.2900999999999998</v>
      </c>
      <c r="N110" s="9">
        <f>4.287 * CHOOSE(CONTROL!$C$32, $C$9, 100%, $E$9)</f>
        <v>4.2869999999999999</v>
      </c>
      <c r="O110" s="9">
        <f>4.2901 * CHOOSE(CONTROL!$C$32, $C$9, 100%, $E$9)</f>
        <v>4.2900999999999998</v>
      </c>
      <c r="P110" s="17"/>
      <c r="Q110" s="17"/>
      <c r="R110" s="17"/>
    </row>
    <row r="111" spans="1:18" ht="15" x14ac:dyDescent="0.2">
      <c r="A111" s="16">
        <v>43862</v>
      </c>
      <c r="B111" s="10">
        <f>3.6982 * CHOOSE(CONTROL!$C$32, $C$9, 100%, $E$9)</f>
        <v>3.6981999999999999</v>
      </c>
      <c r="C111" s="10">
        <f>3.6982 * CHOOSE(CONTROL!$C$32, $C$9, 100%, $E$9)</f>
        <v>3.6981999999999999</v>
      </c>
      <c r="D111" s="10">
        <f>3.6991 * CHOOSE(CONTROL!$C$32, $C$9, 100%, $E$9)</f>
        <v>3.6991000000000001</v>
      </c>
      <c r="E111" s="9">
        <f>4.226 * CHOOSE(CONTROL!$C$32, $C$9, 100%, $E$9)</f>
        <v>4.226</v>
      </c>
      <c r="F111" s="9">
        <f>4.226 * CHOOSE(CONTROL!$C$32, $C$9, 100%, $E$9)</f>
        <v>4.226</v>
      </c>
      <c r="G111" s="9">
        <f>4.2292 * CHOOSE(CONTROL!$C$32, $C$9, 100%, $E$9)</f>
        <v>4.2291999999999996</v>
      </c>
      <c r="H111" s="9">
        <f>4.5888 * CHOOSE(CONTROL!$C$32, $C$9, 100%, $E$9)</f>
        <v>4.5888</v>
      </c>
      <c r="I111" s="9">
        <f>4.592 * CHOOSE(CONTROL!$C$32, $C$9, 100%, $E$9)</f>
        <v>4.5919999999999996</v>
      </c>
      <c r="J111" s="9">
        <f>4.5888 * CHOOSE(CONTROL!$C$32, $C$9, 100%, $E$9)</f>
        <v>4.5888</v>
      </c>
      <c r="K111" s="9">
        <f>4.592 * CHOOSE(CONTROL!$C$32, $C$9, 100%, $E$9)</f>
        <v>4.5919999999999996</v>
      </c>
      <c r="L111" s="9">
        <f>4.226 * CHOOSE(CONTROL!$C$32, $C$9, 100%, $E$9)</f>
        <v>4.226</v>
      </c>
      <c r="M111" s="9">
        <f>4.2292 * CHOOSE(CONTROL!$C$32, $C$9, 100%, $E$9)</f>
        <v>4.2291999999999996</v>
      </c>
      <c r="N111" s="9">
        <f>4.226 * CHOOSE(CONTROL!$C$32, $C$9, 100%, $E$9)</f>
        <v>4.226</v>
      </c>
      <c r="O111" s="9">
        <f>4.2292 * CHOOSE(CONTROL!$C$32, $C$9, 100%, $E$9)</f>
        <v>4.2291999999999996</v>
      </c>
      <c r="P111" s="17"/>
      <c r="Q111" s="17"/>
      <c r="R111" s="17"/>
    </row>
    <row r="112" spans="1:18" ht="15" x14ac:dyDescent="0.2">
      <c r="A112" s="16">
        <v>43891</v>
      </c>
      <c r="B112" s="10">
        <f>3.6951 * CHOOSE(CONTROL!$C$32, $C$9, 100%, $E$9)</f>
        <v>3.6951000000000001</v>
      </c>
      <c r="C112" s="10">
        <f>3.6951 * CHOOSE(CONTROL!$C$32, $C$9, 100%, $E$9)</f>
        <v>3.6951000000000001</v>
      </c>
      <c r="D112" s="10">
        <f>3.6961 * CHOOSE(CONTROL!$C$32, $C$9, 100%, $E$9)</f>
        <v>3.6960999999999999</v>
      </c>
      <c r="E112" s="9">
        <f>4.2703 * CHOOSE(CONTROL!$C$32, $C$9, 100%, $E$9)</f>
        <v>4.2702999999999998</v>
      </c>
      <c r="F112" s="9">
        <f>4.2703 * CHOOSE(CONTROL!$C$32, $C$9, 100%, $E$9)</f>
        <v>4.2702999999999998</v>
      </c>
      <c r="G112" s="9">
        <f>4.2735 * CHOOSE(CONTROL!$C$32, $C$9, 100%, $E$9)</f>
        <v>4.2735000000000003</v>
      </c>
      <c r="H112" s="9">
        <f>4.5868 * CHOOSE(CONTROL!$C$32, $C$9, 100%, $E$9)</f>
        <v>4.5868000000000002</v>
      </c>
      <c r="I112" s="9">
        <f>4.59 * CHOOSE(CONTROL!$C$32, $C$9, 100%, $E$9)</f>
        <v>4.59</v>
      </c>
      <c r="J112" s="9">
        <f>4.5868 * CHOOSE(CONTROL!$C$32, $C$9, 100%, $E$9)</f>
        <v>4.5868000000000002</v>
      </c>
      <c r="K112" s="9">
        <f>4.59 * CHOOSE(CONTROL!$C$32, $C$9, 100%, $E$9)</f>
        <v>4.59</v>
      </c>
      <c r="L112" s="9">
        <f>4.2703 * CHOOSE(CONTROL!$C$32, $C$9, 100%, $E$9)</f>
        <v>4.2702999999999998</v>
      </c>
      <c r="M112" s="9">
        <f>4.2735 * CHOOSE(CONTROL!$C$32, $C$9, 100%, $E$9)</f>
        <v>4.2735000000000003</v>
      </c>
      <c r="N112" s="9">
        <f>4.2703 * CHOOSE(CONTROL!$C$32, $C$9, 100%, $E$9)</f>
        <v>4.2702999999999998</v>
      </c>
      <c r="O112" s="9">
        <f>4.2735 * CHOOSE(CONTROL!$C$32, $C$9, 100%, $E$9)</f>
        <v>4.2735000000000003</v>
      </c>
      <c r="P112" s="17"/>
      <c r="Q112" s="17"/>
      <c r="R112" s="17"/>
    </row>
    <row r="113" spans="1:18" ht="15" x14ac:dyDescent="0.2">
      <c r="A113" s="16">
        <v>43922</v>
      </c>
      <c r="B113" s="10">
        <f>3.6926 * CHOOSE(CONTROL!$C$32, $C$9, 100%, $E$9)</f>
        <v>3.6926000000000001</v>
      </c>
      <c r="C113" s="10">
        <f>3.6926 * CHOOSE(CONTROL!$C$32, $C$9, 100%, $E$9)</f>
        <v>3.6926000000000001</v>
      </c>
      <c r="D113" s="10">
        <f>3.6935 * CHOOSE(CONTROL!$C$32, $C$9, 100%, $E$9)</f>
        <v>3.6934999999999998</v>
      </c>
      <c r="E113" s="9">
        <f>4.3158 * CHOOSE(CONTROL!$C$32, $C$9, 100%, $E$9)</f>
        <v>4.3158000000000003</v>
      </c>
      <c r="F113" s="9">
        <f>4.3158 * CHOOSE(CONTROL!$C$32, $C$9, 100%, $E$9)</f>
        <v>4.3158000000000003</v>
      </c>
      <c r="G113" s="9">
        <f>4.319 * CHOOSE(CONTROL!$C$32, $C$9, 100%, $E$9)</f>
        <v>4.319</v>
      </c>
      <c r="H113" s="9">
        <f>4.585 * CHOOSE(CONTROL!$C$32, $C$9, 100%, $E$9)</f>
        <v>4.585</v>
      </c>
      <c r="I113" s="9">
        <f>4.5882 * CHOOSE(CONTROL!$C$32, $C$9, 100%, $E$9)</f>
        <v>4.5881999999999996</v>
      </c>
      <c r="J113" s="9">
        <f>4.585 * CHOOSE(CONTROL!$C$32, $C$9, 100%, $E$9)</f>
        <v>4.585</v>
      </c>
      <c r="K113" s="9">
        <f>4.5882 * CHOOSE(CONTROL!$C$32, $C$9, 100%, $E$9)</f>
        <v>4.5881999999999996</v>
      </c>
      <c r="L113" s="9">
        <f>4.3158 * CHOOSE(CONTROL!$C$32, $C$9, 100%, $E$9)</f>
        <v>4.3158000000000003</v>
      </c>
      <c r="M113" s="9">
        <f>4.319 * CHOOSE(CONTROL!$C$32, $C$9, 100%, $E$9)</f>
        <v>4.319</v>
      </c>
      <c r="N113" s="9">
        <f>4.3158 * CHOOSE(CONTROL!$C$32, $C$9, 100%, $E$9)</f>
        <v>4.3158000000000003</v>
      </c>
      <c r="O113" s="9">
        <f>4.319 * CHOOSE(CONTROL!$C$32, $C$9, 100%, $E$9)</f>
        <v>4.319</v>
      </c>
      <c r="P113" s="17"/>
      <c r="Q113" s="17"/>
      <c r="R113" s="17"/>
    </row>
    <row r="114" spans="1:18" ht="15" x14ac:dyDescent="0.2">
      <c r="A114" s="16">
        <v>43952</v>
      </c>
      <c r="B114" s="10">
        <f>3.6926 * CHOOSE(CONTROL!$C$32, $C$9, 100%, $E$9)</f>
        <v>3.6926000000000001</v>
      </c>
      <c r="C114" s="10">
        <f>3.6926 * CHOOSE(CONTROL!$C$32, $C$9, 100%, $E$9)</f>
        <v>3.6926000000000001</v>
      </c>
      <c r="D114" s="10">
        <f>3.6939 * CHOOSE(CONTROL!$C$32, $C$9, 100%, $E$9)</f>
        <v>3.6939000000000002</v>
      </c>
      <c r="E114" s="9">
        <f>4.3345 * CHOOSE(CONTROL!$C$32, $C$9, 100%, $E$9)</f>
        <v>4.3345000000000002</v>
      </c>
      <c r="F114" s="9">
        <f>4.3345 * CHOOSE(CONTROL!$C$32, $C$9, 100%, $E$9)</f>
        <v>4.3345000000000002</v>
      </c>
      <c r="G114" s="9">
        <f>4.3389 * CHOOSE(CONTROL!$C$32, $C$9, 100%, $E$9)</f>
        <v>4.3388999999999998</v>
      </c>
      <c r="H114" s="9">
        <f>4.585 * CHOOSE(CONTROL!$C$32, $C$9, 100%, $E$9)</f>
        <v>4.585</v>
      </c>
      <c r="I114" s="9">
        <f>4.5893 * CHOOSE(CONTROL!$C$32, $C$9, 100%, $E$9)</f>
        <v>4.5892999999999997</v>
      </c>
      <c r="J114" s="9">
        <f>4.585 * CHOOSE(CONTROL!$C$32, $C$9, 100%, $E$9)</f>
        <v>4.585</v>
      </c>
      <c r="K114" s="9">
        <f>4.5893 * CHOOSE(CONTROL!$C$32, $C$9, 100%, $E$9)</f>
        <v>4.5892999999999997</v>
      </c>
      <c r="L114" s="9">
        <f>4.3345 * CHOOSE(CONTROL!$C$32, $C$9, 100%, $E$9)</f>
        <v>4.3345000000000002</v>
      </c>
      <c r="M114" s="9">
        <f>4.3389 * CHOOSE(CONTROL!$C$32, $C$9, 100%, $E$9)</f>
        <v>4.3388999999999998</v>
      </c>
      <c r="N114" s="9">
        <f>4.3345 * CHOOSE(CONTROL!$C$32, $C$9, 100%, $E$9)</f>
        <v>4.3345000000000002</v>
      </c>
      <c r="O114" s="9">
        <f>4.3389 * CHOOSE(CONTROL!$C$32, $C$9, 100%, $E$9)</f>
        <v>4.3388999999999998</v>
      </c>
      <c r="P114" s="17"/>
      <c r="Q114" s="17"/>
      <c r="R114" s="17"/>
    </row>
    <row r="115" spans="1:18" ht="15" x14ac:dyDescent="0.2">
      <c r="A115" s="16">
        <v>43983</v>
      </c>
      <c r="B115" s="10">
        <f>3.6987 * CHOOSE(CONTROL!$C$32, $C$9, 100%, $E$9)</f>
        <v>3.6987000000000001</v>
      </c>
      <c r="C115" s="10">
        <f>3.6987 * CHOOSE(CONTROL!$C$32, $C$9, 100%, $E$9)</f>
        <v>3.6987000000000001</v>
      </c>
      <c r="D115" s="10">
        <f>3.7 * CHOOSE(CONTROL!$C$32, $C$9, 100%, $E$9)</f>
        <v>3.7</v>
      </c>
      <c r="E115" s="9">
        <f>4.3201 * CHOOSE(CONTROL!$C$32, $C$9, 100%, $E$9)</f>
        <v>4.3201000000000001</v>
      </c>
      <c r="F115" s="9">
        <f>4.3201 * CHOOSE(CONTROL!$C$32, $C$9, 100%, $E$9)</f>
        <v>4.3201000000000001</v>
      </c>
      <c r="G115" s="9">
        <f>4.3244 * CHOOSE(CONTROL!$C$32, $C$9, 100%, $E$9)</f>
        <v>4.3243999999999998</v>
      </c>
      <c r="H115" s="9">
        <f>4.589 * CHOOSE(CONTROL!$C$32, $C$9, 100%, $E$9)</f>
        <v>4.5890000000000004</v>
      </c>
      <c r="I115" s="9">
        <f>4.5933 * CHOOSE(CONTROL!$C$32, $C$9, 100%, $E$9)</f>
        <v>4.5933000000000002</v>
      </c>
      <c r="J115" s="9">
        <f>4.589 * CHOOSE(CONTROL!$C$32, $C$9, 100%, $E$9)</f>
        <v>4.5890000000000004</v>
      </c>
      <c r="K115" s="9">
        <f>4.5933 * CHOOSE(CONTROL!$C$32, $C$9, 100%, $E$9)</f>
        <v>4.5933000000000002</v>
      </c>
      <c r="L115" s="9">
        <f>4.3201 * CHOOSE(CONTROL!$C$32, $C$9, 100%, $E$9)</f>
        <v>4.3201000000000001</v>
      </c>
      <c r="M115" s="9">
        <f>4.3244 * CHOOSE(CONTROL!$C$32, $C$9, 100%, $E$9)</f>
        <v>4.3243999999999998</v>
      </c>
      <c r="N115" s="9">
        <f>4.3201 * CHOOSE(CONTROL!$C$32, $C$9, 100%, $E$9)</f>
        <v>4.3201000000000001</v>
      </c>
      <c r="O115" s="9">
        <f>4.3244 * CHOOSE(CONTROL!$C$32, $C$9, 100%, $E$9)</f>
        <v>4.3243999999999998</v>
      </c>
      <c r="P115" s="17"/>
      <c r="Q115" s="17"/>
      <c r="R115" s="17"/>
    </row>
    <row r="116" spans="1:18" ht="15" x14ac:dyDescent="0.2">
      <c r="A116" s="16">
        <v>44013</v>
      </c>
      <c r="B116" s="10">
        <f>3.7654 * CHOOSE(CONTROL!$C$32, $C$9, 100%, $E$9)</f>
        <v>3.7654000000000001</v>
      </c>
      <c r="C116" s="10">
        <f>3.7654 * CHOOSE(CONTROL!$C$32, $C$9, 100%, $E$9)</f>
        <v>3.7654000000000001</v>
      </c>
      <c r="D116" s="10">
        <f>3.7667 * CHOOSE(CONTROL!$C$32, $C$9, 100%, $E$9)</f>
        <v>3.7667000000000002</v>
      </c>
      <c r="E116" s="9">
        <f>4.4408 * CHOOSE(CONTROL!$C$32, $C$9, 100%, $E$9)</f>
        <v>4.4408000000000003</v>
      </c>
      <c r="F116" s="9">
        <f>4.4408 * CHOOSE(CONTROL!$C$32, $C$9, 100%, $E$9)</f>
        <v>4.4408000000000003</v>
      </c>
      <c r="G116" s="9">
        <f>4.4451 * CHOOSE(CONTROL!$C$32, $C$9, 100%, $E$9)</f>
        <v>4.4451000000000001</v>
      </c>
      <c r="H116" s="9">
        <f>4.6825 * CHOOSE(CONTROL!$C$32, $C$9, 100%, $E$9)</f>
        <v>4.6825000000000001</v>
      </c>
      <c r="I116" s="9">
        <f>4.6869 * CHOOSE(CONTROL!$C$32, $C$9, 100%, $E$9)</f>
        <v>4.6868999999999996</v>
      </c>
      <c r="J116" s="9">
        <f>4.6825 * CHOOSE(CONTROL!$C$32, $C$9, 100%, $E$9)</f>
        <v>4.6825000000000001</v>
      </c>
      <c r="K116" s="9">
        <f>4.6869 * CHOOSE(CONTROL!$C$32, $C$9, 100%, $E$9)</f>
        <v>4.6868999999999996</v>
      </c>
      <c r="L116" s="9">
        <f>4.4408 * CHOOSE(CONTROL!$C$32, $C$9, 100%, $E$9)</f>
        <v>4.4408000000000003</v>
      </c>
      <c r="M116" s="9">
        <f>4.4451 * CHOOSE(CONTROL!$C$32, $C$9, 100%, $E$9)</f>
        <v>4.4451000000000001</v>
      </c>
      <c r="N116" s="9">
        <f>4.4408 * CHOOSE(CONTROL!$C$32, $C$9, 100%, $E$9)</f>
        <v>4.4408000000000003</v>
      </c>
      <c r="O116" s="9">
        <f>4.4451 * CHOOSE(CONTROL!$C$32, $C$9, 100%, $E$9)</f>
        <v>4.4451000000000001</v>
      </c>
      <c r="P116" s="17"/>
      <c r="Q116" s="17"/>
      <c r="R116" s="17"/>
    </row>
    <row r="117" spans="1:18" ht="15" x14ac:dyDescent="0.2">
      <c r="A117" s="16">
        <v>44044</v>
      </c>
      <c r="B117" s="10">
        <f>3.7721 * CHOOSE(CONTROL!$C$32, $C$9, 100%, $E$9)</f>
        <v>3.7721</v>
      </c>
      <c r="C117" s="10">
        <f>3.7721 * CHOOSE(CONTROL!$C$32, $C$9, 100%, $E$9)</f>
        <v>3.7721</v>
      </c>
      <c r="D117" s="10">
        <f>3.7734 * CHOOSE(CONTROL!$C$32, $C$9, 100%, $E$9)</f>
        <v>3.7734000000000001</v>
      </c>
      <c r="E117" s="9">
        <f>4.3894 * CHOOSE(CONTROL!$C$32, $C$9, 100%, $E$9)</f>
        <v>4.3894000000000002</v>
      </c>
      <c r="F117" s="9">
        <f>4.3894 * CHOOSE(CONTROL!$C$32, $C$9, 100%, $E$9)</f>
        <v>4.3894000000000002</v>
      </c>
      <c r="G117" s="9">
        <f>4.3938 * CHOOSE(CONTROL!$C$32, $C$9, 100%, $E$9)</f>
        <v>4.3937999999999997</v>
      </c>
      <c r="H117" s="9">
        <f>4.6869 * CHOOSE(CONTROL!$C$32, $C$9, 100%, $E$9)</f>
        <v>4.6868999999999996</v>
      </c>
      <c r="I117" s="9">
        <f>4.6913 * CHOOSE(CONTROL!$C$32, $C$9, 100%, $E$9)</f>
        <v>4.6913</v>
      </c>
      <c r="J117" s="9">
        <f>4.6869 * CHOOSE(CONTROL!$C$32, $C$9, 100%, $E$9)</f>
        <v>4.6868999999999996</v>
      </c>
      <c r="K117" s="9">
        <f>4.6913 * CHOOSE(CONTROL!$C$32, $C$9, 100%, $E$9)</f>
        <v>4.6913</v>
      </c>
      <c r="L117" s="9">
        <f>4.3894 * CHOOSE(CONTROL!$C$32, $C$9, 100%, $E$9)</f>
        <v>4.3894000000000002</v>
      </c>
      <c r="M117" s="9">
        <f>4.3938 * CHOOSE(CONTROL!$C$32, $C$9, 100%, $E$9)</f>
        <v>4.3937999999999997</v>
      </c>
      <c r="N117" s="9">
        <f>4.3894 * CHOOSE(CONTROL!$C$32, $C$9, 100%, $E$9)</f>
        <v>4.3894000000000002</v>
      </c>
      <c r="O117" s="9">
        <f>4.3938 * CHOOSE(CONTROL!$C$32, $C$9, 100%, $E$9)</f>
        <v>4.3937999999999997</v>
      </c>
      <c r="P117" s="17"/>
      <c r="Q117" s="17"/>
      <c r="R117" s="17"/>
    </row>
    <row r="118" spans="1:18" ht="15" x14ac:dyDescent="0.2">
      <c r="A118" s="16">
        <v>44075</v>
      </c>
      <c r="B118" s="10">
        <f>3.7691 * CHOOSE(CONTROL!$C$32, $C$9, 100%, $E$9)</f>
        <v>3.7690999999999999</v>
      </c>
      <c r="C118" s="10">
        <f>3.7691 * CHOOSE(CONTROL!$C$32, $C$9, 100%, $E$9)</f>
        <v>3.7690999999999999</v>
      </c>
      <c r="D118" s="10">
        <f>3.7704 * CHOOSE(CONTROL!$C$32, $C$9, 100%, $E$9)</f>
        <v>3.7704</v>
      </c>
      <c r="E118" s="9">
        <f>4.381 * CHOOSE(CONTROL!$C$32, $C$9, 100%, $E$9)</f>
        <v>4.3810000000000002</v>
      </c>
      <c r="F118" s="9">
        <f>4.381 * CHOOSE(CONTROL!$C$32, $C$9, 100%, $E$9)</f>
        <v>4.3810000000000002</v>
      </c>
      <c r="G118" s="9">
        <f>4.3854 * CHOOSE(CONTROL!$C$32, $C$9, 100%, $E$9)</f>
        <v>4.3853999999999997</v>
      </c>
      <c r="H118" s="9">
        <f>4.6849 * CHOOSE(CONTROL!$C$32, $C$9, 100%, $E$9)</f>
        <v>4.6848999999999998</v>
      </c>
      <c r="I118" s="9">
        <f>4.6893 * CHOOSE(CONTROL!$C$32, $C$9, 100%, $E$9)</f>
        <v>4.6893000000000002</v>
      </c>
      <c r="J118" s="9">
        <f>4.6849 * CHOOSE(CONTROL!$C$32, $C$9, 100%, $E$9)</f>
        <v>4.6848999999999998</v>
      </c>
      <c r="K118" s="9">
        <f>4.6893 * CHOOSE(CONTROL!$C$32, $C$9, 100%, $E$9)</f>
        <v>4.6893000000000002</v>
      </c>
      <c r="L118" s="9">
        <f>4.381 * CHOOSE(CONTROL!$C$32, $C$9, 100%, $E$9)</f>
        <v>4.3810000000000002</v>
      </c>
      <c r="M118" s="9">
        <f>4.3854 * CHOOSE(CONTROL!$C$32, $C$9, 100%, $E$9)</f>
        <v>4.3853999999999997</v>
      </c>
      <c r="N118" s="9">
        <f>4.381 * CHOOSE(CONTROL!$C$32, $C$9, 100%, $E$9)</f>
        <v>4.3810000000000002</v>
      </c>
      <c r="O118" s="9">
        <f>4.3854 * CHOOSE(CONTROL!$C$32, $C$9, 100%, $E$9)</f>
        <v>4.3853999999999997</v>
      </c>
      <c r="P118" s="17"/>
      <c r="Q118" s="17"/>
      <c r="R118" s="17"/>
    </row>
    <row r="119" spans="1:18" ht="15" x14ac:dyDescent="0.2">
      <c r="A119" s="16">
        <v>44105</v>
      </c>
      <c r="B119" s="10">
        <f>3.7636 * CHOOSE(CONTROL!$C$32, $C$9, 100%, $E$9)</f>
        <v>3.7635999999999998</v>
      </c>
      <c r="C119" s="10">
        <f>3.7636 * CHOOSE(CONTROL!$C$32, $C$9, 100%, $E$9)</f>
        <v>3.7635999999999998</v>
      </c>
      <c r="D119" s="10">
        <f>3.7645 * CHOOSE(CONTROL!$C$32, $C$9, 100%, $E$9)</f>
        <v>3.7645</v>
      </c>
      <c r="E119" s="9">
        <f>4.3925 * CHOOSE(CONTROL!$C$32, $C$9, 100%, $E$9)</f>
        <v>4.3925000000000001</v>
      </c>
      <c r="F119" s="9">
        <f>4.3925 * CHOOSE(CONTROL!$C$32, $C$9, 100%, $E$9)</f>
        <v>4.3925000000000001</v>
      </c>
      <c r="G119" s="9">
        <f>4.3957 * CHOOSE(CONTROL!$C$32, $C$9, 100%, $E$9)</f>
        <v>4.3956999999999997</v>
      </c>
      <c r="H119" s="9">
        <f>4.6808 * CHOOSE(CONTROL!$C$32, $C$9, 100%, $E$9)</f>
        <v>4.6807999999999996</v>
      </c>
      <c r="I119" s="9">
        <f>4.684 * CHOOSE(CONTROL!$C$32, $C$9, 100%, $E$9)</f>
        <v>4.6840000000000002</v>
      </c>
      <c r="J119" s="9">
        <f>4.6808 * CHOOSE(CONTROL!$C$32, $C$9, 100%, $E$9)</f>
        <v>4.6807999999999996</v>
      </c>
      <c r="K119" s="9">
        <f>4.684 * CHOOSE(CONTROL!$C$32, $C$9, 100%, $E$9)</f>
        <v>4.6840000000000002</v>
      </c>
      <c r="L119" s="9">
        <f>4.3925 * CHOOSE(CONTROL!$C$32, $C$9, 100%, $E$9)</f>
        <v>4.3925000000000001</v>
      </c>
      <c r="M119" s="9">
        <f>4.3957 * CHOOSE(CONTROL!$C$32, $C$9, 100%, $E$9)</f>
        <v>4.3956999999999997</v>
      </c>
      <c r="N119" s="9">
        <f>4.3925 * CHOOSE(CONTROL!$C$32, $C$9, 100%, $E$9)</f>
        <v>4.3925000000000001</v>
      </c>
      <c r="O119" s="9">
        <f>4.3957 * CHOOSE(CONTROL!$C$32, $C$9, 100%, $E$9)</f>
        <v>4.3956999999999997</v>
      </c>
      <c r="P119" s="17"/>
      <c r="Q119" s="17"/>
      <c r="R119" s="17"/>
    </row>
    <row r="120" spans="1:18" ht="15" x14ac:dyDescent="0.2">
      <c r="A120" s="16">
        <v>44136</v>
      </c>
      <c r="B120" s="10">
        <f>3.7666 * CHOOSE(CONTROL!$C$32, $C$9, 100%, $E$9)</f>
        <v>3.7665999999999999</v>
      </c>
      <c r="C120" s="10">
        <f>3.7666 * CHOOSE(CONTROL!$C$32, $C$9, 100%, $E$9)</f>
        <v>3.7665999999999999</v>
      </c>
      <c r="D120" s="10">
        <f>3.7676 * CHOOSE(CONTROL!$C$32, $C$9, 100%, $E$9)</f>
        <v>3.7675999999999998</v>
      </c>
      <c r="E120" s="9">
        <f>4.4071 * CHOOSE(CONTROL!$C$32, $C$9, 100%, $E$9)</f>
        <v>4.4070999999999998</v>
      </c>
      <c r="F120" s="9">
        <f>4.4071 * CHOOSE(CONTROL!$C$32, $C$9, 100%, $E$9)</f>
        <v>4.4070999999999998</v>
      </c>
      <c r="G120" s="9">
        <f>4.4103 * CHOOSE(CONTROL!$C$32, $C$9, 100%, $E$9)</f>
        <v>4.4103000000000003</v>
      </c>
      <c r="H120" s="9">
        <f>4.6828 * CHOOSE(CONTROL!$C$32, $C$9, 100%, $E$9)</f>
        <v>4.6828000000000003</v>
      </c>
      <c r="I120" s="9">
        <f>4.686 * CHOOSE(CONTROL!$C$32, $C$9, 100%, $E$9)</f>
        <v>4.6859999999999999</v>
      </c>
      <c r="J120" s="9">
        <f>4.6828 * CHOOSE(CONTROL!$C$32, $C$9, 100%, $E$9)</f>
        <v>4.6828000000000003</v>
      </c>
      <c r="K120" s="9">
        <f>4.686 * CHOOSE(CONTROL!$C$32, $C$9, 100%, $E$9)</f>
        <v>4.6859999999999999</v>
      </c>
      <c r="L120" s="9">
        <f>4.4071 * CHOOSE(CONTROL!$C$32, $C$9, 100%, $E$9)</f>
        <v>4.4070999999999998</v>
      </c>
      <c r="M120" s="9">
        <f>4.4103 * CHOOSE(CONTROL!$C$32, $C$9, 100%, $E$9)</f>
        <v>4.4103000000000003</v>
      </c>
      <c r="N120" s="9">
        <f>4.4071 * CHOOSE(CONTROL!$C$32, $C$9, 100%, $E$9)</f>
        <v>4.4070999999999998</v>
      </c>
      <c r="O120" s="9">
        <f>4.4103 * CHOOSE(CONTROL!$C$32, $C$9, 100%, $E$9)</f>
        <v>4.4103000000000003</v>
      </c>
      <c r="P120" s="17"/>
      <c r="Q120" s="17"/>
      <c r="R120" s="17"/>
    </row>
    <row r="121" spans="1:18" ht="15" x14ac:dyDescent="0.2">
      <c r="A121" s="16">
        <v>44166</v>
      </c>
      <c r="B121" s="10">
        <f>3.7666 * CHOOSE(CONTROL!$C$32, $C$9, 100%, $E$9)</f>
        <v>3.7665999999999999</v>
      </c>
      <c r="C121" s="10">
        <f>3.7666 * CHOOSE(CONTROL!$C$32, $C$9, 100%, $E$9)</f>
        <v>3.7665999999999999</v>
      </c>
      <c r="D121" s="10">
        <f>3.7676 * CHOOSE(CONTROL!$C$32, $C$9, 100%, $E$9)</f>
        <v>3.7675999999999998</v>
      </c>
      <c r="E121" s="9">
        <f>4.376 * CHOOSE(CONTROL!$C$32, $C$9, 100%, $E$9)</f>
        <v>4.3760000000000003</v>
      </c>
      <c r="F121" s="9">
        <f>4.376 * CHOOSE(CONTROL!$C$32, $C$9, 100%, $E$9)</f>
        <v>4.3760000000000003</v>
      </c>
      <c r="G121" s="9">
        <f>4.3792 * CHOOSE(CONTROL!$C$32, $C$9, 100%, $E$9)</f>
        <v>4.3792</v>
      </c>
      <c r="H121" s="9">
        <f>4.6828 * CHOOSE(CONTROL!$C$32, $C$9, 100%, $E$9)</f>
        <v>4.6828000000000003</v>
      </c>
      <c r="I121" s="9">
        <f>4.686 * CHOOSE(CONTROL!$C$32, $C$9, 100%, $E$9)</f>
        <v>4.6859999999999999</v>
      </c>
      <c r="J121" s="9">
        <f>4.6828 * CHOOSE(CONTROL!$C$32, $C$9, 100%, $E$9)</f>
        <v>4.6828000000000003</v>
      </c>
      <c r="K121" s="9">
        <f>4.686 * CHOOSE(CONTROL!$C$32, $C$9, 100%, $E$9)</f>
        <v>4.6859999999999999</v>
      </c>
      <c r="L121" s="9">
        <f>4.376 * CHOOSE(CONTROL!$C$32, $C$9, 100%, $E$9)</f>
        <v>4.3760000000000003</v>
      </c>
      <c r="M121" s="9">
        <f>4.3792 * CHOOSE(CONTROL!$C$32, $C$9, 100%, $E$9)</f>
        <v>4.3792</v>
      </c>
      <c r="N121" s="9">
        <f>4.376 * CHOOSE(CONTROL!$C$32, $C$9, 100%, $E$9)</f>
        <v>4.3760000000000003</v>
      </c>
      <c r="O121" s="9">
        <f>4.3792 * CHOOSE(CONTROL!$C$32, $C$9, 100%, $E$9)</f>
        <v>4.3792</v>
      </c>
      <c r="P121" s="17"/>
      <c r="Q121" s="17"/>
      <c r="R121" s="17"/>
    </row>
    <row r="122" spans="1:18" ht="15" x14ac:dyDescent="0.2">
      <c r="A122" s="16">
        <v>44197</v>
      </c>
      <c r="B122" s="10">
        <f>3.7938 * CHOOSE(CONTROL!$C$32, $C$9, 100%, $E$9)</f>
        <v>3.7938000000000001</v>
      </c>
      <c r="C122" s="10">
        <f>3.7938 * CHOOSE(CONTROL!$C$32, $C$9, 100%, $E$9)</f>
        <v>3.7938000000000001</v>
      </c>
      <c r="D122" s="10">
        <f>3.7947 * CHOOSE(CONTROL!$C$32, $C$9, 100%, $E$9)</f>
        <v>3.7947000000000002</v>
      </c>
      <c r="E122" s="9">
        <f>4.3937 * CHOOSE(CONTROL!$C$32, $C$9, 100%, $E$9)</f>
        <v>4.3936999999999999</v>
      </c>
      <c r="F122" s="9">
        <f>4.3937 * CHOOSE(CONTROL!$C$32, $C$9, 100%, $E$9)</f>
        <v>4.3936999999999999</v>
      </c>
      <c r="G122" s="9">
        <f>4.3969 * CHOOSE(CONTROL!$C$32, $C$9, 100%, $E$9)</f>
        <v>4.3968999999999996</v>
      </c>
      <c r="H122" s="9">
        <f>4.7106 * CHOOSE(CONTROL!$C$32, $C$9, 100%, $E$9)</f>
        <v>4.7106000000000003</v>
      </c>
      <c r="I122" s="9">
        <f>4.7138 * CHOOSE(CONTROL!$C$32, $C$9, 100%, $E$9)</f>
        <v>4.7138</v>
      </c>
      <c r="J122" s="9">
        <f>4.7106 * CHOOSE(CONTROL!$C$32, $C$9, 100%, $E$9)</f>
        <v>4.7106000000000003</v>
      </c>
      <c r="K122" s="9">
        <f>4.7138 * CHOOSE(CONTROL!$C$32, $C$9, 100%, $E$9)</f>
        <v>4.7138</v>
      </c>
      <c r="L122" s="9">
        <f>4.3937 * CHOOSE(CONTROL!$C$32, $C$9, 100%, $E$9)</f>
        <v>4.3936999999999999</v>
      </c>
      <c r="M122" s="9">
        <f>4.3969 * CHOOSE(CONTROL!$C$32, $C$9, 100%, $E$9)</f>
        <v>4.3968999999999996</v>
      </c>
      <c r="N122" s="9">
        <f>4.3937 * CHOOSE(CONTROL!$C$32, $C$9, 100%, $E$9)</f>
        <v>4.3936999999999999</v>
      </c>
      <c r="O122" s="9">
        <f>4.3969 * CHOOSE(CONTROL!$C$32, $C$9, 100%, $E$9)</f>
        <v>4.3968999999999996</v>
      </c>
      <c r="P122" s="17"/>
      <c r="Q122" s="17"/>
      <c r="R122" s="17"/>
    </row>
    <row r="123" spans="1:18" ht="15" x14ac:dyDescent="0.2">
      <c r="A123" s="16">
        <v>44228</v>
      </c>
      <c r="B123" s="10">
        <f>3.7907 * CHOOSE(CONTROL!$C$32, $C$9, 100%, $E$9)</f>
        <v>3.7907000000000002</v>
      </c>
      <c r="C123" s="10">
        <f>3.7907 * CHOOSE(CONTROL!$C$32, $C$9, 100%, $E$9)</f>
        <v>3.7907000000000002</v>
      </c>
      <c r="D123" s="10">
        <f>3.7917 * CHOOSE(CONTROL!$C$32, $C$9, 100%, $E$9)</f>
        <v>3.7917000000000001</v>
      </c>
      <c r="E123" s="9">
        <f>4.3314 * CHOOSE(CONTROL!$C$32, $C$9, 100%, $E$9)</f>
        <v>4.3314000000000004</v>
      </c>
      <c r="F123" s="9">
        <f>4.3314 * CHOOSE(CONTROL!$C$32, $C$9, 100%, $E$9)</f>
        <v>4.3314000000000004</v>
      </c>
      <c r="G123" s="9">
        <f>4.3346 * CHOOSE(CONTROL!$C$32, $C$9, 100%, $E$9)</f>
        <v>4.3346</v>
      </c>
      <c r="H123" s="9">
        <f>4.7086 * CHOOSE(CONTROL!$C$32, $C$9, 100%, $E$9)</f>
        <v>4.7085999999999997</v>
      </c>
      <c r="I123" s="9">
        <f>4.7118 * CHOOSE(CONTROL!$C$32, $C$9, 100%, $E$9)</f>
        <v>4.7118000000000002</v>
      </c>
      <c r="J123" s="9">
        <f>4.7086 * CHOOSE(CONTROL!$C$32, $C$9, 100%, $E$9)</f>
        <v>4.7085999999999997</v>
      </c>
      <c r="K123" s="9">
        <f>4.7118 * CHOOSE(CONTROL!$C$32, $C$9, 100%, $E$9)</f>
        <v>4.7118000000000002</v>
      </c>
      <c r="L123" s="9">
        <f>4.3314 * CHOOSE(CONTROL!$C$32, $C$9, 100%, $E$9)</f>
        <v>4.3314000000000004</v>
      </c>
      <c r="M123" s="9">
        <f>4.3346 * CHOOSE(CONTROL!$C$32, $C$9, 100%, $E$9)</f>
        <v>4.3346</v>
      </c>
      <c r="N123" s="9">
        <f>4.3314 * CHOOSE(CONTROL!$C$32, $C$9, 100%, $E$9)</f>
        <v>4.3314000000000004</v>
      </c>
      <c r="O123" s="9">
        <f>4.3346 * CHOOSE(CONTROL!$C$32, $C$9, 100%, $E$9)</f>
        <v>4.3346</v>
      </c>
      <c r="P123" s="17"/>
      <c r="Q123" s="17"/>
      <c r="R123" s="17"/>
    </row>
    <row r="124" spans="1:18" ht="15" x14ac:dyDescent="0.2">
      <c r="A124" s="16">
        <v>44256</v>
      </c>
      <c r="B124" s="10">
        <f>3.7877 * CHOOSE(CONTROL!$C$32, $C$9, 100%, $E$9)</f>
        <v>3.7877000000000001</v>
      </c>
      <c r="C124" s="10">
        <f>3.7877 * CHOOSE(CONTROL!$C$32, $C$9, 100%, $E$9)</f>
        <v>3.7877000000000001</v>
      </c>
      <c r="D124" s="10">
        <f>3.7886 * CHOOSE(CONTROL!$C$32, $C$9, 100%, $E$9)</f>
        <v>3.7886000000000002</v>
      </c>
      <c r="E124" s="9">
        <f>4.3767 * CHOOSE(CONTROL!$C$32, $C$9, 100%, $E$9)</f>
        <v>4.3766999999999996</v>
      </c>
      <c r="F124" s="9">
        <f>4.3767 * CHOOSE(CONTROL!$C$32, $C$9, 100%, $E$9)</f>
        <v>4.3766999999999996</v>
      </c>
      <c r="G124" s="9">
        <f>4.3799 * CHOOSE(CONTROL!$C$32, $C$9, 100%, $E$9)</f>
        <v>4.3799000000000001</v>
      </c>
      <c r="H124" s="9">
        <f>4.7066 * CHOOSE(CONTROL!$C$32, $C$9, 100%, $E$9)</f>
        <v>4.7065999999999999</v>
      </c>
      <c r="I124" s="9">
        <f>4.7098 * CHOOSE(CONTROL!$C$32, $C$9, 100%, $E$9)</f>
        <v>4.7098000000000004</v>
      </c>
      <c r="J124" s="9">
        <f>4.7066 * CHOOSE(CONTROL!$C$32, $C$9, 100%, $E$9)</f>
        <v>4.7065999999999999</v>
      </c>
      <c r="K124" s="9">
        <f>4.7098 * CHOOSE(CONTROL!$C$32, $C$9, 100%, $E$9)</f>
        <v>4.7098000000000004</v>
      </c>
      <c r="L124" s="9">
        <f>4.3767 * CHOOSE(CONTROL!$C$32, $C$9, 100%, $E$9)</f>
        <v>4.3766999999999996</v>
      </c>
      <c r="M124" s="9">
        <f>4.3799 * CHOOSE(CONTROL!$C$32, $C$9, 100%, $E$9)</f>
        <v>4.3799000000000001</v>
      </c>
      <c r="N124" s="9">
        <f>4.3767 * CHOOSE(CONTROL!$C$32, $C$9, 100%, $E$9)</f>
        <v>4.3766999999999996</v>
      </c>
      <c r="O124" s="9">
        <f>4.3799 * CHOOSE(CONTROL!$C$32, $C$9, 100%, $E$9)</f>
        <v>4.3799000000000001</v>
      </c>
      <c r="P124" s="17"/>
      <c r="Q124" s="17"/>
      <c r="R124" s="17"/>
    </row>
    <row r="125" spans="1:18" ht="15" x14ac:dyDescent="0.2">
      <c r="A125" s="16">
        <v>44287</v>
      </c>
      <c r="B125" s="10">
        <f>3.7852 * CHOOSE(CONTROL!$C$32, $C$9, 100%, $E$9)</f>
        <v>3.7852000000000001</v>
      </c>
      <c r="C125" s="10">
        <f>3.7852 * CHOOSE(CONTROL!$C$32, $C$9, 100%, $E$9)</f>
        <v>3.7852000000000001</v>
      </c>
      <c r="D125" s="10">
        <f>3.7862 * CHOOSE(CONTROL!$C$32, $C$9, 100%, $E$9)</f>
        <v>3.7862</v>
      </c>
      <c r="E125" s="9">
        <f>4.4234 * CHOOSE(CONTROL!$C$32, $C$9, 100%, $E$9)</f>
        <v>4.4234</v>
      </c>
      <c r="F125" s="9">
        <f>4.4234 * CHOOSE(CONTROL!$C$32, $C$9, 100%, $E$9)</f>
        <v>4.4234</v>
      </c>
      <c r="G125" s="9">
        <f>4.4266 * CHOOSE(CONTROL!$C$32, $C$9, 100%, $E$9)</f>
        <v>4.4265999999999996</v>
      </c>
      <c r="H125" s="9">
        <f>4.7049 * CHOOSE(CONTROL!$C$32, $C$9, 100%, $E$9)</f>
        <v>4.7049000000000003</v>
      </c>
      <c r="I125" s="9">
        <f>4.7081 * CHOOSE(CONTROL!$C$32, $C$9, 100%, $E$9)</f>
        <v>4.7081</v>
      </c>
      <c r="J125" s="9">
        <f>4.7049 * CHOOSE(CONTROL!$C$32, $C$9, 100%, $E$9)</f>
        <v>4.7049000000000003</v>
      </c>
      <c r="K125" s="9">
        <f>4.7081 * CHOOSE(CONTROL!$C$32, $C$9, 100%, $E$9)</f>
        <v>4.7081</v>
      </c>
      <c r="L125" s="9">
        <f>4.4234 * CHOOSE(CONTROL!$C$32, $C$9, 100%, $E$9)</f>
        <v>4.4234</v>
      </c>
      <c r="M125" s="9">
        <f>4.4266 * CHOOSE(CONTROL!$C$32, $C$9, 100%, $E$9)</f>
        <v>4.4265999999999996</v>
      </c>
      <c r="N125" s="9">
        <f>4.4234 * CHOOSE(CONTROL!$C$32, $C$9, 100%, $E$9)</f>
        <v>4.4234</v>
      </c>
      <c r="O125" s="9">
        <f>4.4266 * CHOOSE(CONTROL!$C$32, $C$9, 100%, $E$9)</f>
        <v>4.4265999999999996</v>
      </c>
      <c r="P125" s="17"/>
      <c r="Q125" s="17"/>
      <c r="R125" s="17"/>
    </row>
    <row r="126" spans="1:18" ht="15" x14ac:dyDescent="0.2">
      <c r="A126" s="16">
        <v>44317</v>
      </c>
      <c r="B126" s="10">
        <f>3.7852 * CHOOSE(CONTROL!$C$32, $C$9, 100%, $E$9)</f>
        <v>3.7852000000000001</v>
      </c>
      <c r="C126" s="10">
        <f>3.7852 * CHOOSE(CONTROL!$C$32, $C$9, 100%, $E$9)</f>
        <v>3.7852000000000001</v>
      </c>
      <c r="D126" s="10">
        <f>3.7865 * CHOOSE(CONTROL!$C$32, $C$9, 100%, $E$9)</f>
        <v>3.7865000000000002</v>
      </c>
      <c r="E126" s="9">
        <f>4.4425 * CHOOSE(CONTROL!$C$32, $C$9, 100%, $E$9)</f>
        <v>4.4424999999999999</v>
      </c>
      <c r="F126" s="9">
        <f>4.4425 * CHOOSE(CONTROL!$C$32, $C$9, 100%, $E$9)</f>
        <v>4.4424999999999999</v>
      </c>
      <c r="G126" s="9">
        <f>4.4469 * CHOOSE(CONTROL!$C$32, $C$9, 100%, $E$9)</f>
        <v>4.4469000000000003</v>
      </c>
      <c r="H126" s="9">
        <f>4.7049 * CHOOSE(CONTROL!$C$32, $C$9, 100%, $E$9)</f>
        <v>4.7049000000000003</v>
      </c>
      <c r="I126" s="9">
        <f>4.7092 * CHOOSE(CONTROL!$C$32, $C$9, 100%, $E$9)</f>
        <v>4.7092000000000001</v>
      </c>
      <c r="J126" s="9">
        <f>4.7049 * CHOOSE(CONTROL!$C$32, $C$9, 100%, $E$9)</f>
        <v>4.7049000000000003</v>
      </c>
      <c r="K126" s="9">
        <f>4.7092 * CHOOSE(CONTROL!$C$32, $C$9, 100%, $E$9)</f>
        <v>4.7092000000000001</v>
      </c>
      <c r="L126" s="9">
        <f>4.4425 * CHOOSE(CONTROL!$C$32, $C$9, 100%, $E$9)</f>
        <v>4.4424999999999999</v>
      </c>
      <c r="M126" s="9">
        <f>4.4469 * CHOOSE(CONTROL!$C$32, $C$9, 100%, $E$9)</f>
        <v>4.4469000000000003</v>
      </c>
      <c r="N126" s="9">
        <f>4.4425 * CHOOSE(CONTROL!$C$32, $C$9, 100%, $E$9)</f>
        <v>4.4424999999999999</v>
      </c>
      <c r="O126" s="9">
        <f>4.4469 * CHOOSE(CONTROL!$C$32, $C$9, 100%, $E$9)</f>
        <v>4.4469000000000003</v>
      </c>
      <c r="P126" s="17"/>
      <c r="Q126" s="17"/>
      <c r="R126" s="17"/>
    </row>
    <row r="127" spans="1:18" ht="15" x14ac:dyDescent="0.2">
      <c r="A127" s="16">
        <v>44348</v>
      </c>
      <c r="B127" s="10">
        <f>3.7913 * CHOOSE(CONTROL!$C$32, $C$9, 100%, $E$9)</f>
        <v>3.7913000000000001</v>
      </c>
      <c r="C127" s="10">
        <f>3.7913 * CHOOSE(CONTROL!$C$32, $C$9, 100%, $E$9)</f>
        <v>3.7913000000000001</v>
      </c>
      <c r="D127" s="10">
        <f>3.7926 * CHOOSE(CONTROL!$C$32, $C$9, 100%, $E$9)</f>
        <v>3.7926000000000002</v>
      </c>
      <c r="E127" s="9">
        <f>4.4277 * CHOOSE(CONTROL!$C$32, $C$9, 100%, $E$9)</f>
        <v>4.4276999999999997</v>
      </c>
      <c r="F127" s="9">
        <f>4.4277 * CHOOSE(CONTROL!$C$32, $C$9, 100%, $E$9)</f>
        <v>4.4276999999999997</v>
      </c>
      <c r="G127" s="9">
        <f>4.432 * CHOOSE(CONTROL!$C$32, $C$9, 100%, $E$9)</f>
        <v>4.4320000000000004</v>
      </c>
      <c r="H127" s="9">
        <f>4.7089 * CHOOSE(CONTROL!$C$32, $C$9, 100%, $E$9)</f>
        <v>4.7088999999999999</v>
      </c>
      <c r="I127" s="9">
        <f>4.7132 * CHOOSE(CONTROL!$C$32, $C$9, 100%, $E$9)</f>
        <v>4.7131999999999996</v>
      </c>
      <c r="J127" s="9">
        <f>4.7089 * CHOOSE(CONTROL!$C$32, $C$9, 100%, $E$9)</f>
        <v>4.7088999999999999</v>
      </c>
      <c r="K127" s="9">
        <f>4.7132 * CHOOSE(CONTROL!$C$32, $C$9, 100%, $E$9)</f>
        <v>4.7131999999999996</v>
      </c>
      <c r="L127" s="9">
        <f>4.4277 * CHOOSE(CONTROL!$C$32, $C$9, 100%, $E$9)</f>
        <v>4.4276999999999997</v>
      </c>
      <c r="M127" s="9">
        <f>4.432 * CHOOSE(CONTROL!$C$32, $C$9, 100%, $E$9)</f>
        <v>4.4320000000000004</v>
      </c>
      <c r="N127" s="9">
        <f>4.4277 * CHOOSE(CONTROL!$C$32, $C$9, 100%, $E$9)</f>
        <v>4.4276999999999997</v>
      </c>
      <c r="O127" s="9">
        <f>4.432 * CHOOSE(CONTROL!$C$32, $C$9, 100%, $E$9)</f>
        <v>4.4320000000000004</v>
      </c>
      <c r="P127" s="17"/>
      <c r="Q127" s="17"/>
      <c r="R127" s="17"/>
    </row>
    <row r="128" spans="1:18" ht="15" x14ac:dyDescent="0.2">
      <c r="A128" s="16">
        <v>44378</v>
      </c>
      <c r="B128" s="10">
        <f>3.8402 * CHOOSE(CONTROL!$C$32, $C$9, 100%, $E$9)</f>
        <v>3.8401999999999998</v>
      </c>
      <c r="C128" s="10">
        <f>3.8402 * CHOOSE(CONTROL!$C$32, $C$9, 100%, $E$9)</f>
        <v>3.8401999999999998</v>
      </c>
      <c r="D128" s="10">
        <f>3.8415 * CHOOSE(CONTROL!$C$32, $C$9, 100%, $E$9)</f>
        <v>3.8414999999999999</v>
      </c>
      <c r="E128" s="9">
        <f>4.4142 * CHOOSE(CONTROL!$C$32, $C$9, 100%, $E$9)</f>
        <v>4.4142000000000001</v>
      </c>
      <c r="F128" s="9">
        <f>4.4142 * CHOOSE(CONTROL!$C$32, $C$9, 100%, $E$9)</f>
        <v>4.4142000000000001</v>
      </c>
      <c r="G128" s="9">
        <f>4.4186 * CHOOSE(CONTROL!$C$32, $C$9, 100%, $E$9)</f>
        <v>4.4185999999999996</v>
      </c>
      <c r="H128" s="9">
        <f>4.7662 * CHOOSE(CONTROL!$C$32, $C$9, 100%, $E$9)</f>
        <v>4.7662000000000004</v>
      </c>
      <c r="I128" s="9">
        <f>4.7706 * CHOOSE(CONTROL!$C$32, $C$9, 100%, $E$9)</f>
        <v>4.7706</v>
      </c>
      <c r="J128" s="9">
        <f>4.7662 * CHOOSE(CONTROL!$C$32, $C$9, 100%, $E$9)</f>
        <v>4.7662000000000004</v>
      </c>
      <c r="K128" s="9">
        <f>4.7706 * CHOOSE(CONTROL!$C$32, $C$9, 100%, $E$9)</f>
        <v>4.7706</v>
      </c>
      <c r="L128" s="9">
        <f>4.4142 * CHOOSE(CONTROL!$C$32, $C$9, 100%, $E$9)</f>
        <v>4.4142000000000001</v>
      </c>
      <c r="M128" s="9">
        <f>4.4186 * CHOOSE(CONTROL!$C$32, $C$9, 100%, $E$9)</f>
        <v>4.4185999999999996</v>
      </c>
      <c r="N128" s="9">
        <f>4.4142 * CHOOSE(CONTROL!$C$32, $C$9, 100%, $E$9)</f>
        <v>4.4142000000000001</v>
      </c>
      <c r="O128" s="9">
        <f>4.4186 * CHOOSE(CONTROL!$C$32, $C$9, 100%, $E$9)</f>
        <v>4.4185999999999996</v>
      </c>
      <c r="P128" s="17"/>
      <c r="Q128" s="17"/>
      <c r="R128" s="17"/>
    </row>
    <row r="129" spans="1:18" ht="15" x14ac:dyDescent="0.2">
      <c r="A129" s="16">
        <v>44409</v>
      </c>
      <c r="B129" s="10">
        <f>3.8469 * CHOOSE(CONTROL!$C$32, $C$9, 100%, $E$9)</f>
        <v>3.8469000000000002</v>
      </c>
      <c r="C129" s="10">
        <f>3.8469 * CHOOSE(CONTROL!$C$32, $C$9, 100%, $E$9)</f>
        <v>3.8469000000000002</v>
      </c>
      <c r="D129" s="10">
        <f>3.8482 * CHOOSE(CONTROL!$C$32, $C$9, 100%, $E$9)</f>
        <v>3.8481999999999998</v>
      </c>
      <c r="E129" s="9">
        <f>4.3616 * CHOOSE(CONTROL!$C$32, $C$9, 100%, $E$9)</f>
        <v>4.3616000000000001</v>
      </c>
      <c r="F129" s="9">
        <f>4.3616 * CHOOSE(CONTROL!$C$32, $C$9, 100%, $E$9)</f>
        <v>4.3616000000000001</v>
      </c>
      <c r="G129" s="9">
        <f>4.3659 * CHOOSE(CONTROL!$C$32, $C$9, 100%, $E$9)</f>
        <v>4.3658999999999999</v>
      </c>
      <c r="H129" s="9">
        <f>4.7706 * CHOOSE(CONTROL!$C$32, $C$9, 100%, $E$9)</f>
        <v>4.7706</v>
      </c>
      <c r="I129" s="9">
        <f>4.775 * CHOOSE(CONTROL!$C$32, $C$9, 100%, $E$9)</f>
        <v>4.7750000000000004</v>
      </c>
      <c r="J129" s="9">
        <f>4.7706 * CHOOSE(CONTROL!$C$32, $C$9, 100%, $E$9)</f>
        <v>4.7706</v>
      </c>
      <c r="K129" s="9">
        <f>4.775 * CHOOSE(CONTROL!$C$32, $C$9, 100%, $E$9)</f>
        <v>4.7750000000000004</v>
      </c>
      <c r="L129" s="9">
        <f>4.3616 * CHOOSE(CONTROL!$C$32, $C$9, 100%, $E$9)</f>
        <v>4.3616000000000001</v>
      </c>
      <c r="M129" s="9">
        <f>4.3659 * CHOOSE(CONTROL!$C$32, $C$9, 100%, $E$9)</f>
        <v>4.3658999999999999</v>
      </c>
      <c r="N129" s="9">
        <f>4.3616 * CHOOSE(CONTROL!$C$32, $C$9, 100%, $E$9)</f>
        <v>4.3616000000000001</v>
      </c>
      <c r="O129" s="9">
        <f>4.3659 * CHOOSE(CONTROL!$C$32, $C$9, 100%, $E$9)</f>
        <v>4.3658999999999999</v>
      </c>
      <c r="P129" s="17"/>
      <c r="Q129" s="17"/>
      <c r="R129" s="17"/>
    </row>
    <row r="130" spans="1:18" ht="15" x14ac:dyDescent="0.2">
      <c r="A130" s="16">
        <v>44440</v>
      </c>
      <c r="B130" s="10">
        <f>3.8439 * CHOOSE(CONTROL!$C$32, $C$9, 100%, $E$9)</f>
        <v>3.8439000000000001</v>
      </c>
      <c r="C130" s="10">
        <f>3.8439 * CHOOSE(CONTROL!$C$32, $C$9, 100%, $E$9)</f>
        <v>3.8439000000000001</v>
      </c>
      <c r="D130" s="10">
        <f>3.8452 * CHOOSE(CONTROL!$C$32, $C$9, 100%, $E$9)</f>
        <v>3.8452000000000002</v>
      </c>
      <c r="E130" s="9">
        <f>4.3531 * CHOOSE(CONTROL!$C$32, $C$9, 100%, $E$9)</f>
        <v>4.3531000000000004</v>
      </c>
      <c r="F130" s="9">
        <f>4.3531 * CHOOSE(CONTROL!$C$32, $C$9, 100%, $E$9)</f>
        <v>4.3531000000000004</v>
      </c>
      <c r="G130" s="9">
        <f>4.3574 * CHOOSE(CONTROL!$C$32, $C$9, 100%, $E$9)</f>
        <v>4.3574000000000002</v>
      </c>
      <c r="H130" s="9">
        <f>4.7686 * CHOOSE(CONTROL!$C$32, $C$9, 100%, $E$9)</f>
        <v>4.7686000000000002</v>
      </c>
      <c r="I130" s="9">
        <f>4.773 * CHOOSE(CONTROL!$C$32, $C$9, 100%, $E$9)</f>
        <v>4.7729999999999997</v>
      </c>
      <c r="J130" s="9">
        <f>4.7686 * CHOOSE(CONTROL!$C$32, $C$9, 100%, $E$9)</f>
        <v>4.7686000000000002</v>
      </c>
      <c r="K130" s="9">
        <f>4.773 * CHOOSE(CONTROL!$C$32, $C$9, 100%, $E$9)</f>
        <v>4.7729999999999997</v>
      </c>
      <c r="L130" s="9">
        <f>4.3531 * CHOOSE(CONTROL!$C$32, $C$9, 100%, $E$9)</f>
        <v>4.3531000000000004</v>
      </c>
      <c r="M130" s="9">
        <f>4.3574 * CHOOSE(CONTROL!$C$32, $C$9, 100%, $E$9)</f>
        <v>4.3574000000000002</v>
      </c>
      <c r="N130" s="9">
        <f>4.3531 * CHOOSE(CONTROL!$C$32, $C$9, 100%, $E$9)</f>
        <v>4.3531000000000004</v>
      </c>
      <c r="O130" s="9">
        <f>4.3574 * CHOOSE(CONTROL!$C$32, $C$9, 100%, $E$9)</f>
        <v>4.3574000000000002</v>
      </c>
      <c r="P130" s="17"/>
      <c r="Q130" s="17"/>
      <c r="R130" s="17"/>
    </row>
    <row r="131" spans="1:18" ht="15" x14ac:dyDescent="0.2">
      <c r="A131" s="16">
        <v>44470</v>
      </c>
      <c r="B131" s="10">
        <f>3.8386 * CHOOSE(CONTROL!$C$32, $C$9, 100%, $E$9)</f>
        <v>3.8386</v>
      </c>
      <c r="C131" s="10">
        <f>3.8386 * CHOOSE(CONTROL!$C$32, $C$9, 100%, $E$9)</f>
        <v>3.8386</v>
      </c>
      <c r="D131" s="10">
        <f>3.8396 * CHOOSE(CONTROL!$C$32, $C$9, 100%, $E$9)</f>
        <v>3.8395999999999999</v>
      </c>
      <c r="E131" s="9">
        <f>4.3651 * CHOOSE(CONTROL!$C$32, $C$9, 100%, $E$9)</f>
        <v>4.3651</v>
      </c>
      <c r="F131" s="9">
        <f>4.3651 * CHOOSE(CONTROL!$C$32, $C$9, 100%, $E$9)</f>
        <v>4.3651</v>
      </c>
      <c r="G131" s="9">
        <f>4.3683 * CHOOSE(CONTROL!$C$32, $C$9, 100%, $E$9)</f>
        <v>4.3682999999999996</v>
      </c>
      <c r="H131" s="9">
        <f>4.7647 * CHOOSE(CONTROL!$C$32, $C$9, 100%, $E$9)</f>
        <v>4.7647000000000004</v>
      </c>
      <c r="I131" s="9">
        <f>4.7679 * CHOOSE(CONTROL!$C$32, $C$9, 100%, $E$9)</f>
        <v>4.7679</v>
      </c>
      <c r="J131" s="9">
        <f>4.7647 * CHOOSE(CONTROL!$C$32, $C$9, 100%, $E$9)</f>
        <v>4.7647000000000004</v>
      </c>
      <c r="K131" s="9">
        <f>4.7679 * CHOOSE(CONTROL!$C$32, $C$9, 100%, $E$9)</f>
        <v>4.7679</v>
      </c>
      <c r="L131" s="9">
        <f>4.3651 * CHOOSE(CONTROL!$C$32, $C$9, 100%, $E$9)</f>
        <v>4.3651</v>
      </c>
      <c r="M131" s="9">
        <f>4.3683 * CHOOSE(CONTROL!$C$32, $C$9, 100%, $E$9)</f>
        <v>4.3682999999999996</v>
      </c>
      <c r="N131" s="9">
        <f>4.3651 * CHOOSE(CONTROL!$C$32, $C$9, 100%, $E$9)</f>
        <v>4.3651</v>
      </c>
      <c r="O131" s="9">
        <f>4.3683 * CHOOSE(CONTROL!$C$32, $C$9, 100%, $E$9)</f>
        <v>4.3682999999999996</v>
      </c>
      <c r="P131" s="17"/>
      <c r="Q131" s="17"/>
      <c r="R131" s="17"/>
    </row>
    <row r="132" spans="1:18" ht="15" x14ac:dyDescent="0.2">
      <c r="A132" s="16">
        <v>44501</v>
      </c>
      <c r="B132" s="10">
        <f>3.8417 * CHOOSE(CONTROL!$C$32, $C$9, 100%, $E$9)</f>
        <v>3.8416999999999999</v>
      </c>
      <c r="C132" s="10">
        <f>3.8417 * CHOOSE(CONTROL!$C$32, $C$9, 100%, $E$9)</f>
        <v>3.8416999999999999</v>
      </c>
      <c r="D132" s="10">
        <f>3.8426 * CHOOSE(CONTROL!$C$32, $C$9, 100%, $E$9)</f>
        <v>3.8426</v>
      </c>
      <c r="E132" s="9">
        <f>4.38 * CHOOSE(CONTROL!$C$32, $C$9, 100%, $E$9)</f>
        <v>4.38</v>
      </c>
      <c r="F132" s="9">
        <f>4.38 * CHOOSE(CONTROL!$C$32, $C$9, 100%, $E$9)</f>
        <v>4.38</v>
      </c>
      <c r="G132" s="9">
        <f>4.3832 * CHOOSE(CONTROL!$C$32, $C$9, 100%, $E$9)</f>
        <v>4.3832000000000004</v>
      </c>
      <c r="H132" s="9">
        <f>4.7667 * CHOOSE(CONTROL!$C$32, $C$9, 100%, $E$9)</f>
        <v>4.7667000000000002</v>
      </c>
      <c r="I132" s="9">
        <f>4.7699 * CHOOSE(CONTROL!$C$32, $C$9, 100%, $E$9)</f>
        <v>4.7698999999999998</v>
      </c>
      <c r="J132" s="9">
        <f>4.7667 * CHOOSE(CONTROL!$C$32, $C$9, 100%, $E$9)</f>
        <v>4.7667000000000002</v>
      </c>
      <c r="K132" s="9">
        <f>4.7699 * CHOOSE(CONTROL!$C$32, $C$9, 100%, $E$9)</f>
        <v>4.7698999999999998</v>
      </c>
      <c r="L132" s="9">
        <f>4.38 * CHOOSE(CONTROL!$C$32, $C$9, 100%, $E$9)</f>
        <v>4.38</v>
      </c>
      <c r="M132" s="9">
        <f>4.3832 * CHOOSE(CONTROL!$C$32, $C$9, 100%, $E$9)</f>
        <v>4.3832000000000004</v>
      </c>
      <c r="N132" s="9">
        <f>4.38 * CHOOSE(CONTROL!$C$32, $C$9, 100%, $E$9)</f>
        <v>4.38</v>
      </c>
      <c r="O132" s="9">
        <f>4.3832 * CHOOSE(CONTROL!$C$32, $C$9, 100%, $E$9)</f>
        <v>4.3832000000000004</v>
      </c>
      <c r="P132" s="17"/>
      <c r="Q132" s="17"/>
      <c r="R132" s="17"/>
    </row>
    <row r="133" spans="1:18" ht="15" x14ac:dyDescent="0.2">
      <c r="A133" s="16">
        <v>44531</v>
      </c>
      <c r="B133" s="10">
        <f>3.8417 * CHOOSE(CONTROL!$C$32, $C$9, 100%, $E$9)</f>
        <v>3.8416999999999999</v>
      </c>
      <c r="C133" s="10">
        <f>3.8417 * CHOOSE(CONTROL!$C$32, $C$9, 100%, $E$9)</f>
        <v>3.8416999999999999</v>
      </c>
      <c r="D133" s="10">
        <f>3.8426 * CHOOSE(CONTROL!$C$32, $C$9, 100%, $E$9)</f>
        <v>3.8426</v>
      </c>
      <c r="E133" s="9">
        <f>4.3481 * CHOOSE(CONTROL!$C$32, $C$9, 100%, $E$9)</f>
        <v>4.3480999999999996</v>
      </c>
      <c r="F133" s="9">
        <f>4.3481 * CHOOSE(CONTROL!$C$32, $C$9, 100%, $E$9)</f>
        <v>4.3480999999999996</v>
      </c>
      <c r="G133" s="9">
        <f>4.3513 * CHOOSE(CONTROL!$C$32, $C$9, 100%, $E$9)</f>
        <v>4.3513000000000002</v>
      </c>
      <c r="H133" s="9">
        <f>4.7667 * CHOOSE(CONTROL!$C$32, $C$9, 100%, $E$9)</f>
        <v>4.7667000000000002</v>
      </c>
      <c r="I133" s="9">
        <f>4.7699 * CHOOSE(CONTROL!$C$32, $C$9, 100%, $E$9)</f>
        <v>4.7698999999999998</v>
      </c>
      <c r="J133" s="9">
        <f>4.7667 * CHOOSE(CONTROL!$C$32, $C$9, 100%, $E$9)</f>
        <v>4.7667000000000002</v>
      </c>
      <c r="K133" s="9">
        <f>4.7699 * CHOOSE(CONTROL!$C$32, $C$9, 100%, $E$9)</f>
        <v>4.7698999999999998</v>
      </c>
      <c r="L133" s="9">
        <f>4.3481 * CHOOSE(CONTROL!$C$32, $C$9, 100%, $E$9)</f>
        <v>4.3480999999999996</v>
      </c>
      <c r="M133" s="9">
        <f>4.3513 * CHOOSE(CONTROL!$C$32, $C$9, 100%, $E$9)</f>
        <v>4.3513000000000002</v>
      </c>
      <c r="N133" s="9">
        <f>4.3481 * CHOOSE(CONTROL!$C$32, $C$9, 100%, $E$9)</f>
        <v>4.3480999999999996</v>
      </c>
      <c r="O133" s="9">
        <f>4.3513 * CHOOSE(CONTROL!$C$32, $C$9, 100%, $E$9)</f>
        <v>4.3513000000000002</v>
      </c>
      <c r="P133" s="17"/>
      <c r="Q133" s="17"/>
      <c r="R133" s="17"/>
    </row>
    <row r="134" spans="1:18" ht="15" x14ac:dyDescent="0.2">
      <c r="A134" s="16">
        <v>44562</v>
      </c>
      <c r="B134" s="10">
        <f>3.8771 * CHOOSE(CONTROL!$C$32, $C$9, 100%, $E$9)</f>
        <v>3.8771</v>
      </c>
      <c r="C134" s="10">
        <f>3.8771 * CHOOSE(CONTROL!$C$32, $C$9, 100%, $E$9)</f>
        <v>3.8771</v>
      </c>
      <c r="D134" s="10">
        <f>3.878 * CHOOSE(CONTROL!$C$32, $C$9, 100%, $E$9)</f>
        <v>3.8780000000000001</v>
      </c>
      <c r="E134" s="9">
        <f>4.4143 * CHOOSE(CONTROL!$C$32, $C$9, 100%, $E$9)</f>
        <v>4.4142999999999999</v>
      </c>
      <c r="F134" s="9">
        <f>4.4143 * CHOOSE(CONTROL!$C$32, $C$9, 100%, $E$9)</f>
        <v>4.4142999999999999</v>
      </c>
      <c r="G134" s="9">
        <f>4.4175 * CHOOSE(CONTROL!$C$32, $C$9, 100%, $E$9)</f>
        <v>4.4175000000000004</v>
      </c>
      <c r="H134" s="9">
        <f>4.8085 * CHOOSE(CONTROL!$C$32, $C$9, 100%, $E$9)</f>
        <v>4.8085000000000004</v>
      </c>
      <c r="I134" s="9">
        <f>4.8117 * CHOOSE(CONTROL!$C$32, $C$9, 100%, $E$9)</f>
        <v>4.8117000000000001</v>
      </c>
      <c r="J134" s="9">
        <f>4.8085 * CHOOSE(CONTROL!$C$32, $C$9, 100%, $E$9)</f>
        <v>4.8085000000000004</v>
      </c>
      <c r="K134" s="9">
        <f>4.8117 * CHOOSE(CONTROL!$C$32, $C$9, 100%, $E$9)</f>
        <v>4.8117000000000001</v>
      </c>
      <c r="L134" s="9">
        <f>4.4143 * CHOOSE(CONTROL!$C$32, $C$9, 100%, $E$9)</f>
        <v>4.4142999999999999</v>
      </c>
      <c r="M134" s="9">
        <f>4.4175 * CHOOSE(CONTROL!$C$32, $C$9, 100%, $E$9)</f>
        <v>4.4175000000000004</v>
      </c>
      <c r="N134" s="9">
        <f>4.4143 * CHOOSE(CONTROL!$C$32, $C$9, 100%, $E$9)</f>
        <v>4.4142999999999999</v>
      </c>
      <c r="O134" s="9">
        <f>4.4175 * CHOOSE(CONTROL!$C$32, $C$9, 100%, $E$9)</f>
        <v>4.4175000000000004</v>
      </c>
      <c r="P134" s="17"/>
      <c r="Q134" s="17"/>
      <c r="R134" s="17"/>
    </row>
    <row r="135" spans="1:18" ht="15" x14ac:dyDescent="0.2">
      <c r="A135" s="16">
        <v>44593</v>
      </c>
      <c r="B135" s="10">
        <f>3.874 * CHOOSE(CONTROL!$C$32, $C$9, 100%, $E$9)</f>
        <v>3.8740000000000001</v>
      </c>
      <c r="C135" s="10">
        <f>3.874 * CHOOSE(CONTROL!$C$32, $C$9, 100%, $E$9)</f>
        <v>3.8740000000000001</v>
      </c>
      <c r="D135" s="10">
        <f>3.875 * CHOOSE(CONTROL!$C$32, $C$9, 100%, $E$9)</f>
        <v>3.875</v>
      </c>
      <c r="E135" s="9">
        <f>4.3499 * CHOOSE(CONTROL!$C$32, $C$9, 100%, $E$9)</f>
        <v>4.3498999999999999</v>
      </c>
      <c r="F135" s="9">
        <f>4.3499 * CHOOSE(CONTROL!$C$32, $C$9, 100%, $E$9)</f>
        <v>4.3498999999999999</v>
      </c>
      <c r="G135" s="9">
        <f>4.353 * CHOOSE(CONTROL!$C$32, $C$9, 100%, $E$9)</f>
        <v>4.3529999999999998</v>
      </c>
      <c r="H135" s="9">
        <f>4.8065 * CHOOSE(CONTROL!$C$32, $C$9, 100%, $E$9)</f>
        <v>4.8064999999999998</v>
      </c>
      <c r="I135" s="9">
        <f>4.8097 * CHOOSE(CONTROL!$C$32, $C$9, 100%, $E$9)</f>
        <v>4.8097000000000003</v>
      </c>
      <c r="J135" s="9">
        <f>4.8065 * CHOOSE(CONTROL!$C$32, $C$9, 100%, $E$9)</f>
        <v>4.8064999999999998</v>
      </c>
      <c r="K135" s="9">
        <f>4.8097 * CHOOSE(CONTROL!$C$32, $C$9, 100%, $E$9)</f>
        <v>4.8097000000000003</v>
      </c>
      <c r="L135" s="9">
        <f>4.3499 * CHOOSE(CONTROL!$C$32, $C$9, 100%, $E$9)</f>
        <v>4.3498999999999999</v>
      </c>
      <c r="M135" s="9">
        <f>4.353 * CHOOSE(CONTROL!$C$32, $C$9, 100%, $E$9)</f>
        <v>4.3529999999999998</v>
      </c>
      <c r="N135" s="9">
        <f>4.3499 * CHOOSE(CONTROL!$C$32, $C$9, 100%, $E$9)</f>
        <v>4.3498999999999999</v>
      </c>
      <c r="O135" s="9">
        <f>4.353 * CHOOSE(CONTROL!$C$32, $C$9, 100%, $E$9)</f>
        <v>4.3529999999999998</v>
      </c>
      <c r="P135" s="17"/>
      <c r="Q135" s="17"/>
      <c r="R135" s="17"/>
    </row>
    <row r="136" spans="1:18" ht="15" x14ac:dyDescent="0.2">
      <c r="A136" s="16">
        <v>44621</v>
      </c>
      <c r="B136" s="10">
        <f>3.871 * CHOOSE(CONTROL!$C$32, $C$9, 100%, $E$9)</f>
        <v>3.871</v>
      </c>
      <c r="C136" s="10">
        <f>3.871 * CHOOSE(CONTROL!$C$32, $C$9, 100%, $E$9)</f>
        <v>3.871</v>
      </c>
      <c r="D136" s="10">
        <f>3.8719 * CHOOSE(CONTROL!$C$32, $C$9, 100%, $E$9)</f>
        <v>3.8719000000000001</v>
      </c>
      <c r="E136" s="9">
        <f>4.3968 * CHOOSE(CONTROL!$C$32, $C$9, 100%, $E$9)</f>
        <v>4.3967999999999998</v>
      </c>
      <c r="F136" s="9">
        <f>4.3968 * CHOOSE(CONTROL!$C$32, $C$9, 100%, $E$9)</f>
        <v>4.3967999999999998</v>
      </c>
      <c r="G136" s="9">
        <f>4.4 * CHOOSE(CONTROL!$C$32, $C$9, 100%, $E$9)</f>
        <v>4.4000000000000004</v>
      </c>
      <c r="H136" s="9">
        <f>4.8045 * CHOOSE(CONTROL!$C$32, $C$9, 100%, $E$9)</f>
        <v>4.8045</v>
      </c>
      <c r="I136" s="9">
        <f>4.8077 * CHOOSE(CONTROL!$C$32, $C$9, 100%, $E$9)</f>
        <v>4.8076999999999996</v>
      </c>
      <c r="J136" s="9">
        <f>4.8045 * CHOOSE(CONTROL!$C$32, $C$9, 100%, $E$9)</f>
        <v>4.8045</v>
      </c>
      <c r="K136" s="9">
        <f>4.8077 * CHOOSE(CONTROL!$C$32, $C$9, 100%, $E$9)</f>
        <v>4.8076999999999996</v>
      </c>
      <c r="L136" s="9">
        <f>4.3968 * CHOOSE(CONTROL!$C$32, $C$9, 100%, $E$9)</f>
        <v>4.3967999999999998</v>
      </c>
      <c r="M136" s="9">
        <f>4.4 * CHOOSE(CONTROL!$C$32, $C$9, 100%, $E$9)</f>
        <v>4.4000000000000004</v>
      </c>
      <c r="N136" s="9">
        <f>4.3968 * CHOOSE(CONTROL!$C$32, $C$9, 100%, $E$9)</f>
        <v>4.3967999999999998</v>
      </c>
      <c r="O136" s="9">
        <f>4.4 * CHOOSE(CONTROL!$C$32, $C$9, 100%, $E$9)</f>
        <v>4.4000000000000004</v>
      </c>
      <c r="P136" s="17"/>
      <c r="Q136" s="17"/>
      <c r="R136" s="17"/>
    </row>
    <row r="137" spans="1:18" ht="15" x14ac:dyDescent="0.2">
      <c r="A137" s="16">
        <v>44652</v>
      </c>
      <c r="B137" s="10">
        <f>3.8686 * CHOOSE(CONTROL!$C$32, $C$9, 100%, $E$9)</f>
        <v>3.8685999999999998</v>
      </c>
      <c r="C137" s="10">
        <f>3.8686 * CHOOSE(CONTROL!$C$32, $C$9, 100%, $E$9)</f>
        <v>3.8685999999999998</v>
      </c>
      <c r="D137" s="10">
        <f>3.8695 * CHOOSE(CONTROL!$C$32, $C$9, 100%, $E$9)</f>
        <v>3.8694999999999999</v>
      </c>
      <c r="E137" s="9">
        <f>4.4453 * CHOOSE(CONTROL!$C$32, $C$9, 100%, $E$9)</f>
        <v>4.4452999999999996</v>
      </c>
      <c r="F137" s="9">
        <f>4.4453 * CHOOSE(CONTROL!$C$32, $C$9, 100%, $E$9)</f>
        <v>4.4452999999999996</v>
      </c>
      <c r="G137" s="9">
        <f>4.4485 * CHOOSE(CONTROL!$C$32, $C$9, 100%, $E$9)</f>
        <v>4.4485000000000001</v>
      </c>
      <c r="H137" s="9">
        <f>4.8028 * CHOOSE(CONTROL!$C$32, $C$9, 100%, $E$9)</f>
        <v>4.8028000000000004</v>
      </c>
      <c r="I137" s="9">
        <f>4.806 * CHOOSE(CONTROL!$C$32, $C$9, 100%, $E$9)</f>
        <v>4.806</v>
      </c>
      <c r="J137" s="9">
        <f>4.8028 * CHOOSE(CONTROL!$C$32, $C$9, 100%, $E$9)</f>
        <v>4.8028000000000004</v>
      </c>
      <c r="K137" s="9">
        <f>4.806 * CHOOSE(CONTROL!$C$32, $C$9, 100%, $E$9)</f>
        <v>4.806</v>
      </c>
      <c r="L137" s="9">
        <f>4.4453 * CHOOSE(CONTROL!$C$32, $C$9, 100%, $E$9)</f>
        <v>4.4452999999999996</v>
      </c>
      <c r="M137" s="9">
        <f>4.4485 * CHOOSE(CONTROL!$C$32, $C$9, 100%, $E$9)</f>
        <v>4.4485000000000001</v>
      </c>
      <c r="N137" s="9">
        <f>4.4453 * CHOOSE(CONTROL!$C$32, $C$9, 100%, $E$9)</f>
        <v>4.4452999999999996</v>
      </c>
      <c r="O137" s="9">
        <f>4.4485 * CHOOSE(CONTROL!$C$32, $C$9, 100%, $E$9)</f>
        <v>4.4485000000000001</v>
      </c>
      <c r="P137" s="17"/>
      <c r="Q137" s="17"/>
      <c r="R137" s="17"/>
    </row>
    <row r="138" spans="1:18" ht="15" x14ac:dyDescent="0.2">
      <c r="A138" s="16">
        <v>44682</v>
      </c>
      <c r="B138" s="10">
        <f>3.8686 * CHOOSE(CONTROL!$C$32, $C$9, 100%, $E$9)</f>
        <v>3.8685999999999998</v>
      </c>
      <c r="C138" s="10">
        <f>3.8686 * CHOOSE(CONTROL!$C$32, $C$9, 100%, $E$9)</f>
        <v>3.8685999999999998</v>
      </c>
      <c r="D138" s="10">
        <f>3.8699 * CHOOSE(CONTROL!$C$32, $C$9, 100%, $E$9)</f>
        <v>3.8698999999999999</v>
      </c>
      <c r="E138" s="9">
        <f>4.4651 * CHOOSE(CONTROL!$C$32, $C$9, 100%, $E$9)</f>
        <v>4.4650999999999996</v>
      </c>
      <c r="F138" s="9">
        <f>4.4651 * CHOOSE(CONTROL!$C$32, $C$9, 100%, $E$9)</f>
        <v>4.4650999999999996</v>
      </c>
      <c r="G138" s="9">
        <f>4.4695 * CHOOSE(CONTROL!$C$32, $C$9, 100%, $E$9)</f>
        <v>4.4695</v>
      </c>
      <c r="H138" s="9">
        <f>4.8028 * CHOOSE(CONTROL!$C$32, $C$9, 100%, $E$9)</f>
        <v>4.8028000000000004</v>
      </c>
      <c r="I138" s="9">
        <f>4.8072 * CHOOSE(CONTROL!$C$32, $C$9, 100%, $E$9)</f>
        <v>4.8071999999999999</v>
      </c>
      <c r="J138" s="9">
        <f>4.8028 * CHOOSE(CONTROL!$C$32, $C$9, 100%, $E$9)</f>
        <v>4.8028000000000004</v>
      </c>
      <c r="K138" s="9">
        <f>4.8072 * CHOOSE(CONTROL!$C$32, $C$9, 100%, $E$9)</f>
        <v>4.8071999999999999</v>
      </c>
      <c r="L138" s="9">
        <f>4.4651 * CHOOSE(CONTROL!$C$32, $C$9, 100%, $E$9)</f>
        <v>4.4650999999999996</v>
      </c>
      <c r="M138" s="9">
        <f>4.4695 * CHOOSE(CONTROL!$C$32, $C$9, 100%, $E$9)</f>
        <v>4.4695</v>
      </c>
      <c r="N138" s="9">
        <f>4.4651 * CHOOSE(CONTROL!$C$32, $C$9, 100%, $E$9)</f>
        <v>4.4650999999999996</v>
      </c>
      <c r="O138" s="9">
        <f>4.4695 * CHOOSE(CONTROL!$C$32, $C$9, 100%, $E$9)</f>
        <v>4.4695</v>
      </c>
      <c r="P138" s="17"/>
      <c r="Q138" s="17"/>
      <c r="R138" s="17"/>
    </row>
    <row r="139" spans="1:18" ht="15" x14ac:dyDescent="0.2">
      <c r="A139" s="16">
        <v>44713</v>
      </c>
      <c r="B139" s="10">
        <f>3.8747 * CHOOSE(CONTROL!$C$32, $C$9, 100%, $E$9)</f>
        <v>3.8746999999999998</v>
      </c>
      <c r="C139" s="10">
        <f>3.8747 * CHOOSE(CONTROL!$C$32, $C$9, 100%, $E$9)</f>
        <v>3.8746999999999998</v>
      </c>
      <c r="D139" s="10">
        <f>3.876 * CHOOSE(CONTROL!$C$32, $C$9, 100%, $E$9)</f>
        <v>3.8759999999999999</v>
      </c>
      <c r="E139" s="9">
        <f>4.4496 * CHOOSE(CONTROL!$C$32, $C$9, 100%, $E$9)</f>
        <v>4.4496000000000002</v>
      </c>
      <c r="F139" s="9">
        <f>4.4496 * CHOOSE(CONTROL!$C$32, $C$9, 100%, $E$9)</f>
        <v>4.4496000000000002</v>
      </c>
      <c r="G139" s="9">
        <f>4.4539 * CHOOSE(CONTROL!$C$32, $C$9, 100%, $E$9)</f>
        <v>4.4539</v>
      </c>
      <c r="H139" s="9">
        <f>4.8068 * CHOOSE(CONTROL!$C$32, $C$9, 100%, $E$9)</f>
        <v>4.8068</v>
      </c>
      <c r="I139" s="9">
        <f>4.8112 * CHOOSE(CONTROL!$C$32, $C$9, 100%, $E$9)</f>
        <v>4.8112000000000004</v>
      </c>
      <c r="J139" s="9">
        <f>4.8068 * CHOOSE(CONTROL!$C$32, $C$9, 100%, $E$9)</f>
        <v>4.8068</v>
      </c>
      <c r="K139" s="9">
        <f>4.8112 * CHOOSE(CONTROL!$C$32, $C$9, 100%, $E$9)</f>
        <v>4.8112000000000004</v>
      </c>
      <c r="L139" s="9">
        <f>4.4496 * CHOOSE(CONTROL!$C$32, $C$9, 100%, $E$9)</f>
        <v>4.4496000000000002</v>
      </c>
      <c r="M139" s="9">
        <f>4.4539 * CHOOSE(CONTROL!$C$32, $C$9, 100%, $E$9)</f>
        <v>4.4539</v>
      </c>
      <c r="N139" s="9">
        <f>4.4496 * CHOOSE(CONTROL!$C$32, $C$9, 100%, $E$9)</f>
        <v>4.4496000000000002</v>
      </c>
      <c r="O139" s="9">
        <f>4.4539 * CHOOSE(CONTROL!$C$32, $C$9, 100%, $E$9)</f>
        <v>4.4539</v>
      </c>
      <c r="P139" s="17"/>
      <c r="Q139" s="17"/>
      <c r="R139" s="17"/>
    </row>
    <row r="140" spans="1:18" ht="15" x14ac:dyDescent="0.2">
      <c r="A140" s="16">
        <v>44743</v>
      </c>
      <c r="B140" s="10">
        <f>3.9387 * CHOOSE(CONTROL!$C$32, $C$9, 100%, $E$9)</f>
        <v>3.9386999999999999</v>
      </c>
      <c r="C140" s="10">
        <f>3.9387 * CHOOSE(CONTROL!$C$32, $C$9, 100%, $E$9)</f>
        <v>3.9386999999999999</v>
      </c>
      <c r="D140" s="10">
        <f>3.94 * CHOOSE(CONTROL!$C$32, $C$9, 100%, $E$9)</f>
        <v>3.94</v>
      </c>
      <c r="E140" s="9">
        <f>4.5339 * CHOOSE(CONTROL!$C$32, $C$9, 100%, $E$9)</f>
        <v>4.5339</v>
      </c>
      <c r="F140" s="9">
        <f>4.5339 * CHOOSE(CONTROL!$C$32, $C$9, 100%, $E$9)</f>
        <v>4.5339</v>
      </c>
      <c r="G140" s="9">
        <f>4.5383 * CHOOSE(CONTROL!$C$32, $C$9, 100%, $E$9)</f>
        <v>4.5382999999999996</v>
      </c>
      <c r="H140" s="9">
        <f>4.8953 * CHOOSE(CONTROL!$C$32, $C$9, 100%, $E$9)</f>
        <v>4.8952999999999998</v>
      </c>
      <c r="I140" s="9">
        <f>4.8996 * CHOOSE(CONTROL!$C$32, $C$9, 100%, $E$9)</f>
        <v>4.8996000000000004</v>
      </c>
      <c r="J140" s="9">
        <f>4.8953 * CHOOSE(CONTROL!$C$32, $C$9, 100%, $E$9)</f>
        <v>4.8952999999999998</v>
      </c>
      <c r="K140" s="9">
        <f>4.8996 * CHOOSE(CONTROL!$C$32, $C$9, 100%, $E$9)</f>
        <v>4.8996000000000004</v>
      </c>
      <c r="L140" s="9">
        <f>4.5339 * CHOOSE(CONTROL!$C$32, $C$9, 100%, $E$9)</f>
        <v>4.5339</v>
      </c>
      <c r="M140" s="9">
        <f>4.5383 * CHOOSE(CONTROL!$C$32, $C$9, 100%, $E$9)</f>
        <v>4.5382999999999996</v>
      </c>
      <c r="N140" s="9">
        <f>4.5339 * CHOOSE(CONTROL!$C$32, $C$9, 100%, $E$9)</f>
        <v>4.5339</v>
      </c>
      <c r="O140" s="9">
        <f>4.5383 * CHOOSE(CONTROL!$C$32, $C$9, 100%, $E$9)</f>
        <v>4.5382999999999996</v>
      </c>
      <c r="P140" s="17"/>
      <c r="Q140" s="17"/>
      <c r="R140" s="17"/>
    </row>
    <row r="141" spans="1:18" ht="15" x14ac:dyDescent="0.2">
      <c r="A141" s="16">
        <v>44774</v>
      </c>
      <c r="B141" s="10">
        <f>3.9454 * CHOOSE(CONTROL!$C$32, $C$9, 100%, $E$9)</f>
        <v>3.9453999999999998</v>
      </c>
      <c r="C141" s="10">
        <f>3.9454 * CHOOSE(CONTROL!$C$32, $C$9, 100%, $E$9)</f>
        <v>3.9453999999999998</v>
      </c>
      <c r="D141" s="10">
        <f>3.9467 * CHOOSE(CONTROL!$C$32, $C$9, 100%, $E$9)</f>
        <v>3.9466999999999999</v>
      </c>
      <c r="E141" s="9">
        <f>4.4792 * CHOOSE(CONTROL!$C$32, $C$9, 100%, $E$9)</f>
        <v>4.4791999999999996</v>
      </c>
      <c r="F141" s="9">
        <f>4.4792 * CHOOSE(CONTROL!$C$32, $C$9, 100%, $E$9)</f>
        <v>4.4791999999999996</v>
      </c>
      <c r="G141" s="9">
        <f>4.4836 * CHOOSE(CONTROL!$C$32, $C$9, 100%, $E$9)</f>
        <v>4.4836</v>
      </c>
      <c r="H141" s="9">
        <f>4.8997 * CHOOSE(CONTROL!$C$32, $C$9, 100%, $E$9)</f>
        <v>4.8997000000000002</v>
      </c>
      <c r="I141" s="9">
        <f>4.904 * CHOOSE(CONTROL!$C$32, $C$9, 100%, $E$9)</f>
        <v>4.9039999999999999</v>
      </c>
      <c r="J141" s="9">
        <f>4.8997 * CHOOSE(CONTROL!$C$32, $C$9, 100%, $E$9)</f>
        <v>4.8997000000000002</v>
      </c>
      <c r="K141" s="9">
        <f>4.904 * CHOOSE(CONTROL!$C$32, $C$9, 100%, $E$9)</f>
        <v>4.9039999999999999</v>
      </c>
      <c r="L141" s="9">
        <f>4.4792 * CHOOSE(CONTROL!$C$32, $C$9, 100%, $E$9)</f>
        <v>4.4791999999999996</v>
      </c>
      <c r="M141" s="9">
        <f>4.4836 * CHOOSE(CONTROL!$C$32, $C$9, 100%, $E$9)</f>
        <v>4.4836</v>
      </c>
      <c r="N141" s="9">
        <f>4.4792 * CHOOSE(CONTROL!$C$32, $C$9, 100%, $E$9)</f>
        <v>4.4791999999999996</v>
      </c>
      <c r="O141" s="9">
        <f>4.4836 * CHOOSE(CONTROL!$C$32, $C$9, 100%, $E$9)</f>
        <v>4.4836</v>
      </c>
      <c r="P141" s="17"/>
      <c r="Q141" s="17"/>
      <c r="R141" s="17"/>
    </row>
    <row r="142" spans="1:18" ht="15" x14ac:dyDescent="0.2">
      <c r="A142" s="16">
        <v>44805</v>
      </c>
      <c r="B142" s="10">
        <f>3.9423 * CHOOSE(CONTROL!$C$32, $C$9, 100%, $E$9)</f>
        <v>3.9422999999999999</v>
      </c>
      <c r="C142" s="10">
        <f>3.9423 * CHOOSE(CONTROL!$C$32, $C$9, 100%, $E$9)</f>
        <v>3.9422999999999999</v>
      </c>
      <c r="D142" s="10">
        <f>3.9436 * CHOOSE(CONTROL!$C$32, $C$9, 100%, $E$9)</f>
        <v>3.9436</v>
      </c>
      <c r="E142" s="9">
        <f>4.4705 * CHOOSE(CONTROL!$C$32, $C$9, 100%, $E$9)</f>
        <v>4.4705000000000004</v>
      </c>
      <c r="F142" s="9">
        <f>4.4705 * CHOOSE(CONTROL!$C$32, $C$9, 100%, $E$9)</f>
        <v>4.4705000000000004</v>
      </c>
      <c r="G142" s="9">
        <f>4.4749 * CHOOSE(CONTROL!$C$32, $C$9, 100%, $E$9)</f>
        <v>4.4748999999999999</v>
      </c>
      <c r="H142" s="9">
        <f>4.8977 * CHOOSE(CONTROL!$C$32, $C$9, 100%, $E$9)</f>
        <v>4.8977000000000004</v>
      </c>
      <c r="I142" s="9">
        <f>4.902 * CHOOSE(CONTROL!$C$32, $C$9, 100%, $E$9)</f>
        <v>4.9020000000000001</v>
      </c>
      <c r="J142" s="9">
        <f>4.8977 * CHOOSE(CONTROL!$C$32, $C$9, 100%, $E$9)</f>
        <v>4.8977000000000004</v>
      </c>
      <c r="K142" s="9">
        <f>4.902 * CHOOSE(CONTROL!$C$32, $C$9, 100%, $E$9)</f>
        <v>4.9020000000000001</v>
      </c>
      <c r="L142" s="9">
        <f>4.4705 * CHOOSE(CONTROL!$C$32, $C$9, 100%, $E$9)</f>
        <v>4.4705000000000004</v>
      </c>
      <c r="M142" s="9">
        <f>4.4749 * CHOOSE(CONTROL!$C$32, $C$9, 100%, $E$9)</f>
        <v>4.4748999999999999</v>
      </c>
      <c r="N142" s="9">
        <f>4.4705 * CHOOSE(CONTROL!$C$32, $C$9, 100%, $E$9)</f>
        <v>4.4705000000000004</v>
      </c>
      <c r="O142" s="9">
        <f>4.4749 * CHOOSE(CONTROL!$C$32, $C$9, 100%, $E$9)</f>
        <v>4.4748999999999999</v>
      </c>
      <c r="P142" s="17"/>
      <c r="Q142" s="17"/>
      <c r="R142" s="17"/>
    </row>
    <row r="143" spans="1:18" ht="15" x14ac:dyDescent="0.2">
      <c r="A143" s="16">
        <v>44835</v>
      </c>
      <c r="B143" s="10">
        <f>3.9375 * CHOOSE(CONTROL!$C$32, $C$9, 100%, $E$9)</f>
        <v>3.9375</v>
      </c>
      <c r="C143" s="10">
        <f>3.9375 * CHOOSE(CONTROL!$C$32, $C$9, 100%, $E$9)</f>
        <v>3.9375</v>
      </c>
      <c r="D143" s="10">
        <f>3.9385 * CHOOSE(CONTROL!$C$32, $C$9, 100%, $E$9)</f>
        <v>3.9384999999999999</v>
      </c>
      <c r="E143" s="9">
        <f>4.4835 * CHOOSE(CONTROL!$C$32, $C$9, 100%, $E$9)</f>
        <v>4.4835000000000003</v>
      </c>
      <c r="F143" s="9">
        <f>4.4835 * CHOOSE(CONTROL!$C$32, $C$9, 100%, $E$9)</f>
        <v>4.4835000000000003</v>
      </c>
      <c r="G143" s="9">
        <f>4.4867 * CHOOSE(CONTROL!$C$32, $C$9, 100%, $E$9)</f>
        <v>4.4866999999999999</v>
      </c>
      <c r="H143" s="9">
        <f>4.894 * CHOOSE(CONTROL!$C$32, $C$9, 100%, $E$9)</f>
        <v>4.8940000000000001</v>
      </c>
      <c r="I143" s="9">
        <f>4.8972 * CHOOSE(CONTROL!$C$32, $C$9, 100%, $E$9)</f>
        <v>4.8971999999999998</v>
      </c>
      <c r="J143" s="9">
        <f>4.894 * CHOOSE(CONTROL!$C$32, $C$9, 100%, $E$9)</f>
        <v>4.8940000000000001</v>
      </c>
      <c r="K143" s="9">
        <f>4.8972 * CHOOSE(CONTROL!$C$32, $C$9, 100%, $E$9)</f>
        <v>4.8971999999999998</v>
      </c>
      <c r="L143" s="9">
        <f>4.4835 * CHOOSE(CONTROL!$C$32, $C$9, 100%, $E$9)</f>
        <v>4.4835000000000003</v>
      </c>
      <c r="M143" s="9">
        <f>4.4867 * CHOOSE(CONTROL!$C$32, $C$9, 100%, $E$9)</f>
        <v>4.4866999999999999</v>
      </c>
      <c r="N143" s="9">
        <f>4.4835 * CHOOSE(CONTROL!$C$32, $C$9, 100%, $E$9)</f>
        <v>4.4835000000000003</v>
      </c>
      <c r="O143" s="9">
        <f>4.4867 * CHOOSE(CONTROL!$C$32, $C$9, 100%, $E$9)</f>
        <v>4.4866999999999999</v>
      </c>
      <c r="P143" s="17"/>
      <c r="Q143" s="17"/>
      <c r="R143" s="17"/>
    </row>
    <row r="144" spans="1:18" ht="15" x14ac:dyDescent="0.2">
      <c r="A144" s="16">
        <v>44866</v>
      </c>
      <c r="B144" s="10">
        <f>3.9406 * CHOOSE(CONTROL!$C$32, $C$9, 100%, $E$9)</f>
        <v>3.9405999999999999</v>
      </c>
      <c r="C144" s="10">
        <f>3.9406 * CHOOSE(CONTROL!$C$32, $C$9, 100%, $E$9)</f>
        <v>3.9405999999999999</v>
      </c>
      <c r="D144" s="10">
        <f>3.9415 * CHOOSE(CONTROL!$C$32, $C$9, 100%, $E$9)</f>
        <v>3.9415</v>
      </c>
      <c r="E144" s="9">
        <f>4.4988 * CHOOSE(CONTROL!$C$32, $C$9, 100%, $E$9)</f>
        <v>4.4988000000000001</v>
      </c>
      <c r="F144" s="9">
        <f>4.4988 * CHOOSE(CONTROL!$C$32, $C$9, 100%, $E$9)</f>
        <v>4.4988000000000001</v>
      </c>
      <c r="G144" s="9">
        <f>4.502 * CHOOSE(CONTROL!$C$32, $C$9, 100%, $E$9)</f>
        <v>4.5019999999999998</v>
      </c>
      <c r="H144" s="9">
        <f>4.896 * CHOOSE(CONTROL!$C$32, $C$9, 100%, $E$9)</f>
        <v>4.8959999999999999</v>
      </c>
      <c r="I144" s="9">
        <f>4.8992 * CHOOSE(CONTROL!$C$32, $C$9, 100%, $E$9)</f>
        <v>4.8992000000000004</v>
      </c>
      <c r="J144" s="9">
        <f>4.896 * CHOOSE(CONTROL!$C$32, $C$9, 100%, $E$9)</f>
        <v>4.8959999999999999</v>
      </c>
      <c r="K144" s="9">
        <f>4.8992 * CHOOSE(CONTROL!$C$32, $C$9, 100%, $E$9)</f>
        <v>4.8992000000000004</v>
      </c>
      <c r="L144" s="9">
        <f>4.4988 * CHOOSE(CONTROL!$C$32, $C$9, 100%, $E$9)</f>
        <v>4.4988000000000001</v>
      </c>
      <c r="M144" s="9">
        <f>4.502 * CHOOSE(CONTROL!$C$32, $C$9, 100%, $E$9)</f>
        <v>4.5019999999999998</v>
      </c>
      <c r="N144" s="9">
        <f>4.4988 * CHOOSE(CONTROL!$C$32, $C$9, 100%, $E$9)</f>
        <v>4.4988000000000001</v>
      </c>
      <c r="O144" s="9">
        <f>4.502 * CHOOSE(CONTROL!$C$32, $C$9, 100%, $E$9)</f>
        <v>4.5019999999999998</v>
      </c>
      <c r="P144" s="17"/>
      <c r="Q144" s="17"/>
      <c r="R144" s="17"/>
    </row>
    <row r="145" spans="1:18" ht="15" x14ac:dyDescent="0.2">
      <c r="A145" s="16">
        <v>44896</v>
      </c>
      <c r="B145" s="10">
        <f>3.9406 * CHOOSE(CONTROL!$C$32, $C$9, 100%, $E$9)</f>
        <v>3.9405999999999999</v>
      </c>
      <c r="C145" s="10">
        <f>3.9406 * CHOOSE(CONTROL!$C$32, $C$9, 100%, $E$9)</f>
        <v>3.9405999999999999</v>
      </c>
      <c r="D145" s="10">
        <f>3.9415 * CHOOSE(CONTROL!$C$32, $C$9, 100%, $E$9)</f>
        <v>3.9415</v>
      </c>
      <c r="E145" s="9">
        <f>4.4658 * CHOOSE(CONTROL!$C$32, $C$9, 100%, $E$9)</f>
        <v>4.4657999999999998</v>
      </c>
      <c r="F145" s="9">
        <f>4.4658 * CHOOSE(CONTROL!$C$32, $C$9, 100%, $E$9)</f>
        <v>4.4657999999999998</v>
      </c>
      <c r="G145" s="9">
        <f>4.469 * CHOOSE(CONTROL!$C$32, $C$9, 100%, $E$9)</f>
        <v>4.4690000000000003</v>
      </c>
      <c r="H145" s="9">
        <f>4.896 * CHOOSE(CONTROL!$C$32, $C$9, 100%, $E$9)</f>
        <v>4.8959999999999999</v>
      </c>
      <c r="I145" s="9">
        <f>4.8992 * CHOOSE(CONTROL!$C$32, $C$9, 100%, $E$9)</f>
        <v>4.8992000000000004</v>
      </c>
      <c r="J145" s="9">
        <f>4.896 * CHOOSE(CONTROL!$C$32, $C$9, 100%, $E$9)</f>
        <v>4.8959999999999999</v>
      </c>
      <c r="K145" s="9">
        <f>4.8992 * CHOOSE(CONTROL!$C$32, $C$9, 100%, $E$9)</f>
        <v>4.8992000000000004</v>
      </c>
      <c r="L145" s="9">
        <f>4.4658 * CHOOSE(CONTROL!$C$32, $C$9, 100%, $E$9)</f>
        <v>4.4657999999999998</v>
      </c>
      <c r="M145" s="9">
        <f>4.469 * CHOOSE(CONTROL!$C$32, $C$9, 100%, $E$9)</f>
        <v>4.4690000000000003</v>
      </c>
      <c r="N145" s="9">
        <f>4.4658 * CHOOSE(CONTROL!$C$32, $C$9, 100%, $E$9)</f>
        <v>4.4657999999999998</v>
      </c>
      <c r="O145" s="9">
        <f>4.469 * CHOOSE(CONTROL!$C$32, $C$9, 100%, $E$9)</f>
        <v>4.4690000000000003</v>
      </c>
      <c r="P145" s="17"/>
      <c r="Q145" s="17"/>
      <c r="R145" s="17"/>
    </row>
    <row r="146" spans="1:18" ht="15" x14ac:dyDescent="0.2">
      <c r="A146" s="16">
        <v>44927</v>
      </c>
      <c r="B146" s="10">
        <f>3.9707 * CHOOSE(CONTROL!$C$32, $C$9, 100%, $E$9)</f>
        <v>3.9706999999999999</v>
      </c>
      <c r="C146" s="10">
        <f>3.9707 * CHOOSE(CONTROL!$C$32, $C$9, 100%, $E$9)</f>
        <v>3.9706999999999999</v>
      </c>
      <c r="D146" s="10">
        <f>3.9717 * CHOOSE(CONTROL!$C$32, $C$9, 100%, $E$9)</f>
        <v>3.9716999999999998</v>
      </c>
      <c r="E146" s="9">
        <f>4.4991 * CHOOSE(CONTROL!$C$32, $C$9, 100%, $E$9)</f>
        <v>4.4991000000000003</v>
      </c>
      <c r="F146" s="9">
        <f>4.4991 * CHOOSE(CONTROL!$C$32, $C$9, 100%, $E$9)</f>
        <v>4.4991000000000003</v>
      </c>
      <c r="G146" s="9">
        <f>4.5022 * CHOOSE(CONTROL!$C$32, $C$9, 100%, $E$9)</f>
        <v>4.5022000000000002</v>
      </c>
      <c r="H146" s="9">
        <f>4.9321 * CHOOSE(CONTROL!$C$32, $C$9, 100%, $E$9)</f>
        <v>4.9321000000000002</v>
      </c>
      <c r="I146" s="9">
        <f>4.9353 * CHOOSE(CONTROL!$C$32, $C$9, 100%, $E$9)</f>
        <v>4.9352999999999998</v>
      </c>
      <c r="J146" s="9">
        <f>4.9321 * CHOOSE(CONTROL!$C$32, $C$9, 100%, $E$9)</f>
        <v>4.9321000000000002</v>
      </c>
      <c r="K146" s="9">
        <f>4.9353 * CHOOSE(CONTROL!$C$32, $C$9, 100%, $E$9)</f>
        <v>4.9352999999999998</v>
      </c>
      <c r="L146" s="9">
        <f>4.4991 * CHOOSE(CONTROL!$C$32, $C$9, 100%, $E$9)</f>
        <v>4.4991000000000003</v>
      </c>
      <c r="M146" s="9">
        <f>4.5022 * CHOOSE(CONTROL!$C$32, $C$9, 100%, $E$9)</f>
        <v>4.5022000000000002</v>
      </c>
      <c r="N146" s="9">
        <f>4.4991 * CHOOSE(CONTROL!$C$32, $C$9, 100%, $E$9)</f>
        <v>4.4991000000000003</v>
      </c>
      <c r="O146" s="9">
        <f>4.5022 * CHOOSE(CONTROL!$C$32, $C$9, 100%, $E$9)</f>
        <v>4.5022000000000002</v>
      </c>
      <c r="P146" s="17"/>
      <c r="Q146" s="17"/>
      <c r="R146" s="17"/>
    </row>
    <row r="147" spans="1:18" ht="15" x14ac:dyDescent="0.2">
      <c r="A147" s="16">
        <v>44958</v>
      </c>
      <c r="B147" s="10">
        <f>3.9677 * CHOOSE(CONTROL!$C$32, $C$9, 100%, $E$9)</f>
        <v>3.9676999999999998</v>
      </c>
      <c r="C147" s="10">
        <f>3.9677 * CHOOSE(CONTROL!$C$32, $C$9, 100%, $E$9)</f>
        <v>3.9676999999999998</v>
      </c>
      <c r="D147" s="10">
        <f>3.9686 * CHOOSE(CONTROL!$C$32, $C$9, 100%, $E$9)</f>
        <v>3.9685999999999999</v>
      </c>
      <c r="E147" s="9">
        <f>4.4325 * CHOOSE(CONTROL!$C$32, $C$9, 100%, $E$9)</f>
        <v>4.4325000000000001</v>
      </c>
      <c r="F147" s="9">
        <f>4.4325 * CHOOSE(CONTROL!$C$32, $C$9, 100%, $E$9)</f>
        <v>4.4325000000000001</v>
      </c>
      <c r="G147" s="9">
        <f>4.4357 * CHOOSE(CONTROL!$C$32, $C$9, 100%, $E$9)</f>
        <v>4.4356999999999998</v>
      </c>
      <c r="H147" s="9">
        <f>4.9301 * CHOOSE(CONTROL!$C$32, $C$9, 100%, $E$9)</f>
        <v>4.9301000000000004</v>
      </c>
      <c r="I147" s="9">
        <f>4.9333 * CHOOSE(CONTROL!$C$32, $C$9, 100%, $E$9)</f>
        <v>4.9333</v>
      </c>
      <c r="J147" s="9">
        <f>4.9301 * CHOOSE(CONTROL!$C$32, $C$9, 100%, $E$9)</f>
        <v>4.9301000000000004</v>
      </c>
      <c r="K147" s="9">
        <f>4.9333 * CHOOSE(CONTROL!$C$32, $C$9, 100%, $E$9)</f>
        <v>4.9333</v>
      </c>
      <c r="L147" s="9">
        <f>4.4325 * CHOOSE(CONTROL!$C$32, $C$9, 100%, $E$9)</f>
        <v>4.4325000000000001</v>
      </c>
      <c r="M147" s="9">
        <f>4.4357 * CHOOSE(CONTROL!$C$32, $C$9, 100%, $E$9)</f>
        <v>4.4356999999999998</v>
      </c>
      <c r="N147" s="9">
        <f>4.4325 * CHOOSE(CONTROL!$C$32, $C$9, 100%, $E$9)</f>
        <v>4.4325000000000001</v>
      </c>
      <c r="O147" s="9">
        <f>4.4357 * CHOOSE(CONTROL!$C$32, $C$9, 100%, $E$9)</f>
        <v>4.4356999999999998</v>
      </c>
      <c r="P147" s="17"/>
      <c r="Q147" s="17"/>
      <c r="R147" s="17"/>
    </row>
    <row r="148" spans="1:18" ht="15" x14ac:dyDescent="0.2">
      <c r="A148" s="16">
        <v>44986</v>
      </c>
      <c r="B148" s="10">
        <f>3.9647 * CHOOSE(CONTROL!$C$32, $C$9, 100%, $E$9)</f>
        <v>3.9647000000000001</v>
      </c>
      <c r="C148" s="10">
        <f>3.9647 * CHOOSE(CONTROL!$C$32, $C$9, 100%, $E$9)</f>
        <v>3.9647000000000001</v>
      </c>
      <c r="D148" s="10">
        <f>3.9656 * CHOOSE(CONTROL!$C$32, $C$9, 100%, $E$9)</f>
        <v>3.9655999999999998</v>
      </c>
      <c r="E148" s="9">
        <f>4.4812 * CHOOSE(CONTROL!$C$32, $C$9, 100%, $E$9)</f>
        <v>4.4812000000000003</v>
      </c>
      <c r="F148" s="9">
        <f>4.4812 * CHOOSE(CONTROL!$C$32, $C$9, 100%, $E$9)</f>
        <v>4.4812000000000003</v>
      </c>
      <c r="G148" s="9">
        <f>4.4844 * CHOOSE(CONTROL!$C$32, $C$9, 100%, $E$9)</f>
        <v>4.4843999999999999</v>
      </c>
      <c r="H148" s="9">
        <f>4.9281 * CHOOSE(CONTROL!$C$32, $C$9, 100%, $E$9)</f>
        <v>4.9280999999999997</v>
      </c>
      <c r="I148" s="9">
        <f>4.9313 * CHOOSE(CONTROL!$C$32, $C$9, 100%, $E$9)</f>
        <v>4.9313000000000002</v>
      </c>
      <c r="J148" s="9">
        <f>4.9281 * CHOOSE(CONTROL!$C$32, $C$9, 100%, $E$9)</f>
        <v>4.9280999999999997</v>
      </c>
      <c r="K148" s="9">
        <f>4.9313 * CHOOSE(CONTROL!$C$32, $C$9, 100%, $E$9)</f>
        <v>4.9313000000000002</v>
      </c>
      <c r="L148" s="9">
        <f>4.4812 * CHOOSE(CONTROL!$C$32, $C$9, 100%, $E$9)</f>
        <v>4.4812000000000003</v>
      </c>
      <c r="M148" s="9">
        <f>4.4844 * CHOOSE(CONTROL!$C$32, $C$9, 100%, $E$9)</f>
        <v>4.4843999999999999</v>
      </c>
      <c r="N148" s="9">
        <f>4.4812 * CHOOSE(CONTROL!$C$32, $C$9, 100%, $E$9)</f>
        <v>4.4812000000000003</v>
      </c>
      <c r="O148" s="9">
        <f>4.4844 * CHOOSE(CONTROL!$C$32, $C$9, 100%, $E$9)</f>
        <v>4.4843999999999999</v>
      </c>
      <c r="P148" s="17"/>
      <c r="Q148" s="17"/>
      <c r="R148" s="17"/>
    </row>
    <row r="149" spans="1:18" ht="15" x14ac:dyDescent="0.2">
      <c r="A149" s="16">
        <v>45017</v>
      </c>
      <c r="B149" s="10">
        <f>3.9624 * CHOOSE(CONTROL!$C$32, $C$9, 100%, $E$9)</f>
        <v>3.9624000000000001</v>
      </c>
      <c r="C149" s="10">
        <f>3.9624 * CHOOSE(CONTROL!$C$32, $C$9, 100%, $E$9)</f>
        <v>3.9624000000000001</v>
      </c>
      <c r="D149" s="10">
        <f>3.9633 * CHOOSE(CONTROL!$C$32, $C$9, 100%, $E$9)</f>
        <v>3.9632999999999998</v>
      </c>
      <c r="E149" s="9">
        <f>4.5315 * CHOOSE(CONTROL!$C$32, $C$9, 100%, $E$9)</f>
        <v>4.5315000000000003</v>
      </c>
      <c r="F149" s="9">
        <f>4.5315 * CHOOSE(CONTROL!$C$32, $C$9, 100%, $E$9)</f>
        <v>4.5315000000000003</v>
      </c>
      <c r="G149" s="9">
        <f>4.5347 * CHOOSE(CONTROL!$C$32, $C$9, 100%, $E$9)</f>
        <v>4.5347</v>
      </c>
      <c r="H149" s="9">
        <f>4.9265 * CHOOSE(CONTROL!$C$32, $C$9, 100%, $E$9)</f>
        <v>4.9264999999999999</v>
      </c>
      <c r="I149" s="9">
        <f>4.9297 * CHOOSE(CONTROL!$C$32, $C$9, 100%, $E$9)</f>
        <v>4.9297000000000004</v>
      </c>
      <c r="J149" s="9">
        <f>4.9265 * CHOOSE(CONTROL!$C$32, $C$9, 100%, $E$9)</f>
        <v>4.9264999999999999</v>
      </c>
      <c r="K149" s="9">
        <f>4.9297 * CHOOSE(CONTROL!$C$32, $C$9, 100%, $E$9)</f>
        <v>4.9297000000000004</v>
      </c>
      <c r="L149" s="9">
        <f>4.5315 * CHOOSE(CONTROL!$C$32, $C$9, 100%, $E$9)</f>
        <v>4.5315000000000003</v>
      </c>
      <c r="M149" s="9">
        <f>4.5347 * CHOOSE(CONTROL!$C$32, $C$9, 100%, $E$9)</f>
        <v>4.5347</v>
      </c>
      <c r="N149" s="9">
        <f>4.5315 * CHOOSE(CONTROL!$C$32, $C$9, 100%, $E$9)</f>
        <v>4.5315000000000003</v>
      </c>
      <c r="O149" s="9">
        <f>4.5347 * CHOOSE(CONTROL!$C$32, $C$9, 100%, $E$9)</f>
        <v>4.5347</v>
      </c>
      <c r="P149" s="17"/>
      <c r="Q149" s="17"/>
      <c r="R149" s="17"/>
    </row>
    <row r="150" spans="1:18" ht="15" x14ac:dyDescent="0.2">
      <c r="A150" s="16">
        <v>45047</v>
      </c>
      <c r="B150" s="10">
        <f>3.9624 * CHOOSE(CONTROL!$C$32, $C$9, 100%, $E$9)</f>
        <v>3.9624000000000001</v>
      </c>
      <c r="C150" s="10">
        <f>3.9624 * CHOOSE(CONTROL!$C$32, $C$9, 100%, $E$9)</f>
        <v>3.9624000000000001</v>
      </c>
      <c r="D150" s="10">
        <f>3.9637 * CHOOSE(CONTROL!$C$32, $C$9, 100%, $E$9)</f>
        <v>3.9636999999999998</v>
      </c>
      <c r="E150" s="9">
        <f>4.552 * CHOOSE(CONTROL!$C$32, $C$9, 100%, $E$9)</f>
        <v>4.5519999999999996</v>
      </c>
      <c r="F150" s="9">
        <f>4.552 * CHOOSE(CONTROL!$C$32, $C$9, 100%, $E$9)</f>
        <v>4.5519999999999996</v>
      </c>
      <c r="G150" s="9">
        <f>4.5564 * CHOOSE(CONTROL!$C$32, $C$9, 100%, $E$9)</f>
        <v>4.5564</v>
      </c>
      <c r="H150" s="9">
        <f>4.9265 * CHOOSE(CONTROL!$C$32, $C$9, 100%, $E$9)</f>
        <v>4.9264999999999999</v>
      </c>
      <c r="I150" s="9">
        <f>4.9308 * CHOOSE(CONTROL!$C$32, $C$9, 100%, $E$9)</f>
        <v>4.9307999999999996</v>
      </c>
      <c r="J150" s="9">
        <f>4.9265 * CHOOSE(CONTROL!$C$32, $C$9, 100%, $E$9)</f>
        <v>4.9264999999999999</v>
      </c>
      <c r="K150" s="9">
        <f>4.9308 * CHOOSE(CONTROL!$C$32, $C$9, 100%, $E$9)</f>
        <v>4.9307999999999996</v>
      </c>
      <c r="L150" s="9">
        <f>4.552 * CHOOSE(CONTROL!$C$32, $C$9, 100%, $E$9)</f>
        <v>4.5519999999999996</v>
      </c>
      <c r="M150" s="9">
        <f>4.5564 * CHOOSE(CONTROL!$C$32, $C$9, 100%, $E$9)</f>
        <v>4.5564</v>
      </c>
      <c r="N150" s="9">
        <f>4.552 * CHOOSE(CONTROL!$C$32, $C$9, 100%, $E$9)</f>
        <v>4.5519999999999996</v>
      </c>
      <c r="O150" s="9">
        <f>4.5564 * CHOOSE(CONTROL!$C$32, $C$9, 100%, $E$9)</f>
        <v>4.5564</v>
      </c>
      <c r="P150" s="17"/>
      <c r="Q150" s="17"/>
      <c r="R150" s="17"/>
    </row>
    <row r="151" spans="1:18" ht="15" x14ac:dyDescent="0.2">
      <c r="A151" s="16">
        <v>45078</v>
      </c>
      <c r="B151" s="10">
        <f>3.9684 * CHOOSE(CONTROL!$C$32, $C$9, 100%, $E$9)</f>
        <v>3.9683999999999999</v>
      </c>
      <c r="C151" s="10">
        <f>3.9684 * CHOOSE(CONTROL!$C$32, $C$9, 100%, $E$9)</f>
        <v>3.9683999999999999</v>
      </c>
      <c r="D151" s="10">
        <f>3.9698 * CHOOSE(CONTROL!$C$32, $C$9, 100%, $E$9)</f>
        <v>3.9698000000000002</v>
      </c>
      <c r="E151" s="9">
        <f>4.5358 * CHOOSE(CONTROL!$C$32, $C$9, 100%, $E$9)</f>
        <v>4.5358000000000001</v>
      </c>
      <c r="F151" s="9">
        <f>4.5358 * CHOOSE(CONTROL!$C$32, $C$9, 100%, $E$9)</f>
        <v>4.5358000000000001</v>
      </c>
      <c r="G151" s="9">
        <f>4.5401 * CHOOSE(CONTROL!$C$32, $C$9, 100%, $E$9)</f>
        <v>4.5400999999999998</v>
      </c>
      <c r="H151" s="9">
        <f>4.9305 * CHOOSE(CONTROL!$C$32, $C$9, 100%, $E$9)</f>
        <v>4.9305000000000003</v>
      </c>
      <c r="I151" s="9">
        <f>4.9348 * CHOOSE(CONTROL!$C$32, $C$9, 100%, $E$9)</f>
        <v>4.9348000000000001</v>
      </c>
      <c r="J151" s="9">
        <f>4.9305 * CHOOSE(CONTROL!$C$32, $C$9, 100%, $E$9)</f>
        <v>4.9305000000000003</v>
      </c>
      <c r="K151" s="9">
        <f>4.9348 * CHOOSE(CONTROL!$C$32, $C$9, 100%, $E$9)</f>
        <v>4.9348000000000001</v>
      </c>
      <c r="L151" s="9">
        <f>4.5358 * CHOOSE(CONTROL!$C$32, $C$9, 100%, $E$9)</f>
        <v>4.5358000000000001</v>
      </c>
      <c r="M151" s="9">
        <f>4.5401 * CHOOSE(CONTROL!$C$32, $C$9, 100%, $E$9)</f>
        <v>4.5400999999999998</v>
      </c>
      <c r="N151" s="9">
        <f>4.5358 * CHOOSE(CONTROL!$C$32, $C$9, 100%, $E$9)</f>
        <v>4.5358000000000001</v>
      </c>
      <c r="O151" s="9">
        <f>4.5401 * CHOOSE(CONTROL!$C$32, $C$9, 100%, $E$9)</f>
        <v>4.5400999999999998</v>
      </c>
      <c r="P151" s="17"/>
      <c r="Q151" s="17"/>
      <c r="R151" s="17"/>
    </row>
    <row r="152" spans="1:18" ht="15" x14ac:dyDescent="0.2">
      <c r="A152" s="16">
        <v>45108</v>
      </c>
      <c r="B152" s="10">
        <f>4.0216 * CHOOSE(CONTROL!$C$32, $C$9, 100%, $E$9)</f>
        <v>4.0216000000000003</v>
      </c>
      <c r="C152" s="10">
        <f>4.0216 * CHOOSE(CONTROL!$C$32, $C$9, 100%, $E$9)</f>
        <v>4.0216000000000003</v>
      </c>
      <c r="D152" s="10">
        <f>4.0229 * CHOOSE(CONTROL!$C$32, $C$9, 100%, $E$9)</f>
        <v>4.0228999999999999</v>
      </c>
      <c r="E152" s="9">
        <f>4.5373 * CHOOSE(CONTROL!$C$32, $C$9, 100%, $E$9)</f>
        <v>4.5373000000000001</v>
      </c>
      <c r="F152" s="9">
        <f>4.5373 * CHOOSE(CONTROL!$C$32, $C$9, 100%, $E$9)</f>
        <v>4.5373000000000001</v>
      </c>
      <c r="G152" s="9">
        <f>4.5416 * CHOOSE(CONTROL!$C$32, $C$9, 100%, $E$9)</f>
        <v>4.5415999999999999</v>
      </c>
      <c r="H152" s="9">
        <f>5.0062 * CHOOSE(CONTROL!$C$32, $C$9, 100%, $E$9)</f>
        <v>5.0061999999999998</v>
      </c>
      <c r="I152" s="9">
        <f>5.0105 * CHOOSE(CONTROL!$C$32, $C$9, 100%, $E$9)</f>
        <v>5.0105000000000004</v>
      </c>
      <c r="J152" s="9">
        <f>5.0062 * CHOOSE(CONTROL!$C$32, $C$9, 100%, $E$9)</f>
        <v>5.0061999999999998</v>
      </c>
      <c r="K152" s="9">
        <f>5.0105 * CHOOSE(CONTROL!$C$32, $C$9, 100%, $E$9)</f>
        <v>5.0105000000000004</v>
      </c>
      <c r="L152" s="9">
        <f>4.5373 * CHOOSE(CONTROL!$C$32, $C$9, 100%, $E$9)</f>
        <v>4.5373000000000001</v>
      </c>
      <c r="M152" s="9">
        <f>4.5416 * CHOOSE(CONTROL!$C$32, $C$9, 100%, $E$9)</f>
        <v>4.5415999999999999</v>
      </c>
      <c r="N152" s="9">
        <f>4.5373 * CHOOSE(CONTROL!$C$32, $C$9, 100%, $E$9)</f>
        <v>4.5373000000000001</v>
      </c>
      <c r="O152" s="9">
        <f>4.5416 * CHOOSE(CONTROL!$C$32, $C$9, 100%, $E$9)</f>
        <v>4.5415999999999999</v>
      </c>
      <c r="P152" s="17"/>
      <c r="Q152" s="17"/>
      <c r="R152" s="17"/>
    </row>
    <row r="153" spans="1:18" ht="15" x14ac:dyDescent="0.2">
      <c r="A153" s="16">
        <v>45139</v>
      </c>
      <c r="B153" s="10">
        <f>4.0282 * CHOOSE(CONTROL!$C$32, $C$9, 100%, $E$9)</f>
        <v>4.0282</v>
      </c>
      <c r="C153" s="10">
        <f>4.0282 * CHOOSE(CONTROL!$C$32, $C$9, 100%, $E$9)</f>
        <v>4.0282</v>
      </c>
      <c r="D153" s="10">
        <f>4.0295 * CHOOSE(CONTROL!$C$32, $C$9, 100%, $E$9)</f>
        <v>4.0294999999999996</v>
      </c>
      <c r="E153" s="9">
        <f>4.4805 * CHOOSE(CONTROL!$C$32, $C$9, 100%, $E$9)</f>
        <v>4.4805000000000001</v>
      </c>
      <c r="F153" s="9">
        <f>4.4805 * CHOOSE(CONTROL!$C$32, $C$9, 100%, $E$9)</f>
        <v>4.4805000000000001</v>
      </c>
      <c r="G153" s="9">
        <f>4.4849 * CHOOSE(CONTROL!$C$32, $C$9, 100%, $E$9)</f>
        <v>4.4848999999999997</v>
      </c>
      <c r="H153" s="9">
        <f>5.0106 * CHOOSE(CONTROL!$C$32, $C$9, 100%, $E$9)</f>
        <v>5.0106000000000002</v>
      </c>
      <c r="I153" s="9">
        <f>5.0149 * CHOOSE(CONTROL!$C$32, $C$9, 100%, $E$9)</f>
        <v>5.0148999999999999</v>
      </c>
      <c r="J153" s="9">
        <f>5.0106 * CHOOSE(CONTROL!$C$32, $C$9, 100%, $E$9)</f>
        <v>5.0106000000000002</v>
      </c>
      <c r="K153" s="9">
        <f>5.0149 * CHOOSE(CONTROL!$C$32, $C$9, 100%, $E$9)</f>
        <v>5.0148999999999999</v>
      </c>
      <c r="L153" s="9">
        <f>4.4805 * CHOOSE(CONTROL!$C$32, $C$9, 100%, $E$9)</f>
        <v>4.4805000000000001</v>
      </c>
      <c r="M153" s="9">
        <f>4.4849 * CHOOSE(CONTROL!$C$32, $C$9, 100%, $E$9)</f>
        <v>4.4848999999999997</v>
      </c>
      <c r="N153" s="9">
        <f>4.4805 * CHOOSE(CONTROL!$C$32, $C$9, 100%, $E$9)</f>
        <v>4.4805000000000001</v>
      </c>
      <c r="O153" s="9">
        <f>4.4849 * CHOOSE(CONTROL!$C$32, $C$9, 100%, $E$9)</f>
        <v>4.4848999999999997</v>
      </c>
      <c r="P153" s="17"/>
      <c r="Q153" s="17"/>
      <c r="R153" s="17"/>
    </row>
    <row r="154" spans="1:18" ht="15" x14ac:dyDescent="0.2">
      <c r="A154" s="16">
        <v>45170</v>
      </c>
      <c r="B154" s="10">
        <f>4.0252 * CHOOSE(CONTROL!$C$32, $C$9, 100%, $E$9)</f>
        <v>4.0251999999999999</v>
      </c>
      <c r="C154" s="10">
        <f>4.0252 * CHOOSE(CONTROL!$C$32, $C$9, 100%, $E$9)</f>
        <v>4.0251999999999999</v>
      </c>
      <c r="D154" s="10">
        <f>4.0265 * CHOOSE(CONTROL!$C$32, $C$9, 100%, $E$9)</f>
        <v>4.0265000000000004</v>
      </c>
      <c r="E154" s="9">
        <f>4.4716 * CHOOSE(CONTROL!$C$32, $C$9, 100%, $E$9)</f>
        <v>4.4715999999999996</v>
      </c>
      <c r="F154" s="9">
        <f>4.4716 * CHOOSE(CONTROL!$C$32, $C$9, 100%, $E$9)</f>
        <v>4.4715999999999996</v>
      </c>
      <c r="G154" s="9">
        <f>4.4759 * CHOOSE(CONTROL!$C$32, $C$9, 100%, $E$9)</f>
        <v>4.4759000000000002</v>
      </c>
      <c r="H154" s="9">
        <f>5.0086 * CHOOSE(CONTROL!$C$32, $C$9, 100%, $E$9)</f>
        <v>5.0086000000000004</v>
      </c>
      <c r="I154" s="9">
        <f>5.0129 * CHOOSE(CONTROL!$C$32, $C$9, 100%, $E$9)</f>
        <v>5.0129000000000001</v>
      </c>
      <c r="J154" s="9">
        <f>5.0086 * CHOOSE(CONTROL!$C$32, $C$9, 100%, $E$9)</f>
        <v>5.0086000000000004</v>
      </c>
      <c r="K154" s="9">
        <f>5.0129 * CHOOSE(CONTROL!$C$32, $C$9, 100%, $E$9)</f>
        <v>5.0129000000000001</v>
      </c>
      <c r="L154" s="9">
        <f>4.4716 * CHOOSE(CONTROL!$C$32, $C$9, 100%, $E$9)</f>
        <v>4.4715999999999996</v>
      </c>
      <c r="M154" s="9">
        <f>4.4759 * CHOOSE(CONTROL!$C$32, $C$9, 100%, $E$9)</f>
        <v>4.4759000000000002</v>
      </c>
      <c r="N154" s="9">
        <f>4.4716 * CHOOSE(CONTROL!$C$32, $C$9, 100%, $E$9)</f>
        <v>4.4715999999999996</v>
      </c>
      <c r="O154" s="9">
        <f>4.4759 * CHOOSE(CONTROL!$C$32, $C$9, 100%, $E$9)</f>
        <v>4.4759000000000002</v>
      </c>
      <c r="P154" s="17"/>
      <c r="Q154" s="17"/>
      <c r="R154" s="17"/>
    </row>
    <row r="155" spans="1:18" ht="15" x14ac:dyDescent="0.2">
      <c r="A155" s="16">
        <v>45200</v>
      </c>
      <c r="B155" s="10">
        <f>4.0208 * CHOOSE(CONTROL!$C$32, $C$9, 100%, $E$9)</f>
        <v>4.0208000000000004</v>
      </c>
      <c r="C155" s="10">
        <f>4.0208 * CHOOSE(CONTROL!$C$32, $C$9, 100%, $E$9)</f>
        <v>4.0208000000000004</v>
      </c>
      <c r="D155" s="10">
        <f>4.0217 * CHOOSE(CONTROL!$C$32, $C$9, 100%, $E$9)</f>
        <v>4.0217000000000001</v>
      </c>
      <c r="E155" s="9">
        <f>4.4854 * CHOOSE(CONTROL!$C$32, $C$9, 100%, $E$9)</f>
        <v>4.4854000000000003</v>
      </c>
      <c r="F155" s="9">
        <f>4.4854 * CHOOSE(CONTROL!$C$32, $C$9, 100%, $E$9)</f>
        <v>4.4854000000000003</v>
      </c>
      <c r="G155" s="9">
        <f>4.4886 * CHOOSE(CONTROL!$C$32, $C$9, 100%, $E$9)</f>
        <v>4.4885999999999999</v>
      </c>
      <c r="H155" s="9">
        <f>5.0051 * CHOOSE(CONTROL!$C$32, $C$9, 100%, $E$9)</f>
        <v>5.0050999999999997</v>
      </c>
      <c r="I155" s="9">
        <f>5.0083 * CHOOSE(CONTROL!$C$32, $C$9, 100%, $E$9)</f>
        <v>5.0083000000000002</v>
      </c>
      <c r="J155" s="9">
        <f>5.0051 * CHOOSE(CONTROL!$C$32, $C$9, 100%, $E$9)</f>
        <v>5.0050999999999997</v>
      </c>
      <c r="K155" s="9">
        <f>5.0083 * CHOOSE(CONTROL!$C$32, $C$9, 100%, $E$9)</f>
        <v>5.0083000000000002</v>
      </c>
      <c r="L155" s="9">
        <f>4.4854 * CHOOSE(CONTROL!$C$32, $C$9, 100%, $E$9)</f>
        <v>4.4854000000000003</v>
      </c>
      <c r="M155" s="9">
        <f>4.4886 * CHOOSE(CONTROL!$C$32, $C$9, 100%, $E$9)</f>
        <v>4.4885999999999999</v>
      </c>
      <c r="N155" s="9">
        <f>4.4854 * CHOOSE(CONTROL!$C$32, $C$9, 100%, $E$9)</f>
        <v>4.4854000000000003</v>
      </c>
      <c r="O155" s="9">
        <f>4.4886 * CHOOSE(CONTROL!$C$32, $C$9, 100%, $E$9)</f>
        <v>4.4885999999999999</v>
      </c>
      <c r="P155" s="17"/>
      <c r="Q155" s="17"/>
      <c r="R155" s="17"/>
    </row>
    <row r="156" spans="1:18" ht="15" x14ac:dyDescent="0.2">
      <c r="A156" s="16">
        <v>45231</v>
      </c>
      <c r="B156" s="10">
        <f>4.0238 * CHOOSE(CONTROL!$C$32, $C$9, 100%, $E$9)</f>
        <v>4.0237999999999996</v>
      </c>
      <c r="C156" s="10">
        <f>4.0238 * CHOOSE(CONTROL!$C$32, $C$9, 100%, $E$9)</f>
        <v>4.0237999999999996</v>
      </c>
      <c r="D156" s="10">
        <f>4.0247 * CHOOSE(CONTROL!$C$32, $C$9, 100%, $E$9)</f>
        <v>4.0247000000000002</v>
      </c>
      <c r="E156" s="9">
        <f>4.5012 * CHOOSE(CONTROL!$C$32, $C$9, 100%, $E$9)</f>
        <v>4.5011999999999999</v>
      </c>
      <c r="F156" s="9">
        <f>4.5012 * CHOOSE(CONTROL!$C$32, $C$9, 100%, $E$9)</f>
        <v>4.5011999999999999</v>
      </c>
      <c r="G156" s="9">
        <f>4.5044 * CHOOSE(CONTROL!$C$32, $C$9, 100%, $E$9)</f>
        <v>4.5044000000000004</v>
      </c>
      <c r="H156" s="9">
        <f>5.0071 * CHOOSE(CONTROL!$C$32, $C$9, 100%, $E$9)</f>
        <v>5.0071000000000003</v>
      </c>
      <c r="I156" s="9">
        <f>5.0103 * CHOOSE(CONTROL!$C$32, $C$9, 100%, $E$9)</f>
        <v>5.0103</v>
      </c>
      <c r="J156" s="9">
        <f>5.0071 * CHOOSE(CONTROL!$C$32, $C$9, 100%, $E$9)</f>
        <v>5.0071000000000003</v>
      </c>
      <c r="K156" s="9">
        <f>5.0103 * CHOOSE(CONTROL!$C$32, $C$9, 100%, $E$9)</f>
        <v>5.0103</v>
      </c>
      <c r="L156" s="9">
        <f>4.5012 * CHOOSE(CONTROL!$C$32, $C$9, 100%, $E$9)</f>
        <v>4.5011999999999999</v>
      </c>
      <c r="M156" s="9">
        <f>4.5044 * CHOOSE(CONTROL!$C$32, $C$9, 100%, $E$9)</f>
        <v>4.5044000000000004</v>
      </c>
      <c r="N156" s="9">
        <f>4.5012 * CHOOSE(CONTROL!$C$32, $C$9, 100%, $E$9)</f>
        <v>4.5011999999999999</v>
      </c>
      <c r="O156" s="9">
        <f>4.5044 * CHOOSE(CONTROL!$C$32, $C$9, 100%, $E$9)</f>
        <v>4.5044000000000004</v>
      </c>
      <c r="P156" s="17"/>
      <c r="Q156" s="17"/>
      <c r="R156" s="17"/>
    </row>
    <row r="157" spans="1:18" ht="15" x14ac:dyDescent="0.2">
      <c r="A157" s="16">
        <v>45261</v>
      </c>
      <c r="B157" s="10">
        <f>4.0238 * CHOOSE(CONTROL!$C$32, $C$9, 100%, $E$9)</f>
        <v>4.0237999999999996</v>
      </c>
      <c r="C157" s="10">
        <f>4.0238 * CHOOSE(CONTROL!$C$32, $C$9, 100%, $E$9)</f>
        <v>4.0237999999999996</v>
      </c>
      <c r="D157" s="10">
        <f>4.0247 * CHOOSE(CONTROL!$C$32, $C$9, 100%, $E$9)</f>
        <v>4.0247000000000002</v>
      </c>
      <c r="E157" s="9">
        <f>4.4671 * CHOOSE(CONTROL!$C$32, $C$9, 100%, $E$9)</f>
        <v>4.4671000000000003</v>
      </c>
      <c r="F157" s="9">
        <f>4.4671 * CHOOSE(CONTROL!$C$32, $C$9, 100%, $E$9)</f>
        <v>4.4671000000000003</v>
      </c>
      <c r="G157" s="9">
        <f>4.4703 * CHOOSE(CONTROL!$C$32, $C$9, 100%, $E$9)</f>
        <v>4.4702999999999999</v>
      </c>
      <c r="H157" s="9">
        <f>5.0071 * CHOOSE(CONTROL!$C$32, $C$9, 100%, $E$9)</f>
        <v>5.0071000000000003</v>
      </c>
      <c r="I157" s="9">
        <f>5.0103 * CHOOSE(CONTROL!$C$32, $C$9, 100%, $E$9)</f>
        <v>5.0103</v>
      </c>
      <c r="J157" s="9">
        <f>5.0071 * CHOOSE(CONTROL!$C$32, $C$9, 100%, $E$9)</f>
        <v>5.0071000000000003</v>
      </c>
      <c r="K157" s="9">
        <f>5.0103 * CHOOSE(CONTROL!$C$32, $C$9, 100%, $E$9)</f>
        <v>5.0103</v>
      </c>
      <c r="L157" s="9">
        <f>4.4671 * CHOOSE(CONTROL!$C$32, $C$9, 100%, $E$9)</f>
        <v>4.4671000000000003</v>
      </c>
      <c r="M157" s="9">
        <f>4.4703 * CHOOSE(CONTROL!$C$32, $C$9, 100%, $E$9)</f>
        <v>4.4702999999999999</v>
      </c>
      <c r="N157" s="9">
        <f>4.4671 * CHOOSE(CONTROL!$C$32, $C$9, 100%, $E$9)</f>
        <v>4.4671000000000003</v>
      </c>
      <c r="O157" s="9">
        <f>4.4703 * CHOOSE(CONTROL!$C$32, $C$9, 100%, $E$9)</f>
        <v>4.4702999999999999</v>
      </c>
      <c r="P157" s="17"/>
      <c r="Q157" s="17"/>
      <c r="R157" s="17"/>
    </row>
    <row r="158" spans="1:18" ht="15" x14ac:dyDescent="0.2">
      <c r="A158" s="16">
        <v>45292</v>
      </c>
      <c r="B158" s="10">
        <f>4.0494 * CHOOSE(CONTROL!$C$32, $C$9, 100%, $E$9)</f>
        <v>4.0494000000000003</v>
      </c>
      <c r="C158" s="10">
        <f>4.0494 * CHOOSE(CONTROL!$C$32, $C$9, 100%, $E$9)</f>
        <v>4.0494000000000003</v>
      </c>
      <c r="D158" s="10">
        <f>4.0504 * CHOOSE(CONTROL!$C$32, $C$9, 100%, $E$9)</f>
        <v>4.0503999999999998</v>
      </c>
      <c r="E158" s="9">
        <f>4.5201 * CHOOSE(CONTROL!$C$32, $C$9, 100%, $E$9)</f>
        <v>4.5201000000000002</v>
      </c>
      <c r="F158" s="9">
        <f>4.5201 * CHOOSE(CONTROL!$C$32, $C$9, 100%, $E$9)</f>
        <v>4.5201000000000002</v>
      </c>
      <c r="G158" s="9">
        <f>4.5233 * CHOOSE(CONTROL!$C$32, $C$9, 100%, $E$9)</f>
        <v>4.5232999999999999</v>
      </c>
      <c r="H158" s="9">
        <f>5.0476 * CHOOSE(CONTROL!$C$32, $C$9, 100%, $E$9)</f>
        <v>5.0476000000000001</v>
      </c>
      <c r="I158" s="9">
        <f>5.0508 * CHOOSE(CONTROL!$C$32, $C$9, 100%, $E$9)</f>
        <v>5.0507999999999997</v>
      </c>
      <c r="J158" s="9">
        <f>5.0476 * CHOOSE(CONTROL!$C$32, $C$9, 100%, $E$9)</f>
        <v>5.0476000000000001</v>
      </c>
      <c r="K158" s="9">
        <f>5.0508 * CHOOSE(CONTROL!$C$32, $C$9, 100%, $E$9)</f>
        <v>5.0507999999999997</v>
      </c>
      <c r="L158" s="9">
        <f>4.5201 * CHOOSE(CONTROL!$C$32, $C$9, 100%, $E$9)</f>
        <v>4.5201000000000002</v>
      </c>
      <c r="M158" s="9">
        <f>4.5233 * CHOOSE(CONTROL!$C$32, $C$9, 100%, $E$9)</f>
        <v>4.5232999999999999</v>
      </c>
      <c r="N158" s="9">
        <f>4.5201 * CHOOSE(CONTROL!$C$32, $C$9, 100%, $E$9)</f>
        <v>4.5201000000000002</v>
      </c>
      <c r="O158" s="9">
        <f>4.5233 * CHOOSE(CONTROL!$C$32, $C$9, 100%, $E$9)</f>
        <v>4.5232999999999999</v>
      </c>
      <c r="P158" s="17"/>
      <c r="Q158" s="17"/>
      <c r="R158" s="17"/>
    </row>
    <row r="159" spans="1:18" ht="15" x14ac:dyDescent="0.2">
      <c r="A159" s="16">
        <v>45323</v>
      </c>
      <c r="B159" s="10">
        <f>4.0464 * CHOOSE(CONTROL!$C$32, $C$9, 100%, $E$9)</f>
        <v>4.0464000000000002</v>
      </c>
      <c r="C159" s="10">
        <f>4.0464 * CHOOSE(CONTROL!$C$32, $C$9, 100%, $E$9)</f>
        <v>4.0464000000000002</v>
      </c>
      <c r="D159" s="10">
        <f>4.0473 * CHOOSE(CONTROL!$C$32, $C$9, 100%, $E$9)</f>
        <v>4.0472999999999999</v>
      </c>
      <c r="E159" s="9">
        <f>4.4513 * CHOOSE(CONTROL!$C$32, $C$9, 100%, $E$9)</f>
        <v>4.4512999999999998</v>
      </c>
      <c r="F159" s="9">
        <f>4.4513 * CHOOSE(CONTROL!$C$32, $C$9, 100%, $E$9)</f>
        <v>4.4512999999999998</v>
      </c>
      <c r="G159" s="9">
        <f>4.4545 * CHOOSE(CONTROL!$C$32, $C$9, 100%, $E$9)</f>
        <v>4.4545000000000003</v>
      </c>
      <c r="H159" s="9">
        <f>5.0456 * CHOOSE(CONTROL!$C$32, $C$9, 100%, $E$9)</f>
        <v>5.0456000000000003</v>
      </c>
      <c r="I159" s="9">
        <f>5.0488 * CHOOSE(CONTROL!$C$32, $C$9, 100%, $E$9)</f>
        <v>5.0488</v>
      </c>
      <c r="J159" s="9">
        <f>5.0456 * CHOOSE(CONTROL!$C$32, $C$9, 100%, $E$9)</f>
        <v>5.0456000000000003</v>
      </c>
      <c r="K159" s="9">
        <f>5.0488 * CHOOSE(CONTROL!$C$32, $C$9, 100%, $E$9)</f>
        <v>5.0488</v>
      </c>
      <c r="L159" s="9">
        <f>4.4513 * CHOOSE(CONTROL!$C$32, $C$9, 100%, $E$9)</f>
        <v>4.4512999999999998</v>
      </c>
      <c r="M159" s="9">
        <f>4.4545 * CHOOSE(CONTROL!$C$32, $C$9, 100%, $E$9)</f>
        <v>4.4545000000000003</v>
      </c>
      <c r="N159" s="9">
        <f>4.4513 * CHOOSE(CONTROL!$C$32, $C$9, 100%, $E$9)</f>
        <v>4.4512999999999998</v>
      </c>
      <c r="O159" s="9">
        <f>4.4545 * CHOOSE(CONTROL!$C$32, $C$9, 100%, $E$9)</f>
        <v>4.4545000000000003</v>
      </c>
      <c r="P159" s="17"/>
      <c r="Q159" s="17"/>
      <c r="R159" s="17"/>
    </row>
    <row r="160" spans="1:18" ht="15" x14ac:dyDescent="0.2">
      <c r="A160" s="16">
        <v>45352</v>
      </c>
      <c r="B160" s="10">
        <f>4.0433 * CHOOSE(CONTROL!$C$32, $C$9, 100%, $E$9)</f>
        <v>4.0433000000000003</v>
      </c>
      <c r="C160" s="10">
        <f>4.0433 * CHOOSE(CONTROL!$C$32, $C$9, 100%, $E$9)</f>
        <v>4.0433000000000003</v>
      </c>
      <c r="D160" s="10">
        <f>4.0443 * CHOOSE(CONTROL!$C$32, $C$9, 100%, $E$9)</f>
        <v>4.0442999999999998</v>
      </c>
      <c r="E160" s="9">
        <f>4.5018 * CHOOSE(CONTROL!$C$32, $C$9, 100%, $E$9)</f>
        <v>4.5018000000000002</v>
      </c>
      <c r="F160" s="9">
        <f>4.5018 * CHOOSE(CONTROL!$C$32, $C$9, 100%, $E$9)</f>
        <v>4.5018000000000002</v>
      </c>
      <c r="G160" s="9">
        <f>4.505 * CHOOSE(CONTROL!$C$32, $C$9, 100%, $E$9)</f>
        <v>4.5049999999999999</v>
      </c>
      <c r="H160" s="9">
        <f>5.0436 * CHOOSE(CONTROL!$C$32, $C$9, 100%, $E$9)</f>
        <v>5.0435999999999996</v>
      </c>
      <c r="I160" s="9">
        <f>5.0468 * CHOOSE(CONTROL!$C$32, $C$9, 100%, $E$9)</f>
        <v>5.0468000000000002</v>
      </c>
      <c r="J160" s="9">
        <f>5.0436 * CHOOSE(CONTROL!$C$32, $C$9, 100%, $E$9)</f>
        <v>5.0435999999999996</v>
      </c>
      <c r="K160" s="9">
        <f>5.0468 * CHOOSE(CONTROL!$C$32, $C$9, 100%, $E$9)</f>
        <v>5.0468000000000002</v>
      </c>
      <c r="L160" s="9">
        <f>4.5018 * CHOOSE(CONTROL!$C$32, $C$9, 100%, $E$9)</f>
        <v>4.5018000000000002</v>
      </c>
      <c r="M160" s="9">
        <f>4.505 * CHOOSE(CONTROL!$C$32, $C$9, 100%, $E$9)</f>
        <v>4.5049999999999999</v>
      </c>
      <c r="N160" s="9">
        <f>4.5018 * CHOOSE(CONTROL!$C$32, $C$9, 100%, $E$9)</f>
        <v>4.5018000000000002</v>
      </c>
      <c r="O160" s="9">
        <f>4.505 * CHOOSE(CONTROL!$C$32, $C$9, 100%, $E$9)</f>
        <v>4.5049999999999999</v>
      </c>
      <c r="P160" s="17"/>
      <c r="Q160" s="17"/>
      <c r="R160" s="17"/>
    </row>
    <row r="161" spans="1:18" ht="15" x14ac:dyDescent="0.2">
      <c r="A161" s="16">
        <v>45383</v>
      </c>
      <c r="B161" s="10">
        <f>4.0412 * CHOOSE(CONTROL!$C$32, $C$9, 100%, $E$9)</f>
        <v>4.0411999999999999</v>
      </c>
      <c r="C161" s="10">
        <f>4.0412 * CHOOSE(CONTROL!$C$32, $C$9, 100%, $E$9)</f>
        <v>4.0411999999999999</v>
      </c>
      <c r="D161" s="10">
        <f>4.0421 * CHOOSE(CONTROL!$C$32, $C$9, 100%, $E$9)</f>
        <v>4.0420999999999996</v>
      </c>
      <c r="E161" s="9">
        <f>4.554 * CHOOSE(CONTROL!$C$32, $C$9, 100%, $E$9)</f>
        <v>4.5540000000000003</v>
      </c>
      <c r="F161" s="9">
        <f>4.554 * CHOOSE(CONTROL!$C$32, $C$9, 100%, $E$9)</f>
        <v>4.5540000000000003</v>
      </c>
      <c r="G161" s="9">
        <f>4.5572 * CHOOSE(CONTROL!$C$32, $C$9, 100%, $E$9)</f>
        <v>4.5571999999999999</v>
      </c>
      <c r="H161" s="9">
        <f>5.042 * CHOOSE(CONTROL!$C$32, $C$9, 100%, $E$9)</f>
        <v>5.0419999999999998</v>
      </c>
      <c r="I161" s="9">
        <f>5.0452 * CHOOSE(CONTROL!$C$32, $C$9, 100%, $E$9)</f>
        <v>5.0452000000000004</v>
      </c>
      <c r="J161" s="9">
        <f>5.042 * CHOOSE(CONTROL!$C$32, $C$9, 100%, $E$9)</f>
        <v>5.0419999999999998</v>
      </c>
      <c r="K161" s="9">
        <f>5.0452 * CHOOSE(CONTROL!$C$32, $C$9, 100%, $E$9)</f>
        <v>5.0452000000000004</v>
      </c>
      <c r="L161" s="9">
        <f>4.554 * CHOOSE(CONTROL!$C$32, $C$9, 100%, $E$9)</f>
        <v>4.5540000000000003</v>
      </c>
      <c r="M161" s="9">
        <f>4.5572 * CHOOSE(CONTROL!$C$32, $C$9, 100%, $E$9)</f>
        <v>4.5571999999999999</v>
      </c>
      <c r="N161" s="9">
        <f>4.554 * CHOOSE(CONTROL!$C$32, $C$9, 100%, $E$9)</f>
        <v>4.5540000000000003</v>
      </c>
      <c r="O161" s="9">
        <f>4.5572 * CHOOSE(CONTROL!$C$32, $C$9, 100%, $E$9)</f>
        <v>4.5571999999999999</v>
      </c>
      <c r="P161" s="17"/>
      <c r="Q161" s="17"/>
      <c r="R161" s="17"/>
    </row>
    <row r="162" spans="1:18" ht="15" x14ac:dyDescent="0.2">
      <c r="A162" s="16">
        <v>45413</v>
      </c>
      <c r="B162" s="10">
        <f>4.0412 * CHOOSE(CONTROL!$C$32, $C$9, 100%, $E$9)</f>
        <v>4.0411999999999999</v>
      </c>
      <c r="C162" s="10">
        <f>4.0412 * CHOOSE(CONTROL!$C$32, $C$9, 100%, $E$9)</f>
        <v>4.0411999999999999</v>
      </c>
      <c r="D162" s="10">
        <f>4.0425 * CHOOSE(CONTROL!$C$32, $C$9, 100%, $E$9)</f>
        <v>4.0425000000000004</v>
      </c>
      <c r="E162" s="9">
        <f>4.5752 * CHOOSE(CONTROL!$C$32, $C$9, 100%, $E$9)</f>
        <v>4.5751999999999997</v>
      </c>
      <c r="F162" s="9">
        <f>4.5752 * CHOOSE(CONTROL!$C$32, $C$9, 100%, $E$9)</f>
        <v>4.5751999999999997</v>
      </c>
      <c r="G162" s="9">
        <f>4.5795 * CHOOSE(CONTROL!$C$32, $C$9, 100%, $E$9)</f>
        <v>4.5795000000000003</v>
      </c>
      <c r="H162" s="9">
        <f>5.042 * CHOOSE(CONTROL!$C$32, $C$9, 100%, $E$9)</f>
        <v>5.0419999999999998</v>
      </c>
      <c r="I162" s="9">
        <f>5.0464 * CHOOSE(CONTROL!$C$32, $C$9, 100%, $E$9)</f>
        <v>5.0464000000000002</v>
      </c>
      <c r="J162" s="9">
        <f>5.042 * CHOOSE(CONTROL!$C$32, $C$9, 100%, $E$9)</f>
        <v>5.0419999999999998</v>
      </c>
      <c r="K162" s="9">
        <f>5.0464 * CHOOSE(CONTROL!$C$32, $C$9, 100%, $E$9)</f>
        <v>5.0464000000000002</v>
      </c>
      <c r="L162" s="9">
        <f>4.5752 * CHOOSE(CONTROL!$C$32, $C$9, 100%, $E$9)</f>
        <v>4.5751999999999997</v>
      </c>
      <c r="M162" s="9">
        <f>4.5795 * CHOOSE(CONTROL!$C$32, $C$9, 100%, $E$9)</f>
        <v>4.5795000000000003</v>
      </c>
      <c r="N162" s="9">
        <f>4.5752 * CHOOSE(CONTROL!$C$32, $C$9, 100%, $E$9)</f>
        <v>4.5751999999999997</v>
      </c>
      <c r="O162" s="9">
        <f>4.5795 * CHOOSE(CONTROL!$C$32, $C$9, 100%, $E$9)</f>
        <v>4.5795000000000003</v>
      </c>
      <c r="P162" s="17"/>
      <c r="Q162" s="17"/>
      <c r="R162" s="17"/>
    </row>
    <row r="163" spans="1:18" ht="15" x14ac:dyDescent="0.2">
      <c r="A163" s="16">
        <v>45444</v>
      </c>
      <c r="B163" s="10">
        <f>4.0472 * CHOOSE(CONTROL!$C$32, $C$9, 100%, $E$9)</f>
        <v>4.0472000000000001</v>
      </c>
      <c r="C163" s="10">
        <f>4.0472 * CHOOSE(CONTROL!$C$32, $C$9, 100%, $E$9)</f>
        <v>4.0472000000000001</v>
      </c>
      <c r="D163" s="10">
        <f>4.0485 * CHOOSE(CONTROL!$C$32, $C$9, 100%, $E$9)</f>
        <v>4.0484999999999998</v>
      </c>
      <c r="E163" s="9">
        <f>4.5582 * CHOOSE(CONTROL!$C$32, $C$9, 100%, $E$9)</f>
        <v>4.5582000000000003</v>
      </c>
      <c r="F163" s="9">
        <f>4.5582 * CHOOSE(CONTROL!$C$32, $C$9, 100%, $E$9)</f>
        <v>4.5582000000000003</v>
      </c>
      <c r="G163" s="9">
        <f>4.5626 * CHOOSE(CONTROL!$C$32, $C$9, 100%, $E$9)</f>
        <v>4.5625999999999998</v>
      </c>
      <c r="H163" s="9">
        <f>5.046 * CHOOSE(CONTROL!$C$32, $C$9, 100%, $E$9)</f>
        <v>5.0460000000000003</v>
      </c>
      <c r="I163" s="9">
        <f>5.0504 * CHOOSE(CONTROL!$C$32, $C$9, 100%, $E$9)</f>
        <v>5.0503999999999998</v>
      </c>
      <c r="J163" s="9">
        <f>5.046 * CHOOSE(CONTROL!$C$32, $C$9, 100%, $E$9)</f>
        <v>5.0460000000000003</v>
      </c>
      <c r="K163" s="9">
        <f>5.0504 * CHOOSE(CONTROL!$C$32, $C$9, 100%, $E$9)</f>
        <v>5.0503999999999998</v>
      </c>
      <c r="L163" s="9">
        <f>4.5582 * CHOOSE(CONTROL!$C$32, $C$9, 100%, $E$9)</f>
        <v>4.5582000000000003</v>
      </c>
      <c r="M163" s="9">
        <f>4.5626 * CHOOSE(CONTROL!$C$32, $C$9, 100%, $E$9)</f>
        <v>4.5625999999999998</v>
      </c>
      <c r="N163" s="9">
        <f>4.5582 * CHOOSE(CONTROL!$C$32, $C$9, 100%, $E$9)</f>
        <v>4.5582000000000003</v>
      </c>
      <c r="O163" s="9">
        <f>4.5626 * CHOOSE(CONTROL!$C$32, $C$9, 100%, $E$9)</f>
        <v>4.5625999999999998</v>
      </c>
      <c r="P163" s="17"/>
      <c r="Q163" s="17"/>
      <c r="R163" s="17"/>
    </row>
    <row r="164" spans="1:18" ht="15" x14ac:dyDescent="0.2">
      <c r="A164" s="16">
        <v>45474</v>
      </c>
      <c r="B164" s="10">
        <f>4.0876 * CHOOSE(CONTROL!$C$32, $C$9, 100%, $E$9)</f>
        <v>4.0876000000000001</v>
      </c>
      <c r="C164" s="10">
        <f>4.0876 * CHOOSE(CONTROL!$C$32, $C$9, 100%, $E$9)</f>
        <v>4.0876000000000001</v>
      </c>
      <c r="D164" s="10">
        <f>4.0889 * CHOOSE(CONTROL!$C$32, $C$9, 100%, $E$9)</f>
        <v>4.0888999999999998</v>
      </c>
      <c r="E164" s="9">
        <f>4.6067 * CHOOSE(CONTROL!$C$32, $C$9, 100%, $E$9)</f>
        <v>4.6067</v>
      </c>
      <c r="F164" s="9">
        <f>4.6067 * CHOOSE(CONTROL!$C$32, $C$9, 100%, $E$9)</f>
        <v>4.6067</v>
      </c>
      <c r="G164" s="9">
        <f>4.6111 * CHOOSE(CONTROL!$C$32, $C$9, 100%, $E$9)</f>
        <v>4.6111000000000004</v>
      </c>
      <c r="H164" s="9">
        <f>5.1313 * CHOOSE(CONTROL!$C$32, $C$9, 100%, $E$9)</f>
        <v>5.1313000000000004</v>
      </c>
      <c r="I164" s="9">
        <f>5.1357 * CHOOSE(CONTROL!$C$32, $C$9, 100%, $E$9)</f>
        <v>5.1356999999999999</v>
      </c>
      <c r="J164" s="9">
        <f>5.1313 * CHOOSE(CONTROL!$C$32, $C$9, 100%, $E$9)</f>
        <v>5.1313000000000004</v>
      </c>
      <c r="K164" s="9">
        <f>5.1357 * CHOOSE(CONTROL!$C$32, $C$9, 100%, $E$9)</f>
        <v>5.1356999999999999</v>
      </c>
      <c r="L164" s="9">
        <f>4.6067 * CHOOSE(CONTROL!$C$32, $C$9, 100%, $E$9)</f>
        <v>4.6067</v>
      </c>
      <c r="M164" s="9">
        <f>4.6111 * CHOOSE(CONTROL!$C$32, $C$9, 100%, $E$9)</f>
        <v>4.6111000000000004</v>
      </c>
      <c r="N164" s="9">
        <f>4.6067 * CHOOSE(CONTROL!$C$32, $C$9, 100%, $E$9)</f>
        <v>4.6067</v>
      </c>
      <c r="O164" s="9">
        <f>4.6111 * CHOOSE(CONTROL!$C$32, $C$9, 100%, $E$9)</f>
        <v>4.6111000000000004</v>
      </c>
      <c r="P164" s="17"/>
      <c r="Q164" s="17"/>
      <c r="R164" s="17"/>
    </row>
    <row r="165" spans="1:18" ht="15" x14ac:dyDescent="0.2">
      <c r="A165" s="16">
        <v>45505</v>
      </c>
      <c r="B165" s="10">
        <f>4.0943 * CHOOSE(CONTROL!$C$32, $C$9, 100%, $E$9)</f>
        <v>4.0942999999999996</v>
      </c>
      <c r="C165" s="10">
        <f>4.0943 * CHOOSE(CONTROL!$C$32, $C$9, 100%, $E$9)</f>
        <v>4.0942999999999996</v>
      </c>
      <c r="D165" s="10">
        <f>4.0956 * CHOOSE(CONTROL!$C$32, $C$9, 100%, $E$9)</f>
        <v>4.0956000000000001</v>
      </c>
      <c r="E165" s="9">
        <f>4.5479 * CHOOSE(CONTROL!$C$32, $C$9, 100%, $E$9)</f>
        <v>4.5479000000000003</v>
      </c>
      <c r="F165" s="9">
        <f>4.5479 * CHOOSE(CONTROL!$C$32, $C$9, 100%, $E$9)</f>
        <v>4.5479000000000003</v>
      </c>
      <c r="G165" s="9">
        <f>4.5522 * CHOOSE(CONTROL!$C$32, $C$9, 100%, $E$9)</f>
        <v>4.5522</v>
      </c>
      <c r="H165" s="9">
        <f>5.1357 * CHOOSE(CONTROL!$C$32, $C$9, 100%, $E$9)</f>
        <v>5.1356999999999999</v>
      </c>
      <c r="I165" s="9">
        <f>5.1401 * CHOOSE(CONTROL!$C$32, $C$9, 100%, $E$9)</f>
        <v>5.1401000000000003</v>
      </c>
      <c r="J165" s="9">
        <f>5.1357 * CHOOSE(CONTROL!$C$32, $C$9, 100%, $E$9)</f>
        <v>5.1356999999999999</v>
      </c>
      <c r="K165" s="9">
        <f>5.1401 * CHOOSE(CONTROL!$C$32, $C$9, 100%, $E$9)</f>
        <v>5.1401000000000003</v>
      </c>
      <c r="L165" s="9">
        <f>4.5479 * CHOOSE(CONTROL!$C$32, $C$9, 100%, $E$9)</f>
        <v>4.5479000000000003</v>
      </c>
      <c r="M165" s="9">
        <f>4.5522 * CHOOSE(CONTROL!$C$32, $C$9, 100%, $E$9)</f>
        <v>4.5522</v>
      </c>
      <c r="N165" s="9">
        <f>4.5479 * CHOOSE(CONTROL!$C$32, $C$9, 100%, $E$9)</f>
        <v>4.5479000000000003</v>
      </c>
      <c r="O165" s="9">
        <f>4.5522 * CHOOSE(CONTROL!$C$32, $C$9, 100%, $E$9)</f>
        <v>4.5522</v>
      </c>
      <c r="P165" s="17"/>
      <c r="Q165" s="17"/>
      <c r="R165" s="17"/>
    </row>
    <row r="166" spans="1:18" ht="15" x14ac:dyDescent="0.2">
      <c r="A166" s="16">
        <v>45536</v>
      </c>
      <c r="B166" s="10">
        <f>4.0912 * CHOOSE(CONTROL!$C$32, $C$9, 100%, $E$9)</f>
        <v>4.0911999999999997</v>
      </c>
      <c r="C166" s="10">
        <f>4.0912 * CHOOSE(CONTROL!$C$32, $C$9, 100%, $E$9)</f>
        <v>4.0911999999999997</v>
      </c>
      <c r="D166" s="10">
        <f>4.0925 * CHOOSE(CONTROL!$C$32, $C$9, 100%, $E$9)</f>
        <v>4.0925000000000002</v>
      </c>
      <c r="E166" s="9">
        <f>4.5387 * CHOOSE(CONTROL!$C$32, $C$9, 100%, $E$9)</f>
        <v>4.5387000000000004</v>
      </c>
      <c r="F166" s="9">
        <f>4.5387 * CHOOSE(CONTROL!$C$32, $C$9, 100%, $E$9)</f>
        <v>4.5387000000000004</v>
      </c>
      <c r="G166" s="9">
        <f>4.5431 * CHOOSE(CONTROL!$C$32, $C$9, 100%, $E$9)</f>
        <v>4.5430999999999999</v>
      </c>
      <c r="H166" s="9">
        <f>5.1337 * CHOOSE(CONTROL!$C$32, $C$9, 100%, $E$9)</f>
        <v>5.1337000000000002</v>
      </c>
      <c r="I166" s="9">
        <f>5.1381 * CHOOSE(CONTROL!$C$32, $C$9, 100%, $E$9)</f>
        <v>5.1380999999999997</v>
      </c>
      <c r="J166" s="9">
        <f>5.1337 * CHOOSE(CONTROL!$C$32, $C$9, 100%, $E$9)</f>
        <v>5.1337000000000002</v>
      </c>
      <c r="K166" s="9">
        <f>5.1381 * CHOOSE(CONTROL!$C$32, $C$9, 100%, $E$9)</f>
        <v>5.1380999999999997</v>
      </c>
      <c r="L166" s="9">
        <f>4.5387 * CHOOSE(CONTROL!$C$32, $C$9, 100%, $E$9)</f>
        <v>4.5387000000000004</v>
      </c>
      <c r="M166" s="9">
        <f>4.5431 * CHOOSE(CONTROL!$C$32, $C$9, 100%, $E$9)</f>
        <v>4.5430999999999999</v>
      </c>
      <c r="N166" s="9">
        <f>4.5387 * CHOOSE(CONTROL!$C$32, $C$9, 100%, $E$9)</f>
        <v>4.5387000000000004</v>
      </c>
      <c r="O166" s="9">
        <f>4.5431 * CHOOSE(CONTROL!$C$32, $C$9, 100%, $E$9)</f>
        <v>4.5430999999999999</v>
      </c>
      <c r="P166" s="17"/>
      <c r="Q166" s="17"/>
      <c r="R166" s="17"/>
    </row>
    <row r="167" spans="1:18" ht="15" x14ac:dyDescent="0.2">
      <c r="A167" s="16">
        <v>45566</v>
      </c>
      <c r="B167" s="10">
        <f>4.0872 * CHOOSE(CONTROL!$C$32, $C$9, 100%, $E$9)</f>
        <v>4.0872000000000002</v>
      </c>
      <c r="C167" s="10">
        <f>4.0872 * CHOOSE(CONTROL!$C$32, $C$9, 100%, $E$9)</f>
        <v>4.0872000000000002</v>
      </c>
      <c r="D167" s="10">
        <f>4.0881 * CHOOSE(CONTROL!$C$32, $C$9, 100%, $E$9)</f>
        <v>4.0880999999999998</v>
      </c>
      <c r="E167" s="9">
        <f>4.5535 * CHOOSE(CONTROL!$C$32, $C$9, 100%, $E$9)</f>
        <v>4.5534999999999997</v>
      </c>
      <c r="F167" s="9">
        <f>4.5535 * CHOOSE(CONTROL!$C$32, $C$9, 100%, $E$9)</f>
        <v>4.5534999999999997</v>
      </c>
      <c r="G167" s="9">
        <f>4.5567 * CHOOSE(CONTROL!$C$32, $C$9, 100%, $E$9)</f>
        <v>4.5567000000000002</v>
      </c>
      <c r="H167" s="9">
        <f>5.1305 * CHOOSE(CONTROL!$C$32, $C$9, 100%, $E$9)</f>
        <v>5.1304999999999996</v>
      </c>
      <c r="I167" s="9">
        <f>5.1337 * CHOOSE(CONTROL!$C$32, $C$9, 100%, $E$9)</f>
        <v>5.1337000000000002</v>
      </c>
      <c r="J167" s="9">
        <f>5.1305 * CHOOSE(CONTROL!$C$32, $C$9, 100%, $E$9)</f>
        <v>5.1304999999999996</v>
      </c>
      <c r="K167" s="9">
        <f>5.1337 * CHOOSE(CONTROL!$C$32, $C$9, 100%, $E$9)</f>
        <v>5.1337000000000002</v>
      </c>
      <c r="L167" s="9">
        <f>4.5535 * CHOOSE(CONTROL!$C$32, $C$9, 100%, $E$9)</f>
        <v>4.5534999999999997</v>
      </c>
      <c r="M167" s="9">
        <f>4.5567 * CHOOSE(CONTROL!$C$32, $C$9, 100%, $E$9)</f>
        <v>4.5567000000000002</v>
      </c>
      <c r="N167" s="9">
        <f>4.5535 * CHOOSE(CONTROL!$C$32, $C$9, 100%, $E$9)</f>
        <v>4.5534999999999997</v>
      </c>
      <c r="O167" s="9">
        <f>4.5567 * CHOOSE(CONTROL!$C$32, $C$9, 100%, $E$9)</f>
        <v>4.5567000000000002</v>
      </c>
      <c r="P167" s="17"/>
      <c r="Q167" s="17"/>
      <c r="R167" s="17"/>
    </row>
    <row r="168" spans="1:18" ht="15" x14ac:dyDescent="0.2">
      <c r="A168" s="16">
        <v>45597</v>
      </c>
      <c r="B168" s="10">
        <f>4.0902 * CHOOSE(CONTROL!$C$32, $C$9, 100%, $E$9)</f>
        <v>4.0902000000000003</v>
      </c>
      <c r="C168" s="10">
        <f>4.0902 * CHOOSE(CONTROL!$C$32, $C$9, 100%, $E$9)</f>
        <v>4.0902000000000003</v>
      </c>
      <c r="D168" s="10">
        <f>4.0912 * CHOOSE(CONTROL!$C$32, $C$9, 100%, $E$9)</f>
        <v>4.0911999999999997</v>
      </c>
      <c r="E168" s="9">
        <f>4.5698 * CHOOSE(CONTROL!$C$32, $C$9, 100%, $E$9)</f>
        <v>4.5697999999999999</v>
      </c>
      <c r="F168" s="9">
        <f>4.5698 * CHOOSE(CONTROL!$C$32, $C$9, 100%, $E$9)</f>
        <v>4.5697999999999999</v>
      </c>
      <c r="G168" s="9">
        <f>4.5729 * CHOOSE(CONTROL!$C$32, $C$9, 100%, $E$9)</f>
        <v>4.5728999999999997</v>
      </c>
      <c r="H168" s="9">
        <f>5.1325 * CHOOSE(CONTROL!$C$32, $C$9, 100%, $E$9)</f>
        <v>5.1325000000000003</v>
      </c>
      <c r="I168" s="9">
        <f>5.1357 * CHOOSE(CONTROL!$C$32, $C$9, 100%, $E$9)</f>
        <v>5.1356999999999999</v>
      </c>
      <c r="J168" s="9">
        <f>5.1325 * CHOOSE(CONTROL!$C$32, $C$9, 100%, $E$9)</f>
        <v>5.1325000000000003</v>
      </c>
      <c r="K168" s="9">
        <f>5.1357 * CHOOSE(CONTROL!$C$32, $C$9, 100%, $E$9)</f>
        <v>5.1356999999999999</v>
      </c>
      <c r="L168" s="9">
        <f>4.5698 * CHOOSE(CONTROL!$C$32, $C$9, 100%, $E$9)</f>
        <v>4.5697999999999999</v>
      </c>
      <c r="M168" s="9">
        <f>4.5729 * CHOOSE(CONTROL!$C$32, $C$9, 100%, $E$9)</f>
        <v>4.5728999999999997</v>
      </c>
      <c r="N168" s="9">
        <f>4.5698 * CHOOSE(CONTROL!$C$32, $C$9, 100%, $E$9)</f>
        <v>4.5697999999999999</v>
      </c>
      <c r="O168" s="9">
        <f>4.5729 * CHOOSE(CONTROL!$C$32, $C$9, 100%, $E$9)</f>
        <v>4.5728999999999997</v>
      </c>
      <c r="P168" s="17"/>
      <c r="Q168" s="17"/>
      <c r="R168" s="17"/>
    </row>
    <row r="169" spans="1:18" ht="15" x14ac:dyDescent="0.2">
      <c r="A169" s="16">
        <v>45627</v>
      </c>
      <c r="B169" s="10">
        <f>4.0902 * CHOOSE(CONTROL!$C$32, $C$9, 100%, $E$9)</f>
        <v>4.0902000000000003</v>
      </c>
      <c r="C169" s="10">
        <f>4.0902 * CHOOSE(CONTROL!$C$32, $C$9, 100%, $E$9)</f>
        <v>4.0902000000000003</v>
      </c>
      <c r="D169" s="10">
        <f>4.0912 * CHOOSE(CONTROL!$C$32, $C$9, 100%, $E$9)</f>
        <v>4.0911999999999997</v>
      </c>
      <c r="E169" s="9">
        <f>4.5345 * CHOOSE(CONTROL!$C$32, $C$9, 100%, $E$9)</f>
        <v>4.5345000000000004</v>
      </c>
      <c r="F169" s="9">
        <f>4.5345 * CHOOSE(CONTROL!$C$32, $C$9, 100%, $E$9)</f>
        <v>4.5345000000000004</v>
      </c>
      <c r="G169" s="9">
        <f>4.5377 * CHOOSE(CONTROL!$C$32, $C$9, 100%, $E$9)</f>
        <v>4.5377000000000001</v>
      </c>
      <c r="H169" s="9">
        <f>5.1325 * CHOOSE(CONTROL!$C$32, $C$9, 100%, $E$9)</f>
        <v>5.1325000000000003</v>
      </c>
      <c r="I169" s="9">
        <f>5.1357 * CHOOSE(CONTROL!$C$32, $C$9, 100%, $E$9)</f>
        <v>5.1356999999999999</v>
      </c>
      <c r="J169" s="9">
        <f>5.1325 * CHOOSE(CONTROL!$C$32, $C$9, 100%, $E$9)</f>
        <v>5.1325000000000003</v>
      </c>
      <c r="K169" s="9">
        <f>5.1357 * CHOOSE(CONTROL!$C$32, $C$9, 100%, $E$9)</f>
        <v>5.1356999999999999</v>
      </c>
      <c r="L169" s="9">
        <f>4.5345 * CHOOSE(CONTROL!$C$32, $C$9, 100%, $E$9)</f>
        <v>4.5345000000000004</v>
      </c>
      <c r="M169" s="9">
        <f>4.5377 * CHOOSE(CONTROL!$C$32, $C$9, 100%, $E$9)</f>
        <v>4.5377000000000001</v>
      </c>
      <c r="N169" s="9">
        <f>4.5345 * CHOOSE(CONTROL!$C$32, $C$9, 100%, $E$9)</f>
        <v>4.5345000000000004</v>
      </c>
      <c r="O169" s="9">
        <f>4.5377 * CHOOSE(CONTROL!$C$32, $C$9, 100%, $E$9)</f>
        <v>4.5377000000000001</v>
      </c>
      <c r="P169" s="17"/>
      <c r="Q169" s="17"/>
      <c r="R169" s="17"/>
    </row>
    <row r="170" spans="1:18" ht="15" x14ac:dyDescent="0.2">
      <c r="A170" s="16">
        <v>45658</v>
      </c>
      <c r="B170" s="10">
        <f>4.1274 * CHOOSE(CONTROL!$C$32, $C$9, 100%, $E$9)</f>
        <v>4.1273999999999997</v>
      </c>
      <c r="C170" s="10">
        <f>4.1274 * CHOOSE(CONTROL!$C$32, $C$9, 100%, $E$9)</f>
        <v>4.1273999999999997</v>
      </c>
      <c r="D170" s="10">
        <f>4.1283 * CHOOSE(CONTROL!$C$32, $C$9, 100%, $E$9)</f>
        <v>4.1283000000000003</v>
      </c>
      <c r="E170" s="9">
        <f>4.5812 * CHOOSE(CONTROL!$C$32, $C$9, 100%, $E$9)</f>
        <v>4.5811999999999999</v>
      </c>
      <c r="F170" s="9">
        <f>4.5812 * CHOOSE(CONTROL!$C$32, $C$9, 100%, $E$9)</f>
        <v>4.5811999999999999</v>
      </c>
      <c r="G170" s="9">
        <f>4.5844 * CHOOSE(CONTROL!$C$32, $C$9, 100%, $E$9)</f>
        <v>4.5843999999999996</v>
      </c>
      <c r="H170" s="9">
        <f>5.1726 * CHOOSE(CONTROL!$C$32, $C$9, 100%, $E$9)</f>
        <v>5.1726000000000001</v>
      </c>
      <c r="I170" s="9">
        <f>5.1758 * CHOOSE(CONTROL!$C$32, $C$9, 100%, $E$9)</f>
        <v>5.1757999999999997</v>
      </c>
      <c r="J170" s="9">
        <f>5.1726 * CHOOSE(CONTROL!$C$32, $C$9, 100%, $E$9)</f>
        <v>5.1726000000000001</v>
      </c>
      <c r="K170" s="9">
        <f>5.1758 * CHOOSE(CONTROL!$C$32, $C$9, 100%, $E$9)</f>
        <v>5.1757999999999997</v>
      </c>
      <c r="L170" s="9">
        <f>4.5812 * CHOOSE(CONTROL!$C$32, $C$9, 100%, $E$9)</f>
        <v>4.5811999999999999</v>
      </c>
      <c r="M170" s="9">
        <f>4.5844 * CHOOSE(CONTROL!$C$32, $C$9, 100%, $E$9)</f>
        <v>4.5843999999999996</v>
      </c>
      <c r="N170" s="9">
        <f>4.5812 * CHOOSE(CONTROL!$C$32, $C$9, 100%, $E$9)</f>
        <v>4.5811999999999999</v>
      </c>
      <c r="O170" s="9">
        <f>4.5844 * CHOOSE(CONTROL!$C$32, $C$9, 100%, $E$9)</f>
        <v>4.5843999999999996</v>
      </c>
      <c r="P170" s="17"/>
      <c r="Q170" s="17"/>
      <c r="R170" s="17"/>
    </row>
    <row r="171" spans="1:18" ht="15" x14ac:dyDescent="0.2">
      <c r="A171" s="16">
        <v>45689</v>
      </c>
      <c r="B171" s="10">
        <f>4.1243 * CHOOSE(CONTROL!$C$32, $C$9, 100%, $E$9)</f>
        <v>4.1242999999999999</v>
      </c>
      <c r="C171" s="10">
        <f>4.1243 * CHOOSE(CONTROL!$C$32, $C$9, 100%, $E$9)</f>
        <v>4.1242999999999999</v>
      </c>
      <c r="D171" s="10">
        <f>4.1253 * CHOOSE(CONTROL!$C$32, $C$9, 100%, $E$9)</f>
        <v>4.1253000000000002</v>
      </c>
      <c r="E171" s="9">
        <f>4.5102 * CHOOSE(CONTROL!$C$32, $C$9, 100%, $E$9)</f>
        <v>4.5102000000000002</v>
      </c>
      <c r="F171" s="9">
        <f>4.5102 * CHOOSE(CONTROL!$C$32, $C$9, 100%, $E$9)</f>
        <v>4.5102000000000002</v>
      </c>
      <c r="G171" s="9">
        <f>4.5134 * CHOOSE(CONTROL!$C$32, $C$9, 100%, $E$9)</f>
        <v>4.5133999999999999</v>
      </c>
      <c r="H171" s="9">
        <f>5.1706 * CHOOSE(CONTROL!$C$32, $C$9, 100%, $E$9)</f>
        <v>5.1706000000000003</v>
      </c>
      <c r="I171" s="9">
        <f>5.1738 * CHOOSE(CONTROL!$C$32, $C$9, 100%, $E$9)</f>
        <v>5.1738</v>
      </c>
      <c r="J171" s="9">
        <f>5.1706 * CHOOSE(CONTROL!$C$32, $C$9, 100%, $E$9)</f>
        <v>5.1706000000000003</v>
      </c>
      <c r="K171" s="9">
        <f>5.1738 * CHOOSE(CONTROL!$C$32, $C$9, 100%, $E$9)</f>
        <v>5.1738</v>
      </c>
      <c r="L171" s="9">
        <f>4.5102 * CHOOSE(CONTROL!$C$32, $C$9, 100%, $E$9)</f>
        <v>4.5102000000000002</v>
      </c>
      <c r="M171" s="9">
        <f>4.5134 * CHOOSE(CONTROL!$C$32, $C$9, 100%, $E$9)</f>
        <v>4.5133999999999999</v>
      </c>
      <c r="N171" s="9">
        <f>4.5102 * CHOOSE(CONTROL!$C$32, $C$9, 100%, $E$9)</f>
        <v>4.5102000000000002</v>
      </c>
      <c r="O171" s="9">
        <f>4.5134 * CHOOSE(CONTROL!$C$32, $C$9, 100%, $E$9)</f>
        <v>4.5133999999999999</v>
      </c>
      <c r="P171" s="17"/>
      <c r="Q171" s="17"/>
      <c r="R171" s="17"/>
    </row>
    <row r="172" spans="1:18" ht="15" x14ac:dyDescent="0.2">
      <c r="A172" s="16">
        <v>45717</v>
      </c>
      <c r="B172" s="10">
        <f>4.1213 * CHOOSE(CONTROL!$C$32, $C$9, 100%, $E$9)</f>
        <v>4.1212999999999997</v>
      </c>
      <c r="C172" s="10">
        <f>4.1213 * CHOOSE(CONTROL!$C$32, $C$9, 100%, $E$9)</f>
        <v>4.1212999999999997</v>
      </c>
      <c r="D172" s="10">
        <f>4.1222 * CHOOSE(CONTROL!$C$32, $C$9, 100%, $E$9)</f>
        <v>4.1222000000000003</v>
      </c>
      <c r="E172" s="9">
        <f>4.5624 * CHOOSE(CONTROL!$C$32, $C$9, 100%, $E$9)</f>
        <v>4.5624000000000002</v>
      </c>
      <c r="F172" s="9">
        <f>4.5624 * CHOOSE(CONTROL!$C$32, $C$9, 100%, $E$9)</f>
        <v>4.5624000000000002</v>
      </c>
      <c r="G172" s="9">
        <f>4.5656 * CHOOSE(CONTROL!$C$32, $C$9, 100%, $E$9)</f>
        <v>4.5655999999999999</v>
      </c>
      <c r="H172" s="9">
        <f>5.1686 * CHOOSE(CONTROL!$C$32, $C$9, 100%, $E$9)</f>
        <v>5.1685999999999996</v>
      </c>
      <c r="I172" s="9">
        <f>5.1718 * CHOOSE(CONTROL!$C$32, $C$9, 100%, $E$9)</f>
        <v>5.1718000000000002</v>
      </c>
      <c r="J172" s="9">
        <f>5.1686 * CHOOSE(CONTROL!$C$32, $C$9, 100%, $E$9)</f>
        <v>5.1685999999999996</v>
      </c>
      <c r="K172" s="9">
        <f>5.1718 * CHOOSE(CONTROL!$C$32, $C$9, 100%, $E$9)</f>
        <v>5.1718000000000002</v>
      </c>
      <c r="L172" s="9">
        <f>4.5624 * CHOOSE(CONTROL!$C$32, $C$9, 100%, $E$9)</f>
        <v>4.5624000000000002</v>
      </c>
      <c r="M172" s="9">
        <f>4.5656 * CHOOSE(CONTROL!$C$32, $C$9, 100%, $E$9)</f>
        <v>4.5655999999999999</v>
      </c>
      <c r="N172" s="9">
        <f>4.5624 * CHOOSE(CONTROL!$C$32, $C$9, 100%, $E$9)</f>
        <v>4.5624000000000002</v>
      </c>
      <c r="O172" s="9">
        <f>4.5656 * CHOOSE(CONTROL!$C$32, $C$9, 100%, $E$9)</f>
        <v>4.5655999999999999</v>
      </c>
      <c r="P172" s="17"/>
      <c r="Q172" s="17"/>
      <c r="R172" s="17"/>
    </row>
    <row r="173" spans="1:18" ht="15" x14ac:dyDescent="0.2">
      <c r="A173" s="16">
        <v>45748</v>
      </c>
      <c r="B173" s="10">
        <f>4.1192 * CHOOSE(CONTROL!$C$32, $C$9, 100%, $E$9)</f>
        <v>4.1192000000000002</v>
      </c>
      <c r="C173" s="10">
        <f>4.1192 * CHOOSE(CONTROL!$C$32, $C$9, 100%, $E$9)</f>
        <v>4.1192000000000002</v>
      </c>
      <c r="D173" s="10">
        <f>4.1202 * CHOOSE(CONTROL!$C$32, $C$9, 100%, $E$9)</f>
        <v>4.1201999999999996</v>
      </c>
      <c r="E173" s="9">
        <f>4.6165 * CHOOSE(CONTROL!$C$32, $C$9, 100%, $E$9)</f>
        <v>4.6165000000000003</v>
      </c>
      <c r="F173" s="9">
        <f>4.6165 * CHOOSE(CONTROL!$C$32, $C$9, 100%, $E$9)</f>
        <v>4.6165000000000003</v>
      </c>
      <c r="G173" s="9">
        <f>4.6197 * CHOOSE(CONTROL!$C$32, $C$9, 100%, $E$9)</f>
        <v>4.6196999999999999</v>
      </c>
      <c r="H173" s="9">
        <f>5.1671 * CHOOSE(CONTROL!$C$32, $C$9, 100%, $E$9)</f>
        <v>5.1670999999999996</v>
      </c>
      <c r="I173" s="9">
        <f>5.1703 * CHOOSE(CONTROL!$C$32, $C$9, 100%, $E$9)</f>
        <v>5.1703000000000001</v>
      </c>
      <c r="J173" s="9">
        <f>5.1671 * CHOOSE(CONTROL!$C$32, $C$9, 100%, $E$9)</f>
        <v>5.1670999999999996</v>
      </c>
      <c r="K173" s="9">
        <f>5.1703 * CHOOSE(CONTROL!$C$32, $C$9, 100%, $E$9)</f>
        <v>5.1703000000000001</v>
      </c>
      <c r="L173" s="9">
        <f>4.6165 * CHOOSE(CONTROL!$C$32, $C$9, 100%, $E$9)</f>
        <v>4.6165000000000003</v>
      </c>
      <c r="M173" s="9">
        <f>4.6197 * CHOOSE(CONTROL!$C$32, $C$9, 100%, $E$9)</f>
        <v>4.6196999999999999</v>
      </c>
      <c r="N173" s="9">
        <f>4.6165 * CHOOSE(CONTROL!$C$32, $C$9, 100%, $E$9)</f>
        <v>4.6165000000000003</v>
      </c>
      <c r="O173" s="9">
        <f>4.6197 * CHOOSE(CONTROL!$C$32, $C$9, 100%, $E$9)</f>
        <v>4.6196999999999999</v>
      </c>
      <c r="P173" s="17"/>
      <c r="Q173" s="17"/>
      <c r="R173" s="17"/>
    </row>
    <row r="174" spans="1:18" ht="15" x14ac:dyDescent="0.2">
      <c r="A174" s="16">
        <v>45778</v>
      </c>
      <c r="B174" s="10">
        <f>4.1192 * CHOOSE(CONTROL!$C$32, $C$9, 100%, $E$9)</f>
        <v>4.1192000000000002</v>
      </c>
      <c r="C174" s="10">
        <f>4.1192 * CHOOSE(CONTROL!$C$32, $C$9, 100%, $E$9)</f>
        <v>4.1192000000000002</v>
      </c>
      <c r="D174" s="10">
        <f>4.1205 * CHOOSE(CONTROL!$C$32, $C$9, 100%, $E$9)</f>
        <v>4.1204999999999998</v>
      </c>
      <c r="E174" s="9">
        <f>4.6384 * CHOOSE(CONTROL!$C$32, $C$9, 100%, $E$9)</f>
        <v>4.6383999999999999</v>
      </c>
      <c r="F174" s="9">
        <f>4.6384 * CHOOSE(CONTROL!$C$32, $C$9, 100%, $E$9)</f>
        <v>4.6383999999999999</v>
      </c>
      <c r="G174" s="9">
        <f>4.6428 * CHOOSE(CONTROL!$C$32, $C$9, 100%, $E$9)</f>
        <v>4.6428000000000003</v>
      </c>
      <c r="H174" s="9">
        <f>5.1671 * CHOOSE(CONTROL!$C$32, $C$9, 100%, $E$9)</f>
        <v>5.1670999999999996</v>
      </c>
      <c r="I174" s="9">
        <f>5.1714 * CHOOSE(CONTROL!$C$32, $C$9, 100%, $E$9)</f>
        <v>5.1714000000000002</v>
      </c>
      <c r="J174" s="9">
        <f>5.1671 * CHOOSE(CONTROL!$C$32, $C$9, 100%, $E$9)</f>
        <v>5.1670999999999996</v>
      </c>
      <c r="K174" s="9">
        <f>5.1714 * CHOOSE(CONTROL!$C$32, $C$9, 100%, $E$9)</f>
        <v>5.1714000000000002</v>
      </c>
      <c r="L174" s="9">
        <f>4.6384 * CHOOSE(CONTROL!$C$32, $C$9, 100%, $E$9)</f>
        <v>4.6383999999999999</v>
      </c>
      <c r="M174" s="9">
        <f>4.6428 * CHOOSE(CONTROL!$C$32, $C$9, 100%, $E$9)</f>
        <v>4.6428000000000003</v>
      </c>
      <c r="N174" s="9">
        <f>4.6384 * CHOOSE(CONTROL!$C$32, $C$9, 100%, $E$9)</f>
        <v>4.6383999999999999</v>
      </c>
      <c r="O174" s="9">
        <f>4.6428 * CHOOSE(CONTROL!$C$32, $C$9, 100%, $E$9)</f>
        <v>4.6428000000000003</v>
      </c>
      <c r="P174" s="17"/>
      <c r="Q174" s="17"/>
      <c r="R174" s="17"/>
    </row>
    <row r="175" spans="1:18" ht="15" x14ac:dyDescent="0.2">
      <c r="A175" s="16">
        <v>45809</v>
      </c>
      <c r="B175" s="10">
        <f>4.1253 * CHOOSE(CONTROL!$C$32, $C$9, 100%, $E$9)</f>
        <v>4.1253000000000002</v>
      </c>
      <c r="C175" s="10">
        <f>4.1253 * CHOOSE(CONTROL!$C$32, $C$9, 100%, $E$9)</f>
        <v>4.1253000000000002</v>
      </c>
      <c r="D175" s="10">
        <f>4.1266 * CHOOSE(CONTROL!$C$32, $C$9, 100%, $E$9)</f>
        <v>4.1265999999999998</v>
      </c>
      <c r="E175" s="9">
        <f>4.6208 * CHOOSE(CONTROL!$C$32, $C$9, 100%, $E$9)</f>
        <v>4.6208</v>
      </c>
      <c r="F175" s="9">
        <f>4.6208 * CHOOSE(CONTROL!$C$32, $C$9, 100%, $E$9)</f>
        <v>4.6208</v>
      </c>
      <c r="G175" s="9">
        <f>4.6251 * CHOOSE(CONTROL!$C$32, $C$9, 100%, $E$9)</f>
        <v>4.6250999999999998</v>
      </c>
      <c r="H175" s="9">
        <f>5.1711 * CHOOSE(CONTROL!$C$32, $C$9, 100%, $E$9)</f>
        <v>5.1711</v>
      </c>
      <c r="I175" s="9">
        <f>5.1754 * CHOOSE(CONTROL!$C$32, $C$9, 100%, $E$9)</f>
        <v>5.1753999999999998</v>
      </c>
      <c r="J175" s="9">
        <f>5.1711 * CHOOSE(CONTROL!$C$32, $C$9, 100%, $E$9)</f>
        <v>5.1711</v>
      </c>
      <c r="K175" s="9">
        <f>5.1754 * CHOOSE(CONTROL!$C$32, $C$9, 100%, $E$9)</f>
        <v>5.1753999999999998</v>
      </c>
      <c r="L175" s="9">
        <f>4.6208 * CHOOSE(CONTROL!$C$32, $C$9, 100%, $E$9)</f>
        <v>4.6208</v>
      </c>
      <c r="M175" s="9">
        <f>4.6251 * CHOOSE(CONTROL!$C$32, $C$9, 100%, $E$9)</f>
        <v>4.6250999999999998</v>
      </c>
      <c r="N175" s="9">
        <f>4.6208 * CHOOSE(CONTROL!$C$32, $C$9, 100%, $E$9)</f>
        <v>4.6208</v>
      </c>
      <c r="O175" s="9">
        <f>4.6251 * CHOOSE(CONTROL!$C$32, $C$9, 100%, $E$9)</f>
        <v>4.6250999999999998</v>
      </c>
      <c r="P175" s="17"/>
      <c r="Q175" s="17"/>
      <c r="R175" s="17"/>
    </row>
    <row r="176" spans="1:18" ht="15" x14ac:dyDescent="0.2">
      <c r="A176" s="16">
        <v>45839</v>
      </c>
      <c r="B176" s="10">
        <f>4.1941 * CHOOSE(CONTROL!$C$32, $C$9, 100%, $E$9)</f>
        <v>4.1940999999999997</v>
      </c>
      <c r="C176" s="10">
        <f>4.1941 * CHOOSE(CONTROL!$C$32, $C$9, 100%, $E$9)</f>
        <v>4.1940999999999997</v>
      </c>
      <c r="D176" s="10">
        <f>4.1954 * CHOOSE(CONTROL!$C$32, $C$9, 100%, $E$9)</f>
        <v>4.1954000000000002</v>
      </c>
      <c r="E176" s="9">
        <f>4.6523 * CHOOSE(CONTROL!$C$32, $C$9, 100%, $E$9)</f>
        <v>4.6523000000000003</v>
      </c>
      <c r="F176" s="9">
        <f>4.6523 * CHOOSE(CONTROL!$C$32, $C$9, 100%, $E$9)</f>
        <v>4.6523000000000003</v>
      </c>
      <c r="G176" s="9">
        <f>4.6567 * CHOOSE(CONTROL!$C$32, $C$9, 100%, $E$9)</f>
        <v>4.6566999999999998</v>
      </c>
      <c r="H176" s="9">
        <f>5.2554 * CHOOSE(CONTROL!$C$32, $C$9, 100%, $E$9)</f>
        <v>5.2553999999999998</v>
      </c>
      <c r="I176" s="9">
        <f>5.2598 * CHOOSE(CONTROL!$C$32, $C$9, 100%, $E$9)</f>
        <v>5.2598000000000003</v>
      </c>
      <c r="J176" s="9">
        <f>5.2554 * CHOOSE(CONTROL!$C$32, $C$9, 100%, $E$9)</f>
        <v>5.2553999999999998</v>
      </c>
      <c r="K176" s="9">
        <f>5.2598 * CHOOSE(CONTROL!$C$32, $C$9, 100%, $E$9)</f>
        <v>5.2598000000000003</v>
      </c>
      <c r="L176" s="9">
        <f>4.6523 * CHOOSE(CONTROL!$C$32, $C$9, 100%, $E$9)</f>
        <v>4.6523000000000003</v>
      </c>
      <c r="M176" s="9">
        <f>4.6567 * CHOOSE(CONTROL!$C$32, $C$9, 100%, $E$9)</f>
        <v>4.6566999999999998</v>
      </c>
      <c r="N176" s="9">
        <f>4.6523 * CHOOSE(CONTROL!$C$32, $C$9, 100%, $E$9)</f>
        <v>4.6523000000000003</v>
      </c>
      <c r="O176" s="9">
        <f>4.6567 * CHOOSE(CONTROL!$C$32, $C$9, 100%, $E$9)</f>
        <v>4.6566999999999998</v>
      </c>
      <c r="P176" s="17"/>
      <c r="Q176" s="17"/>
      <c r="R176" s="17"/>
    </row>
    <row r="177" spans="1:18" ht="15" x14ac:dyDescent="0.2">
      <c r="A177" s="16">
        <v>45870</v>
      </c>
      <c r="B177" s="10">
        <f>4.2008 * CHOOSE(CONTROL!$C$32, $C$9, 100%, $E$9)</f>
        <v>4.2008000000000001</v>
      </c>
      <c r="C177" s="10">
        <f>4.2008 * CHOOSE(CONTROL!$C$32, $C$9, 100%, $E$9)</f>
        <v>4.2008000000000001</v>
      </c>
      <c r="D177" s="10">
        <f>4.2021 * CHOOSE(CONTROL!$C$32, $C$9, 100%, $E$9)</f>
        <v>4.2020999999999997</v>
      </c>
      <c r="E177" s="9">
        <f>4.5913 * CHOOSE(CONTROL!$C$32, $C$9, 100%, $E$9)</f>
        <v>4.5913000000000004</v>
      </c>
      <c r="F177" s="9">
        <f>4.5913 * CHOOSE(CONTROL!$C$32, $C$9, 100%, $E$9)</f>
        <v>4.5913000000000004</v>
      </c>
      <c r="G177" s="9">
        <f>4.5957 * CHOOSE(CONTROL!$C$32, $C$9, 100%, $E$9)</f>
        <v>4.5956999999999999</v>
      </c>
      <c r="H177" s="9">
        <f>5.2598 * CHOOSE(CONTROL!$C$32, $C$9, 100%, $E$9)</f>
        <v>5.2598000000000003</v>
      </c>
      <c r="I177" s="9">
        <f>5.2642 * CHOOSE(CONTROL!$C$32, $C$9, 100%, $E$9)</f>
        <v>5.2641999999999998</v>
      </c>
      <c r="J177" s="9">
        <f>5.2598 * CHOOSE(CONTROL!$C$32, $C$9, 100%, $E$9)</f>
        <v>5.2598000000000003</v>
      </c>
      <c r="K177" s="9">
        <f>5.2642 * CHOOSE(CONTROL!$C$32, $C$9, 100%, $E$9)</f>
        <v>5.2641999999999998</v>
      </c>
      <c r="L177" s="9">
        <f>4.5913 * CHOOSE(CONTROL!$C$32, $C$9, 100%, $E$9)</f>
        <v>4.5913000000000004</v>
      </c>
      <c r="M177" s="9">
        <f>4.5957 * CHOOSE(CONTROL!$C$32, $C$9, 100%, $E$9)</f>
        <v>4.5956999999999999</v>
      </c>
      <c r="N177" s="9">
        <f>4.5913 * CHOOSE(CONTROL!$C$32, $C$9, 100%, $E$9)</f>
        <v>4.5913000000000004</v>
      </c>
      <c r="O177" s="9">
        <f>4.5957 * CHOOSE(CONTROL!$C$32, $C$9, 100%, $E$9)</f>
        <v>4.5956999999999999</v>
      </c>
      <c r="P177" s="17"/>
      <c r="Q177" s="17"/>
      <c r="R177" s="17"/>
    </row>
    <row r="178" spans="1:18" ht="15" x14ac:dyDescent="0.2">
      <c r="A178" s="16">
        <v>45901</v>
      </c>
      <c r="B178" s="10">
        <f>4.1977 * CHOOSE(CONTROL!$C$32, $C$9, 100%, $E$9)</f>
        <v>4.1977000000000002</v>
      </c>
      <c r="C178" s="10">
        <f>4.1977 * CHOOSE(CONTROL!$C$32, $C$9, 100%, $E$9)</f>
        <v>4.1977000000000002</v>
      </c>
      <c r="D178" s="10">
        <f>4.199 * CHOOSE(CONTROL!$C$32, $C$9, 100%, $E$9)</f>
        <v>4.1989999999999998</v>
      </c>
      <c r="E178" s="9">
        <f>4.5819 * CHOOSE(CONTROL!$C$32, $C$9, 100%, $E$9)</f>
        <v>4.5819000000000001</v>
      </c>
      <c r="F178" s="9">
        <f>4.5819 * CHOOSE(CONTROL!$C$32, $C$9, 100%, $E$9)</f>
        <v>4.5819000000000001</v>
      </c>
      <c r="G178" s="9">
        <f>4.5863 * CHOOSE(CONTROL!$C$32, $C$9, 100%, $E$9)</f>
        <v>4.5862999999999996</v>
      </c>
      <c r="H178" s="9">
        <f>5.2578 * CHOOSE(CONTROL!$C$32, $C$9, 100%, $E$9)</f>
        <v>5.2577999999999996</v>
      </c>
      <c r="I178" s="9">
        <f>5.2622 * CHOOSE(CONTROL!$C$32, $C$9, 100%, $E$9)</f>
        <v>5.2622</v>
      </c>
      <c r="J178" s="9">
        <f>5.2578 * CHOOSE(CONTROL!$C$32, $C$9, 100%, $E$9)</f>
        <v>5.2577999999999996</v>
      </c>
      <c r="K178" s="9">
        <f>5.2622 * CHOOSE(CONTROL!$C$32, $C$9, 100%, $E$9)</f>
        <v>5.2622</v>
      </c>
      <c r="L178" s="9">
        <f>4.5819 * CHOOSE(CONTROL!$C$32, $C$9, 100%, $E$9)</f>
        <v>4.5819000000000001</v>
      </c>
      <c r="M178" s="9">
        <f>4.5863 * CHOOSE(CONTROL!$C$32, $C$9, 100%, $E$9)</f>
        <v>4.5862999999999996</v>
      </c>
      <c r="N178" s="9">
        <f>4.5819 * CHOOSE(CONTROL!$C$32, $C$9, 100%, $E$9)</f>
        <v>4.5819000000000001</v>
      </c>
      <c r="O178" s="9">
        <f>4.5863 * CHOOSE(CONTROL!$C$32, $C$9, 100%, $E$9)</f>
        <v>4.5862999999999996</v>
      </c>
      <c r="P178" s="17"/>
      <c r="Q178" s="17"/>
      <c r="R178" s="17"/>
    </row>
    <row r="179" spans="1:18" ht="15" x14ac:dyDescent="0.2">
      <c r="A179" s="16">
        <v>45931</v>
      </c>
      <c r="B179" s="10">
        <f>4.1941 * CHOOSE(CONTROL!$C$32, $C$9, 100%, $E$9)</f>
        <v>4.1940999999999997</v>
      </c>
      <c r="C179" s="10">
        <f>4.1941 * CHOOSE(CONTROL!$C$32, $C$9, 100%, $E$9)</f>
        <v>4.1940999999999997</v>
      </c>
      <c r="D179" s="10">
        <f>4.195 * CHOOSE(CONTROL!$C$32, $C$9, 100%, $E$9)</f>
        <v>4.1950000000000003</v>
      </c>
      <c r="E179" s="9">
        <f>4.5977 * CHOOSE(CONTROL!$C$32, $C$9, 100%, $E$9)</f>
        <v>4.5976999999999997</v>
      </c>
      <c r="F179" s="9">
        <f>4.5977 * CHOOSE(CONTROL!$C$32, $C$9, 100%, $E$9)</f>
        <v>4.5976999999999997</v>
      </c>
      <c r="G179" s="9">
        <f>4.6009 * CHOOSE(CONTROL!$C$32, $C$9, 100%, $E$9)</f>
        <v>4.6009000000000002</v>
      </c>
      <c r="H179" s="9">
        <f>5.2548 * CHOOSE(CONTROL!$C$32, $C$9, 100%, $E$9)</f>
        <v>5.2548000000000004</v>
      </c>
      <c r="I179" s="9">
        <f>5.258 * CHOOSE(CONTROL!$C$32, $C$9, 100%, $E$9)</f>
        <v>5.258</v>
      </c>
      <c r="J179" s="9">
        <f>5.2548 * CHOOSE(CONTROL!$C$32, $C$9, 100%, $E$9)</f>
        <v>5.2548000000000004</v>
      </c>
      <c r="K179" s="9">
        <f>5.258 * CHOOSE(CONTROL!$C$32, $C$9, 100%, $E$9)</f>
        <v>5.258</v>
      </c>
      <c r="L179" s="9">
        <f>4.5977 * CHOOSE(CONTROL!$C$32, $C$9, 100%, $E$9)</f>
        <v>4.5976999999999997</v>
      </c>
      <c r="M179" s="9">
        <f>4.6009 * CHOOSE(CONTROL!$C$32, $C$9, 100%, $E$9)</f>
        <v>4.6009000000000002</v>
      </c>
      <c r="N179" s="9">
        <f>4.5977 * CHOOSE(CONTROL!$C$32, $C$9, 100%, $E$9)</f>
        <v>4.5976999999999997</v>
      </c>
      <c r="O179" s="9">
        <f>4.6009 * CHOOSE(CONTROL!$C$32, $C$9, 100%, $E$9)</f>
        <v>4.6009000000000002</v>
      </c>
      <c r="P179" s="17"/>
      <c r="Q179" s="17"/>
      <c r="R179" s="17"/>
    </row>
    <row r="180" spans="1:18" ht="15" x14ac:dyDescent="0.2">
      <c r="A180" s="16">
        <v>45962</v>
      </c>
      <c r="B180" s="10">
        <f>4.1971 * CHOOSE(CONTROL!$C$32, $C$9, 100%, $E$9)</f>
        <v>4.1970999999999998</v>
      </c>
      <c r="C180" s="10">
        <f>4.1971 * CHOOSE(CONTROL!$C$32, $C$9, 100%, $E$9)</f>
        <v>4.1970999999999998</v>
      </c>
      <c r="D180" s="10">
        <f>4.1981 * CHOOSE(CONTROL!$C$32, $C$9, 100%, $E$9)</f>
        <v>4.1981000000000002</v>
      </c>
      <c r="E180" s="9">
        <f>4.6144 * CHOOSE(CONTROL!$C$32, $C$9, 100%, $E$9)</f>
        <v>4.6143999999999998</v>
      </c>
      <c r="F180" s="9">
        <f>4.6144 * CHOOSE(CONTROL!$C$32, $C$9, 100%, $E$9)</f>
        <v>4.6143999999999998</v>
      </c>
      <c r="G180" s="9">
        <f>4.6176 * CHOOSE(CONTROL!$C$32, $C$9, 100%, $E$9)</f>
        <v>4.6176000000000004</v>
      </c>
      <c r="H180" s="9">
        <f>5.2568 * CHOOSE(CONTROL!$C$32, $C$9, 100%, $E$9)</f>
        <v>5.2568000000000001</v>
      </c>
      <c r="I180" s="9">
        <f>5.26 * CHOOSE(CONTROL!$C$32, $C$9, 100%, $E$9)</f>
        <v>5.26</v>
      </c>
      <c r="J180" s="9">
        <f>5.2568 * CHOOSE(CONTROL!$C$32, $C$9, 100%, $E$9)</f>
        <v>5.2568000000000001</v>
      </c>
      <c r="K180" s="9">
        <f>5.26 * CHOOSE(CONTROL!$C$32, $C$9, 100%, $E$9)</f>
        <v>5.26</v>
      </c>
      <c r="L180" s="9">
        <f>4.6144 * CHOOSE(CONTROL!$C$32, $C$9, 100%, $E$9)</f>
        <v>4.6143999999999998</v>
      </c>
      <c r="M180" s="9">
        <f>4.6176 * CHOOSE(CONTROL!$C$32, $C$9, 100%, $E$9)</f>
        <v>4.6176000000000004</v>
      </c>
      <c r="N180" s="9">
        <f>4.6144 * CHOOSE(CONTROL!$C$32, $C$9, 100%, $E$9)</f>
        <v>4.6143999999999998</v>
      </c>
      <c r="O180" s="9">
        <f>4.6176 * CHOOSE(CONTROL!$C$32, $C$9, 100%, $E$9)</f>
        <v>4.6176000000000004</v>
      </c>
    </row>
    <row r="181" spans="1:18" ht="15" x14ac:dyDescent="0.2">
      <c r="A181" s="16">
        <v>45992</v>
      </c>
      <c r="B181" s="10">
        <f>4.1971 * CHOOSE(CONTROL!$C$32, $C$9, 100%, $E$9)</f>
        <v>4.1970999999999998</v>
      </c>
      <c r="C181" s="10">
        <f>4.1971 * CHOOSE(CONTROL!$C$32, $C$9, 100%, $E$9)</f>
        <v>4.1970999999999998</v>
      </c>
      <c r="D181" s="10">
        <f>4.1981 * CHOOSE(CONTROL!$C$32, $C$9, 100%, $E$9)</f>
        <v>4.1981000000000002</v>
      </c>
      <c r="E181" s="9">
        <f>4.5779 * CHOOSE(CONTROL!$C$32, $C$9, 100%, $E$9)</f>
        <v>4.5778999999999996</v>
      </c>
      <c r="F181" s="9">
        <f>4.5779 * CHOOSE(CONTROL!$C$32, $C$9, 100%, $E$9)</f>
        <v>4.5778999999999996</v>
      </c>
      <c r="G181" s="9">
        <f>4.5811 * CHOOSE(CONTROL!$C$32, $C$9, 100%, $E$9)</f>
        <v>4.5811000000000002</v>
      </c>
      <c r="H181" s="9">
        <f>5.2568 * CHOOSE(CONTROL!$C$32, $C$9, 100%, $E$9)</f>
        <v>5.2568000000000001</v>
      </c>
      <c r="I181" s="9">
        <f>5.26 * CHOOSE(CONTROL!$C$32, $C$9, 100%, $E$9)</f>
        <v>5.26</v>
      </c>
      <c r="J181" s="9">
        <f>5.2568 * CHOOSE(CONTROL!$C$32, $C$9, 100%, $E$9)</f>
        <v>5.2568000000000001</v>
      </c>
      <c r="K181" s="9">
        <f>5.26 * CHOOSE(CONTROL!$C$32, $C$9, 100%, $E$9)</f>
        <v>5.26</v>
      </c>
      <c r="L181" s="9">
        <f>4.5779 * CHOOSE(CONTROL!$C$32, $C$9, 100%, $E$9)</f>
        <v>4.5778999999999996</v>
      </c>
      <c r="M181" s="9">
        <f>4.5811 * CHOOSE(CONTROL!$C$32, $C$9, 100%, $E$9)</f>
        <v>4.5811000000000002</v>
      </c>
      <c r="N181" s="9">
        <f>4.5779 * CHOOSE(CONTROL!$C$32, $C$9, 100%, $E$9)</f>
        <v>4.5778999999999996</v>
      </c>
      <c r="O181" s="9">
        <f>4.5811 * CHOOSE(CONTROL!$C$32, $C$9, 100%, $E$9)</f>
        <v>4.5811000000000002</v>
      </c>
    </row>
    <row r="182" spans="1:18" ht="15" x14ac:dyDescent="0.2">
      <c r="A182" s="16">
        <v>46023</v>
      </c>
      <c r="B182" s="10">
        <f>4.2282 * CHOOSE(CONTROL!$C$32, $C$9, 100%, $E$9)</f>
        <v>4.2282000000000002</v>
      </c>
      <c r="C182" s="10">
        <f>4.2282 * CHOOSE(CONTROL!$C$32, $C$9, 100%, $E$9)</f>
        <v>4.2282000000000002</v>
      </c>
      <c r="D182" s="10">
        <f>4.2292 * CHOOSE(CONTROL!$C$32, $C$9, 100%, $E$9)</f>
        <v>4.2291999999999996</v>
      </c>
      <c r="E182" s="9">
        <f>4.6388 * CHOOSE(CONTROL!$C$32, $C$9, 100%, $E$9)</f>
        <v>4.6387999999999998</v>
      </c>
      <c r="F182" s="9">
        <f>4.6388 * CHOOSE(CONTROL!$C$32, $C$9, 100%, $E$9)</f>
        <v>4.6387999999999998</v>
      </c>
      <c r="G182" s="9">
        <f>4.642 * CHOOSE(CONTROL!$C$32, $C$9, 100%, $E$9)</f>
        <v>4.6420000000000003</v>
      </c>
      <c r="H182" s="9">
        <f>5.2967 * CHOOSE(CONTROL!$C$32, $C$9, 100%, $E$9)</f>
        <v>5.2967000000000004</v>
      </c>
      <c r="I182" s="9">
        <f>5.2999 * CHOOSE(CONTROL!$C$32, $C$9, 100%, $E$9)</f>
        <v>5.2999000000000001</v>
      </c>
      <c r="J182" s="9">
        <f>5.2967 * CHOOSE(CONTROL!$C$32, $C$9, 100%, $E$9)</f>
        <v>5.2967000000000004</v>
      </c>
      <c r="K182" s="9">
        <f>5.2999 * CHOOSE(CONTROL!$C$32, $C$9, 100%, $E$9)</f>
        <v>5.2999000000000001</v>
      </c>
      <c r="L182" s="9">
        <f>4.6388 * CHOOSE(CONTROL!$C$32, $C$9, 100%, $E$9)</f>
        <v>4.6387999999999998</v>
      </c>
      <c r="M182" s="9">
        <f>4.642 * CHOOSE(CONTROL!$C$32, $C$9, 100%, $E$9)</f>
        <v>4.6420000000000003</v>
      </c>
      <c r="N182" s="9">
        <f>4.6388 * CHOOSE(CONTROL!$C$32, $C$9, 100%, $E$9)</f>
        <v>4.6387999999999998</v>
      </c>
      <c r="O182" s="9">
        <f>4.642 * CHOOSE(CONTROL!$C$32, $C$9, 100%, $E$9)</f>
        <v>4.6420000000000003</v>
      </c>
    </row>
    <row r="183" spans="1:18" ht="15" x14ac:dyDescent="0.2">
      <c r="A183" s="16">
        <v>46054</v>
      </c>
      <c r="B183" s="10">
        <f>4.2252 * CHOOSE(CONTROL!$C$32, $C$9, 100%, $E$9)</f>
        <v>4.2252000000000001</v>
      </c>
      <c r="C183" s="10">
        <f>4.2252 * CHOOSE(CONTROL!$C$32, $C$9, 100%, $E$9)</f>
        <v>4.2252000000000001</v>
      </c>
      <c r="D183" s="10">
        <f>4.2261 * CHOOSE(CONTROL!$C$32, $C$9, 100%, $E$9)</f>
        <v>4.2260999999999997</v>
      </c>
      <c r="E183" s="9">
        <f>4.5657 * CHOOSE(CONTROL!$C$32, $C$9, 100%, $E$9)</f>
        <v>4.5656999999999996</v>
      </c>
      <c r="F183" s="9">
        <f>4.5657 * CHOOSE(CONTROL!$C$32, $C$9, 100%, $E$9)</f>
        <v>4.5656999999999996</v>
      </c>
      <c r="G183" s="9">
        <f>4.5689 * CHOOSE(CONTROL!$C$32, $C$9, 100%, $E$9)</f>
        <v>4.5689000000000002</v>
      </c>
      <c r="H183" s="9">
        <f>5.2947 * CHOOSE(CONTROL!$C$32, $C$9, 100%, $E$9)</f>
        <v>5.2946999999999997</v>
      </c>
      <c r="I183" s="9">
        <f>5.2979 * CHOOSE(CONTROL!$C$32, $C$9, 100%, $E$9)</f>
        <v>5.2979000000000003</v>
      </c>
      <c r="J183" s="9">
        <f>5.2947 * CHOOSE(CONTROL!$C$32, $C$9, 100%, $E$9)</f>
        <v>5.2946999999999997</v>
      </c>
      <c r="K183" s="9">
        <f>5.2979 * CHOOSE(CONTROL!$C$32, $C$9, 100%, $E$9)</f>
        <v>5.2979000000000003</v>
      </c>
      <c r="L183" s="9">
        <f>4.5657 * CHOOSE(CONTROL!$C$32, $C$9, 100%, $E$9)</f>
        <v>4.5656999999999996</v>
      </c>
      <c r="M183" s="9">
        <f>4.5689 * CHOOSE(CONTROL!$C$32, $C$9, 100%, $E$9)</f>
        <v>4.5689000000000002</v>
      </c>
      <c r="N183" s="9">
        <f>4.5657 * CHOOSE(CONTROL!$C$32, $C$9, 100%, $E$9)</f>
        <v>4.5656999999999996</v>
      </c>
      <c r="O183" s="9">
        <f>4.5689 * CHOOSE(CONTROL!$C$32, $C$9, 100%, $E$9)</f>
        <v>4.5689000000000002</v>
      </c>
    </row>
    <row r="184" spans="1:18" ht="15" x14ac:dyDescent="0.2">
      <c r="A184" s="16">
        <v>46082</v>
      </c>
      <c r="B184" s="10">
        <f>4.2221 * CHOOSE(CONTROL!$C$32, $C$9, 100%, $E$9)</f>
        <v>4.2221000000000002</v>
      </c>
      <c r="C184" s="10">
        <f>4.2221 * CHOOSE(CONTROL!$C$32, $C$9, 100%, $E$9)</f>
        <v>4.2221000000000002</v>
      </c>
      <c r="D184" s="10">
        <f>4.2231 * CHOOSE(CONTROL!$C$32, $C$9, 100%, $E$9)</f>
        <v>4.2230999999999996</v>
      </c>
      <c r="E184" s="9">
        <f>4.6196 * CHOOSE(CONTROL!$C$32, $C$9, 100%, $E$9)</f>
        <v>4.6196000000000002</v>
      </c>
      <c r="F184" s="9">
        <f>4.6196 * CHOOSE(CONTROL!$C$32, $C$9, 100%, $E$9)</f>
        <v>4.6196000000000002</v>
      </c>
      <c r="G184" s="9">
        <f>4.6228 * CHOOSE(CONTROL!$C$32, $C$9, 100%, $E$9)</f>
        <v>4.6227999999999998</v>
      </c>
      <c r="H184" s="9">
        <f>5.2927 * CHOOSE(CONTROL!$C$32, $C$9, 100%, $E$9)</f>
        <v>5.2927</v>
      </c>
      <c r="I184" s="9">
        <f>5.2959 * CHOOSE(CONTROL!$C$32, $C$9, 100%, $E$9)</f>
        <v>5.2958999999999996</v>
      </c>
      <c r="J184" s="9">
        <f>5.2927 * CHOOSE(CONTROL!$C$32, $C$9, 100%, $E$9)</f>
        <v>5.2927</v>
      </c>
      <c r="K184" s="9">
        <f>5.2959 * CHOOSE(CONTROL!$C$32, $C$9, 100%, $E$9)</f>
        <v>5.2958999999999996</v>
      </c>
      <c r="L184" s="9">
        <f>4.6196 * CHOOSE(CONTROL!$C$32, $C$9, 100%, $E$9)</f>
        <v>4.6196000000000002</v>
      </c>
      <c r="M184" s="9">
        <f>4.6228 * CHOOSE(CONTROL!$C$32, $C$9, 100%, $E$9)</f>
        <v>4.6227999999999998</v>
      </c>
      <c r="N184" s="9">
        <f>4.6196 * CHOOSE(CONTROL!$C$32, $C$9, 100%, $E$9)</f>
        <v>4.6196000000000002</v>
      </c>
      <c r="O184" s="9">
        <f>4.6228 * CHOOSE(CONTROL!$C$32, $C$9, 100%, $E$9)</f>
        <v>4.6227999999999998</v>
      </c>
    </row>
    <row r="185" spans="1:18" ht="15" x14ac:dyDescent="0.2">
      <c r="A185" s="16">
        <v>46113</v>
      </c>
      <c r="B185" s="10">
        <f>4.2201 * CHOOSE(CONTROL!$C$32, $C$9, 100%, $E$9)</f>
        <v>4.2201000000000004</v>
      </c>
      <c r="C185" s="10">
        <f>4.2201 * CHOOSE(CONTROL!$C$32, $C$9, 100%, $E$9)</f>
        <v>4.2201000000000004</v>
      </c>
      <c r="D185" s="10">
        <f>4.2211 * CHOOSE(CONTROL!$C$32, $C$9, 100%, $E$9)</f>
        <v>4.2210999999999999</v>
      </c>
      <c r="E185" s="9">
        <f>4.6754 * CHOOSE(CONTROL!$C$32, $C$9, 100%, $E$9)</f>
        <v>4.6753999999999998</v>
      </c>
      <c r="F185" s="9">
        <f>4.6754 * CHOOSE(CONTROL!$C$32, $C$9, 100%, $E$9)</f>
        <v>4.6753999999999998</v>
      </c>
      <c r="G185" s="9">
        <f>4.6786 * CHOOSE(CONTROL!$C$32, $C$9, 100%, $E$9)</f>
        <v>4.6786000000000003</v>
      </c>
      <c r="H185" s="9">
        <f>5.2912 * CHOOSE(CONTROL!$C$32, $C$9, 100%, $E$9)</f>
        <v>5.2911999999999999</v>
      </c>
      <c r="I185" s="9">
        <f>5.2944 * CHOOSE(CONTROL!$C$32, $C$9, 100%, $E$9)</f>
        <v>5.2944000000000004</v>
      </c>
      <c r="J185" s="9">
        <f>5.2912 * CHOOSE(CONTROL!$C$32, $C$9, 100%, $E$9)</f>
        <v>5.2911999999999999</v>
      </c>
      <c r="K185" s="9">
        <f>5.2944 * CHOOSE(CONTROL!$C$32, $C$9, 100%, $E$9)</f>
        <v>5.2944000000000004</v>
      </c>
      <c r="L185" s="9">
        <f>4.6754 * CHOOSE(CONTROL!$C$32, $C$9, 100%, $E$9)</f>
        <v>4.6753999999999998</v>
      </c>
      <c r="M185" s="9">
        <f>4.6786 * CHOOSE(CONTROL!$C$32, $C$9, 100%, $E$9)</f>
        <v>4.6786000000000003</v>
      </c>
      <c r="N185" s="9">
        <f>4.6754 * CHOOSE(CONTROL!$C$32, $C$9, 100%, $E$9)</f>
        <v>4.6753999999999998</v>
      </c>
      <c r="O185" s="9">
        <f>4.6786 * CHOOSE(CONTROL!$C$32, $C$9, 100%, $E$9)</f>
        <v>4.6786000000000003</v>
      </c>
    </row>
    <row r="186" spans="1:18" ht="15" x14ac:dyDescent="0.2">
      <c r="A186" s="16">
        <v>46143</v>
      </c>
      <c r="B186" s="10">
        <f>4.2201 * CHOOSE(CONTROL!$C$32, $C$9, 100%, $E$9)</f>
        <v>4.2201000000000004</v>
      </c>
      <c r="C186" s="10">
        <f>4.2201 * CHOOSE(CONTROL!$C$32, $C$9, 100%, $E$9)</f>
        <v>4.2201000000000004</v>
      </c>
      <c r="D186" s="10">
        <f>4.2214 * CHOOSE(CONTROL!$C$32, $C$9, 100%, $E$9)</f>
        <v>4.2214</v>
      </c>
      <c r="E186" s="9">
        <f>4.698 * CHOOSE(CONTROL!$C$32, $C$9, 100%, $E$9)</f>
        <v>4.6980000000000004</v>
      </c>
      <c r="F186" s="9">
        <f>4.698 * CHOOSE(CONTROL!$C$32, $C$9, 100%, $E$9)</f>
        <v>4.6980000000000004</v>
      </c>
      <c r="G186" s="9">
        <f>4.7023 * CHOOSE(CONTROL!$C$32, $C$9, 100%, $E$9)</f>
        <v>4.7023000000000001</v>
      </c>
      <c r="H186" s="9">
        <f>5.2912 * CHOOSE(CONTROL!$C$32, $C$9, 100%, $E$9)</f>
        <v>5.2911999999999999</v>
      </c>
      <c r="I186" s="9">
        <f>5.2956 * CHOOSE(CONTROL!$C$32, $C$9, 100%, $E$9)</f>
        <v>5.2956000000000003</v>
      </c>
      <c r="J186" s="9">
        <f>5.2912 * CHOOSE(CONTROL!$C$32, $C$9, 100%, $E$9)</f>
        <v>5.2911999999999999</v>
      </c>
      <c r="K186" s="9">
        <f>5.2956 * CHOOSE(CONTROL!$C$32, $C$9, 100%, $E$9)</f>
        <v>5.2956000000000003</v>
      </c>
      <c r="L186" s="9">
        <f>4.698 * CHOOSE(CONTROL!$C$32, $C$9, 100%, $E$9)</f>
        <v>4.6980000000000004</v>
      </c>
      <c r="M186" s="9">
        <f>4.7023 * CHOOSE(CONTROL!$C$32, $C$9, 100%, $E$9)</f>
        <v>4.7023000000000001</v>
      </c>
      <c r="N186" s="9">
        <f>4.698 * CHOOSE(CONTROL!$C$32, $C$9, 100%, $E$9)</f>
        <v>4.6980000000000004</v>
      </c>
      <c r="O186" s="9">
        <f>4.7023 * CHOOSE(CONTROL!$C$32, $C$9, 100%, $E$9)</f>
        <v>4.7023000000000001</v>
      </c>
    </row>
    <row r="187" spans="1:18" ht="15" x14ac:dyDescent="0.2">
      <c r="A187" s="16">
        <v>46174</v>
      </c>
      <c r="B187" s="10">
        <f>4.2262 * CHOOSE(CONTROL!$C$32, $C$9, 100%, $E$9)</f>
        <v>4.2262000000000004</v>
      </c>
      <c r="C187" s="10">
        <f>4.2262 * CHOOSE(CONTROL!$C$32, $C$9, 100%, $E$9)</f>
        <v>4.2262000000000004</v>
      </c>
      <c r="D187" s="10">
        <f>4.2275 * CHOOSE(CONTROL!$C$32, $C$9, 100%, $E$9)</f>
        <v>4.2275</v>
      </c>
      <c r="E187" s="9">
        <f>4.6797 * CHOOSE(CONTROL!$C$32, $C$9, 100%, $E$9)</f>
        <v>4.6797000000000004</v>
      </c>
      <c r="F187" s="9">
        <f>4.6797 * CHOOSE(CONTROL!$C$32, $C$9, 100%, $E$9)</f>
        <v>4.6797000000000004</v>
      </c>
      <c r="G187" s="9">
        <f>4.684 * CHOOSE(CONTROL!$C$32, $C$9, 100%, $E$9)</f>
        <v>4.6840000000000002</v>
      </c>
      <c r="H187" s="9">
        <f>5.2952 * CHOOSE(CONTROL!$C$32, $C$9, 100%, $E$9)</f>
        <v>5.2952000000000004</v>
      </c>
      <c r="I187" s="9">
        <f>5.2996 * CHOOSE(CONTROL!$C$32, $C$9, 100%, $E$9)</f>
        <v>5.2995999999999999</v>
      </c>
      <c r="J187" s="9">
        <f>5.2952 * CHOOSE(CONTROL!$C$32, $C$9, 100%, $E$9)</f>
        <v>5.2952000000000004</v>
      </c>
      <c r="K187" s="9">
        <f>5.2996 * CHOOSE(CONTROL!$C$32, $C$9, 100%, $E$9)</f>
        <v>5.2995999999999999</v>
      </c>
      <c r="L187" s="9">
        <f>4.6797 * CHOOSE(CONTROL!$C$32, $C$9, 100%, $E$9)</f>
        <v>4.6797000000000004</v>
      </c>
      <c r="M187" s="9">
        <f>4.684 * CHOOSE(CONTROL!$C$32, $C$9, 100%, $E$9)</f>
        <v>4.6840000000000002</v>
      </c>
      <c r="N187" s="9">
        <f>4.6797 * CHOOSE(CONTROL!$C$32, $C$9, 100%, $E$9)</f>
        <v>4.6797000000000004</v>
      </c>
      <c r="O187" s="9">
        <f>4.684 * CHOOSE(CONTROL!$C$32, $C$9, 100%, $E$9)</f>
        <v>4.6840000000000002</v>
      </c>
    </row>
    <row r="188" spans="1:18" ht="15" x14ac:dyDescent="0.2">
      <c r="A188" s="16">
        <v>46204</v>
      </c>
      <c r="B188" s="10">
        <f>4.2803 * CHOOSE(CONTROL!$C$32, $C$9, 100%, $E$9)</f>
        <v>4.2803000000000004</v>
      </c>
      <c r="C188" s="10">
        <f>4.2803 * CHOOSE(CONTROL!$C$32, $C$9, 100%, $E$9)</f>
        <v>4.2803000000000004</v>
      </c>
      <c r="D188" s="10">
        <f>4.2816 * CHOOSE(CONTROL!$C$32, $C$9, 100%, $E$9)</f>
        <v>4.2816000000000001</v>
      </c>
      <c r="E188" s="9">
        <f>4.7488 * CHOOSE(CONTROL!$C$32, $C$9, 100%, $E$9)</f>
        <v>4.7488000000000001</v>
      </c>
      <c r="F188" s="9">
        <f>4.7488 * CHOOSE(CONTROL!$C$32, $C$9, 100%, $E$9)</f>
        <v>4.7488000000000001</v>
      </c>
      <c r="G188" s="9">
        <f>4.7532 * CHOOSE(CONTROL!$C$32, $C$9, 100%, $E$9)</f>
        <v>4.7531999999999996</v>
      </c>
      <c r="H188" s="9">
        <f>5.379 * CHOOSE(CONTROL!$C$32, $C$9, 100%, $E$9)</f>
        <v>5.3789999999999996</v>
      </c>
      <c r="I188" s="9">
        <f>5.3834 * CHOOSE(CONTROL!$C$32, $C$9, 100%, $E$9)</f>
        <v>5.3834</v>
      </c>
      <c r="J188" s="9">
        <f>5.379 * CHOOSE(CONTROL!$C$32, $C$9, 100%, $E$9)</f>
        <v>5.3789999999999996</v>
      </c>
      <c r="K188" s="9">
        <f>5.3834 * CHOOSE(CONTROL!$C$32, $C$9, 100%, $E$9)</f>
        <v>5.3834</v>
      </c>
      <c r="L188" s="9">
        <f>4.7488 * CHOOSE(CONTROL!$C$32, $C$9, 100%, $E$9)</f>
        <v>4.7488000000000001</v>
      </c>
      <c r="M188" s="9">
        <f>4.7532 * CHOOSE(CONTROL!$C$32, $C$9, 100%, $E$9)</f>
        <v>4.7531999999999996</v>
      </c>
      <c r="N188" s="9">
        <f>4.7488 * CHOOSE(CONTROL!$C$32, $C$9, 100%, $E$9)</f>
        <v>4.7488000000000001</v>
      </c>
      <c r="O188" s="9">
        <f>4.7532 * CHOOSE(CONTROL!$C$32, $C$9, 100%, $E$9)</f>
        <v>4.7531999999999996</v>
      </c>
    </row>
    <row r="189" spans="1:18" ht="15" x14ac:dyDescent="0.2">
      <c r="A189" s="16">
        <v>46235</v>
      </c>
      <c r="B189" s="10">
        <f>4.287 * CHOOSE(CONTROL!$C$32, $C$9, 100%, $E$9)</f>
        <v>4.2869999999999999</v>
      </c>
      <c r="C189" s="10">
        <f>4.287 * CHOOSE(CONTROL!$C$32, $C$9, 100%, $E$9)</f>
        <v>4.2869999999999999</v>
      </c>
      <c r="D189" s="10">
        <f>4.2883 * CHOOSE(CONTROL!$C$32, $C$9, 100%, $E$9)</f>
        <v>4.2882999999999996</v>
      </c>
      <c r="E189" s="9">
        <f>4.6859 * CHOOSE(CONTROL!$C$32, $C$9, 100%, $E$9)</f>
        <v>4.6859000000000002</v>
      </c>
      <c r="F189" s="9">
        <f>4.6859 * CHOOSE(CONTROL!$C$32, $C$9, 100%, $E$9)</f>
        <v>4.6859000000000002</v>
      </c>
      <c r="G189" s="9">
        <f>4.6903 * CHOOSE(CONTROL!$C$32, $C$9, 100%, $E$9)</f>
        <v>4.6902999999999997</v>
      </c>
      <c r="H189" s="9">
        <f>5.3834 * CHOOSE(CONTROL!$C$32, $C$9, 100%, $E$9)</f>
        <v>5.3834</v>
      </c>
      <c r="I189" s="9">
        <f>5.3878 * CHOOSE(CONTROL!$C$32, $C$9, 100%, $E$9)</f>
        <v>5.3878000000000004</v>
      </c>
      <c r="J189" s="9">
        <f>5.3834 * CHOOSE(CONTROL!$C$32, $C$9, 100%, $E$9)</f>
        <v>5.3834</v>
      </c>
      <c r="K189" s="9">
        <f>5.3878 * CHOOSE(CONTROL!$C$32, $C$9, 100%, $E$9)</f>
        <v>5.3878000000000004</v>
      </c>
      <c r="L189" s="9">
        <f>4.6859 * CHOOSE(CONTROL!$C$32, $C$9, 100%, $E$9)</f>
        <v>4.6859000000000002</v>
      </c>
      <c r="M189" s="9">
        <f>4.6903 * CHOOSE(CONTROL!$C$32, $C$9, 100%, $E$9)</f>
        <v>4.6902999999999997</v>
      </c>
      <c r="N189" s="9">
        <f>4.6859 * CHOOSE(CONTROL!$C$32, $C$9, 100%, $E$9)</f>
        <v>4.6859000000000002</v>
      </c>
      <c r="O189" s="9">
        <f>4.6903 * CHOOSE(CONTROL!$C$32, $C$9, 100%, $E$9)</f>
        <v>4.6902999999999997</v>
      </c>
    </row>
    <row r="190" spans="1:18" ht="15" x14ac:dyDescent="0.2">
      <c r="A190" s="16">
        <v>46266</v>
      </c>
      <c r="B190" s="10">
        <f>4.2839 * CHOOSE(CONTROL!$C$32, $C$9, 100%, $E$9)</f>
        <v>4.2839</v>
      </c>
      <c r="C190" s="10">
        <f>4.2839 * CHOOSE(CONTROL!$C$32, $C$9, 100%, $E$9)</f>
        <v>4.2839</v>
      </c>
      <c r="D190" s="10">
        <f>4.2852 * CHOOSE(CONTROL!$C$32, $C$9, 100%, $E$9)</f>
        <v>4.2851999999999997</v>
      </c>
      <c r="E190" s="9">
        <f>4.6763 * CHOOSE(CONTROL!$C$32, $C$9, 100%, $E$9)</f>
        <v>4.6763000000000003</v>
      </c>
      <c r="F190" s="9">
        <f>4.6763 * CHOOSE(CONTROL!$C$32, $C$9, 100%, $E$9)</f>
        <v>4.6763000000000003</v>
      </c>
      <c r="G190" s="9">
        <f>4.6806 * CHOOSE(CONTROL!$C$32, $C$9, 100%, $E$9)</f>
        <v>4.6806000000000001</v>
      </c>
      <c r="H190" s="9">
        <f>5.3814 * CHOOSE(CONTROL!$C$32, $C$9, 100%, $E$9)</f>
        <v>5.3814000000000002</v>
      </c>
      <c r="I190" s="9">
        <f>5.3858 * CHOOSE(CONTROL!$C$32, $C$9, 100%, $E$9)</f>
        <v>5.3857999999999997</v>
      </c>
      <c r="J190" s="9">
        <f>5.3814 * CHOOSE(CONTROL!$C$32, $C$9, 100%, $E$9)</f>
        <v>5.3814000000000002</v>
      </c>
      <c r="K190" s="9">
        <f>5.3858 * CHOOSE(CONTROL!$C$32, $C$9, 100%, $E$9)</f>
        <v>5.3857999999999997</v>
      </c>
      <c r="L190" s="9">
        <f>4.6763 * CHOOSE(CONTROL!$C$32, $C$9, 100%, $E$9)</f>
        <v>4.6763000000000003</v>
      </c>
      <c r="M190" s="9">
        <f>4.6806 * CHOOSE(CONTROL!$C$32, $C$9, 100%, $E$9)</f>
        <v>4.6806000000000001</v>
      </c>
      <c r="N190" s="9">
        <f>4.6763 * CHOOSE(CONTROL!$C$32, $C$9, 100%, $E$9)</f>
        <v>4.6763000000000003</v>
      </c>
      <c r="O190" s="9">
        <f>4.6806 * CHOOSE(CONTROL!$C$32, $C$9, 100%, $E$9)</f>
        <v>4.6806000000000001</v>
      </c>
    </row>
    <row r="191" spans="1:18" ht="15" x14ac:dyDescent="0.2">
      <c r="A191" s="16">
        <v>46296</v>
      </c>
      <c r="B191" s="10">
        <f>4.2807 * CHOOSE(CONTROL!$C$32, $C$9, 100%, $E$9)</f>
        <v>4.2807000000000004</v>
      </c>
      <c r="C191" s="10">
        <f>4.2807 * CHOOSE(CONTROL!$C$32, $C$9, 100%, $E$9)</f>
        <v>4.2807000000000004</v>
      </c>
      <c r="D191" s="10">
        <f>4.2816 * CHOOSE(CONTROL!$C$32, $C$9, 100%, $E$9)</f>
        <v>4.2816000000000001</v>
      </c>
      <c r="E191" s="9">
        <f>4.6929 * CHOOSE(CONTROL!$C$32, $C$9, 100%, $E$9)</f>
        <v>4.6928999999999998</v>
      </c>
      <c r="F191" s="9">
        <f>4.6929 * CHOOSE(CONTROL!$C$32, $C$9, 100%, $E$9)</f>
        <v>4.6928999999999998</v>
      </c>
      <c r="G191" s="9">
        <f>4.6961 * CHOOSE(CONTROL!$C$32, $C$9, 100%, $E$9)</f>
        <v>4.6961000000000004</v>
      </c>
      <c r="H191" s="9">
        <f>5.3787 * CHOOSE(CONTROL!$C$32, $C$9, 100%, $E$9)</f>
        <v>5.3787000000000003</v>
      </c>
      <c r="I191" s="9">
        <f>5.3819 * CHOOSE(CONTROL!$C$32, $C$9, 100%, $E$9)</f>
        <v>5.3818999999999999</v>
      </c>
      <c r="J191" s="9">
        <f>5.3787 * CHOOSE(CONTROL!$C$32, $C$9, 100%, $E$9)</f>
        <v>5.3787000000000003</v>
      </c>
      <c r="K191" s="9">
        <f>5.3819 * CHOOSE(CONTROL!$C$32, $C$9, 100%, $E$9)</f>
        <v>5.3818999999999999</v>
      </c>
      <c r="L191" s="9">
        <f>4.6929 * CHOOSE(CONTROL!$C$32, $C$9, 100%, $E$9)</f>
        <v>4.6928999999999998</v>
      </c>
      <c r="M191" s="9">
        <f>4.6961 * CHOOSE(CONTROL!$C$32, $C$9, 100%, $E$9)</f>
        <v>4.6961000000000004</v>
      </c>
      <c r="N191" s="9">
        <f>4.6929 * CHOOSE(CONTROL!$C$32, $C$9, 100%, $E$9)</f>
        <v>4.6928999999999998</v>
      </c>
      <c r="O191" s="9">
        <f>4.6961 * CHOOSE(CONTROL!$C$32, $C$9, 100%, $E$9)</f>
        <v>4.6961000000000004</v>
      </c>
    </row>
    <row r="192" spans="1:18" ht="15" x14ac:dyDescent="0.2">
      <c r="A192" s="16">
        <v>46327</v>
      </c>
      <c r="B192" s="10">
        <f>4.2837 * CHOOSE(CONTROL!$C$32, $C$9, 100%, $E$9)</f>
        <v>4.2836999999999996</v>
      </c>
      <c r="C192" s="10">
        <f>4.2837 * CHOOSE(CONTROL!$C$32, $C$9, 100%, $E$9)</f>
        <v>4.2836999999999996</v>
      </c>
      <c r="D192" s="10">
        <f>4.2846 * CHOOSE(CONTROL!$C$32, $C$9, 100%, $E$9)</f>
        <v>4.2846000000000002</v>
      </c>
      <c r="E192" s="9">
        <f>4.71 * CHOOSE(CONTROL!$C$32, $C$9, 100%, $E$9)</f>
        <v>4.71</v>
      </c>
      <c r="F192" s="9">
        <f>4.71 * CHOOSE(CONTROL!$C$32, $C$9, 100%, $E$9)</f>
        <v>4.71</v>
      </c>
      <c r="G192" s="9">
        <f>4.7132 * CHOOSE(CONTROL!$C$32, $C$9, 100%, $E$9)</f>
        <v>4.7131999999999996</v>
      </c>
      <c r="H192" s="9">
        <f>5.3807 * CHOOSE(CONTROL!$C$32, $C$9, 100%, $E$9)</f>
        <v>5.3807</v>
      </c>
      <c r="I192" s="9">
        <f>5.3839 * CHOOSE(CONTROL!$C$32, $C$9, 100%, $E$9)</f>
        <v>5.3838999999999997</v>
      </c>
      <c r="J192" s="9">
        <f>5.3807 * CHOOSE(CONTROL!$C$32, $C$9, 100%, $E$9)</f>
        <v>5.3807</v>
      </c>
      <c r="K192" s="9">
        <f>5.3839 * CHOOSE(CONTROL!$C$32, $C$9, 100%, $E$9)</f>
        <v>5.3838999999999997</v>
      </c>
      <c r="L192" s="9">
        <f>4.71 * CHOOSE(CONTROL!$C$32, $C$9, 100%, $E$9)</f>
        <v>4.71</v>
      </c>
      <c r="M192" s="9">
        <f>4.7132 * CHOOSE(CONTROL!$C$32, $C$9, 100%, $E$9)</f>
        <v>4.7131999999999996</v>
      </c>
      <c r="N192" s="9">
        <f>4.71 * CHOOSE(CONTROL!$C$32, $C$9, 100%, $E$9)</f>
        <v>4.71</v>
      </c>
      <c r="O192" s="9">
        <f>4.7132 * CHOOSE(CONTROL!$C$32, $C$9, 100%, $E$9)</f>
        <v>4.7131999999999996</v>
      </c>
    </row>
    <row r="193" spans="1:15" ht="15" x14ac:dyDescent="0.2">
      <c r="A193" s="16">
        <v>46357</v>
      </c>
      <c r="B193" s="10">
        <f>4.2837 * CHOOSE(CONTROL!$C$32, $C$9, 100%, $E$9)</f>
        <v>4.2836999999999996</v>
      </c>
      <c r="C193" s="10">
        <f>4.2837 * CHOOSE(CONTROL!$C$32, $C$9, 100%, $E$9)</f>
        <v>4.2836999999999996</v>
      </c>
      <c r="D193" s="10">
        <f>4.2846 * CHOOSE(CONTROL!$C$32, $C$9, 100%, $E$9)</f>
        <v>4.2846000000000002</v>
      </c>
      <c r="E193" s="9">
        <f>4.6725 * CHOOSE(CONTROL!$C$32, $C$9, 100%, $E$9)</f>
        <v>4.6725000000000003</v>
      </c>
      <c r="F193" s="9">
        <f>4.6725 * CHOOSE(CONTROL!$C$32, $C$9, 100%, $E$9)</f>
        <v>4.6725000000000003</v>
      </c>
      <c r="G193" s="9">
        <f>4.6757 * CHOOSE(CONTROL!$C$32, $C$9, 100%, $E$9)</f>
        <v>4.6757</v>
      </c>
      <c r="H193" s="9">
        <f>5.3807 * CHOOSE(CONTROL!$C$32, $C$9, 100%, $E$9)</f>
        <v>5.3807</v>
      </c>
      <c r="I193" s="9">
        <f>5.3839 * CHOOSE(CONTROL!$C$32, $C$9, 100%, $E$9)</f>
        <v>5.3838999999999997</v>
      </c>
      <c r="J193" s="9">
        <f>5.3807 * CHOOSE(CONTROL!$C$32, $C$9, 100%, $E$9)</f>
        <v>5.3807</v>
      </c>
      <c r="K193" s="9">
        <f>5.3839 * CHOOSE(CONTROL!$C$32, $C$9, 100%, $E$9)</f>
        <v>5.3838999999999997</v>
      </c>
      <c r="L193" s="9">
        <f>4.6725 * CHOOSE(CONTROL!$C$32, $C$9, 100%, $E$9)</f>
        <v>4.6725000000000003</v>
      </c>
      <c r="M193" s="9">
        <f>4.6757 * CHOOSE(CONTROL!$C$32, $C$9, 100%, $E$9)</f>
        <v>4.6757</v>
      </c>
      <c r="N193" s="9">
        <f>4.6725 * CHOOSE(CONTROL!$C$32, $C$9, 100%, $E$9)</f>
        <v>4.6725000000000003</v>
      </c>
      <c r="O193" s="9">
        <f>4.6757 * CHOOSE(CONTROL!$C$32, $C$9, 100%, $E$9)</f>
        <v>4.6757</v>
      </c>
    </row>
    <row r="194" spans="1:15" ht="15" x14ac:dyDescent="0.2">
      <c r="A194" s="16">
        <v>46388</v>
      </c>
      <c r="B194" s="10">
        <f>4.3234 * CHOOSE(CONTROL!$C$32, $C$9, 100%, $E$9)</f>
        <v>4.3234000000000004</v>
      </c>
      <c r="C194" s="10">
        <f>4.3234 * CHOOSE(CONTROL!$C$32, $C$9, 100%, $E$9)</f>
        <v>4.3234000000000004</v>
      </c>
      <c r="D194" s="10">
        <f>4.3244 * CHOOSE(CONTROL!$C$32, $C$9, 100%, $E$9)</f>
        <v>4.3243999999999998</v>
      </c>
      <c r="E194" s="9">
        <f>4.7226 * CHOOSE(CONTROL!$C$32, $C$9, 100%, $E$9)</f>
        <v>4.7225999999999999</v>
      </c>
      <c r="F194" s="9">
        <f>4.7226 * CHOOSE(CONTROL!$C$32, $C$9, 100%, $E$9)</f>
        <v>4.7225999999999999</v>
      </c>
      <c r="G194" s="9">
        <f>4.7258 * CHOOSE(CONTROL!$C$32, $C$9, 100%, $E$9)</f>
        <v>4.7257999999999996</v>
      </c>
      <c r="H194" s="9">
        <f>5.4215 * CHOOSE(CONTROL!$C$32, $C$9, 100%, $E$9)</f>
        <v>5.4215</v>
      </c>
      <c r="I194" s="9">
        <f>5.4246 * CHOOSE(CONTROL!$C$32, $C$9, 100%, $E$9)</f>
        <v>5.4245999999999999</v>
      </c>
      <c r="J194" s="9">
        <f>5.4215 * CHOOSE(CONTROL!$C$32, $C$9, 100%, $E$9)</f>
        <v>5.4215</v>
      </c>
      <c r="K194" s="9">
        <f>5.4246 * CHOOSE(CONTROL!$C$32, $C$9, 100%, $E$9)</f>
        <v>5.4245999999999999</v>
      </c>
      <c r="L194" s="9">
        <f>4.7226 * CHOOSE(CONTROL!$C$32, $C$9, 100%, $E$9)</f>
        <v>4.7225999999999999</v>
      </c>
      <c r="M194" s="9">
        <f>4.7258 * CHOOSE(CONTROL!$C$32, $C$9, 100%, $E$9)</f>
        <v>4.7257999999999996</v>
      </c>
      <c r="N194" s="9">
        <f>4.7226 * CHOOSE(CONTROL!$C$32, $C$9, 100%, $E$9)</f>
        <v>4.7225999999999999</v>
      </c>
      <c r="O194" s="9">
        <f>4.7258 * CHOOSE(CONTROL!$C$32, $C$9, 100%, $E$9)</f>
        <v>4.7257999999999996</v>
      </c>
    </row>
    <row r="195" spans="1:15" ht="15" x14ac:dyDescent="0.2">
      <c r="A195" s="16">
        <v>46419</v>
      </c>
      <c r="B195" s="10">
        <f>4.3204 * CHOOSE(CONTROL!$C$32, $C$9, 100%, $E$9)</f>
        <v>4.3204000000000002</v>
      </c>
      <c r="C195" s="10">
        <f>4.3204 * CHOOSE(CONTROL!$C$32, $C$9, 100%, $E$9)</f>
        <v>4.3204000000000002</v>
      </c>
      <c r="D195" s="10">
        <f>4.3213 * CHOOSE(CONTROL!$C$32, $C$9, 100%, $E$9)</f>
        <v>4.3212999999999999</v>
      </c>
      <c r="E195" s="9">
        <f>4.6472 * CHOOSE(CONTROL!$C$32, $C$9, 100%, $E$9)</f>
        <v>4.6471999999999998</v>
      </c>
      <c r="F195" s="9">
        <f>4.6472 * CHOOSE(CONTROL!$C$32, $C$9, 100%, $E$9)</f>
        <v>4.6471999999999998</v>
      </c>
      <c r="G195" s="9">
        <f>4.6504 * CHOOSE(CONTROL!$C$32, $C$9, 100%, $E$9)</f>
        <v>4.6504000000000003</v>
      </c>
      <c r="H195" s="9">
        <f>5.4195 * CHOOSE(CONTROL!$C$32, $C$9, 100%, $E$9)</f>
        <v>5.4195000000000002</v>
      </c>
      <c r="I195" s="9">
        <f>5.4226 * CHOOSE(CONTROL!$C$32, $C$9, 100%, $E$9)</f>
        <v>5.4226000000000001</v>
      </c>
      <c r="J195" s="9">
        <f>5.4195 * CHOOSE(CONTROL!$C$32, $C$9, 100%, $E$9)</f>
        <v>5.4195000000000002</v>
      </c>
      <c r="K195" s="9">
        <f>5.4226 * CHOOSE(CONTROL!$C$32, $C$9, 100%, $E$9)</f>
        <v>5.4226000000000001</v>
      </c>
      <c r="L195" s="9">
        <f>4.6472 * CHOOSE(CONTROL!$C$32, $C$9, 100%, $E$9)</f>
        <v>4.6471999999999998</v>
      </c>
      <c r="M195" s="9">
        <f>4.6504 * CHOOSE(CONTROL!$C$32, $C$9, 100%, $E$9)</f>
        <v>4.6504000000000003</v>
      </c>
      <c r="N195" s="9">
        <f>4.6472 * CHOOSE(CONTROL!$C$32, $C$9, 100%, $E$9)</f>
        <v>4.6471999999999998</v>
      </c>
      <c r="O195" s="9">
        <f>4.6504 * CHOOSE(CONTROL!$C$32, $C$9, 100%, $E$9)</f>
        <v>4.6504000000000003</v>
      </c>
    </row>
    <row r="196" spans="1:15" ht="15" x14ac:dyDescent="0.2">
      <c r="A196" s="16">
        <v>46447</v>
      </c>
      <c r="B196" s="10">
        <f>4.3173 * CHOOSE(CONTROL!$C$32, $C$9, 100%, $E$9)</f>
        <v>4.3173000000000004</v>
      </c>
      <c r="C196" s="10">
        <f>4.3173 * CHOOSE(CONTROL!$C$32, $C$9, 100%, $E$9)</f>
        <v>4.3173000000000004</v>
      </c>
      <c r="D196" s="10">
        <f>4.3183 * CHOOSE(CONTROL!$C$32, $C$9, 100%, $E$9)</f>
        <v>4.3182999999999998</v>
      </c>
      <c r="E196" s="9">
        <f>4.7028 * CHOOSE(CONTROL!$C$32, $C$9, 100%, $E$9)</f>
        <v>4.7027999999999999</v>
      </c>
      <c r="F196" s="9">
        <f>4.7028 * CHOOSE(CONTROL!$C$32, $C$9, 100%, $E$9)</f>
        <v>4.7027999999999999</v>
      </c>
      <c r="G196" s="9">
        <f>4.706 * CHOOSE(CONTROL!$C$32, $C$9, 100%, $E$9)</f>
        <v>4.7060000000000004</v>
      </c>
      <c r="H196" s="9">
        <f>5.4175 * CHOOSE(CONTROL!$C$32, $C$9, 100%, $E$9)</f>
        <v>5.4175000000000004</v>
      </c>
      <c r="I196" s="9">
        <f>5.4206 * CHOOSE(CONTROL!$C$32, $C$9, 100%, $E$9)</f>
        <v>5.4206000000000003</v>
      </c>
      <c r="J196" s="9">
        <f>5.4175 * CHOOSE(CONTROL!$C$32, $C$9, 100%, $E$9)</f>
        <v>5.4175000000000004</v>
      </c>
      <c r="K196" s="9">
        <f>5.4206 * CHOOSE(CONTROL!$C$32, $C$9, 100%, $E$9)</f>
        <v>5.4206000000000003</v>
      </c>
      <c r="L196" s="9">
        <f>4.7028 * CHOOSE(CONTROL!$C$32, $C$9, 100%, $E$9)</f>
        <v>4.7027999999999999</v>
      </c>
      <c r="M196" s="9">
        <f>4.706 * CHOOSE(CONTROL!$C$32, $C$9, 100%, $E$9)</f>
        <v>4.7060000000000004</v>
      </c>
      <c r="N196" s="9">
        <f>4.7028 * CHOOSE(CONTROL!$C$32, $C$9, 100%, $E$9)</f>
        <v>4.7027999999999999</v>
      </c>
      <c r="O196" s="9">
        <f>4.706 * CHOOSE(CONTROL!$C$32, $C$9, 100%, $E$9)</f>
        <v>4.7060000000000004</v>
      </c>
    </row>
    <row r="197" spans="1:15" ht="15" x14ac:dyDescent="0.2">
      <c r="A197" s="16">
        <v>46478</v>
      </c>
      <c r="B197" s="10">
        <f>4.3155 * CHOOSE(CONTROL!$C$32, $C$9, 100%, $E$9)</f>
        <v>4.3155000000000001</v>
      </c>
      <c r="C197" s="10">
        <f>4.3155 * CHOOSE(CONTROL!$C$32, $C$9, 100%, $E$9)</f>
        <v>4.3155000000000001</v>
      </c>
      <c r="D197" s="10">
        <f>4.3164 * CHOOSE(CONTROL!$C$32, $C$9, 100%, $E$9)</f>
        <v>4.3163999999999998</v>
      </c>
      <c r="E197" s="9">
        <f>4.7607 * CHOOSE(CONTROL!$C$32, $C$9, 100%, $E$9)</f>
        <v>4.7606999999999999</v>
      </c>
      <c r="F197" s="9">
        <f>4.7607 * CHOOSE(CONTROL!$C$32, $C$9, 100%, $E$9)</f>
        <v>4.7606999999999999</v>
      </c>
      <c r="G197" s="9">
        <f>4.7638 * CHOOSE(CONTROL!$C$32, $C$9, 100%, $E$9)</f>
        <v>4.7637999999999998</v>
      </c>
      <c r="H197" s="9">
        <f>5.4161 * CHOOSE(CONTROL!$C$32, $C$9, 100%, $E$9)</f>
        <v>5.4161000000000001</v>
      </c>
      <c r="I197" s="9">
        <f>5.4193 * CHOOSE(CONTROL!$C$32, $C$9, 100%, $E$9)</f>
        <v>5.4192999999999998</v>
      </c>
      <c r="J197" s="9">
        <f>5.4161 * CHOOSE(CONTROL!$C$32, $C$9, 100%, $E$9)</f>
        <v>5.4161000000000001</v>
      </c>
      <c r="K197" s="9">
        <f>5.4193 * CHOOSE(CONTROL!$C$32, $C$9, 100%, $E$9)</f>
        <v>5.4192999999999998</v>
      </c>
      <c r="L197" s="9">
        <f>4.7607 * CHOOSE(CONTROL!$C$32, $C$9, 100%, $E$9)</f>
        <v>4.7606999999999999</v>
      </c>
      <c r="M197" s="9">
        <f>4.7638 * CHOOSE(CONTROL!$C$32, $C$9, 100%, $E$9)</f>
        <v>4.7637999999999998</v>
      </c>
      <c r="N197" s="9">
        <f>4.7607 * CHOOSE(CONTROL!$C$32, $C$9, 100%, $E$9)</f>
        <v>4.7606999999999999</v>
      </c>
      <c r="O197" s="9">
        <f>4.7638 * CHOOSE(CONTROL!$C$32, $C$9, 100%, $E$9)</f>
        <v>4.7637999999999998</v>
      </c>
    </row>
    <row r="198" spans="1:15" ht="15" x14ac:dyDescent="0.2">
      <c r="A198" s="16">
        <v>46508</v>
      </c>
      <c r="B198" s="10">
        <f>4.3155 * CHOOSE(CONTROL!$C$32, $C$9, 100%, $E$9)</f>
        <v>4.3155000000000001</v>
      </c>
      <c r="C198" s="10">
        <f>4.3155 * CHOOSE(CONTROL!$C$32, $C$9, 100%, $E$9)</f>
        <v>4.3155000000000001</v>
      </c>
      <c r="D198" s="10">
        <f>4.3168 * CHOOSE(CONTROL!$C$32, $C$9, 100%, $E$9)</f>
        <v>4.3167999999999997</v>
      </c>
      <c r="E198" s="9">
        <f>4.7839 * CHOOSE(CONTROL!$C$32, $C$9, 100%, $E$9)</f>
        <v>4.7839</v>
      </c>
      <c r="F198" s="9">
        <f>4.7839 * CHOOSE(CONTROL!$C$32, $C$9, 100%, $E$9)</f>
        <v>4.7839</v>
      </c>
      <c r="G198" s="9">
        <f>4.7883 * CHOOSE(CONTROL!$C$32, $C$9, 100%, $E$9)</f>
        <v>4.7882999999999996</v>
      </c>
      <c r="H198" s="9">
        <f>5.4161 * CHOOSE(CONTROL!$C$32, $C$9, 100%, $E$9)</f>
        <v>5.4161000000000001</v>
      </c>
      <c r="I198" s="9">
        <f>5.4204 * CHOOSE(CONTROL!$C$32, $C$9, 100%, $E$9)</f>
        <v>5.4203999999999999</v>
      </c>
      <c r="J198" s="9">
        <f>5.4161 * CHOOSE(CONTROL!$C$32, $C$9, 100%, $E$9)</f>
        <v>5.4161000000000001</v>
      </c>
      <c r="K198" s="9">
        <f>5.4204 * CHOOSE(CONTROL!$C$32, $C$9, 100%, $E$9)</f>
        <v>5.4203999999999999</v>
      </c>
      <c r="L198" s="9">
        <f>4.7839 * CHOOSE(CONTROL!$C$32, $C$9, 100%, $E$9)</f>
        <v>4.7839</v>
      </c>
      <c r="M198" s="9">
        <f>4.7883 * CHOOSE(CONTROL!$C$32, $C$9, 100%, $E$9)</f>
        <v>4.7882999999999996</v>
      </c>
      <c r="N198" s="9">
        <f>4.7839 * CHOOSE(CONTROL!$C$32, $C$9, 100%, $E$9)</f>
        <v>4.7839</v>
      </c>
      <c r="O198" s="9">
        <f>4.7883 * CHOOSE(CONTROL!$C$32, $C$9, 100%, $E$9)</f>
        <v>4.7882999999999996</v>
      </c>
    </row>
    <row r="199" spans="1:15" ht="15" x14ac:dyDescent="0.2">
      <c r="A199" s="16">
        <v>46539</v>
      </c>
      <c r="B199" s="10">
        <f>4.3215 * CHOOSE(CONTROL!$C$32, $C$9, 100%, $E$9)</f>
        <v>4.3215000000000003</v>
      </c>
      <c r="C199" s="10">
        <f>4.3215 * CHOOSE(CONTROL!$C$32, $C$9, 100%, $E$9)</f>
        <v>4.3215000000000003</v>
      </c>
      <c r="D199" s="10">
        <f>4.3228 * CHOOSE(CONTROL!$C$32, $C$9, 100%, $E$9)</f>
        <v>4.3228</v>
      </c>
      <c r="E199" s="9">
        <f>4.7649 * CHOOSE(CONTROL!$C$32, $C$9, 100%, $E$9)</f>
        <v>4.7648999999999999</v>
      </c>
      <c r="F199" s="9">
        <f>4.7649 * CHOOSE(CONTROL!$C$32, $C$9, 100%, $E$9)</f>
        <v>4.7648999999999999</v>
      </c>
      <c r="G199" s="9">
        <f>4.7693 * CHOOSE(CONTROL!$C$32, $C$9, 100%, $E$9)</f>
        <v>4.7693000000000003</v>
      </c>
      <c r="H199" s="9">
        <f>5.4201 * CHOOSE(CONTROL!$C$32, $C$9, 100%, $E$9)</f>
        <v>5.4200999999999997</v>
      </c>
      <c r="I199" s="9">
        <f>5.4244 * CHOOSE(CONTROL!$C$32, $C$9, 100%, $E$9)</f>
        <v>5.4244000000000003</v>
      </c>
      <c r="J199" s="9">
        <f>5.4201 * CHOOSE(CONTROL!$C$32, $C$9, 100%, $E$9)</f>
        <v>5.4200999999999997</v>
      </c>
      <c r="K199" s="9">
        <f>5.4244 * CHOOSE(CONTROL!$C$32, $C$9, 100%, $E$9)</f>
        <v>5.4244000000000003</v>
      </c>
      <c r="L199" s="9">
        <f>4.7649 * CHOOSE(CONTROL!$C$32, $C$9, 100%, $E$9)</f>
        <v>4.7648999999999999</v>
      </c>
      <c r="M199" s="9">
        <f>4.7693 * CHOOSE(CONTROL!$C$32, $C$9, 100%, $E$9)</f>
        <v>4.7693000000000003</v>
      </c>
      <c r="N199" s="9">
        <f>4.7649 * CHOOSE(CONTROL!$C$32, $C$9, 100%, $E$9)</f>
        <v>4.7648999999999999</v>
      </c>
      <c r="O199" s="9">
        <f>4.7693 * CHOOSE(CONTROL!$C$32, $C$9, 100%, $E$9)</f>
        <v>4.7693000000000003</v>
      </c>
    </row>
    <row r="200" spans="1:15" ht="15" x14ac:dyDescent="0.2">
      <c r="A200" s="16">
        <v>46569</v>
      </c>
      <c r="B200" s="10">
        <f>4.3946 * CHOOSE(CONTROL!$C$32, $C$9, 100%, $E$9)</f>
        <v>4.3945999999999996</v>
      </c>
      <c r="C200" s="10">
        <f>4.3946 * CHOOSE(CONTROL!$C$32, $C$9, 100%, $E$9)</f>
        <v>4.3945999999999996</v>
      </c>
      <c r="D200" s="10">
        <f>4.3959 * CHOOSE(CONTROL!$C$32, $C$9, 100%, $E$9)</f>
        <v>4.3959000000000001</v>
      </c>
      <c r="E200" s="9">
        <f>4.801 * CHOOSE(CONTROL!$C$32, $C$9, 100%, $E$9)</f>
        <v>4.8010000000000002</v>
      </c>
      <c r="F200" s="9">
        <f>4.801 * CHOOSE(CONTROL!$C$32, $C$9, 100%, $E$9)</f>
        <v>4.8010000000000002</v>
      </c>
      <c r="G200" s="9">
        <f>4.8053 * CHOOSE(CONTROL!$C$32, $C$9, 100%, $E$9)</f>
        <v>4.8052999999999999</v>
      </c>
      <c r="H200" s="9">
        <f>5.5049 * CHOOSE(CONTROL!$C$32, $C$9, 100%, $E$9)</f>
        <v>5.5049000000000001</v>
      </c>
      <c r="I200" s="9">
        <f>5.5093 * CHOOSE(CONTROL!$C$32, $C$9, 100%, $E$9)</f>
        <v>5.5092999999999996</v>
      </c>
      <c r="J200" s="9">
        <f>5.5049 * CHOOSE(CONTROL!$C$32, $C$9, 100%, $E$9)</f>
        <v>5.5049000000000001</v>
      </c>
      <c r="K200" s="9">
        <f>5.5093 * CHOOSE(CONTROL!$C$32, $C$9, 100%, $E$9)</f>
        <v>5.5092999999999996</v>
      </c>
      <c r="L200" s="9">
        <f>4.801 * CHOOSE(CONTROL!$C$32, $C$9, 100%, $E$9)</f>
        <v>4.8010000000000002</v>
      </c>
      <c r="M200" s="9">
        <f>4.8053 * CHOOSE(CONTROL!$C$32, $C$9, 100%, $E$9)</f>
        <v>4.8052999999999999</v>
      </c>
      <c r="N200" s="9">
        <f>4.801 * CHOOSE(CONTROL!$C$32, $C$9, 100%, $E$9)</f>
        <v>4.8010000000000002</v>
      </c>
      <c r="O200" s="9">
        <f>4.8053 * CHOOSE(CONTROL!$C$32, $C$9, 100%, $E$9)</f>
        <v>4.8052999999999999</v>
      </c>
    </row>
    <row r="201" spans="1:15" ht="15" x14ac:dyDescent="0.2">
      <c r="A201" s="16">
        <v>46600</v>
      </c>
      <c r="B201" s="10">
        <f>4.4013 * CHOOSE(CONTROL!$C$32, $C$9, 100%, $E$9)</f>
        <v>4.4013</v>
      </c>
      <c r="C201" s="10">
        <f>4.4013 * CHOOSE(CONTROL!$C$32, $C$9, 100%, $E$9)</f>
        <v>4.4013</v>
      </c>
      <c r="D201" s="10">
        <f>4.4026 * CHOOSE(CONTROL!$C$32, $C$9, 100%, $E$9)</f>
        <v>4.4025999999999996</v>
      </c>
      <c r="E201" s="9">
        <f>4.7358 * CHOOSE(CONTROL!$C$32, $C$9, 100%, $E$9)</f>
        <v>4.7358000000000002</v>
      </c>
      <c r="F201" s="9">
        <f>4.7358 * CHOOSE(CONTROL!$C$32, $C$9, 100%, $E$9)</f>
        <v>4.7358000000000002</v>
      </c>
      <c r="G201" s="9">
        <f>4.7402 * CHOOSE(CONTROL!$C$32, $C$9, 100%, $E$9)</f>
        <v>4.7401999999999997</v>
      </c>
      <c r="H201" s="9">
        <f>5.5093 * CHOOSE(CONTROL!$C$32, $C$9, 100%, $E$9)</f>
        <v>5.5092999999999996</v>
      </c>
      <c r="I201" s="9">
        <f>5.5137 * CHOOSE(CONTROL!$C$32, $C$9, 100%, $E$9)</f>
        <v>5.5137</v>
      </c>
      <c r="J201" s="9">
        <f>5.5093 * CHOOSE(CONTROL!$C$32, $C$9, 100%, $E$9)</f>
        <v>5.5092999999999996</v>
      </c>
      <c r="K201" s="9">
        <f>5.5137 * CHOOSE(CONTROL!$C$32, $C$9, 100%, $E$9)</f>
        <v>5.5137</v>
      </c>
      <c r="L201" s="9">
        <f>4.7358 * CHOOSE(CONTROL!$C$32, $C$9, 100%, $E$9)</f>
        <v>4.7358000000000002</v>
      </c>
      <c r="M201" s="9">
        <f>4.7402 * CHOOSE(CONTROL!$C$32, $C$9, 100%, $E$9)</f>
        <v>4.7401999999999997</v>
      </c>
      <c r="N201" s="9">
        <f>4.7358 * CHOOSE(CONTROL!$C$32, $C$9, 100%, $E$9)</f>
        <v>4.7358000000000002</v>
      </c>
      <c r="O201" s="9">
        <f>4.7402 * CHOOSE(CONTROL!$C$32, $C$9, 100%, $E$9)</f>
        <v>4.7401999999999997</v>
      </c>
    </row>
    <row r="202" spans="1:15" ht="15" x14ac:dyDescent="0.2">
      <c r="A202" s="16">
        <v>46631</v>
      </c>
      <c r="B202" s="10">
        <f>4.3983 * CHOOSE(CONTROL!$C$32, $C$9, 100%, $E$9)</f>
        <v>4.3982999999999999</v>
      </c>
      <c r="C202" s="10">
        <f>4.3983 * CHOOSE(CONTROL!$C$32, $C$9, 100%, $E$9)</f>
        <v>4.3982999999999999</v>
      </c>
      <c r="D202" s="10">
        <f>4.3996 * CHOOSE(CONTROL!$C$32, $C$9, 100%, $E$9)</f>
        <v>4.3996000000000004</v>
      </c>
      <c r="E202" s="9">
        <f>4.726 * CHOOSE(CONTROL!$C$32, $C$9, 100%, $E$9)</f>
        <v>4.726</v>
      </c>
      <c r="F202" s="9">
        <f>4.726 * CHOOSE(CONTROL!$C$32, $C$9, 100%, $E$9)</f>
        <v>4.726</v>
      </c>
      <c r="G202" s="9">
        <f>4.7303 * CHOOSE(CONTROL!$C$32, $C$9, 100%, $E$9)</f>
        <v>4.7302999999999997</v>
      </c>
      <c r="H202" s="9">
        <f>5.5073 * CHOOSE(CONTROL!$C$32, $C$9, 100%, $E$9)</f>
        <v>5.5072999999999999</v>
      </c>
      <c r="I202" s="9">
        <f>5.5117 * CHOOSE(CONTROL!$C$32, $C$9, 100%, $E$9)</f>
        <v>5.5117000000000003</v>
      </c>
      <c r="J202" s="9">
        <f>5.5073 * CHOOSE(CONTROL!$C$32, $C$9, 100%, $E$9)</f>
        <v>5.5072999999999999</v>
      </c>
      <c r="K202" s="9">
        <f>5.5117 * CHOOSE(CONTROL!$C$32, $C$9, 100%, $E$9)</f>
        <v>5.5117000000000003</v>
      </c>
      <c r="L202" s="9">
        <f>4.726 * CHOOSE(CONTROL!$C$32, $C$9, 100%, $E$9)</f>
        <v>4.726</v>
      </c>
      <c r="M202" s="9">
        <f>4.7303 * CHOOSE(CONTROL!$C$32, $C$9, 100%, $E$9)</f>
        <v>4.7302999999999997</v>
      </c>
      <c r="N202" s="9">
        <f>4.726 * CHOOSE(CONTROL!$C$32, $C$9, 100%, $E$9)</f>
        <v>4.726</v>
      </c>
      <c r="O202" s="9">
        <f>4.7303 * CHOOSE(CONTROL!$C$32, $C$9, 100%, $E$9)</f>
        <v>4.7302999999999997</v>
      </c>
    </row>
    <row r="203" spans="1:15" ht="15" x14ac:dyDescent="0.2">
      <c r="A203" s="16">
        <v>46661</v>
      </c>
      <c r="B203" s="10">
        <f>4.3954 * CHOOSE(CONTROL!$C$32, $C$9, 100%, $E$9)</f>
        <v>4.3954000000000004</v>
      </c>
      <c r="C203" s="10">
        <f>4.3954 * CHOOSE(CONTROL!$C$32, $C$9, 100%, $E$9)</f>
        <v>4.3954000000000004</v>
      </c>
      <c r="D203" s="10">
        <f>4.3964 * CHOOSE(CONTROL!$C$32, $C$9, 100%, $E$9)</f>
        <v>4.3963999999999999</v>
      </c>
      <c r="E203" s="9">
        <f>4.7436 * CHOOSE(CONTROL!$C$32, $C$9, 100%, $E$9)</f>
        <v>4.7435999999999998</v>
      </c>
      <c r="F203" s="9">
        <f>4.7436 * CHOOSE(CONTROL!$C$32, $C$9, 100%, $E$9)</f>
        <v>4.7435999999999998</v>
      </c>
      <c r="G203" s="9">
        <f>4.7468 * CHOOSE(CONTROL!$C$32, $C$9, 100%, $E$9)</f>
        <v>4.7468000000000004</v>
      </c>
      <c r="H203" s="9">
        <f>5.5048 * CHOOSE(CONTROL!$C$32, $C$9, 100%, $E$9)</f>
        <v>5.5048000000000004</v>
      </c>
      <c r="I203" s="9">
        <f>5.508 * CHOOSE(CONTROL!$C$32, $C$9, 100%, $E$9)</f>
        <v>5.508</v>
      </c>
      <c r="J203" s="9">
        <f>5.5048 * CHOOSE(CONTROL!$C$32, $C$9, 100%, $E$9)</f>
        <v>5.5048000000000004</v>
      </c>
      <c r="K203" s="9">
        <f>5.508 * CHOOSE(CONTROL!$C$32, $C$9, 100%, $E$9)</f>
        <v>5.508</v>
      </c>
      <c r="L203" s="9">
        <f>4.7436 * CHOOSE(CONTROL!$C$32, $C$9, 100%, $E$9)</f>
        <v>4.7435999999999998</v>
      </c>
      <c r="M203" s="9">
        <f>4.7468 * CHOOSE(CONTROL!$C$32, $C$9, 100%, $E$9)</f>
        <v>4.7468000000000004</v>
      </c>
      <c r="N203" s="9">
        <f>4.7436 * CHOOSE(CONTROL!$C$32, $C$9, 100%, $E$9)</f>
        <v>4.7435999999999998</v>
      </c>
      <c r="O203" s="9">
        <f>4.7468 * CHOOSE(CONTROL!$C$32, $C$9, 100%, $E$9)</f>
        <v>4.7468000000000004</v>
      </c>
    </row>
    <row r="204" spans="1:15" ht="15" x14ac:dyDescent="0.2">
      <c r="A204" s="16">
        <v>46692</v>
      </c>
      <c r="B204" s="10">
        <f>4.3985 * CHOOSE(CONTROL!$C$32, $C$9, 100%, $E$9)</f>
        <v>4.3985000000000003</v>
      </c>
      <c r="C204" s="10">
        <f>4.3985 * CHOOSE(CONTROL!$C$32, $C$9, 100%, $E$9)</f>
        <v>4.3985000000000003</v>
      </c>
      <c r="D204" s="10">
        <f>4.3994 * CHOOSE(CONTROL!$C$32, $C$9, 100%, $E$9)</f>
        <v>4.3994</v>
      </c>
      <c r="E204" s="9">
        <f>4.7612 * CHOOSE(CONTROL!$C$32, $C$9, 100%, $E$9)</f>
        <v>4.7611999999999997</v>
      </c>
      <c r="F204" s="9">
        <f>4.7612 * CHOOSE(CONTROL!$C$32, $C$9, 100%, $E$9)</f>
        <v>4.7611999999999997</v>
      </c>
      <c r="G204" s="9">
        <f>4.7644 * CHOOSE(CONTROL!$C$32, $C$9, 100%, $E$9)</f>
        <v>4.7644000000000002</v>
      </c>
      <c r="H204" s="9">
        <f>5.5068 * CHOOSE(CONTROL!$C$32, $C$9, 100%, $E$9)</f>
        <v>5.5068000000000001</v>
      </c>
      <c r="I204" s="9">
        <f>5.51 * CHOOSE(CONTROL!$C$32, $C$9, 100%, $E$9)</f>
        <v>5.51</v>
      </c>
      <c r="J204" s="9">
        <f>5.5068 * CHOOSE(CONTROL!$C$32, $C$9, 100%, $E$9)</f>
        <v>5.5068000000000001</v>
      </c>
      <c r="K204" s="9">
        <f>5.51 * CHOOSE(CONTROL!$C$32, $C$9, 100%, $E$9)</f>
        <v>5.51</v>
      </c>
      <c r="L204" s="9">
        <f>4.7612 * CHOOSE(CONTROL!$C$32, $C$9, 100%, $E$9)</f>
        <v>4.7611999999999997</v>
      </c>
      <c r="M204" s="9">
        <f>4.7644 * CHOOSE(CONTROL!$C$32, $C$9, 100%, $E$9)</f>
        <v>4.7644000000000002</v>
      </c>
      <c r="N204" s="9">
        <f>4.7612 * CHOOSE(CONTROL!$C$32, $C$9, 100%, $E$9)</f>
        <v>4.7611999999999997</v>
      </c>
      <c r="O204" s="9">
        <f>4.7644 * CHOOSE(CONTROL!$C$32, $C$9, 100%, $E$9)</f>
        <v>4.7644000000000002</v>
      </c>
    </row>
    <row r="205" spans="1:15" ht="15" x14ac:dyDescent="0.2">
      <c r="A205" s="16">
        <v>46722</v>
      </c>
      <c r="B205" s="10">
        <f>4.3985 * CHOOSE(CONTROL!$C$32, $C$9, 100%, $E$9)</f>
        <v>4.3985000000000003</v>
      </c>
      <c r="C205" s="10">
        <f>4.3985 * CHOOSE(CONTROL!$C$32, $C$9, 100%, $E$9)</f>
        <v>4.3985000000000003</v>
      </c>
      <c r="D205" s="10">
        <f>4.3994 * CHOOSE(CONTROL!$C$32, $C$9, 100%, $E$9)</f>
        <v>4.3994</v>
      </c>
      <c r="E205" s="9">
        <f>4.7224 * CHOOSE(CONTROL!$C$32, $C$9, 100%, $E$9)</f>
        <v>4.7224000000000004</v>
      </c>
      <c r="F205" s="9">
        <f>4.7224 * CHOOSE(CONTROL!$C$32, $C$9, 100%, $E$9)</f>
        <v>4.7224000000000004</v>
      </c>
      <c r="G205" s="9">
        <f>4.7256 * CHOOSE(CONTROL!$C$32, $C$9, 100%, $E$9)</f>
        <v>4.7256</v>
      </c>
      <c r="H205" s="9">
        <f>5.5068 * CHOOSE(CONTROL!$C$32, $C$9, 100%, $E$9)</f>
        <v>5.5068000000000001</v>
      </c>
      <c r="I205" s="9">
        <f>5.51 * CHOOSE(CONTROL!$C$32, $C$9, 100%, $E$9)</f>
        <v>5.51</v>
      </c>
      <c r="J205" s="9">
        <f>5.5068 * CHOOSE(CONTROL!$C$32, $C$9, 100%, $E$9)</f>
        <v>5.5068000000000001</v>
      </c>
      <c r="K205" s="9">
        <f>5.51 * CHOOSE(CONTROL!$C$32, $C$9, 100%, $E$9)</f>
        <v>5.51</v>
      </c>
      <c r="L205" s="9">
        <f>4.7224 * CHOOSE(CONTROL!$C$32, $C$9, 100%, $E$9)</f>
        <v>4.7224000000000004</v>
      </c>
      <c r="M205" s="9">
        <f>4.7256 * CHOOSE(CONTROL!$C$32, $C$9, 100%, $E$9)</f>
        <v>4.7256</v>
      </c>
      <c r="N205" s="9">
        <f>4.7224 * CHOOSE(CONTROL!$C$32, $C$9, 100%, $E$9)</f>
        <v>4.7224000000000004</v>
      </c>
      <c r="O205" s="9">
        <f>4.7256 * CHOOSE(CONTROL!$C$32, $C$9, 100%, $E$9)</f>
        <v>4.7256</v>
      </c>
    </row>
    <row r="206" spans="1:15" ht="15" x14ac:dyDescent="0.2">
      <c r="A206" s="16">
        <v>46753</v>
      </c>
      <c r="B206" s="10">
        <f>4.4321 * CHOOSE(CONTROL!$C$32, $C$9, 100%, $E$9)</f>
        <v>4.4321000000000002</v>
      </c>
      <c r="C206" s="10">
        <f>4.4321 * CHOOSE(CONTROL!$C$32, $C$9, 100%, $E$9)</f>
        <v>4.4321000000000002</v>
      </c>
      <c r="D206" s="10">
        <f>4.4331 * CHOOSE(CONTROL!$C$32, $C$9, 100%, $E$9)</f>
        <v>4.4330999999999996</v>
      </c>
      <c r="E206" s="9">
        <f>4.7788 * CHOOSE(CONTROL!$C$32, $C$9, 100%, $E$9)</f>
        <v>4.7788000000000004</v>
      </c>
      <c r="F206" s="9">
        <f>4.7788 * CHOOSE(CONTROL!$C$32, $C$9, 100%, $E$9)</f>
        <v>4.7788000000000004</v>
      </c>
      <c r="G206" s="9">
        <f>4.782 * CHOOSE(CONTROL!$C$32, $C$9, 100%, $E$9)</f>
        <v>4.782</v>
      </c>
      <c r="H206" s="9">
        <f>5.5459 * CHOOSE(CONTROL!$C$32, $C$9, 100%, $E$9)</f>
        <v>5.5458999999999996</v>
      </c>
      <c r="I206" s="9">
        <f>5.5491 * CHOOSE(CONTROL!$C$32, $C$9, 100%, $E$9)</f>
        <v>5.5491000000000001</v>
      </c>
      <c r="J206" s="9">
        <f>5.5459 * CHOOSE(CONTROL!$C$32, $C$9, 100%, $E$9)</f>
        <v>5.5458999999999996</v>
      </c>
      <c r="K206" s="9">
        <f>5.5491 * CHOOSE(CONTROL!$C$32, $C$9, 100%, $E$9)</f>
        <v>5.5491000000000001</v>
      </c>
      <c r="L206" s="9">
        <f>4.7788 * CHOOSE(CONTROL!$C$32, $C$9, 100%, $E$9)</f>
        <v>4.7788000000000004</v>
      </c>
      <c r="M206" s="9">
        <f>4.782 * CHOOSE(CONTROL!$C$32, $C$9, 100%, $E$9)</f>
        <v>4.782</v>
      </c>
      <c r="N206" s="9">
        <f>4.7788 * CHOOSE(CONTROL!$C$32, $C$9, 100%, $E$9)</f>
        <v>4.7788000000000004</v>
      </c>
      <c r="O206" s="9">
        <f>4.782 * CHOOSE(CONTROL!$C$32, $C$9, 100%, $E$9)</f>
        <v>4.782</v>
      </c>
    </row>
    <row r="207" spans="1:15" ht="15" x14ac:dyDescent="0.2">
      <c r="A207" s="16">
        <v>46784</v>
      </c>
      <c r="B207" s="10">
        <f>4.4291 * CHOOSE(CONTROL!$C$32, $C$9, 100%, $E$9)</f>
        <v>4.4291</v>
      </c>
      <c r="C207" s="10">
        <f>4.4291 * CHOOSE(CONTROL!$C$32, $C$9, 100%, $E$9)</f>
        <v>4.4291</v>
      </c>
      <c r="D207" s="10">
        <f>4.43 * CHOOSE(CONTROL!$C$32, $C$9, 100%, $E$9)</f>
        <v>4.43</v>
      </c>
      <c r="E207" s="9">
        <f>4.7013 * CHOOSE(CONTROL!$C$32, $C$9, 100%, $E$9)</f>
        <v>4.7012999999999998</v>
      </c>
      <c r="F207" s="9">
        <f>4.7013 * CHOOSE(CONTROL!$C$32, $C$9, 100%, $E$9)</f>
        <v>4.7012999999999998</v>
      </c>
      <c r="G207" s="9">
        <f>4.7045 * CHOOSE(CONTROL!$C$32, $C$9, 100%, $E$9)</f>
        <v>4.7045000000000003</v>
      </c>
      <c r="H207" s="9">
        <f>5.5439 * CHOOSE(CONTROL!$C$32, $C$9, 100%, $E$9)</f>
        <v>5.5438999999999998</v>
      </c>
      <c r="I207" s="9">
        <f>5.5471 * CHOOSE(CONTROL!$C$32, $C$9, 100%, $E$9)</f>
        <v>5.5471000000000004</v>
      </c>
      <c r="J207" s="9">
        <f>5.5439 * CHOOSE(CONTROL!$C$32, $C$9, 100%, $E$9)</f>
        <v>5.5438999999999998</v>
      </c>
      <c r="K207" s="9">
        <f>5.5471 * CHOOSE(CONTROL!$C$32, $C$9, 100%, $E$9)</f>
        <v>5.5471000000000004</v>
      </c>
      <c r="L207" s="9">
        <f>4.7013 * CHOOSE(CONTROL!$C$32, $C$9, 100%, $E$9)</f>
        <v>4.7012999999999998</v>
      </c>
      <c r="M207" s="9">
        <f>4.7045 * CHOOSE(CONTROL!$C$32, $C$9, 100%, $E$9)</f>
        <v>4.7045000000000003</v>
      </c>
      <c r="N207" s="9">
        <f>4.7013 * CHOOSE(CONTROL!$C$32, $C$9, 100%, $E$9)</f>
        <v>4.7012999999999998</v>
      </c>
      <c r="O207" s="9">
        <f>4.7045 * CHOOSE(CONTROL!$C$32, $C$9, 100%, $E$9)</f>
        <v>4.7045000000000003</v>
      </c>
    </row>
    <row r="208" spans="1:15" ht="15" x14ac:dyDescent="0.2">
      <c r="A208" s="16">
        <v>46813</v>
      </c>
      <c r="B208" s="10">
        <f>4.426 * CHOOSE(CONTROL!$C$32, $C$9, 100%, $E$9)</f>
        <v>4.4260000000000002</v>
      </c>
      <c r="C208" s="10">
        <f>4.426 * CHOOSE(CONTROL!$C$32, $C$9, 100%, $E$9)</f>
        <v>4.4260000000000002</v>
      </c>
      <c r="D208" s="10">
        <f>4.427 * CHOOSE(CONTROL!$C$32, $C$9, 100%, $E$9)</f>
        <v>4.4269999999999996</v>
      </c>
      <c r="E208" s="9">
        <f>4.7586 * CHOOSE(CONTROL!$C$32, $C$9, 100%, $E$9)</f>
        <v>4.7586000000000004</v>
      </c>
      <c r="F208" s="9">
        <f>4.7586 * CHOOSE(CONTROL!$C$32, $C$9, 100%, $E$9)</f>
        <v>4.7586000000000004</v>
      </c>
      <c r="G208" s="9">
        <f>4.7618 * CHOOSE(CONTROL!$C$32, $C$9, 100%, $E$9)</f>
        <v>4.7618</v>
      </c>
      <c r="H208" s="9">
        <f>5.5419 * CHOOSE(CONTROL!$C$32, $C$9, 100%, $E$9)</f>
        <v>5.5419</v>
      </c>
      <c r="I208" s="9">
        <f>5.5451 * CHOOSE(CONTROL!$C$32, $C$9, 100%, $E$9)</f>
        <v>5.5450999999999997</v>
      </c>
      <c r="J208" s="9">
        <f>5.5419 * CHOOSE(CONTROL!$C$32, $C$9, 100%, $E$9)</f>
        <v>5.5419</v>
      </c>
      <c r="K208" s="9">
        <f>5.5451 * CHOOSE(CONTROL!$C$32, $C$9, 100%, $E$9)</f>
        <v>5.5450999999999997</v>
      </c>
      <c r="L208" s="9">
        <f>4.7586 * CHOOSE(CONTROL!$C$32, $C$9, 100%, $E$9)</f>
        <v>4.7586000000000004</v>
      </c>
      <c r="M208" s="9">
        <f>4.7618 * CHOOSE(CONTROL!$C$32, $C$9, 100%, $E$9)</f>
        <v>4.7618</v>
      </c>
      <c r="N208" s="9">
        <f>4.7586 * CHOOSE(CONTROL!$C$32, $C$9, 100%, $E$9)</f>
        <v>4.7586000000000004</v>
      </c>
      <c r="O208" s="9">
        <f>4.7618 * CHOOSE(CONTROL!$C$32, $C$9, 100%, $E$9)</f>
        <v>4.7618</v>
      </c>
    </row>
    <row r="209" spans="1:15" ht="15" x14ac:dyDescent="0.2">
      <c r="A209" s="16">
        <v>46844</v>
      </c>
      <c r="B209" s="10">
        <f>4.4243 * CHOOSE(CONTROL!$C$32, $C$9, 100%, $E$9)</f>
        <v>4.4242999999999997</v>
      </c>
      <c r="C209" s="10">
        <f>4.4243 * CHOOSE(CONTROL!$C$32, $C$9, 100%, $E$9)</f>
        <v>4.4242999999999997</v>
      </c>
      <c r="D209" s="10">
        <f>4.4252 * CHOOSE(CONTROL!$C$32, $C$9, 100%, $E$9)</f>
        <v>4.4252000000000002</v>
      </c>
      <c r="E209" s="9">
        <f>4.8182 * CHOOSE(CONTROL!$C$32, $C$9, 100%, $E$9)</f>
        <v>4.8182</v>
      </c>
      <c r="F209" s="9">
        <f>4.8182 * CHOOSE(CONTROL!$C$32, $C$9, 100%, $E$9)</f>
        <v>4.8182</v>
      </c>
      <c r="G209" s="9">
        <f>4.8214 * CHOOSE(CONTROL!$C$32, $C$9, 100%, $E$9)</f>
        <v>4.8213999999999997</v>
      </c>
      <c r="H209" s="9">
        <f>5.5406 * CHOOSE(CONTROL!$C$32, $C$9, 100%, $E$9)</f>
        <v>5.5406000000000004</v>
      </c>
      <c r="I209" s="9">
        <f>5.5438 * CHOOSE(CONTROL!$C$32, $C$9, 100%, $E$9)</f>
        <v>5.5438000000000001</v>
      </c>
      <c r="J209" s="9">
        <f>5.5406 * CHOOSE(CONTROL!$C$32, $C$9, 100%, $E$9)</f>
        <v>5.5406000000000004</v>
      </c>
      <c r="K209" s="9">
        <f>5.5438 * CHOOSE(CONTROL!$C$32, $C$9, 100%, $E$9)</f>
        <v>5.5438000000000001</v>
      </c>
      <c r="L209" s="9">
        <f>4.8182 * CHOOSE(CONTROL!$C$32, $C$9, 100%, $E$9)</f>
        <v>4.8182</v>
      </c>
      <c r="M209" s="9">
        <f>4.8214 * CHOOSE(CONTROL!$C$32, $C$9, 100%, $E$9)</f>
        <v>4.8213999999999997</v>
      </c>
      <c r="N209" s="9">
        <f>4.8182 * CHOOSE(CONTROL!$C$32, $C$9, 100%, $E$9)</f>
        <v>4.8182</v>
      </c>
      <c r="O209" s="9">
        <f>4.8214 * CHOOSE(CONTROL!$C$32, $C$9, 100%, $E$9)</f>
        <v>4.8213999999999997</v>
      </c>
    </row>
    <row r="210" spans="1:15" ht="15" x14ac:dyDescent="0.2">
      <c r="A210" s="16">
        <v>46874</v>
      </c>
      <c r="B210" s="10">
        <f>4.4243 * CHOOSE(CONTROL!$C$32, $C$9, 100%, $E$9)</f>
        <v>4.4242999999999997</v>
      </c>
      <c r="C210" s="10">
        <f>4.4243 * CHOOSE(CONTROL!$C$32, $C$9, 100%, $E$9)</f>
        <v>4.4242999999999997</v>
      </c>
      <c r="D210" s="10">
        <f>4.4256 * CHOOSE(CONTROL!$C$32, $C$9, 100%, $E$9)</f>
        <v>4.4256000000000002</v>
      </c>
      <c r="E210" s="9">
        <f>4.8421 * CHOOSE(CONTROL!$C$32, $C$9, 100%, $E$9)</f>
        <v>4.8421000000000003</v>
      </c>
      <c r="F210" s="9">
        <f>4.8421 * CHOOSE(CONTROL!$C$32, $C$9, 100%, $E$9)</f>
        <v>4.8421000000000003</v>
      </c>
      <c r="G210" s="9">
        <f>4.8465 * CHOOSE(CONTROL!$C$32, $C$9, 100%, $E$9)</f>
        <v>4.8464999999999998</v>
      </c>
      <c r="H210" s="9">
        <f>5.5406 * CHOOSE(CONTROL!$C$32, $C$9, 100%, $E$9)</f>
        <v>5.5406000000000004</v>
      </c>
      <c r="I210" s="9">
        <f>5.545 * CHOOSE(CONTROL!$C$32, $C$9, 100%, $E$9)</f>
        <v>5.5449999999999999</v>
      </c>
      <c r="J210" s="9">
        <f>5.5406 * CHOOSE(CONTROL!$C$32, $C$9, 100%, $E$9)</f>
        <v>5.5406000000000004</v>
      </c>
      <c r="K210" s="9">
        <f>5.545 * CHOOSE(CONTROL!$C$32, $C$9, 100%, $E$9)</f>
        <v>5.5449999999999999</v>
      </c>
      <c r="L210" s="9">
        <f>4.8421 * CHOOSE(CONTROL!$C$32, $C$9, 100%, $E$9)</f>
        <v>4.8421000000000003</v>
      </c>
      <c r="M210" s="9">
        <f>4.8465 * CHOOSE(CONTROL!$C$32, $C$9, 100%, $E$9)</f>
        <v>4.8464999999999998</v>
      </c>
      <c r="N210" s="9">
        <f>4.8421 * CHOOSE(CONTROL!$C$32, $C$9, 100%, $E$9)</f>
        <v>4.8421000000000003</v>
      </c>
      <c r="O210" s="9">
        <f>4.8465 * CHOOSE(CONTROL!$C$32, $C$9, 100%, $E$9)</f>
        <v>4.8464999999999998</v>
      </c>
    </row>
    <row r="211" spans="1:15" ht="15" x14ac:dyDescent="0.2">
      <c r="A211" s="16">
        <v>46905</v>
      </c>
      <c r="B211" s="10">
        <f>4.4303 * CHOOSE(CONTROL!$C$32, $C$9, 100%, $E$9)</f>
        <v>4.4302999999999999</v>
      </c>
      <c r="C211" s="10">
        <f>4.4303 * CHOOSE(CONTROL!$C$32, $C$9, 100%, $E$9)</f>
        <v>4.4302999999999999</v>
      </c>
      <c r="D211" s="10">
        <f>4.4316 * CHOOSE(CONTROL!$C$32, $C$9, 100%, $E$9)</f>
        <v>4.4316000000000004</v>
      </c>
      <c r="E211" s="9">
        <f>4.8224 * CHOOSE(CONTROL!$C$32, $C$9, 100%, $E$9)</f>
        <v>4.8224</v>
      </c>
      <c r="F211" s="9">
        <f>4.8224 * CHOOSE(CONTROL!$C$32, $C$9, 100%, $E$9)</f>
        <v>4.8224</v>
      </c>
      <c r="G211" s="9">
        <f>4.8268 * CHOOSE(CONTROL!$C$32, $C$9, 100%, $E$9)</f>
        <v>4.8268000000000004</v>
      </c>
      <c r="H211" s="9">
        <f>5.5446 * CHOOSE(CONTROL!$C$32, $C$9, 100%, $E$9)</f>
        <v>5.5446</v>
      </c>
      <c r="I211" s="9">
        <f>5.549 * CHOOSE(CONTROL!$C$32, $C$9, 100%, $E$9)</f>
        <v>5.5490000000000004</v>
      </c>
      <c r="J211" s="9">
        <f>5.5446 * CHOOSE(CONTROL!$C$32, $C$9, 100%, $E$9)</f>
        <v>5.5446</v>
      </c>
      <c r="K211" s="9">
        <f>5.549 * CHOOSE(CONTROL!$C$32, $C$9, 100%, $E$9)</f>
        <v>5.5490000000000004</v>
      </c>
      <c r="L211" s="9">
        <f>4.8224 * CHOOSE(CONTROL!$C$32, $C$9, 100%, $E$9)</f>
        <v>4.8224</v>
      </c>
      <c r="M211" s="9">
        <f>4.8268 * CHOOSE(CONTROL!$C$32, $C$9, 100%, $E$9)</f>
        <v>4.8268000000000004</v>
      </c>
      <c r="N211" s="9">
        <f>4.8224 * CHOOSE(CONTROL!$C$32, $C$9, 100%, $E$9)</f>
        <v>4.8224</v>
      </c>
      <c r="O211" s="9">
        <f>4.8268 * CHOOSE(CONTROL!$C$32, $C$9, 100%, $E$9)</f>
        <v>4.8268000000000004</v>
      </c>
    </row>
    <row r="212" spans="1:15" ht="15" x14ac:dyDescent="0.2">
      <c r="A212" s="16">
        <v>46935</v>
      </c>
      <c r="B212" s="10">
        <f>4.4901 * CHOOSE(CONTROL!$C$32, $C$9, 100%, $E$9)</f>
        <v>4.4901</v>
      </c>
      <c r="C212" s="10">
        <f>4.4901 * CHOOSE(CONTROL!$C$32, $C$9, 100%, $E$9)</f>
        <v>4.4901</v>
      </c>
      <c r="D212" s="10">
        <f>4.4914 * CHOOSE(CONTROL!$C$32, $C$9, 100%, $E$9)</f>
        <v>4.4913999999999996</v>
      </c>
      <c r="E212" s="9">
        <f>4.8783 * CHOOSE(CONTROL!$C$32, $C$9, 100%, $E$9)</f>
        <v>4.8783000000000003</v>
      </c>
      <c r="F212" s="9">
        <f>4.8783 * CHOOSE(CONTROL!$C$32, $C$9, 100%, $E$9)</f>
        <v>4.8783000000000003</v>
      </c>
      <c r="G212" s="9">
        <f>4.8826 * CHOOSE(CONTROL!$C$32, $C$9, 100%, $E$9)</f>
        <v>4.8826000000000001</v>
      </c>
      <c r="H212" s="9">
        <f>5.6263 * CHOOSE(CONTROL!$C$32, $C$9, 100%, $E$9)</f>
        <v>5.6262999999999996</v>
      </c>
      <c r="I212" s="9">
        <f>5.6307 * CHOOSE(CONTROL!$C$32, $C$9, 100%, $E$9)</f>
        <v>5.6307</v>
      </c>
      <c r="J212" s="9">
        <f>5.6263 * CHOOSE(CONTROL!$C$32, $C$9, 100%, $E$9)</f>
        <v>5.6262999999999996</v>
      </c>
      <c r="K212" s="9">
        <f>5.6307 * CHOOSE(CONTROL!$C$32, $C$9, 100%, $E$9)</f>
        <v>5.6307</v>
      </c>
      <c r="L212" s="9">
        <f>4.8783 * CHOOSE(CONTROL!$C$32, $C$9, 100%, $E$9)</f>
        <v>4.8783000000000003</v>
      </c>
      <c r="M212" s="9">
        <f>4.8826 * CHOOSE(CONTROL!$C$32, $C$9, 100%, $E$9)</f>
        <v>4.8826000000000001</v>
      </c>
      <c r="N212" s="9">
        <f>4.8783 * CHOOSE(CONTROL!$C$32, $C$9, 100%, $E$9)</f>
        <v>4.8783000000000003</v>
      </c>
      <c r="O212" s="9">
        <f>4.8826 * CHOOSE(CONTROL!$C$32, $C$9, 100%, $E$9)</f>
        <v>4.8826000000000001</v>
      </c>
    </row>
    <row r="213" spans="1:15" ht="15" x14ac:dyDescent="0.2">
      <c r="A213" s="16">
        <v>46966</v>
      </c>
      <c r="B213" s="10">
        <f>4.4968 * CHOOSE(CONTROL!$C$32, $C$9, 100%, $E$9)</f>
        <v>4.4968000000000004</v>
      </c>
      <c r="C213" s="10">
        <f>4.4968 * CHOOSE(CONTROL!$C$32, $C$9, 100%, $E$9)</f>
        <v>4.4968000000000004</v>
      </c>
      <c r="D213" s="10">
        <f>4.4981 * CHOOSE(CONTROL!$C$32, $C$9, 100%, $E$9)</f>
        <v>4.4981</v>
      </c>
      <c r="E213" s="9">
        <f>4.8111 * CHOOSE(CONTROL!$C$32, $C$9, 100%, $E$9)</f>
        <v>4.8110999999999997</v>
      </c>
      <c r="F213" s="9">
        <f>4.8111 * CHOOSE(CONTROL!$C$32, $C$9, 100%, $E$9)</f>
        <v>4.8110999999999997</v>
      </c>
      <c r="G213" s="9">
        <f>4.8155 * CHOOSE(CONTROL!$C$32, $C$9, 100%, $E$9)</f>
        <v>4.8155000000000001</v>
      </c>
      <c r="H213" s="9">
        <f>5.6307 * CHOOSE(CONTROL!$C$32, $C$9, 100%, $E$9)</f>
        <v>5.6307</v>
      </c>
      <c r="I213" s="9">
        <f>5.6351 * CHOOSE(CONTROL!$C$32, $C$9, 100%, $E$9)</f>
        <v>5.6351000000000004</v>
      </c>
      <c r="J213" s="9">
        <f>5.6307 * CHOOSE(CONTROL!$C$32, $C$9, 100%, $E$9)</f>
        <v>5.6307</v>
      </c>
      <c r="K213" s="9">
        <f>5.6351 * CHOOSE(CONTROL!$C$32, $C$9, 100%, $E$9)</f>
        <v>5.6351000000000004</v>
      </c>
      <c r="L213" s="9">
        <f>4.8111 * CHOOSE(CONTROL!$C$32, $C$9, 100%, $E$9)</f>
        <v>4.8110999999999997</v>
      </c>
      <c r="M213" s="9">
        <f>4.8155 * CHOOSE(CONTROL!$C$32, $C$9, 100%, $E$9)</f>
        <v>4.8155000000000001</v>
      </c>
      <c r="N213" s="9">
        <f>4.8111 * CHOOSE(CONTROL!$C$32, $C$9, 100%, $E$9)</f>
        <v>4.8110999999999997</v>
      </c>
      <c r="O213" s="9">
        <f>4.8155 * CHOOSE(CONTROL!$C$32, $C$9, 100%, $E$9)</f>
        <v>4.8155000000000001</v>
      </c>
    </row>
    <row r="214" spans="1:15" ht="15" x14ac:dyDescent="0.2">
      <c r="A214" s="16">
        <v>46997</v>
      </c>
      <c r="B214" s="10">
        <f>4.4938 * CHOOSE(CONTROL!$C$32, $C$9, 100%, $E$9)</f>
        <v>4.4938000000000002</v>
      </c>
      <c r="C214" s="10">
        <f>4.4938 * CHOOSE(CONTROL!$C$32, $C$9, 100%, $E$9)</f>
        <v>4.4938000000000002</v>
      </c>
      <c r="D214" s="10">
        <f>4.4951 * CHOOSE(CONTROL!$C$32, $C$9, 100%, $E$9)</f>
        <v>4.4950999999999999</v>
      </c>
      <c r="E214" s="9">
        <f>4.801 * CHOOSE(CONTROL!$C$32, $C$9, 100%, $E$9)</f>
        <v>4.8010000000000002</v>
      </c>
      <c r="F214" s="9">
        <f>4.801 * CHOOSE(CONTROL!$C$32, $C$9, 100%, $E$9)</f>
        <v>4.8010000000000002</v>
      </c>
      <c r="G214" s="9">
        <f>4.8054 * CHOOSE(CONTROL!$C$32, $C$9, 100%, $E$9)</f>
        <v>4.8053999999999997</v>
      </c>
      <c r="H214" s="9">
        <f>5.6287 * CHOOSE(CONTROL!$C$32, $C$9, 100%, $E$9)</f>
        <v>5.6287000000000003</v>
      </c>
      <c r="I214" s="9">
        <f>5.6331 * CHOOSE(CONTROL!$C$32, $C$9, 100%, $E$9)</f>
        <v>5.6330999999999998</v>
      </c>
      <c r="J214" s="9">
        <f>5.6287 * CHOOSE(CONTROL!$C$32, $C$9, 100%, $E$9)</f>
        <v>5.6287000000000003</v>
      </c>
      <c r="K214" s="9">
        <f>5.6331 * CHOOSE(CONTROL!$C$32, $C$9, 100%, $E$9)</f>
        <v>5.6330999999999998</v>
      </c>
      <c r="L214" s="9">
        <f>4.801 * CHOOSE(CONTROL!$C$32, $C$9, 100%, $E$9)</f>
        <v>4.8010000000000002</v>
      </c>
      <c r="M214" s="9">
        <f>4.8054 * CHOOSE(CONTROL!$C$32, $C$9, 100%, $E$9)</f>
        <v>4.8053999999999997</v>
      </c>
      <c r="N214" s="9">
        <f>4.801 * CHOOSE(CONTROL!$C$32, $C$9, 100%, $E$9)</f>
        <v>4.8010000000000002</v>
      </c>
      <c r="O214" s="9">
        <f>4.8054 * CHOOSE(CONTROL!$C$32, $C$9, 100%, $E$9)</f>
        <v>4.8053999999999997</v>
      </c>
    </row>
    <row r="215" spans="1:15" ht="15" x14ac:dyDescent="0.2">
      <c r="A215" s="16">
        <v>47027</v>
      </c>
      <c r="B215" s="10">
        <f>4.4912 * CHOOSE(CONTROL!$C$32, $C$9, 100%, $E$9)</f>
        <v>4.4912000000000001</v>
      </c>
      <c r="C215" s="10">
        <f>4.4912 * CHOOSE(CONTROL!$C$32, $C$9, 100%, $E$9)</f>
        <v>4.4912000000000001</v>
      </c>
      <c r="D215" s="10">
        <f>4.4922 * CHOOSE(CONTROL!$C$32, $C$9, 100%, $E$9)</f>
        <v>4.4922000000000004</v>
      </c>
      <c r="E215" s="9">
        <f>4.8195 * CHOOSE(CONTROL!$C$32, $C$9, 100%, $E$9)</f>
        <v>4.8194999999999997</v>
      </c>
      <c r="F215" s="9">
        <f>4.8195 * CHOOSE(CONTROL!$C$32, $C$9, 100%, $E$9)</f>
        <v>4.8194999999999997</v>
      </c>
      <c r="G215" s="9">
        <f>4.8227 * CHOOSE(CONTROL!$C$32, $C$9, 100%, $E$9)</f>
        <v>4.8227000000000002</v>
      </c>
      <c r="H215" s="9">
        <f>5.6264 * CHOOSE(CONTROL!$C$32, $C$9, 100%, $E$9)</f>
        <v>5.6264000000000003</v>
      </c>
      <c r="I215" s="9">
        <f>5.6296 * CHOOSE(CONTROL!$C$32, $C$9, 100%, $E$9)</f>
        <v>5.6295999999999999</v>
      </c>
      <c r="J215" s="9">
        <f>5.6264 * CHOOSE(CONTROL!$C$32, $C$9, 100%, $E$9)</f>
        <v>5.6264000000000003</v>
      </c>
      <c r="K215" s="9">
        <f>5.6296 * CHOOSE(CONTROL!$C$32, $C$9, 100%, $E$9)</f>
        <v>5.6295999999999999</v>
      </c>
      <c r="L215" s="9">
        <f>4.8195 * CHOOSE(CONTROL!$C$32, $C$9, 100%, $E$9)</f>
        <v>4.8194999999999997</v>
      </c>
      <c r="M215" s="9">
        <f>4.8227 * CHOOSE(CONTROL!$C$32, $C$9, 100%, $E$9)</f>
        <v>4.8227000000000002</v>
      </c>
      <c r="N215" s="9">
        <f>4.8195 * CHOOSE(CONTROL!$C$32, $C$9, 100%, $E$9)</f>
        <v>4.8194999999999997</v>
      </c>
      <c r="O215" s="9">
        <f>4.8227 * CHOOSE(CONTROL!$C$32, $C$9, 100%, $E$9)</f>
        <v>4.8227000000000002</v>
      </c>
    </row>
    <row r="216" spans="1:15" ht="15" x14ac:dyDescent="0.2">
      <c r="A216" s="16">
        <v>47058</v>
      </c>
      <c r="B216" s="10">
        <f>4.4943 * CHOOSE(CONTROL!$C$32, $C$9, 100%, $E$9)</f>
        <v>4.4943</v>
      </c>
      <c r="C216" s="10">
        <f>4.4943 * CHOOSE(CONTROL!$C$32, $C$9, 100%, $E$9)</f>
        <v>4.4943</v>
      </c>
      <c r="D216" s="10">
        <f>4.4952 * CHOOSE(CONTROL!$C$32, $C$9, 100%, $E$9)</f>
        <v>4.4951999999999996</v>
      </c>
      <c r="E216" s="9">
        <f>4.8376 * CHOOSE(CONTROL!$C$32, $C$9, 100%, $E$9)</f>
        <v>4.8376000000000001</v>
      </c>
      <c r="F216" s="9">
        <f>4.8376 * CHOOSE(CONTROL!$C$32, $C$9, 100%, $E$9)</f>
        <v>4.8376000000000001</v>
      </c>
      <c r="G216" s="9">
        <f>4.8408 * CHOOSE(CONTROL!$C$32, $C$9, 100%, $E$9)</f>
        <v>4.8407999999999998</v>
      </c>
      <c r="H216" s="9">
        <f>5.6284 * CHOOSE(CONTROL!$C$32, $C$9, 100%, $E$9)</f>
        <v>5.6284000000000001</v>
      </c>
      <c r="I216" s="9">
        <f>5.6316 * CHOOSE(CONTROL!$C$32, $C$9, 100%, $E$9)</f>
        <v>5.6315999999999997</v>
      </c>
      <c r="J216" s="9">
        <f>5.6284 * CHOOSE(CONTROL!$C$32, $C$9, 100%, $E$9)</f>
        <v>5.6284000000000001</v>
      </c>
      <c r="K216" s="9">
        <f>5.6316 * CHOOSE(CONTROL!$C$32, $C$9, 100%, $E$9)</f>
        <v>5.6315999999999997</v>
      </c>
      <c r="L216" s="9">
        <f>4.8376 * CHOOSE(CONTROL!$C$32, $C$9, 100%, $E$9)</f>
        <v>4.8376000000000001</v>
      </c>
      <c r="M216" s="9">
        <f>4.8408 * CHOOSE(CONTROL!$C$32, $C$9, 100%, $E$9)</f>
        <v>4.8407999999999998</v>
      </c>
      <c r="N216" s="9">
        <f>4.8376 * CHOOSE(CONTROL!$C$32, $C$9, 100%, $E$9)</f>
        <v>4.8376000000000001</v>
      </c>
      <c r="O216" s="9">
        <f>4.8408 * CHOOSE(CONTROL!$C$32, $C$9, 100%, $E$9)</f>
        <v>4.8407999999999998</v>
      </c>
    </row>
    <row r="217" spans="1:15" ht="15" x14ac:dyDescent="0.2">
      <c r="A217" s="16">
        <v>47088</v>
      </c>
      <c r="B217" s="10">
        <f>4.4943 * CHOOSE(CONTROL!$C$32, $C$9, 100%, $E$9)</f>
        <v>4.4943</v>
      </c>
      <c r="C217" s="10">
        <f>4.4943 * CHOOSE(CONTROL!$C$32, $C$9, 100%, $E$9)</f>
        <v>4.4943</v>
      </c>
      <c r="D217" s="10">
        <f>4.4952 * CHOOSE(CONTROL!$C$32, $C$9, 100%, $E$9)</f>
        <v>4.4951999999999996</v>
      </c>
      <c r="E217" s="9">
        <f>4.7977 * CHOOSE(CONTROL!$C$32, $C$9, 100%, $E$9)</f>
        <v>4.7976999999999999</v>
      </c>
      <c r="F217" s="9">
        <f>4.7977 * CHOOSE(CONTROL!$C$32, $C$9, 100%, $E$9)</f>
        <v>4.7976999999999999</v>
      </c>
      <c r="G217" s="9">
        <f>4.8009 * CHOOSE(CONTROL!$C$32, $C$9, 100%, $E$9)</f>
        <v>4.8009000000000004</v>
      </c>
      <c r="H217" s="9">
        <f>5.6284 * CHOOSE(CONTROL!$C$32, $C$9, 100%, $E$9)</f>
        <v>5.6284000000000001</v>
      </c>
      <c r="I217" s="9">
        <f>5.6316 * CHOOSE(CONTROL!$C$32, $C$9, 100%, $E$9)</f>
        <v>5.6315999999999997</v>
      </c>
      <c r="J217" s="9">
        <f>5.6284 * CHOOSE(CONTROL!$C$32, $C$9, 100%, $E$9)</f>
        <v>5.6284000000000001</v>
      </c>
      <c r="K217" s="9">
        <f>5.6316 * CHOOSE(CONTROL!$C$32, $C$9, 100%, $E$9)</f>
        <v>5.6315999999999997</v>
      </c>
      <c r="L217" s="9">
        <f>4.7977 * CHOOSE(CONTROL!$C$32, $C$9, 100%, $E$9)</f>
        <v>4.7976999999999999</v>
      </c>
      <c r="M217" s="9">
        <f>4.8009 * CHOOSE(CONTROL!$C$32, $C$9, 100%, $E$9)</f>
        <v>4.8009000000000004</v>
      </c>
      <c r="N217" s="9">
        <f>4.7977 * CHOOSE(CONTROL!$C$32, $C$9, 100%, $E$9)</f>
        <v>4.7976999999999999</v>
      </c>
      <c r="O217" s="9">
        <f>4.8009 * CHOOSE(CONTROL!$C$32, $C$9, 100%, $E$9)</f>
        <v>4.8009000000000004</v>
      </c>
    </row>
    <row r="218" spans="1:15" ht="15" x14ac:dyDescent="0.2">
      <c r="A218" s="16">
        <v>47119</v>
      </c>
      <c r="B218" s="10">
        <f>4.5398 * CHOOSE(CONTROL!$C$32, $C$9, 100%, $E$9)</f>
        <v>4.5397999999999996</v>
      </c>
      <c r="C218" s="10">
        <f>4.5398 * CHOOSE(CONTROL!$C$32, $C$9, 100%, $E$9)</f>
        <v>4.5397999999999996</v>
      </c>
      <c r="D218" s="10">
        <f>4.5408 * CHOOSE(CONTROL!$C$32, $C$9, 100%, $E$9)</f>
        <v>4.5407999999999999</v>
      </c>
      <c r="E218" s="9">
        <f>4.8591 * CHOOSE(CONTROL!$C$32, $C$9, 100%, $E$9)</f>
        <v>4.8590999999999998</v>
      </c>
      <c r="F218" s="9">
        <f>4.8591 * CHOOSE(CONTROL!$C$32, $C$9, 100%, $E$9)</f>
        <v>4.8590999999999998</v>
      </c>
      <c r="G218" s="9">
        <f>4.8623 * CHOOSE(CONTROL!$C$32, $C$9, 100%, $E$9)</f>
        <v>4.8623000000000003</v>
      </c>
      <c r="H218" s="9">
        <f>5.6752 * CHOOSE(CONTROL!$C$32, $C$9, 100%, $E$9)</f>
        <v>5.6752000000000002</v>
      </c>
      <c r="I218" s="9">
        <f>5.6784 * CHOOSE(CONTROL!$C$32, $C$9, 100%, $E$9)</f>
        <v>5.6783999999999999</v>
      </c>
      <c r="J218" s="9">
        <f>5.6752 * CHOOSE(CONTROL!$C$32, $C$9, 100%, $E$9)</f>
        <v>5.6752000000000002</v>
      </c>
      <c r="K218" s="9">
        <f>5.6784 * CHOOSE(CONTROL!$C$32, $C$9, 100%, $E$9)</f>
        <v>5.6783999999999999</v>
      </c>
      <c r="L218" s="9">
        <f>4.8591 * CHOOSE(CONTROL!$C$32, $C$9, 100%, $E$9)</f>
        <v>4.8590999999999998</v>
      </c>
      <c r="M218" s="9">
        <f>4.8623 * CHOOSE(CONTROL!$C$32, $C$9, 100%, $E$9)</f>
        <v>4.8623000000000003</v>
      </c>
      <c r="N218" s="9">
        <f>4.8591 * CHOOSE(CONTROL!$C$32, $C$9, 100%, $E$9)</f>
        <v>4.8590999999999998</v>
      </c>
      <c r="O218" s="9">
        <f>4.8623 * CHOOSE(CONTROL!$C$32, $C$9, 100%, $E$9)</f>
        <v>4.8623000000000003</v>
      </c>
    </row>
    <row r="219" spans="1:15" ht="15" x14ac:dyDescent="0.2">
      <c r="A219" s="16">
        <v>47150</v>
      </c>
      <c r="B219" s="10">
        <f>4.5368 * CHOOSE(CONTROL!$C$32, $C$9, 100%, $E$9)</f>
        <v>4.5368000000000004</v>
      </c>
      <c r="C219" s="10">
        <f>4.5368 * CHOOSE(CONTROL!$C$32, $C$9, 100%, $E$9)</f>
        <v>4.5368000000000004</v>
      </c>
      <c r="D219" s="10">
        <f>4.5377 * CHOOSE(CONTROL!$C$32, $C$9, 100%, $E$9)</f>
        <v>4.5377000000000001</v>
      </c>
      <c r="E219" s="9">
        <f>4.779 * CHOOSE(CONTROL!$C$32, $C$9, 100%, $E$9)</f>
        <v>4.7789999999999999</v>
      </c>
      <c r="F219" s="9">
        <f>4.779 * CHOOSE(CONTROL!$C$32, $C$9, 100%, $E$9)</f>
        <v>4.7789999999999999</v>
      </c>
      <c r="G219" s="9">
        <f>4.7822 * CHOOSE(CONTROL!$C$32, $C$9, 100%, $E$9)</f>
        <v>4.7821999999999996</v>
      </c>
      <c r="H219" s="9">
        <f>5.6732 * CHOOSE(CONTROL!$C$32, $C$9, 100%, $E$9)</f>
        <v>5.6731999999999996</v>
      </c>
      <c r="I219" s="9">
        <f>5.6764 * CHOOSE(CONTROL!$C$32, $C$9, 100%, $E$9)</f>
        <v>5.6764000000000001</v>
      </c>
      <c r="J219" s="9">
        <f>5.6732 * CHOOSE(CONTROL!$C$32, $C$9, 100%, $E$9)</f>
        <v>5.6731999999999996</v>
      </c>
      <c r="K219" s="9">
        <f>5.6764 * CHOOSE(CONTROL!$C$32, $C$9, 100%, $E$9)</f>
        <v>5.6764000000000001</v>
      </c>
      <c r="L219" s="9">
        <f>4.779 * CHOOSE(CONTROL!$C$32, $C$9, 100%, $E$9)</f>
        <v>4.7789999999999999</v>
      </c>
      <c r="M219" s="9">
        <f>4.7822 * CHOOSE(CONTROL!$C$32, $C$9, 100%, $E$9)</f>
        <v>4.7821999999999996</v>
      </c>
      <c r="N219" s="9">
        <f>4.779 * CHOOSE(CONTROL!$C$32, $C$9, 100%, $E$9)</f>
        <v>4.7789999999999999</v>
      </c>
      <c r="O219" s="9">
        <f>4.7822 * CHOOSE(CONTROL!$C$32, $C$9, 100%, $E$9)</f>
        <v>4.7821999999999996</v>
      </c>
    </row>
    <row r="220" spans="1:15" ht="15" x14ac:dyDescent="0.2">
      <c r="A220" s="16">
        <v>47178</v>
      </c>
      <c r="B220" s="10">
        <f>4.5337 * CHOOSE(CONTROL!$C$32, $C$9, 100%, $E$9)</f>
        <v>4.5336999999999996</v>
      </c>
      <c r="C220" s="10">
        <f>4.5337 * CHOOSE(CONTROL!$C$32, $C$9, 100%, $E$9)</f>
        <v>4.5336999999999996</v>
      </c>
      <c r="D220" s="10">
        <f>4.5347 * CHOOSE(CONTROL!$C$32, $C$9, 100%, $E$9)</f>
        <v>4.5347</v>
      </c>
      <c r="E220" s="9">
        <f>4.8384 * CHOOSE(CONTROL!$C$32, $C$9, 100%, $E$9)</f>
        <v>4.8384</v>
      </c>
      <c r="F220" s="9">
        <f>4.8384 * CHOOSE(CONTROL!$C$32, $C$9, 100%, $E$9)</f>
        <v>4.8384</v>
      </c>
      <c r="G220" s="9">
        <f>4.8416 * CHOOSE(CONTROL!$C$32, $C$9, 100%, $E$9)</f>
        <v>4.8415999999999997</v>
      </c>
      <c r="H220" s="9">
        <f>5.6712 * CHOOSE(CONTROL!$C$32, $C$9, 100%, $E$9)</f>
        <v>5.6711999999999998</v>
      </c>
      <c r="I220" s="9">
        <f>5.6744 * CHOOSE(CONTROL!$C$32, $C$9, 100%, $E$9)</f>
        <v>5.6744000000000003</v>
      </c>
      <c r="J220" s="9">
        <f>5.6712 * CHOOSE(CONTROL!$C$32, $C$9, 100%, $E$9)</f>
        <v>5.6711999999999998</v>
      </c>
      <c r="K220" s="9">
        <f>5.6744 * CHOOSE(CONTROL!$C$32, $C$9, 100%, $E$9)</f>
        <v>5.6744000000000003</v>
      </c>
      <c r="L220" s="9">
        <f>4.8384 * CHOOSE(CONTROL!$C$32, $C$9, 100%, $E$9)</f>
        <v>4.8384</v>
      </c>
      <c r="M220" s="9">
        <f>4.8416 * CHOOSE(CONTROL!$C$32, $C$9, 100%, $E$9)</f>
        <v>4.8415999999999997</v>
      </c>
      <c r="N220" s="9">
        <f>4.8384 * CHOOSE(CONTROL!$C$32, $C$9, 100%, $E$9)</f>
        <v>4.8384</v>
      </c>
      <c r="O220" s="9">
        <f>4.8416 * CHOOSE(CONTROL!$C$32, $C$9, 100%, $E$9)</f>
        <v>4.8415999999999997</v>
      </c>
    </row>
    <row r="221" spans="1:15" ht="15" x14ac:dyDescent="0.2">
      <c r="A221" s="16">
        <v>47209</v>
      </c>
      <c r="B221" s="10">
        <f>4.5321 * CHOOSE(CONTROL!$C$32, $C$9, 100%, $E$9)</f>
        <v>4.5320999999999998</v>
      </c>
      <c r="C221" s="10">
        <f>4.5321 * CHOOSE(CONTROL!$C$32, $C$9, 100%, $E$9)</f>
        <v>4.5320999999999998</v>
      </c>
      <c r="D221" s="10">
        <f>4.533 * CHOOSE(CONTROL!$C$32, $C$9, 100%, $E$9)</f>
        <v>4.5330000000000004</v>
      </c>
      <c r="E221" s="9">
        <f>4.9001 * CHOOSE(CONTROL!$C$32, $C$9, 100%, $E$9)</f>
        <v>4.9001000000000001</v>
      </c>
      <c r="F221" s="9">
        <f>4.9001 * CHOOSE(CONTROL!$C$32, $C$9, 100%, $E$9)</f>
        <v>4.9001000000000001</v>
      </c>
      <c r="G221" s="9">
        <f>4.9033 * CHOOSE(CONTROL!$C$32, $C$9, 100%, $E$9)</f>
        <v>4.9032999999999998</v>
      </c>
      <c r="H221" s="9">
        <f>5.67 * CHOOSE(CONTROL!$C$32, $C$9, 100%, $E$9)</f>
        <v>5.67</v>
      </c>
      <c r="I221" s="9">
        <f>5.6732 * CHOOSE(CONTROL!$C$32, $C$9, 100%, $E$9)</f>
        <v>5.6731999999999996</v>
      </c>
      <c r="J221" s="9">
        <f>5.67 * CHOOSE(CONTROL!$C$32, $C$9, 100%, $E$9)</f>
        <v>5.67</v>
      </c>
      <c r="K221" s="9">
        <f>5.6732 * CHOOSE(CONTROL!$C$32, $C$9, 100%, $E$9)</f>
        <v>5.6731999999999996</v>
      </c>
      <c r="L221" s="9">
        <f>4.9001 * CHOOSE(CONTROL!$C$32, $C$9, 100%, $E$9)</f>
        <v>4.9001000000000001</v>
      </c>
      <c r="M221" s="9">
        <f>4.9033 * CHOOSE(CONTROL!$C$32, $C$9, 100%, $E$9)</f>
        <v>4.9032999999999998</v>
      </c>
      <c r="N221" s="9">
        <f>4.9001 * CHOOSE(CONTROL!$C$32, $C$9, 100%, $E$9)</f>
        <v>4.9001000000000001</v>
      </c>
      <c r="O221" s="9">
        <f>4.9033 * CHOOSE(CONTROL!$C$32, $C$9, 100%, $E$9)</f>
        <v>4.9032999999999998</v>
      </c>
    </row>
    <row r="222" spans="1:15" ht="15" x14ac:dyDescent="0.2">
      <c r="A222" s="16">
        <v>47239</v>
      </c>
      <c r="B222" s="10">
        <f>4.5321 * CHOOSE(CONTROL!$C$32, $C$9, 100%, $E$9)</f>
        <v>4.5320999999999998</v>
      </c>
      <c r="C222" s="10">
        <f>4.5321 * CHOOSE(CONTROL!$C$32, $C$9, 100%, $E$9)</f>
        <v>4.5320999999999998</v>
      </c>
      <c r="D222" s="10">
        <f>4.5334 * CHOOSE(CONTROL!$C$32, $C$9, 100%, $E$9)</f>
        <v>4.5334000000000003</v>
      </c>
      <c r="E222" s="9">
        <f>4.9249 * CHOOSE(CONTROL!$C$32, $C$9, 100%, $E$9)</f>
        <v>4.9249000000000001</v>
      </c>
      <c r="F222" s="9">
        <f>4.9249 * CHOOSE(CONTROL!$C$32, $C$9, 100%, $E$9)</f>
        <v>4.9249000000000001</v>
      </c>
      <c r="G222" s="9">
        <f>4.9293 * CHOOSE(CONTROL!$C$32, $C$9, 100%, $E$9)</f>
        <v>4.9292999999999996</v>
      </c>
      <c r="H222" s="9">
        <f>5.67 * CHOOSE(CONTROL!$C$32, $C$9, 100%, $E$9)</f>
        <v>5.67</v>
      </c>
      <c r="I222" s="9">
        <f>5.6743 * CHOOSE(CONTROL!$C$32, $C$9, 100%, $E$9)</f>
        <v>5.6742999999999997</v>
      </c>
      <c r="J222" s="9">
        <f>5.67 * CHOOSE(CONTROL!$C$32, $C$9, 100%, $E$9)</f>
        <v>5.67</v>
      </c>
      <c r="K222" s="9">
        <f>5.6743 * CHOOSE(CONTROL!$C$32, $C$9, 100%, $E$9)</f>
        <v>5.6742999999999997</v>
      </c>
      <c r="L222" s="9">
        <f>4.9249 * CHOOSE(CONTROL!$C$32, $C$9, 100%, $E$9)</f>
        <v>4.9249000000000001</v>
      </c>
      <c r="M222" s="9">
        <f>4.9293 * CHOOSE(CONTROL!$C$32, $C$9, 100%, $E$9)</f>
        <v>4.9292999999999996</v>
      </c>
      <c r="N222" s="9">
        <f>4.9249 * CHOOSE(CONTROL!$C$32, $C$9, 100%, $E$9)</f>
        <v>4.9249000000000001</v>
      </c>
      <c r="O222" s="9">
        <f>4.9293 * CHOOSE(CONTROL!$C$32, $C$9, 100%, $E$9)</f>
        <v>4.9292999999999996</v>
      </c>
    </row>
    <row r="223" spans="1:15" ht="15" x14ac:dyDescent="0.2">
      <c r="A223" s="16">
        <v>47270</v>
      </c>
      <c r="B223" s="10">
        <f>4.5381 * CHOOSE(CONTROL!$C$32, $C$9, 100%, $E$9)</f>
        <v>4.5381</v>
      </c>
      <c r="C223" s="10">
        <f>4.5381 * CHOOSE(CONTROL!$C$32, $C$9, 100%, $E$9)</f>
        <v>4.5381</v>
      </c>
      <c r="D223" s="10">
        <f>4.5394 * CHOOSE(CONTROL!$C$32, $C$9, 100%, $E$9)</f>
        <v>4.5393999999999997</v>
      </c>
      <c r="E223" s="9">
        <f>4.9044 * CHOOSE(CONTROL!$C$32, $C$9, 100%, $E$9)</f>
        <v>4.9043999999999999</v>
      </c>
      <c r="F223" s="9">
        <f>4.9044 * CHOOSE(CONTROL!$C$32, $C$9, 100%, $E$9)</f>
        <v>4.9043999999999999</v>
      </c>
      <c r="G223" s="9">
        <f>4.9087 * CHOOSE(CONTROL!$C$32, $C$9, 100%, $E$9)</f>
        <v>4.9086999999999996</v>
      </c>
      <c r="H223" s="9">
        <f>5.674 * CHOOSE(CONTROL!$C$32, $C$9, 100%, $E$9)</f>
        <v>5.6740000000000004</v>
      </c>
      <c r="I223" s="9">
        <f>5.6783 * CHOOSE(CONTROL!$C$32, $C$9, 100%, $E$9)</f>
        <v>5.6783000000000001</v>
      </c>
      <c r="J223" s="9">
        <f>5.674 * CHOOSE(CONTROL!$C$32, $C$9, 100%, $E$9)</f>
        <v>5.6740000000000004</v>
      </c>
      <c r="K223" s="9">
        <f>5.6783 * CHOOSE(CONTROL!$C$32, $C$9, 100%, $E$9)</f>
        <v>5.6783000000000001</v>
      </c>
      <c r="L223" s="9">
        <f>4.9044 * CHOOSE(CONTROL!$C$32, $C$9, 100%, $E$9)</f>
        <v>4.9043999999999999</v>
      </c>
      <c r="M223" s="9">
        <f>4.9087 * CHOOSE(CONTROL!$C$32, $C$9, 100%, $E$9)</f>
        <v>4.9086999999999996</v>
      </c>
      <c r="N223" s="9">
        <f>4.9044 * CHOOSE(CONTROL!$C$32, $C$9, 100%, $E$9)</f>
        <v>4.9043999999999999</v>
      </c>
      <c r="O223" s="9">
        <f>4.9087 * CHOOSE(CONTROL!$C$32, $C$9, 100%, $E$9)</f>
        <v>4.9086999999999996</v>
      </c>
    </row>
    <row r="224" spans="1:15" ht="15" x14ac:dyDescent="0.2">
      <c r="A224" s="16">
        <v>47300</v>
      </c>
      <c r="B224" s="10">
        <f>4.6224 * CHOOSE(CONTROL!$C$32, $C$9, 100%, $E$9)</f>
        <v>4.6223999999999998</v>
      </c>
      <c r="C224" s="10">
        <f>4.6224 * CHOOSE(CONTROL!$C$32, $C$9, 100%, $E$9)</f>
        <v>4.6223999999999998</v>
      </c>
      <c r="D224" s="10">
        <f>4.6237 * CHOOSE(CONTROL!$C$32, $C$9, 100%, $E$9)</f>
        <v>4.6237000000000004</v>
      </c>
      <c r="E224" s="9">
        <f>4.9592 * CHOOSE(CONTROL!$C$32, $C$9, 100%, $E$9)</f>
        <v>4.9592000000000001</v>
      </c>
      <c r="F224" s="9">
        <f>4.9592 * CHOOSE(CONTROL!$C$32, $C$9, 100%, $E$9)</f>
        <v>4.9592000000000001</v>
      </c>
      <c r="G224" s="9">
        <f>4.9635 * CHOOSE(CONTROL!$C$32, $C$9, 100%, $E$9)</f>
        <v>4.9634999999999998</v>
      </c>
      <c r="H224" s="9">
        <f>5.7718 * CHOOSE(CONTROL!$C$32, $C$9, 100%, $E$9)</f>
        <v>5.7717999999999998</v>
      </c>
      <c r="I224" s="9">
        <f>5.7761 * CHOOSE(CONTROL!$C$32, $C$9, 100%, $E$9)</f>
        <v>5.7760999999999996</v>
      </c>
      <c r="J224" s="9">
        <f>5.7718 * CHOOSE(CONTROL!$C$32, $C$9, 100%, $E$9)</f>
        <v>5.7717999999999998</v>
      </c>
      <c r="K224" s="9">
        <f>5.7761 * CHOOSE(CONTROL!$C$32, $C$9, 100%, $E$9)</f>
        <v>5.7760999999999996</v>
      </c>
      <c r="L224" s="9">
        <f>4.9592 * CHOOSE(CONTROL!$C$32, $C$9, 100%, $E$9)</f>
        <v>4.9592000000000001</v>
      </c>
      <c r="M224" s="9">
        <f>4.9635 * CHOOSE(CONTROL!$C$32, $C$9, 100%, $E$9)</f>
        <v>4.9634999999999998</v>
      </c>
      <c r="N224" s="9">
        <f>4.9592 * CHOOSE(CONTROL!$C$32, $C$9, 100%, $E$9)</f>
        <v>4.9592000000000001</v>
      </c>
      <c r="O224" s="9">
        <f>4.9635 * CHOOSE(CONTROL!$C$32, $C$9, 100%, $E$9)</f>
        <v>4.9634999999999998</v>
      </c>
    </row>
    <row r="225" spans="1:15" ht="15" x14ac:dyDescent="0.2">
      <c r="A225" s="16">
        <v>47331</v>
      </c>
      <c r="B225" s="10">
        <f>4.6291 * CHOOSE(CONTROL!$C$32, $C$9, 100%, $E$9)</f>
        <v>4.6291000000000002</v>
      </c>
      <c r="C225" s="10">
        <f>4.6291 * CHOOSE(CONTROL!$C$32, $C$9, 100%, $E$9)</f>
        <v>4.6291000000000002</v>
      </c>
      <c r="D225" s="10">
        <f>4.6304 * CHOOSE(CONTROL!$C$32, $C$9, 100%, $E$9)</f>
        <v>4.6303999999999998</v>
      </c>
      <c r="E225" s="9">
        <f>4.8896 * CHOOSE(CONTROL!$C$32, $C$9, 100%, $E$9)</f>
        <v>4.8895999999999997</v>
      </c>
      <c r="F225" s="9">
        <f>4.8896 * CHOOSE(CONTROL!$C$32, $C$9, 100%, $E$9)</f>
        <v>4.8895999999999997</v>
      </c>
      <c r="G225" s="9">
        <f>4.894 * CHOOSE(CONTROL!$C$32, $C$9, 100%, $E$9)</f>
        <v>4.8940000000000001</v>
      </c>
      <c r="H225" s="9">
        <f>5.7762 * CHOOSE(CONTROL!$C$32, $C$9, 100%, $E$9)</f>
        <v>5.7762000000000002</v>
      </c>
      <c r="I225" s="9">
        <f>5.7805 * CHOOSE(CONTROL!$C$32, $C$9, 100%, $E$9)</f>
        <v>5.7805</v>
      </c>
      <c r="J225" s="9">
        <f>5.7762 * CHOOSE(CONTROL!$C$32, $C$9, 100%, $E$9)</f>
        <v>5.7762000000000002</v>
      </c>
      <c r="K225" s="9">
        <f>5.7805 * CHOOSE(CONTROL!$C$32, $C$9, 100%, $E$9)</f>
        <v>5.7805</v>
      </c>
      <c r="L225" s="9">
        <f>4.8896 * CHOOSE(CONTROL!$C$32, $C$9, 100%, $E$9)</f>
        <v>4.8895999999999997</v>
      </c>
      <c r="M225" s="9">
        <f>4.894 * CHOOSE(CONTROL!$C$32, $C$9, 100%, $E$9)</f>
        <v>4.8940000000000001</v>
      </c>
      <c r="N225" s="9">
        <f>4.8896 * CHOOSE(CONTROL!$C$32, $C$9, 100%, $E$9)</f>
        <v>4.8895999999999997</v>
      </c>
      <c r="O225" s="9">
        <f>4.894 * CHOOSE(CONTROL!$C$32, $C$9, 100%, $E$9)</f>
        <v>4.8940000000000001</v>
      </c>
    </row>
    <row r="226" spans="1:15" ht="15" x14ac:dyDescent="0.2">
      <c r="A226" s="16">
        <v>47362</v>
      </c>
      <c r="B226" s="10">
        <f>4.6261 * CHOOSE(CONTROL!$C$32, $C$9, 100%, $E$9)</f>
        <v>4.6261000000000001</v>
      </c>
      <c r="C226" s="10">
        <f>4.6261 * CHOOSE(CONTROL!$C$32, $C$9, 100%, $E$9)</f>
        <v>4.6261000000000001</v>
      </c>
      <c r="D226" s="10">
        <f>4.6274 * CHOOSE(CONTROL!$C$32, $C$9, 100%, $E$9)</f>
        <v>4.6273999999999997</v>
      </c>
      <c r="E226" s="9">
        <f>4.8792 * CHOOSE(CONTROL!$C$32, $C$9, 100%, $E$9)</f>
        <v>4.8792</v>
      </c>
      <c r="F226" s="9">
        <f>4.8792 * CHOOSE(CONTROL!$C$32, $C$9, 100%, $E$9)</f>
        <v>4.8792</v>
      </c>
      <c r="G226" s="9">
        <f>4.8836 * CHOOSE(CONTROL!$C$32, $C$9, 100%, $E$9)</f>
        <v>4.8836000000000004</v>
      </c>
      <c r="H226" s="9">
        <f>5.7742 * CHOOSE(CONTROL!$C$32, $C$9, 100%, $E$9)</f>
        <v>5.7742000000000004</v>
      </c>
      <c r="I226" s="9">
        <f>5.7785 * CHOOSE(CONTROL!$C$32, $C$9, 100%, $E$9)</f>
        <v>5.7785000000000002</v>
      </c>
      <c r="J226" s="9">
        <f>5.7742 * CHOOSE(CONTROL!$C$32, $C$9, 100%, $E$9)</f>
        <v>5.7742000000000004</v>
      </c>
      <c r="K226" s="9">
        <f>5.7785 * CHOOSE(CONTROL!$C$32, $C$9, 100%, $E$9)</f>
        <v>5.7785000000000002</v>
      </c>
      <c r="L226" s="9">
        <f>4.8792 * CHOOSE(CONTROL!$C$32, $C$9, 100%, $E$9)</f>
        <v>4.8792</v>
      </c>
      <c r="M226" s="9">
        <f>4.8836 * CHOOSE(CONTROL!$C$32, $C$9, 100%, $E$9)</f>
        <v>4.8836000000000004</v>
      </c>
      <c r="N226" s="9">
        <f>4.8792 * CHOOSE(CONTROL!$C$32, $C$9, 100%, $E$9)</f>
        <v>4.8792</v>
      </c>
      <c r="O226" s="9">
        <f>4.8836 * CHOOSE(CONTROL!$C$32, $C$9, 100%, $E$9)</f>
        <v>4.8836000000000004</v>
      </c>
    </row>
    <row r="227" spans="1:15" ht="15" x14ac:dyDescent="0.2">
      <c r="A227" s="16">
        <v>47392</v>
      </c>
      <c r="B227" s="10">
        <f>4.6241 * CHOOSE(CONTROL!$C$32, $C$9, 100%, $E$9)</f>
        <v>4.6241000000000003</v>
      </c>
      <c r="C227" s="10">
        <f>4.6241 * CHOOSE(CONTROL!$C$32, $C$9, 100%, $E$9)</f>
        <v>4.6241000000000003</v>
      </c>
      <c r="D227" s="10">
        <f>4.625 * CHOOSE(CONTROL!$C$32, $C$9, 100%, $E$9)</f>
        <v>4.625</v>
      </c>
      <c r="E227" s="9">
        <f>4.8988 * CHOOSE(CONTROL!$C$32, $C$9, 100%, $E$9)</f>
        <v>4.8987999999999996</v>
      </c>
      <c r="F227" s="9">
        <f>4.8988 * CHOOSE(CONTROL!$C$32, $C$9, 100%, $E$9)</f>
        <v>4.8987999999999996</v>
      </c>
      <c r="G227" s="9">
        <f>4.902 * CHOOSE(CONTROL!$C$32, $C$9, 100%, $E$9)</f>
        <v>4.9020000000000001</v>
      </c>
      <c r="H227" s="9">
        <f>5.7722 * CHOOSE(CONTROL!$C$32, $C$9, 100%, $E$9)</f>
        <v>5.7721999999999998</v>
      </c>
      <c r="I227" s="9">
        <f>5.7754 * CHOOSE(CONTROL!$C$32, $C$9, 100%, $E$9)</f>
        <v>5.7754000000000003</v>
      </c>
      <c r="J227" s="9">
        <f>5.7722 * CHOOSE(CONTROL!$C$32, $C$9, 100%, $E$9)</f>
        <v>5.7721999999999998</v>
      </c>
      <c r="K227" s="9">
        <f>5.7754 * CHOOSE(CONTROL!$C$32, $C$9, 100%, $E$9)</f>
        <v>5.7754000000000003</v>
      </c>
      <c r="L227" s="9">
        <f>4.8988 * CHOOSE(CONTROL!$C$32, $C$9, 100%, $E$9)</f>
        <v>4.8987999999999996</v>
      </c>
      <c r="M227" s="9">
        <f>4.902 * CHOOSE(CONTROL!$C$32, $C$9, 100%, $E$9)</f>
        <v>4.9020000000000001</v>
      </c>
      <c r="N227" s="9">
        <f>4.8988 * CHOOSE(CONTROL!$C$32, $C$9, 100%, $E$9)</f>
        <v>4.8987999999999996</v>
      </c>
      <c r="O227" s="9">
        <f>4.902 * CHOOSE(CONTROL!$C$32, $C$9, 100%, $E$9)</f>
        <v>4.9020000000000001</v>
      </c>
    </row>
    <row r="228" spans="1:15" ht="15" x14ac:dyDescent="0.2">
      <c r="A228" s="16">
        <v>47423</v>
      </c>
      <c r="B228" s="10">
        <f>4.6271 * CHOOSE(CONTROL!$C$32, $C$9, 100%, $E$9)</f>
        <v>4.6271000000000004</v>
      </c>
      <c r="C228" s="10">
        <f>4.6271 * CHOOSE(CONTROL!$C$32, $C$9, 100%, $E$9)</f>
        <v>4.6271000000000004</v>
      </c>
      <c r="D228" s="10">
        <f>4.6281 * CHOOSE(CONTROL!$C$32, $C$9, 100%, $E$9)</f>
        <v>4.6280999999999999</v>
      </c>
      <c r="E228" s="9">
        <f>4.9174 * CHOOSE(CONTROL!$C$32, $C$9, 100%, $E$9)</f>
        <v>4.9173999999999998</v>
      </c>
      <c r="F228" s="9">
        <f>4.9174 * CHOOSE(CONTROL!$C$32, $C$9, 100%, $E$9)</f>
        <v>4.9173999999999998</v>
      </c>
      <c r="G228" s="9">
        <f>4.9206 * CHOOSE(CONTROL!$C$32, $C$9, 100%, $E$9)</f>
        <v>4.9206000000000003</v>
      </c>
      <c r="H228" s="9">
        <f>5.7742 * CHOOSE(CONTROL!$C$32, $C$9, 100%, $E$9)</f>
        <v>5.7742000000000004</v>
      </c>
      <c r="I228" s="9">
        <f>5.7774 * CHOOSE(CONTROL!$C$32, $C$9, 100%, $E$9)</f>
        <v>5.7774000000000001</v>
      </c>
      <c r="J228" s="9">
        <f>5.7742 * CHOOSE(CONTROL!$C$32, $C$9, 100%, $E$9)</f>
        <v>5.7742000000000004</v>
      </c>
      <c r="K228" s="9">
        <f>5.7774 * CHOOSE(CONTROL!$C$32, $C$9, 100%, $E$9)</f>
        <v>5.7774000000000001</v>
      </c>
      <c r="L228" s="9">
        <f>4.9174 * CHOOSE(CONTROL!$C$32, $C$9, 100%, $E$9)</f>
        <v>4.9173999999999998</v>
      </c>
      <c r="M228" s="9">
        <f>4.9206 * CHOOSE(CONTROL!$C$32, $C$9, 100%, $E$9)</f>
        <v>4.9206000000000003</v>
      </c>
      <c r="N228" s="9">
        <f>4.9174 * CHOOSE(CONTROL!$C$32, $C$9, 100%, $E$9)</f>
        <v>4.9173999999999998</v>
      </c>
      <c r="O228" s="9">
        <f>4.9206 * CHOOSE(CONTROL!$C$32, $C$9, 100%, $E$9)</f>
        <v>4.9206000000000003</v>
      </c>
    </row>
    <row r="229" spans="1:15" ht="15" x14ac:dyDescent="0.2">
      <c r="A229" s="16">
        <v>47453</v>
      </c>
      <c r="B229" s="10">
        <f>4.6271 * CHOOSE(CONTROL!$C$32, $C$9, 100%, $E$9)</f>
        <v>4.6271000000000004</v>
      </c>
      <c r="C229" s="10">
        <f>4.6271 * CHOOSE(CONTROL!$C$32, $C$9, 100%, $E$9)</f>
        <v>4.6271000000000004</v>
      </c>
      <c r="D229" s="10">
        <f>4.6281 * CHOOSE(CONTROL!$C$32, $C$9, 100%, $E$9)</f>
        <v>4.6280999999999999</v>
      </c>
      <c r="E229" s="9">
        <f>4.8762 * CHOOSE(CONTROL!$C$32, $C$9, 100%, $E$9)</f>
        <v>4.8761999999999999</v>
      </c>
      <c r="F229" s="9">
        <f>4.8762 * CHOOSE(CONTROL!$C$32, $C$9, 100%, $E$9)</f>
        <v>4.8761999999999999</v>
      </c>
      <c r="G229" s="9">
        <f>4.8794 * CHOOSE(CONTROL!$C$32, $C$9, 100%, $E$9)</f>
        <v>4.8794000000000004</v>
      </c>
      <c r="H229" s="9">
        <f>5.7742 * CHOOSE(CONTROL!$C$32, $C$9, 100%, $E$9)</f>
        <v>5.7742000000000004</v>
      </c>
      <c r="I229" s="9">
        <f>5.7774 * CHOOSE(CONTROL!$C$32, $C$9, 100%, $E$9)</f>
        <v>5.7774000000000001</v>
      </c>
      <c r="J229" s="9">
        <f>5.7742 * CHOOSE(CONTROL!$C$32, $C$9, 100%, $E$9)</f>
        <v>5.7742000000000004</v>
      </c>
      <c r="K229" s="9">
        <f>5.7774 * CHOOSE(CONTROL!$C$32, $C$9, 100%, $E$9)</f>
        <v>5.7774000000000001</v>
      </c>
      <c r="L229" s="9">
        <f>4.8762 * CHOOSE(CONTROL!$C$32, $C$9, 100%, $E$9)</f>
        <v>4.8761999999999999</v>
      </c>
      <c r="M229" s="9">
        <f>4.8794 * CHOOSE(CONTROL!$C$32, $C$9, 100%, $E$9)</f>
        <v>4.8794000000000004</v>
      </c>
      <c r="N229" s="9">
        <f>4.8762 * CHOOSE(CONTROL!$C$32, $C$9, 100%, $E$9)</f>
        <v>4.8761999999999999</v>
      </c>
      <c r="O229" s="9">
        <f>4.8794 * CHOOSE(CONTROL!$C$32, $C$9, 100%, $E$9)</f>
        <v>4.8794000000000004</v>
      </c>
    </row>
    <row r="230" spans="1:15" ht="15" x14ac:dyDescent="0.2">
      <c r="A230" s="16">
        <v>47484</v>
      </c>
      <c r="B230" s="10">
        <f>4.6574 * CHOOSE(CONTROL!$C$32, $C$9, 100%, $E$9)</f>
        <v>4.6574</v>
      </c>
      <c r="C230" s="10">
        <f>4.6574 * CHOOSE(CONTROL!$C$32, $C$9, 100%, $E$9)</f>
        <v>4.6574</v>
      </c>
      <c r="D230" s="10">
        <f>4.6583 * CHOOSE(CONTROL!$C$32, $C$9, 100%, $E$9)</f>
        <v>4.6582999999999997</v>
      </c>
      <c r="E230" s="9">
        <f>4.9309 * CHOOSE(CONTROL!$C$32, $C$9, 100%, $E$9)</f>
        <v>4.9309000000000003</v>
      </c>
      <c r="F230" s="9">
        <f>4.9309 * CHOOSE(CONTROL!$C$32, $C$9, 100%, $E$9)</f>
        <v>4.9309000000000003</v>
      </c>
      <c r="G230" s="9">
        <f>4.9341 * CHOOSE(CONTROL!$C$32, $C$9, 100%, $E$9)</f>
        <v>4.9340999999999999</v>
      </c>
      <c r="H230" s="9">
        <f>5.8115 * CHOOSE(CONTROL!$C$32, $C$9, 100%, $E$9)</f>
        <v>5.8114999999999997</v>
      </c>
      <c r="I230" s="9">
        <f>5.8147 * CHOOSE(CONTROL!$C$32, $C$9, 100%, $E$9)</f>
        <v>5.8147000000000002</v>
      </c>
      <c r="J230" s="9">
        <f>5.8115 * CHOOSE(CONTROL!$C$32, $C$9, 100%, $E$9)</f>
        <v>5.8114999999999997</v>
      </c>
      <c r="K230" s="9">
        <f>5.8147 * CHOOSE(CONTROL!$C$32, $C$9, 100%, $E$9)</f>
        <v>5.8147000000000002</v>
      </c>
      <c r="L230" s="9">
        <f>4.9309 * CHOOSE(CONTROL!$C$32, $C$9, 100%, $E$9)</f>
        <v>4.9309000000000003</v>
      </c>
      <c r="M230" s="9">
        <f>4.9341 * CHOOSE(CONTROL!$C$32, $C$9, 100%, $E$9)</f>
        <v>4.9340999999999999</v>
      </c>
      <c r="N230" s="9">
        <f>4.9309 * CHOOSE(CONTROL!$C$32, $C$9, 100%, $E$9)</f>
        <v>4.9309000000000003</v>
      </c>
      <c r="O230" s="9">
        <f>4.9341 * CHOOSE(CONTROL!$C$32, $C$9, 100%, $E$9)</f>
        <v>4.9340999999999999</v>
      </c>
    </row>
    <row r="231" spans="1:15" ht="15" x14ac:dyDescent="0.2">
      <c r="A231" s="16">
        <v>47515</v>
      </c>
      <c r="B231" s="10">
        <f>4.6543 * CHOOSE(CONTROL!$C$32, $C$9, 100%, $E$9)</f>
        <v>4.6543000000000001</v>
      </c>
      <c r="C231" s="10">
        <f>4.6543 * CHOOSE(CONTROL!$C$32, $C$9, 100%, $E$9)</f>
        <v>4.6543000000000001</v>
      </c>
      <c r="D231" s="10">
        <f>4.6553 * CHOOSE(CONTROL!$C$32, $C$9, 100%, $E$9)</f>
        <v>4.6553000000000004</v>
      </c>
      <c r="E231" s="9">
        <f>4.8488 * CHOOSE(CONTROL!$C$32, $C$9, 100%, $E$9)</f>
        <v>4.8487999999999998</v>
      </c>
      <c r="F231" s="9">
        <f>4.8488 * CHOOSE(CONTROL!$C$32, $C$9, 100%, $E$9)</f>
        <v>4.8487999999999998</v>
      </c>
      <c r="G231" s="9">
        <f>4.852 * CHOOSE(CONTROL!$C$32, $C$9, 100%, $E$9)</f>
        <v>4.8520000000000003</v>
      </c>
      <c r="H231" s="9">
        <f>5.8095 * CHOOSE(CONTROL!$C$32, $C$9, 100%, $E$9)</f>
        <v>5.8094999999999999</v>
      </c>
      <c r="I231" s="9">
        <f>5.8127 * CHOOSE(CONTROL!$C$32, $C$9, 100%, $E$9)</f>
        <v>5.8127000000000004</v>
      </c>
      <c r="J231" s="9">
        <f>5.8095 * CHOOSE(CONTROL!$C$32, $C$9, 100%, $E$9)</f>
        <v>5.8094999999999999</v>
      </c>
      <c r="K231" s="9">
        <f>5.8127 * CHOOSE(CONTROL!$C$32, $C$9, 100%, $E$9)</f>
        <v>5.8127000000000004</v>
      </c>
      <c r="L231" s="9">
        <f>4.8488 * CHOOSE(CONTROL!$C$32, $C$9, 100%, $E$9)</f>
        <v>4.8487999999999998</v>
      </c>
      <c r="M231" s="9">
        <f>4.852 * CHOOSE(CONTROL!$C$32, $C$9, 100%, $E$9)</f>
        <v>4.8520000000000003</v>
      </c>
      <c r="N231" s="9">
        <f>4.8488 * CHOOSE(CONTROL!$C$32, $C$9, 100%, $E$9)</f>
        <v>4.8487999999999998</v>
      </c>
      <c r="O231" s="9">
        <f>4.852 * CHOOSE(CONTROL!$C$32, $C$9, 100%, $E$9)</f>
        <v>4.8520000000000003</v>
      </c>
    </row>
    <row r="232" spans="1:15" ht="15" x14ac:dyDescent="0.2">
      <c r="A232" s="16">
        <v>47543</v>
      </c>
      <c r="B232" s="10">
        <f>4.6513 * CHOOSE(CONTROL!$C$32, $C$9, 100%, $E$9)</f>
        <v>4.6513</v>
      </c>
      <c r="C232" s="10">
        <f>4.6513 * CHOOSE(CONTROL!$C$32, $C$9, 100%, $E$9)</f>
        <v>4.6513</v>
      </c>
      <c r="D232" s="10">
        <f>4.6522 * CHOOSE(CONTROL!$C$32, $C$9, 100%, $E$9)</f>
        <v>4.6521999999999997</v>
      </c>
      <c r="E232" s="9">
        <f>4.9098 * CHOOSE(CONTROL!$C$32, $C$9, 100%, $E$9)</f>
        <v>4.9097999999999997</v>
      </c>
      <c r="F232" s="9">
        <f>4.9098 * CHOOSE(CONTROL!$C$32, $C$9, 100%, $E$9)</f>
        <v>4.9097999999999997</v>
      </c>
      <c r="G232" s="9">
        <f>4.913 * CHOOSE(CONTROL!$C$32, $C$9, 100%, $E$9)</f>
        <v>4.9130000000000003</v>
      </c>
      <c r="H232" s="9">
        <f>5.8075 * CHOOSE(CONTROL!$C$32, $C$9, 100%, $E$9)</f>
        <v>5.8075000000000001</v>
      </c>
      <c r="I232" s="9">
        <f>5.8107 * CHOOSE(CONTROL!$C$32, $C$9, 100%, $E$9)</f>
        <v>5.8106999999999998</v>
      </c>
      <c r="J232" s="9">
        <f>5.8075 * CHOOSE(CONTROL!$C$32, $C$9, 100%, $E$9)</f>
        <v>5.8075000000000001</v>
      </c>
      <c r="K232" s="9">
        <f>5.8107 * CHOOSE(CONTROL!$C$32, $C$9, 100%, $E$9)</f>
        <v>5.8106999999999998</v>
      </c>
      <c r="L232" s="9">
        <f>4.9098 * CHOOSE(CONTROL!$C$32, $C$9, 100%, $E$9)</f>
        <v>4.9097999999999997</v>
      </c>
      <c r="M232" s="9">
        <f>4.913 * CHOOSE(CONTROL!$C$32, $C$9, 100%, $E$9)</f>
        <v>4.9130000000000003</v>
      </c>
      <c r="N232" s="9">
        <f>4.9098 * CHOOSE(CONTROL!$C$32, $C$9, 100%, $E$9)</f>
        <v>4.9097999999999997</v>
      </c>
      <c r="O232" s="9">
        <f>4.913 * CHOOSE(CONTROL!$C$32, $C$9, 100%, $E$9)</f>
        <v>4.9130000000000003</v>
      </c>
    </row>
    <row r="233" spans="1:15" ht="15" x14ac:dyDescent="0.2">
      <c r="A233" s="16">
        <v>47574</v>
      </c>
      <c r="B233" s="10">
        <f>4.6497 * CHOOSE(CONTROL!$C$32, $C$9, 100%, $E$9)</f>
        <v>4.6497000000000002</v>
      </c>
      <c r="C233" s="10">
        <f>4.6497 * CHOOSE(CONTROL!$C$32, $C$9, 100%, $E$9)</f>
        <v>4.6497000000000002</v>
      </c>
      <c r="D233" s="10">
        <f>4.6507 * CHOOSE(CONTROL!$C$32, $C$9, 100%, $E$9)</f>
        <v>4.6506999999999996</v>
      </c>
      <c r="E233" s="9">
        <f>4.9732 * CHOOSE(CONTROL!$C$32, $C$9, 100%, $E$9)</f>
        <v>4.9732000000000003</v>
      </c>
      <c r="F233" s="9">
        <f>4.9732 * CHOOSE(CONTROL!$C$32, $C$9, 100%, $E$9)</f>
        <v>4.9732000000000003</v>
      </c>
      <c r="G233" s="9">
        <f>4.9764 * CHOOSE(CONTROL!$C$32, $C$9, 100%, $E$9)</f>
        <v>4.9763999999999999</v>
      </c>
      <c r="H233" s="9">
        <f>5.8063 * CHOOSE(CONTROL!$C$32, $C$9, 100%, $E$9)</f>
        <v>5.8063000000000002</v>
      </c>
      <c r="I233" s="9">
        <f>5.8095 * CHOOSE(CONTROL!$C$32, $C$9, 100%, $E$9)</f>
        <v>5.8094999999999999</v>
      </c>
      <c r="J233" s="9">
        <f>5.8063 * CHOOSE(CONTROL!$C$32, $C$9, 100%, $E$9)</f>
        <v>5.8063000000000002</v>
      </c>
      <c r="K233" s="9">
        <f>5.8095 * CHOOSE(CONTROL!$C$32, $C$9, 100%, $E$9)</f>
        <v>5.8094999999999999</v>
      </c>
      <c r="L233" s="9">
        <f>4.9732 * CHOOSE(CONTROL!$C$32, $C$9, 100%, $E$9)</f>
        <v>4.9732000000000003</v>
      </c>
      <c r="M233" s="9">
        <f>4.9764 * CHOOSE(CONTROL!$C$32, $C$9, 100%, $E$9)</f>
        <v>4.9763999999999999</v>
      </c>
      <c r="N233" s="9">
        <f>4.9732 * CHOOSE(CONTROL!$C$32, $C$9, 100%, $E$9)</f>
        <v>4.9732000000000003</v>
      </c>
      <c r="O233" s="9">
        <f>4.9764 * CHOOSE(CONTROL!$C$32, $C$9, 100%, $E$9)</f>
        <v>4.9763999999999999</v>
      </c>
    </row>
    <row r="234" spans="1:15" ht="15" x14ac:dyDescent="0.2">
      <c r="A234" s="16">
        <v>47604</v>
      </c>
      <c r="B234" s="10">
        <f>4.6497 * CHOOSE(CONTROL!$C$32, $C$9, 100%, $E$9)</f>
        <v>4.6497000000000002</v>
      </c>
      <c r="C234" s="10">
        <f>4.6497 * CHOOSE(CONTROL!$C$32, $C$9, 100%, $E$9)</f>
        <v>4.6497000000000002</v>
      </c>
      <c r="D234" s="10">
        <f>4.651 * CHOOSE(CONTROL!$C$32, $C$9, 100%, $E$9)</f>
        <v>4.6509999999999998</v>
      </c>
      <c r="E234" s="9">
        <f>4.9986 * CHOOSE(CONTROL!$C$32, $C$9, 100%, $E$9)</f>
        <v>4.9985999999999997</v>
      </c>
      <c r="F234" s="9">
        <f>4.9986 * CHOOSE(CONTROL!$C$32, $C$9, 100%, $E$9)</f>
        <v>4.9985999999999997</v>
      </c>
      <c r="G234" s="9">
        <f>5.003 * CHOOSE(CONTROL!$C$32, $C$9, 100%, $E$9)</f>
        <v>5.0030000000000001</v>
      </c>
      <c r="H234" s="9">
        <f>5.8063 * CHOOSE(CONTROL!$C$32, $C$9, 100%, $E$9)</f>
        <v>5.8063000000000002</v>
      </c>
      <c r="I234" s="9">
        <f>5.8107 * CHOOSE(CONTROL!$C$32, $C$9, 100%, $E$9)</f>
        <v>5.8106999999999998</v>
      </c>
      <c r="J234" s="9">
        <f>5.8063 * CHOOSE(CONTROL!$C$32, $C$9, 100%, $E$9)</f>
        <v>5.8063000000000002</v>
      </c>
      <c r="K234" s="9">
        <f>5.8107 * CHOOSE(CONTROL!$C$32, $C$9, 100%, $E$9)</f>
        <v>5.8106999999999998</v>
      </c>
      <c r="L234" s="9">
        <f>4.9986 * CHOOSE(CONTROL!$C$32, $C$9, 100%, $E$9)</f>
        <v>4.9985999999999997</v>
      </c>
      <c r="M234" s="9">
        <f>5.003 * CHOOSE(CONTROL!$C$32, $C$9, 100%, $E$9)</f>
        <v>5.0030000000000001</v>
      </c>
      <c r="N234" s="9">
        <f>4.9986 * CHOOSE(CONTROL!$C$32, $C$9, 100%, $E$9)</f>
        <v>4.9985999999999997</v>
      </c>
      <c r="O234" s="9">
        <f>5.003 * CHOOSE(CONTROL!$C$32, $C$9, 100%, $E$9)</f>
        <v>5.0030000000000001</v>
      </c>
    </row>
    <row r="235" spans="1:15" ht="15" x14ac:dyDescent="0.2">
      <c r="A235" s="16">
        <v>47635</v>
      </c>
      <c r="B235" s="10">
        <f>4.6558 * CHOOSE(CONTROL!$C$32, $C$9, 100%, $E$9)</f>
        <v>4.6558000000000002</v>
      </c>
      <c r="C235" s="10">
        <f>4.6558 * CHOOSE(CONTROL!$C$32, $C$9, 100%, $E$9)</f>
        <v>4.6558000000000002</v>
      </c>
      <c r="D235" s="10">
        <f>4.6571 * CHOOSE(CONTROL!$C$32, $C$9, 100%, $E$9)</f>
        <v>4.6570999999999998</v>
      </c>
      <c r="E235" s="9">
        <f>4.9775 * CHOOSE(CONTROL!$C$32, $C$9, 100%, $E$9)</f>
        <v>4.9775</v>
      </c>
      <c r="F235" s="9">
        <f>4.9775 * CHOOSE(CONTROL!$C$32, $C$9, 100%, $E$9)</f>
        <v>4.9775</v>
      </c>
      <c r="G235" s="9">
        <f>4.9818 * CHOOSE(CONTROL!$C$32, $C$9, 100%, $E$9)</f>
        <v>4.9817999999999998</v>
      </c>
      <c r="H235" s="9">
        <f>5.8103 * CHOOSE(CONTROL!$C$32, $C$9, 100%, $E$9)</f>
        <v>5.8102999999999998</v>
      </c>
      <c r="I235" s="9">
        <f>5.8147 * CHOOSE(CONTROL!$C$32, $C$9, 100%, $E$9)</f>
        <v>5.8147000000000002</v>
      </c>
      <c r="J235" s="9">
        <f>5.8103 * CHOOSE(CONTROL!$C$32, $C$9, 100%, $E$9)</f>
        <v>5.8102999999999998</v>
      </c>
      <c r="K235" s="9">
        <f>5.8147 * CHOOSE(CONTROL!$C$32, $C$9, 100%, $E$9)</f>
        <v>5.8147000000000002</v>
      </c>
      <c r="L235" s="9">
        <f>4.9775 * CHOOSE(CONTROL!$C$32, $C$9, 100%, $E$9)</f>
        <v>4.9775</v>
      </c>
      <c r="M235" s="9">
        <f>4.9818 * CHOOSE(CONTROL!$C$32, $C$9, 100%, $E$9)</f>
        <v>4.9817999999999998</v>
      </c>
      <c r="N235" s="9">
        <f>4.9775 * CHOOSE(CONTROL!$C$32, $C$9, 100%, $E$9)</f>
        <v>4.9775</v>
      </c>
      <c r="O235" s="9">
        <f>4.9818 * CHOOSE(CONTROL!$C$32, $C$9, 100%, $E$9)</f>
        <v>4.9817999999999998</v>
      </c>
    </row>
    <row r="236" spans="1:15" ht="15" x14ac:dyDescent="0.2">
      <c r="A236" s="16">
        <v>47665</v>
      </c>
      <c r="B236" s="10">
        <f>4.708 * CHOOSE(CONTROL!$C$32, $C$9, 100%, $E$9)</f>
        <v>4.7080000000000002</v>
      </c>
      <c r="C236" s="10">
        <f>4.708 * CHOOSE(CONTROL!$C$32, $C$9, 100%, $E$9)</f>
        <v>4.7080000000000002</v>
      </c>
      <c r="D236" s="10">
        <f>4.7093 * CHOOSE(CONTROL!$C$32, $C$9, 100%, $E$9)</f>
        <v>4.7092999999999998</v>
      </c>
      <c r="E236" s="9">
        <f>5.0294 * CHOOSE(CONTROL!$C$32, $C$9, 100%, $E$9)</f>
        <v>5.0293999999999999</v>
      </c>
      <c r="F236" s="9">
        <f>5.0294 * CHOOSE(CONTROL!$C$32, $C$9, 100%, $E$9)</f>
        <v>5.0293999999999999</v>
      </c>
      <c r="G236" s="9">
        <f>5.0337 * CHOOSE(CONTROL!$C$32, $C$9, 100%, $E$9)</f>
        <v>5.0336999999999996</v>
      </c>
      <c r="H236" s="9">
        <f>5.8881 * CHOOSE(CONTROL!$C$32, $C$9, 100%, $E$9)</f>
        <v>5.8880999999999997</v>
      </c>
      <c r="I236" s="9">
        <f>5.8924 * CHOOSE(CONTROL!$C$32, $C$9, 100%, $E$9)</f>
        <v>5.8924000000000003</v>
      </c>
      <c r="J236" s="9">
        <f>5.8881 * CHOOSE(CONTROL!$C$32, $C$9, 100%, $E$9)</f>
        <v>5.8880999999999997</v>
      </c>
      <c r="K236" s="9">
        <f>5.8924 * CHOOSE(CONTROL!$C$32, $C$9, 100%, $E$9)</f>
        <v>5.8924000000000003</v>
      </c>
      <c r="L236" s="9">
        <f>5.0294 * CHOOSE(CONTROL!$C$32, $C$9, 100%, $E$9)</f>
        <v>5.0293999999999999</v>
      </c>
      <c r="M236" s="9">
        <f>5.0337 * CHOOSE(CONTROL!$C$32, $C$9, 100%, $E$9)</f>
        <v>5.0336999999999996</v>
      </c>
      <c r="N236" s="9">
        <f>5.0294 * CHOOSE(CONTROL!$C$32, $C$9, 100%, $E$9)</f>
        <v>5.0293999999999999</v>
      </c>
      <c r="O236" s="9">
        <f>5.0337 * CHOOSE(CONTROL!$C$32, $C$9, 100%, $E$9)</f>
        <v>5.0336999999999996</v>
      </c>
    </row>
    <row r="237" spans="1:15" ht="15" x14ac:dyDescent="0.2">
      <c r="A237" s="16">
        <v>47696</v>
      </c>
      <c r="B237" s="10">
        <f>4.7147 * CHOOSE(CONTROL!$C$32, $C$9, 100%, $E$9)</f>
        <v>4.7146999999999997</v>
      </c>
      <c r="C237" s="10">
        <f>4.7147 * CHOOSE(CONTROL!$C$32, $C$9, 100%, $E$9)</f>
        <v>4.7146999999999997</v>
      </c>
      <c r="D237" s="10">
        <f>4.716 * CHOOSE(CONTROL!$C$32, $C$9, 100%, $E$9)</f>
        <v>4.7160000000000002</v>
      </c>
      <c r="E237" s="9">
        <f>4.9579 * CHOOSE(CONTROL!$C$32, $C$9, 100%, $E$9)</f>
        <v>4.9579000000000004</v>
      </c>
      <c r="F237" s="9">
        <f>4.9579 * CHOOSE(CONTROL!$C$32, $C$9, 100%, $E$9)</f>
        <v>4.9579000000000004</v>
      </c>
      <c r="G237" s="9">
        <f>4.9622 * CHOOSE(CONTROL!$C$32, $C$9, 100%, $E$9)</f>
        <v>4.9622000000000002</v>
      </c>
      <c r="H237" s="9">
        <f>5.8925 * CHOOSE(CONTROL!$C$32, $C$9, 100%, $E$9)</f>
        <v>5.8925000000000001</v>
      </c>
      <c r="I237" s="9">
        <f>5.8968 * CHOOSE(CONTROL!$C$32, $C$9, 100%, $E$9)</f>
        <v>5.8967999999999998</v>
      </c>
      <c r="J237" s="9">
        <f>5.8925 * CHOOSE(CONTROL!$C$32, $C$9, 100%, $E$9)</f>
        <v>5.8925000000000001</v>
      </c>
      <c r="K237" s="9">
        <f>5.8968 * CHOOSE(CONTROL!$C$32, $C$9, 100%, $E$9)</f>
        <v>5.8967999999999998</v>
      </c>
      <c r="L237" s="9">
        <f>4.9579 * CHOOSE(CONTROL!$C$32, $C$9, 100%, $E$9)</f>
        <v>4.9579000000000004</v>
      </c>
      <c r="M237" s="9">
        <f>4.9622 * CHOOSE(CONTROL!$C$32, $C$9, 100%, $E$9)</f>
        <v>4.9622000000000002</v>
      </c>
      <c r="N237" s="9">
        <f>4.9579 * CHOOSE(CONTROL!$C$32, $C$9, 100%, $E$9)</f>
        <v>4.9579000000000004</v>
      </c>
      <c r="O237" s="9">
        <f>4.9622 * CHOOSE(CONTROL!$C$32, $C$9, 100%, $E$9)</f>
        <v>4.9622000000000002</v>
      </c>
    </row>
    <row r="238" spans="1:15" ht="15" x14ac:dyDescent="0.2">
      <c r="A238" s="16">
        <v>47727</v>
      </c>
      <c r="B238" s="10">
        <f>4.7116 * CHOOSE(CONTROL!$C$32, $C$9, 100%, $E$9)</f>
        <v>4.7115999999999998</v>
      </c>
      <c r="C238" s="10">
        <f>4.7116 * CHOOSE(CONTROL!$C$32, $C$9, 100%, $E$9)</f>
        <v>4.7115999999999998</v>
      </c>
      <c r="D238" s="10">
        <f>4.7129 * CHOOSE(CONTROL!$C$32, $C$9, 100%, $E$9)</f>
        <v>4.7129000000000003</v>
      </c>
      <c r="E238" s="9">
        <f>4.9473 * CHOOSE(CONTROL!$C$32, $C$9, 100%, $E$9)</f>
        <v>4.9473000000000003</v>
      </c>
      <c r="F238" s="9">
        <f>4.9473 * CHOOSE(CONTROL!$C$32, $C$9, 100%, $E$9)</f>
        <v>4.9473000000000003</v>
      </c>
      <c r="G238" s="9">
        <f>4.9517 * CHOOSE(CONTROL!$C$32, $C$9, 100%, $E$9)</f>
        <v>4.9516999999999998</v>
      </c>
      <c r="H238" s="9">
        <f>5.8905 * CHOOSE(CONTROL!$C$32, $C$9, 100%, $E$9)</f>
        <v>5.8905000000000003</v>
      </c>
      <c r="I238" s="9">
        <f>5.8948 * CHOOSE(CONTROL!$C$32, $C$9, 100%, $E$9)</f>
        <v>5.8948</v>
      </c>
      <c r="J238" s="9">
        <f>5.8905 * CHOOSE(CONTROL!$C$32, $C$9, 100%, $E$9)</f>
        <v>5.8905000000000003</v>
      </c>
      <c r="K238" s="9">
        <f>5.8948 * CHOOSE(CONTROL!$C$32, $C$9, 100%, $E$9)</f>
        <v>5.8948</v>
      </c>
      <c r="L238" s="9">
        <f>4.9473 * CHOOSE(CONTROL!$C$32, $C$9, 100%, $E$9)</f>
        <v>4.9473000000000003</v>
      </c>
      <c r="M238" s="9">
        <f>4.9517 * CHOOSE(CONTROL!$C$32, $C$9, 100%, $E$9)</f>
        <v>4.9516999999999998</v>
      </c>
      <c r="N238" s="9">
        <f>4.9473 * CHOOSE(CONTROL!$C$32, $C$9, 100%, $E$9)</f>
        <v>4.9473000000000003</v>
      </c>
      <c r="O238" s="9">
        <f>4.9517 * CHOOSE(CONTROL!$C$32, $C$9, 100%, $E$9)</f>
        <v>4.9516999999999998</v>
      </c>
    </row>
    <row r="239" spans="1:15" ht="15" x14ac:dyDescent="0.2">
      <c r="A239" s="16">
        <v>47757</v>
      </c>
      <c r="B239" s="10">
        <f>4.7099 * CHOOSE(CONTROL!$C$32, $C$9, 100%, $E$9)</f>
        <v>4.7099000000000002</v>
      </c>
      <c r="C239" s="10">
        <f>4.7099 * CHOOSE(CONTROL!$C$32, $C$9, 100%, $E$9)</f>
        <v>4.7099000000000002</v>
      </c>
      <c r="D239" s="10">
        <f>4.7109 * CHOOSE(CONTROL!$C$32, $C$9, 100%, $E$9)</f>
        <v>4.7108999999999996</v>
      </c>
      <c r="E239" s="9">
        <f>4.9677 * CHOOSE(CONTROL!$C$32, $C$9, 100%, $E$9)</f>
        <v>4.9676999999999998</v>
      </c>
      <c r="F239" s="9">
        <f>4.9677 * CHOOSE(CONTROL!$C$32, $C$9, 100%, $E$9)</f>
        <v>4.9676999999999998</v>
      </c>
      <c r="G239" s="9">
        <f>4.9709 * CHOOSE(CONTROL!$C$32, $C$9, 100%, $E$9)</f>
        <v>4.9709000000000003</v>
      </c>
      <c r="H239" s="9">
        <f>5.8887 * CHOOSE(CONTROL!$C$32, $C$9, 100%, $E$9)</f>
        <v>5.8887</v>
      </c>
      <c r="I239" s="9">
        <f>5.8919 * CHOOSE(CONTROL!$C$32, $C$9, 100%, $E$9)</f>
        <v>5.8918999999999997</v>
      </c>
      <c r="J239" s="9">
        <f>5.8887 * CHOOSE(CONTROL!$C$32, $C$9, 100%, $E$9)</f>
        <v>5.8887</v>
      </c>
      <c r="K239" s="9">
        <f>5.8919 * CHOOSE(CONTROL!$C$32, $C$9, 100%, $E$9)</f>
        <v>5.8918999999999997</v>
      </c>
      <c r="L239" s="9">
        <f>4.9677 * CHOOSE(CONTROL!$C$32, $C$9, 100%, $E$9)</f>
        <v>4.9676999999999998</v>
      </c>
      <c r="M239" s="9">
        <f>4.9709 * CHOOSE(CONTROL!$C$32, $C$9, 100%, $E$9)</f>
        <v>4.9709000000000003</v>
      </c>
      <c r="N239" s="9">
        <f>4.9677 * CHOOSE(CONTROL!$C$32, $C$9, 100%, $E$9)</f>
        <v>4.9676999999999998</v>
      </c>
      <c r="O239" s="9">
        <f>4.9709 * CHOOSE(CONTROL!$C$32, $C$9, 100%, $E$9)</f>
        <v>4.9709000000000003</v>
      </c>
    </row>
    <row r="240" spans="1:15" ht="15" x14ac:dyDescent="0.2">
      <c r="A240" s="16">
        <v>47788</v>
      </c>
      <c r="B240" s="10">
        <f>4.713 * CHOOSE(CONTROL!$C$32, $C$9, 100%, $E$9)</f>
        <v>4.7130000000000001</v>
      </c>
      <c r="C240" s="10">
        <f>4.713 * CHOOSE(CONTROL!$C$32, $C$9, 100%, $E$9)</f>
        <v>4.7130000000000001</v>
      </c>
      <c r="D240" s="10">
        <f>4.7139 * CHOOSE(CONTROL!$C$32, $C$9, 100%, $E$9)</f>
        <v>4.7138999999999998</v>
      </c>
      <c r="E240" s="9">
        <f>4.9868 * CHOOSE(CONTROL!$C$32, $C$9, 100%, $E$9)</f>
        <v>4.9867999999999997</v>
      </c>
      <c r="F240" s="9">
        <f>4.9868 * CHOOSE(CONTROL!$C$32, $C$9, 100%, $E$9)</f>
        <v>4.9867999999999997</v>
      </c>
      <c r="G240" s="9">
        <f>4.99 * CHOOSE(CONTROL!$C$32, $C$9, 100%, $E$9)</f>
        <v>4.99</v>
      </c>
      <c r="H240" s="9">
        <f>5.8907 * CHOOSE(CONTROL!$C$32, $C$9, 100%, $E$9)</f>
        <v>5.8906999999999998</v>
      </c>
      <c r="I240" s="9">
        <f>5.8939 * CHOOSE(CONTROL!$C$32, $C$9, 100%, $E$9)</f>
        <v>5.8939000000000004</v>
      </c>
      <c r="J240" s="9">
        <f>5.8907 * CHOOSE(CONTROL!$C$32, $C$9, 100%, $E$9)</f>
        <v>5.8906999999999998</v>
      </c>
      <c r="K240" s="9">
        <f>5.8939 * CHOOSE(CONTROL!$C$32, $C$9, 100%, $E$9)</f>
        <v>5.8939000000000004</v>
      </c>
      <c r="L240" s="9">
        <f>4.9868 * CHOOSE(CONTROL!$C$32, $C$9, 100%, $E$9)</f>
        <v>4.9867999999999997</v>
      </c>
      <c r="M240" s="9">
        <f>4.99 * CHOOSE(CONTROL!$C$32, $C$9, 100%, $E$9)</f>
        <v>4.99</v>
      </c>
      <c r="N240" s="9">
        <f>4.9868 * CHOOSE(CONTROL!$C$32, $C$9, 100%, $E$9)</f>
        <v>4.9867999999999997</v>
      </c>
      <c r="O240" s="9">
        <f>4.99 * CHOOSE(CONTROL!$C$32, $C$9, 100%, $E$9)</f>
        <v>4.99</v>
      </c>
    </row>
    <row r="241" spans="1:15" ht="15" x14ac:dyDescent="0.2">
      <c r="A241" s="16">
        <v>47818</v>
      </c>
      <c r="B241" s="10">
        <f>4.713 * CHOOSE(CONTROL!$C$32, $C$9, 100%, $E$9)</f>
        <v>4.7130000000000001</v>
      </c>
      <c r="C241" s="10">
        <f>4.713 * CHOOSE(CONTROL!$C$32, $C$9, 100%, $E$9)</f>
        <v>4.7130000000000001</v>
      </c>
      <c r="D241" s="10">
        <f>4.7139 * CHOOSE(CONTROL!$C$32, $C$9, 100%, $E$9)</f>
        <v>4.7138999999999998</v>
      </c>
      <c r="E241" s="9">
        <f>4.9445 * CHOOSE(CONTROL!$C$32, $C$9, 100%, $E$9)</f>
        <v>4.9444999999999997</v>
      </c>
      <c r="F241" s="9">
        <f>4.9445 * CHOOSE(CONTROL!$C$32, $C$9, 100%, $E$9)</f>
        <v>4.9444999999999997</v>
      </c>
      <c r="G241" s="9">
        <f>4.9477 * CHOOSE(CONTROL!$C$32, $C$9, 100%, $E$9)</f>
        <v>4.9477000000000002</v>
      </c>
      <c r="H241" s="9">
        <f>5.8907 * CHOOSE(CONTROL!$C$32, $C$9, 100%, $E$9)</f>
        <v>5.8906999999999998</v>
      </c>
      <c r="I241" s="9">
        <f>5.8939 * CHOOSE(CONTROL!$C$32, $C$9, 100%, $E$9)</f>
        <v>5.8939000000000004</v>
      </c>
      <c r="J241" s="9">
        <f>5.8907 * CHOOSE(CONTROL!$C$32, $C$9, 100%, $E$9)</f>
        <v>5.8906999999999998</v>
      </c>
      <c r="K241" s="9">
        <f>5.8939 * CHOOSE(CONTROL!$C$32, $C$9, 100%, $E$9)</f>
        <v>5.8939000000000004</v>
      </c>
      <c r="L241" s="9">
        <f>4.9445 * CHOOSE(CONTROL!$C$32, $C$9, 100%, $E$9)</f>
        <v>4.9444999999999997</v>
      </c>
      <c r="M241" s="9">
        <f>4.9477 * CHOOSE(CONTROL!$C$32, $C$9, 100%, $E$9)</f>
        <v>4.9477000000000002</v>
      </c>
      <c r="N241" s="9">
        <f>4.9445 * CHOOSE(CONTROL!$C$32, $C$9, 100%, $E$9)</f>
        <v>4.9444999999999997</v>
      </c>
      <c r="O241" s="9">
        <f>4.9477 * CHOOSE(CONTROL!$C$32, $C$9, 100%, $E$9)</f>
        <v>4.9477000000000002</v>
      </c>
    </row>
    <row r="242" spans="1:15" ht="15" x14ac:dyDescent="0.2">
      <c r="A242" s="16">
        <v>47849</v>
      </c>
      <c r="B242" s="10">
        <f>4.758 * CHOOSE(CONTROL!$C$32, $C$9, 100%, $E$9)</f>
        <v>4.758</v>
      </c>
      <c r="C242" s="10">
        <f>4.758 * CHOOSE(CONTROL!$C$32, $C$9, 100%, $E$9)</f>
        <v>4.758</v>
      </c>
      <c r="D242" s="10">
        <f>4.7589 * CHOOSE(CONTROL!$C$32, $C$9, 100%, $E$9)</f>
        <v>4.7588999999999997</v>
      </c>
      <c r="E242" s="9">
        <f>5.0046 * CHOOSE(CONTROL!$C$32, $C$9, 100%, $E$9)</f>
        <v>5.0045999999999999</v>
      </c>
      <c r="F242" s="9">
        <f>5.0046 * CHOOSE(CONTROL!$C$32, $C$9, 100%, $E$9)</f>
        <v>5.0045999999999999</v>
      </c>
      <c r="G242" s="9">
        <f>5.0078 * CHOOSE(CONTROL!$C$32, $C$9, 100%, $E$9)</f>
        <v>5.0077999999999996</v>
      </c>
      <c r="H242" s="9">
        <f>5.9385 * CHOOSE(CONTROL!$C$32, $C$9, 100%, $E$9)</f>
        <v>5.9385000000000003</v>
      </c>
      <c r="I242" s="9">
        <f>5.9416 * CHOOSE(CONTROL!$C$32, $C$9, 100%, $E$9)</f>
        <v>5.9416000000000002</v>
      </c>
      <c r="J242" s="9">
        <f>5.9385 * CHOOSE(CONTROL!$C$32, $C$9, 100%, $E$9)</f>
        <v>5.9385000000000003</v>
      </c>
      <c r="K242" s="9">
        <f>5.9416 * CHOOSE(CONTROL!$C$32, $C$9, 100%, $E$9)</f>
        <v>5.9416000000000002</v>
      </c>
      <c r="L242" s="9">
        <f>5.0046 * CHOOSE(CONTROL!$C$32, $C$9, 100%, $E$9)</f>
        <v>5.0045999999999999</v>
      </c>
      <c r="M242" s="9">
        <f>5.0078 * CHOOSE(CONTROL!$C$32, $C$9, 100%, $E$9)</f>
        <v>5.0077999999999996</v>
      </c>
      <c r="N242" s="9">
        <f>5.0046 * CHOOSE(CONTROL!$C$32, $C$9, 100%, $E$9)</f>
        <v>5.0045999999999999</v>
      </c>
      <c r="O242" s="9">
        <f>5.0078 * CHOOSE(CONTROL!$C$32, $C$9, 100%, $E$9)</f>
        <v>5.0077999999999996</v>
      </c>
    </row>
    <row r="243" spans="1:15" ht="15" x14ac:dyDescent="0.2">
      <c r="A243" s="16">
        <v>47880</v>
      </c>
      <c r="B243" s="10">
        <f>4.7549 * CHOOSE(CONTROL!$C$32, $C$9, 100%, $E$9)</f>
        <v>4.7549000000000001</v>
      </c>
      <c r="C243" s="10">
        <f>4.7549 * CHOOSE(CONTROL!$C$32, $C$9, 100%, $E$9)</f>
        <v>4.7549000000000001</v>
      </c>
      <c r="D243" s="10">
        <f>4.7559 * CHOOSE(CONTROL!$C$32, $C$9, 100%, $E$9)</f>
        <v>4.7558999999999996</v>
      </c>
      <c r="E243" s="9">
        <f>4.92 * CHOOSE(CONTROL!$C$32, $C$9, 100%, $E$9)</f>
        <v>4.92</v>
      </c>
      <c r="F243" s="9">
        <f>4.92 * CHOOSE(CONTROL!$C$32, $C$9, 100%, $E$9)</f>
        <v>4.92</v>
      </c>
      <c r="G243" s="9">
        <f>4.9232 * CHOOSE(CONTROL!$C$32, $C$9, 100%, $E$9)</f>
        <v>4.9231999999999996</v>
      </c>
      <c r="H243" s="9">
        <f>5.9365 * CHOOSE(CONTROL!$C$32, $C$9, 100%, $E$9)</f>
        <v>5.9364999999999997</v>
      </c>
      <c r="I243" s="9">
        <f>5.9396 * CHOOSE(CONTROL!$C$32, $C$9, 100%, $E$9)</f>
        <v>5.9396000000000004</v>
      </c>
      <c r="J243" s="9">
        <f>5.9365 * CHOOSE(CONTROL!$C$32, $C$9, 100%, $E$9)</f>
        <v>5.9364999999999997</v>
      </c>
      <c r="K243" s="9">
        <f>5.9396 * CHOOSE(CONTROL!$C$32, $C$9, 100%, $E$9)</f>
        <v>5.9396000000000004</v>
      </c>
      <c r="L243" s="9">
        <f>4.92 * CHOOSE(CONTROL!$C$32, $C$9, 100%, $E$9)</f>
        <v>4.92</v>
      </c>
      <c r="M243" s="9">
        <f>4.9232 * CHOOSE(CONTROL!$C$32, $C$9, 100%, $E$9)</f>
        <v>4.9231999999999996</v>
      </c>
      <c r="N243" s="9">
        <f>4.92 * CHOOSE(CONTROL!$C$32, $C$9, 100%, $E$9)</f>
        <v>4.92</v>
      </c>
      <c r="O243" s="9">
        <f>4.9232 * CHOOSE(CONTROL!$C$32, $C$9, 100%, $E$9)</f>
        <v>4.9231999999999996</v>
      </c>
    </row>
    <row r="244" spans="1:15" ht="15" x14ac:dyDescent="0.2">
      <c r="A244" s="16">
        <v>47908</v>
      </c>
      <c r="B244" s="10">
        <f>4.7519 * CHOOSE(CONTROL!$C$32, $C$9, 100%, $E$9)</f>
        <v>4.7519</v>
      </c>
      <c r="C244" s="10">
        <f>4.7519 * CHOOSE(CONTROL!$C$32, $C$9, 100%, $E$9)</f>
        <v>4.7519</v>
      </c>
      <c r="D244" s="10">
        <f>4.7528 * CHOOSE(CONTROL!$C$32, $C$9, 100%, $E$9)</f>
        <v>4.7527999999999997</v>
      </c>
      <c r="E244" s="9">
        <f>4.9829 * CHOOSE(CONTROL!$C$32, $C$9, 100%, $E$9)</f>
        <v>4.9828999999999999</v>
      </c>
      <c r="F244" s="9">
        <f>4.9829 * CHOOSE(CONTROL!$C$32, $C$9, 100%, $E$9)</f>
        <v>4.9828999999999999</v>
      </c>
      <c r="G244" s="9">
        <f>4.9861 * CHOOSE(CONTROL!$C$32, $C$9, 100%, $E$9)</f>
        <v>4.9861000000000004</v>
      </c>
      <c r="H244" s="9">
        <f>5.9345 * CHOOSE(CONTROL!$C$32, $C$9, 100%, $E$9)</f>
        <v>5.9344999999999999</v>
      </c>
      <c r="I244" s="9">
        <f>5.9376 * CHOOSE(CONTROL!$C$32, $C$9, 100%, $E$9)</f>
        <v>5.9375999999999998</v>
      </c>
      <c r="J244" s="9">
        <f>5.9345 * CHOOSE(CONTROL!$C$32, $C$9, 100%, $E$9)</f>
        <v>5.9344999999999999</v>
      </c>
      <c r="K244" s="9">
        <f>5.9376 * CHOOSE(CONTROL!$C$32, $C$9, 100%, $E$9)</f>
        <v>5.9375999999999998</v>
      </c>
      <c r="L244" s="9">
        <f>4.9829 * CHOOSE(CONTROL!$C$32, $C$9, 100%, $E$9)</f>
        <v>4.9828999999999999</v>
      </c>
      <c r="M244" s="9">
        <f>4.9861 * CHOOSE(CONTROL!$C$32, $C$9, 100%, $E$9)</f>
        <v>4.9861000000000004</v>
      </c>
      <c r="N244" s="9">
        <f>4.9829 * CHOOSE(CONTROL!$C$32, $C$9, 100%, $E$9)</f>
        <v>4.9828999999999999</v>
      </c>
      <c r="O244" s="9">
        <f>4.9861 * CHOOSE(CONTROL!$C$32, $C$9, 100%, $E$9)</f>
        <v>4.9861000000000004</v>
      </c>
    </row>
    <row r="245" spans="1:15" ht="15" x14ac:dyDescent="0.2">
      <c r="A245" s="16">
        <v>47939</v>
      </c>
      <c r="B245" s="10">
        <f>4.7504 * CHOOSE(CONTROL!$C$32, $C$9, 100%, $E$9)</f>
        <v>4.7504</v>
      </c>
      <c r="C245" s="10">
        <f>4.7504 * CHOOSE(CONTROL!$C$32, $C$9, 100%, $E$9)</f>
        <v>4.7504</v>
      </c>
      <c r="D245" s="10">
        <f>4.7514 * CHOOSE(CONTROL!$C$32, $C$9, 100%, $E$9)</f>
        <v>4.7514000000000003</v>
      </c>
      <c r="E245" s="9">
        <f>5.0484 * CHOOSE(CONTROL!$C$32, $C$9, 100%, $E$9)</f>
        <v>5.0484</v>
      </c>
      <c r="F245" s="9">
        <f>5.0484 * CHOOSE(CONTROL!$C$32, $C$9, 100%, $E$9)</f>
        <v>5.0484</v>
      </c>
      <c r="G245" s="9">
        <f>5.0516 * CHOOSE(CONTROL!$C$32, $C$9, 100%, $E$9)</f>
        <v>5.0515999999999996</v>
      </c>
      <c r="H245" s="9">
        <f>5.9333 * CHOOSE(CONTROL!$C$32, $C$9, 100%, $E$9)</f>
        <v>5.9333</v>
      </c>
      <c r="I245" s="9">
        <f>5.9365 * CHOOSE(CONTROL!$C$32, $C$9, 100%, $E$9)</f>
        <v>5.9364999999999997</v>
      </c>
      <c r="J245" s="9">
        <f>5.9333 * CHOOSE(CONTROL!$C$32, $C$9, 100%, $E$9)</f>
        <v>5.9333</v>
      </c>
      <c r="K245" s="9">
        <f>5.9365 * CHOOSE(CONTROL!$C$32, $C$9, 100%, $E$9)</f>
        <v>5.9364999999999997</v>
      </c>
      <c r="L245" s="9">
        <f>5.0484 * CHOOSE(CONTROL!$C$32, $C$9, 100%, $E$9)</f>
        <v>5.0484</v>
      </c>
      <c r="M245" s="9">
        <f>5.0516 * CHOOSE(CONTROL!$C$32, $C$9, 100%, $E$9)</f>
        <v>5.0515999999999996</v>
      </c>
      <c r="N245" s="9">
        <f>5.0484 * CHOOSE(CONTROL!$C$32, $C$9, 100%, $E$9)</f>
        <v>5.0484</v>
      </c>
      <c r="O245" s="9">
        <f>5.0516 * CHOOSE(CONTROL!$C$32, $C$9, 100%, $E$9)</f>
        <v>5.0515999999999996</v>
      </c>
    </row>
    <row r="246" spans="1:15" ht="15" x14ac:dyDescent="0.2">
      <c r="A246" s="16">
        <v>47969</v>
      </c>
      <c r="B246" s="10">
        <f>4.7504 * CHOOSE(CONTROL!$C$32, $C$9, 100%, $E$9)</f>
        <v>4.7504</v>
      </c>
      <c r="C246" s="10">
        <f>4.7504 * CHOOSE(CONTROL!$C$32, $C$9, 100%, $E$9)</f>
        <v>4.7504</v>
      </c>
      <c r="D246" s="10">
        <f>4.7517 * CHOOSE(CONTROL!$C$32, $C$9, 100%, $E$9)</f>
        <v>4.7516999999999996</v>
      </c>
      <c r="E246" s="9">
        <f>5.0746 * CHOOSE(CONTROL!$C$32, $C$9, 100%, $E$9)</f>
        <v>5.0746000000000002</v>
      </c>
      <c r="F246" s="9">
        <f>5.0746 * CHOOSE(CONTROL!$C$32, $C$9, 100%, $E$9)</f>
        <v>5.0746000000000002</v>
      </c>
      <c r="G246" s="9">
        <f>5.079 * CHOOSE(CONTROL!$C$32, $C$9, 100%, $E$9)</f>
        <v>5.0789999999999997</v>
      </c>
      <c r="H246" s="9">
        <f>5.9333 * CHOOSE(CONTROL!$C$32, $C$9, 100%, $E$9)</f>
        <v>5.9333</v>
      </c>
      <c r="I246" s="9">
        <f>5.9377 * CHOOSE(CONTROL!$C$32, $C$9, 100%, $E$9)</f>
        <v>5.9377000000000004</v>
      </c>
      <c r="J246" s="9">
        <f>5.9333 * CHOOSE(CONTROL!$C$32, $C$9, 100%, $E$9)</f>
        <v>5.9333</v>
      </c>
      <c r="K246" s="9">
        <f>5.9377 * CHOOSE(CONTROL!$C$32, $C$9, 100%, $E$9)</f>
        <v>5.9377000000000004</v>
      </c>
      <c r="L246" s="9">
        <f>5.0746 * CHOOSE(CONTROL!$C$32, $C$9, 100%, $E$9)</f>
        <v>5.0746000000000002</v>
      </c>
      <c r="M246" s="9">
        <f>5.079 * CHOOSE(CONTROL!$C$32, $C$9, 100%, $E$9)</f>
        <v>5.0789999999999997</v>
      </c>
      <c r="N246" s="9">
        <f>5.0746 * CHOOSE(CONTROL!$C$32, $C$9, 100%, $E$9)</f>
        <v>5.0746000000000002</v>
      </c>
      <c r="O246" s="9">
        <f>5.079 * CHOOSE(CONTROL!$C$32, $C$9, 100%, $E$9)</f>
        <v>5.0789999999999997</v>
      </c>
    </row>
    <row r="247" spans="1:15" ht="15" x14ac:dyDescent="0.2">
      <c r="A247" s="16">
        <v>48000</v>
      </c>
      <c r="B247" s="10">
        <f>4.7565 * CHOOSE(CONTROL!$C$32, $C$9, 100%, $E$9)</f>
        <v>4.7565</v>
      </c>
      <c r="C247" s="10">
        <f>4.7565 * CHOOSE(CONTROL!$C$32, $C$9, 100%, $E$9)</f>
        <v>4.7565</v>
      </c>
      <c r="D247" s="10">
        <f>4.7578 * CHOOSE(CONTROL!$C$32, $C$9, 100%, $E$9)</f>
        <v>4.7577999999999996</v>
      </c>
      <c r="E247" s="9">
        <f>5.0527 * CHOOSE(CONTROL!$C$32, $C$9, 100%, $E$9)</f>
        <v>5.0526999999999997</v>
      </c>
      <c r="F247" s="9">
        <f>5.0527 * CHOOSE(CONTROL!$C$32, $C$9, 100%, $E$9)</f>
        <v>5.0526999999999997</v>
      </c>
      <c r="G247" s="9">
        <f>5.057 * CHOOSE(CONTROL!$C$32, $C$9, 100%, $E$9)</f>
        <v>5.0570000000000004</v>
      </c>
      <c r="H247" s="9">
        <f>5.9373 * CHOOSE(CONTROL!$C$32, $C$9, 100%, $E$9)</f>
        <v>5.9372999999999996</v>
      </c>
      <c r="I247" s="9">
        <f>5.9417 * CHOOSE(CONTROL!$C$32, $C$9, 100%, $E$9)</f>
        <v>5.9417</v>
      </c>
      <c r="J247" s="9">
        <f>5.9373 * CHOOSE(CONTROL!$C$32, $C$9, 100%, $E$9)</f>
        <v>5.9372999999999996</v>
      </c>
      <c r="K247" s="9">
        <f>5.9417 * CHOOSE(CONTROL!$C$32, $C$9, 100%, $E$9)</f>
        <v>5.9417</v>
      </c>
      <c r="L247" s="9">
        <f>5.0527 * CHOOSE(CONTROL!$C$32, $C$9, 100%, $E$9)</f>
        <v>5.0526999999999997</v>
      </c>
      <c r="M247" s="9">
        <f>5.057 * CHOOSE(CONTROL!$C$32, $C$9, 100%, $E$9)</f>
        <v>5.0570000000000004</v>
      </c>
      <c r="N247" s="9">
        <f>5.0527 * CHOOSE(CONTROL!$C$32, $C$9, 100%, $E$9)</f>
        <v>5.0526999999999997</v>
      </c>
      <c r="O247" s="9">
        <f>5.057 * CHOOSE(CONTROL!$C$32, $C$9, 100%, $E$9)</f>
        <v>5.0570000000000004</v>
      </c>
    </row>
    <row r="248" spans="1:15" ht="15" x14ac:dyDescent="0.2">
      <c r="A248" s="16">
        <v>48030</v>
      </c>
      <c r="B248" s="10">
        <f>4.8391 * CHOOSE(CONTROL!$C$32, $C$9, 100%, $E$9)</f>
        <v>4.8391000000000002</v>
      </c>
      <c r="C248" s="10">
        <f>4.8391 * CHOOSE(CONTROL!$C$32, $C$9, 100%, $E$9)</f>
        <v>4.8391000000000002</v>
      </c>
      <c r="D248" s="10">
        <f>4.8404 * CHOOSE(CONTROL!$C$32, $C$9, 100%, $E$9)</f>
        <v>4.8403999999999998</v>
      </c>
      <c r="E248" s="9">
        <f>5.106 * CHOOSE(CONTROL!$C$32, $C$9, 100%, $E$9)</f>
        <v>5.1059999999999999</v>
      </c>
      <c r="F248" s="9">
        <f>5.106 * CHOOSE(CONTROL!$C$32, $C$9, 100%, $E$9)</f>
        <v>5.1059999999999999</v>
      </c>
      <c r="G248" s="9">
        <f>5.1104 * CHOOSE(CONTROL!$C$32, $C$9, 100%, $E$9)</f>
        <v>5.1104000000000003</v>
      </c>
      <c r="H248" s="9">
        <f>6.0371 * CHOOSE(CONTROL!$C$32, $C$9, 100%, $E$9)</f>
        <v>6.0370999999999997</v>
      </c>
      <c r="I248" s="9">
        <f>6.0414 * CHOOSE(CONTROL!$C$32, $C$9, 100%, $E$9)</f>
        <v>6.0414000000000003</v>
      </c>
      <c r="J248" s="9">
        <f>6.0371 * CHOOSE(CONTROL!$C$32, $C$9, 100%, $E$9)</f>
        <v>6.0370999999999997</v>
      </c>
      <c r="K248" s="9">
        <f>6.0414 * CHOOSE(CONTROL!$C$32, $C$9, 100%, $E$9)</f>
        <v>6.0414000000000003</v>
      </c>
      <c r="L248" s="9">
        <f>5.106 * CHOOSE(CONTROL!$C$32, $C$9, 100%, $E$9)</f>
        <v>5.1059999999999999</v>
      </c>
      <c r="M248" s="9">
        <f>5.1104 * CHOOSE(CONTROL!$C$32, $C$9, 100%, $E$9)</f>
        <v>5.1104000000000003</v>
      </c>
      <c r="N248" s="9">
        <f>5.106 * CHOOSE(CONTROL!$C$32, $C$9, 100%, $E$9)</f>
        <v>5.1059999999999999</v>
      </c>
      <c r="O248" s="9">
        <f>5.1104 * CHOOSE(CONTROL!$C$32, $C$9, 100%, $E$9)</f>
        <v>5.1104000000000003</v>
      </c>
    </row>
    <row r="249" spans="1:15" ht="15" x14ac:dyDescent="0.2">
      <c r="A249" s="16">
        <v>48061</v>
      </c>
      <c r="B249" s="10">
        <f>4.8457 * CHOOSE(CONTROL!$C$32, $C$9, 100%, $E$9)</f>
        <v>4.8456999999999999</v>
      </c>
      <c r="C249" s="10">
        <f>4.8457 * CHOOSE(CONTROL!$C$32, $C$9, 100%, $E$9)</f>
        <v>4.8456999999999999</v>
      </c>
      <c r="D249" s="10">
        <f>4.847 * CHOOSE(CONTROL!$C$32, $C$9, 100%, $E$9)</f>
        <v>4.8470000000000004</v>
      </c>
      <c r="E249" s="9">
        <f>5.0322 * CHOOSE(CONTROL!$C$32, $C$9, 100%, $E$9)</f>
        <v>5.0321999999999996</v>
      </c>
      <c r="F249" s="9">
        <f>5.0322 * CHOOSE(CONTROL!$C$32, $C$9, 100%, $E$9)</f>
        <v>5.0321999999999996</v>
      </c>
      <c r="G249" s="9">
        <f>5.0366 * CHOOSE(CONTROL!$C$32, $C$9, 100%, $E$9)</f>
        <v>5.0366</v>
      </c>
      <c r="H249" s="9">
        <f>6.0415 * CHOOSE(CONTROL!$C$32, $C$9, 100%, $E$9)</f>
        <v>6.0415000000000001</v>
      </c>
      <c r="I249" s="9">
        <f>6.0458 * CHOOSE(CONTROL!$C$32, $C$9, 100%, $E$9)</f>
        <v>6.0457999999999998</v>
      </c>
      <c r="J249" s="9">
        <f>6.0415 * CHOOSE(CONTROL!$C$32, $C$9, 100%, $E$9)</f>
        <v>6.0415000000000001</v>
      </c>
      <c r="K249" s="9">
        <f>6.0458 * CHOOSE(CONTROL!$C$32, $C$9, 100%, $E$9)</f>
        <v>6.0457999999999998</v>
      </c>
      <c r="L249" s="9">
        <f>5.0322 * CHOOSE(CONTROL!$C$32, $C$9, 100%, $E$9)</f>
        <v>5.0321999999999996</v>
      </c>
      <c r="M249" s="9">
        <f>5.0366 * CHOOSE(CONTROL!$C$32, $C$9, 100%, $E$9)</f>
        <v>5.0366</v>
      </c>
      <c r="N249" s="9">
        <f>5.0322 * CHOOSE(CONTROL!$C$32, $C$9, 100%, $E$9)</f>
        <v>5.0321999999999996</v>
      </c>
      <c r="O249" s="9">
        <f>5.0366 * CHOOSE(CONTROL!$C$32, $C$9, 100%, $E$9)</f>
        <v>5.0366</v>
      </c>
    </row>
    <row r="250" spans="1:15" ht="15" x14ac:dyDescent="0.2">
      <c r="A250" s="16">
        <v>48092</v>
      </c>
      <c r="B250" s="10">
        <f>4.8427 * CHOOSE(CONTROL!$C$32, $C$9, 100%, $E$9)</f>
        <v>4.8426999999999998</v>
      </c>
      <c r="C250" s="10">
        <f>4.8427 * CHOOSE(CONTROL!$C$32, $C$9, 100%, $E$9)</f>
        <v>4.8426999999999998</v>
      </c>
      <c r="D250" s="10">
        <f>4.844 * CHOOSE(CONTROL!$C$32, $C$9, 100%, $E$9)</f>
        <v>4.8440000000000003</v>
      </c>
      <c r="E250" s="9">
        <f>5.0214 * CHOOSE(CONTROL!$C$32, $C$9, 100%, $E$9)</f>
        <v>5.0213999999999999</v>
      </c>
      <c r="F250" s="9">
        <f>5.0214 * CHOOSE(CONTROL!$C$32, $C$9, 100%, $E$9)</f>
        <v>5.0213999999999999</v>
      </c>
      <c r="G250" s="9">
        <f>5.0257 * CHOOSE(CONTROL!$C$32, $C$9, 100%, $E$9)</f>
        <v>5.0256999999999996</v>
      </c>
      <c r="H250" s="9">
        <f>6.0395 * CHOOSE(CONTROL!$C$32, $C$9, 100%, $E$9)</f>
        <v>6.0395000000000003</v>
      </c>
      <c r="I250" s="9">
        <f>6.0438 * CHOOSE(CONTROL!$C$32, $C$9, 100%, $E$9)</f>
        <v>6.0438000000000001</v>
      </c>
      <c r="J250" s="9">
        <f>6.0395 * CHOOSE(CONTROL!$C$32, $C$9, 100%, $E$9)</f>
        <v>6.0395000000000003</v>
      </c>
      <c r="K250" s="9">
        <f>6.0438 * CHOOSE(CONTROL!$C$32, $C$9, 100%, $E$9)</f>
        <v>6.0438000000000001</v>
      </c>
      <c r="L250" s="9">
        <f>5.0214 * CHOOSE(CONTROL!$C$32, $C$9, 100%, $E$9)</f>
        <v>5.0213999999999999</v>
      </c>
      <c r="M250" s="9">
        <f>5.0257 * CHOOSE(CONTROL!$C$32, $C$9, 100%, $E$9)</f>
        <v>5.0256999999999996</v>
      </c>
      <c r="N250" s="9">
        <f>5.0214 * CHOOSE(CONTROL!$C$32, $C$9, 100%, $E$9)</f>
        <v>5.0213999999999999</v>
      </c>
      <c r="O250" s="9">
        <f>5.0257 * CHOOSE(CONTROL!$C$32, $C$9, 100%, $E$9)</f>
        <v>5.0256999999999996</v>
      </c>
    </row>
    <row r="251" spans="1:15" ht="15" x14ac:dyDescent="0.2">
      <c r="A251" s="16">
        <v>48122</v>
      </c>
      <c r="B251" s="10">
        <f>4.8415 * CHOOSE(CONTROL!$C$32, $C$9, 100%, $E$9)</f>
        <v>4.8414999999999999</v>
      </c>
      <c r="C251" s="10">
        <f>4.8415 * CHOOSE(CONTROL!$C$32, $C$9, 100%, $E$9)</f>
        <v>4.8414999999999999</v>
      </c>
      <c r="D251" s="10">
        <f>4.8425 * CHOOSE(CONTROL!$C$32, $C$9, 100%, $E$9)</f>
        <v>4.8425000000000002</v>
      </c>
      <c r="E251" s="9">
        <f>5.0428 * CHOOSE(CONTROL!$C$32, $C$9, 100%, $E$9)</f>
        <v>5.0427999999999997</v>
      </c>
      <c r="F251" s="9">
        <f>5.0428 * CHOOSE(CONTROL!$C$32, $C$9, 100%, $E$9)</f>
        <v>5.0427999999999997</v>
      </c>
      <c r="G251" s="9">
        <f>5.046 * CHOOSE(CONTROL!$C$32, $C$9, 100%, $E$9)</f>
        <v>5.0460000000000003</v>
      </c>
      <c r="H251" s="9">
        <f>6.038 * CHOOSE(CONTROL!$C$32, $C$9, 100%, $E$9)</f>
        <v>6.0380000000000003</v>
      </c>
      <c r="I251" s="9">
        <f>6.0412 * CHOOSE(CONTROL!$C$32, $C$9, 100%, $E$9)</f>
        <v>6.0411999999999999</v>
      </c>
      <c r="J251" s="9">
        <f>6.038 * CHOOSE(CONTROL!$C$32, $C$9, 100%, $E$9)</f>
        <v>6.0380000000000003</v>
      </c>
      <c r="K251" s="9">
        <f>6.0412 * CHOOSE(CONTROL!$C$32, $C$9, 100%, $E$9)</f>
        <v>6.0411999999999999</v>
      </c>
      <c r="L251" s="9">
        <f>5.0428 * CHOOSE(CONTROL!$C$32, $C$9, 100%, $E$9)</f>
        <v>5.0427999999999997</v>
      </c>
      <c r="M251" s="9">
        <f>5.046 * CHOOSE(CONTROL!$C$32, $C$9, 100%, $E$9)</f>
        <v>5.0460000000000003</v>
      </c>
      <c r="N251" s="9">
        <f>5.0428 * CHOOSE(CONTROL!$C$32, $C$9, 100%, $E$9)</f>
        <v>5.0427999999999997</v>
      </c>
      <c r="O251" s="9">
        <f>5.046 * CHOOSE(CONTROL!$C$32, $C$9, 100%, $E$9)</f>
        <v>5.0460000000000003</v>
      </c>
    </row>
    <row r="252" spans="1:15" ht="15" x14ac:dyDescent="0.2">
      <c r="A252" s="16">
        <v>48153</v>
      </c>
      <c r="B252" s="10">
        <f>4.8445 * CHOOSE(CONTROL!$C$32, $C$9, 100%, $E$9)</f>
        <v>4.8445</v>
      </c>
      <c r="C252" s="10">
        <f>4.8445 * CHOOSE(CONTROL!$C$32, $C$9, 100%, $E$9)</f>
        <v>4.8445</v>
      </c>
      <c r="D252" s="10">
        <f>4.8455 * CHOOSE(CONTROL!$C$32, $C$9, 100%, $E$9)</f>
        <v>4.8455000000000004</v>
      </c>
      <c r="E252" s="9">
        <f>5.0624 * CHOOSE(CONTROL!$C$32, $C$9, 100%, $E$9)</f>
        <v>5.0624000000000002</v>
      </c>
      <c r="F252" s="9">
        <f>5.0624 * CHOOSE(CONTROL!$C$32, $C$9, 100%, $E$9)</f>
        <v>5.0624000000000002</v>
      </c>
      <c r="G252" s="9">
        <f>5.0656 * CHOOSE(CONTROL!$C$32, $C$9, 100%, $E$9)</f>
        <v>5.0655999999999999</v>
      </c>
      <c r="H252" s="9">
        <f>6.04 * CHOOSE(CONTROL!$C$32, $C$9, 100%, $E$9)</f>
        <v>6.04</v>
      </c>
      <c r="I252" s="9">
        <f>6.0432 * CHOOSE(CONTROL!$C$32, $C$9, 100%, $E$9)</f>
        <v>6.0431999999999997</v>
      </c>
      <c r="J252" s="9">
        <f>6.04 * CHOOSE(CONTROL!$C$32, $C$9, 100%, $E$9)</f>
        <v>6.04</v>
      </c>
      <c r="K252" s="9">
        <f>6.0432 * CHOOSE(CONTROL!$C$32, $C$9, 100%, $E$9)</f>
        <v>6.0431999999999997</v>
      </c>
      <c r="L252" s="9">
        <f>5.0624 * CHOOSE(CONTROL!$C$32, $C$9, 100%, $E$9)</f>
        <v>5.0624000000000002</v>
      </c>
      <c r="M252" s="9">
        <f>5.0656 * CHOOSE(CONTROL!$C$32, $C$9, 100%, $E$9)</f>
        <v>5.0655999999999999</v>
      </c>
      <c r="N252" s="9">
        <f>5.0624 * CHOOSE(CONTROL!$C$32, $C$9, 100%, $E$9)</f>
        <v>5.0624000000000002</v>
      </c>
      <c r="O252" s="9">
        <f>5.0656 * CHOOSE(CONTROL!$C$32, $C$9, 100%, $E$9)</f>
        <v>5.0655999999999999</v>
      </c>
    </row>
    <row r="253" spans="1:15" ht="15" x14ac:dyDescent="0.2">
      <c r="A253" s="16">
        <v>48183</v>
      </c>
      <c r="B253" s="10">
        <f>4.8445 * CHOOSE(CONTROL!$C$32, $C$9, 100%, $E$9)</f>
        <v>4.8445</v>
      </c>
      <c r="C253" s="10">
        <f>4.8445 * CHOOSE(CONTROL!$C$32, $C$9, 100%, $E$9)</f>
        <v>4.8445</v>
      </c>
      <c r="D253" s="10">
        <f>4.8455 * CHOOSE(CONTROL!$C$32, $C$9, 100%, $E$9)</f>
        <v>4.8455000000000004</v>
      </c>
      <c r="E253" s="9">
        <f>5.0188 * CHOOSE(CONTROL!$C$32, $C$9, 100%, $E$9)</f>
        <v>5.0187999999999997</v>
      </c>
      <c r="F253" s="9">
        <f>5.0188 * CHOOSE(CONTROL!$C$32, $C$9, 100%, $E$9)</f>
        <v>5.0187999999999997</v>
      </c>
      <c r="G253" s="9">
        <f>5.022 * CHOOSE(CONTROL!$C$32, $C$9, 100%, $E$9)</f>
        <v>5.0220000000000002</v>
      </c>
      <c r="H253" s="9">
        <f>6.04 * CHOOSE(CONTROL!$C$32, $C$9, 100%, $E$9)</f>
        <v>6.04</v>
      </c>
      <c r="I253" s="9">
        <f>6.0432 * CHOOSE(CONTROL!$C$32, $C$9, 100%, $E$9)</f>
        <v>6.0431999999999997</v>
      </c>
      <c r="J253" s="9">
        <f>6.04 * CHOOSE(CONTROL!$C$32, $C$9, 100%, $E$9)</f>
        <v>6.04</v>
      </c>
      <c r="K253" s="9">
        <f>6.0432 * CHOOSE(CONTROL!$C$32, $C$9, 100%, $E$9)</f>
        <v>6.0431999999999997</v>
      </c>
      <c r="L253" s="9">
        <f>5.0188 * CHOOSE(CONTROL!$C$32, $C$9, 100%, $E$9)</f>
        <v>5.0187999999999997</v>
      </c>
      <c r="M253" s="9">
        <f>5.022 * CHOOSE(CONTROL!$C$32, $C$9, 100%, $E$9)</f>
        <v>5.0220000000000002</v>
      </c>
      <c r="N253" s="9">
        <f>5.0188 * CHOOSE(CONTROL!$C$32, $C$9, 100%, $E$9)</f>
        <v>5.0187999999999997</v>
      </c>
      <c r="O253" s="9">
        <f>5.022 * CHOOSE(CONTROL!$C$32, $C$9, 100%, $E$9)</f>
        <v>5.0220000000000002</v>
      </c>
    </row>
    <row r="254" spans="1:15" ht="15" x14ac:dyDescent="0.2">
      <c r="A254" s="16">
        <v>48214</v>
      </c>
      <c r="B254" s="10">
        <f>4.8835 * CHOOSE(CONTROL!$C$32, $C$9, 100%, $E$9)</f>
        <v>4.8834999999999997</v>
      </c>
      <c r="C254" s="10">
        <f>4.8835 * CHOOSE(CONTROL!$C$32, $C$9, 100%, $E$9)</f>
        <v>4.8834999999999997</v>
      </c>
      <c r="D254" s="10">
        <f>4.8844 * CHOOSE(CONTROL!$C$32, $C$9, 100%, $E$9)</f>
        <v>4.8844000000000003</v>
      </c>
      <c r="E254" s="9">
        <f>5.0761 * CHOOSE(CONTROL!$C$32, $C$9, 100%, $E$9)</f>
        <v>5.0761000000000003</v>
      </c>
      <c r="F254" s="9">
        <f>5.0761 * CHOOSE(CONTROL!$C$32, $C$9, 100%, $E$9)</f>
        <v>5.0761000000000003</v>
      </c>
      <c r="G254" s="9">
        <f>5.0793 * CHOOSE(CONTROL!$C$32, $C$9, 100%, $E$9)</f>
        <v>5.0792999999999999</v>
      </c>
      <c r="H254" s="9">
        <f>6.0835 * CHOOSE(CONTROL!$C$32, $C$9, 100%, $E$9)</f>
        <v>6.0834999999999999</v>
      </c>
      <c r="I254" s="9">
        <f>6.0867 * CHOOSE(CONTROL!$C$32, $C$9, 100%, $E$9)</f>
        <v>6.0867000000000004</v>
      </c>
      <c r="J254" s="9">
        <f>6.0835 * CHOOSE(CONTROL!$C$32, $C$9, 100%, $E$9)</f>
        <v>6.0834999999999999</v>
      </c>
      <c r="K254" s="9">
        <f>6.0867 * CHOOSE(CONTROL!$C$32, $C$9, 100%, $E$9)</f>
        <v>6.0867000000000004</v>
      </c>
      <c r="L254" s="9">
        <f>5.0761 * CHOOSE(CONTROL!$C$32, $C$9, 100%, $E$9)</f>
        <v>5.0761000000000003</v>
      </c>
      <c r="M254" s="9">
        <f>5.0793 * CHOOSE(CONTROL!$C$32, $C$9, 100%, $E$9)</f>
        <v>5.0792999999999999</v>
      </c>
      <c r="N254" s="9">
        <f>5.0761 * CHOOSE(CONTROL!$C$32, $C$9, 100%, $E$9)</f>
        <v>5.0761000000000003</v>
      </c>
      <c r="O254" s="9">
        <f>5.0793 * CHOOSE(CONTROL!$C$32, $C$9, 100%, $E$9)</f>
        <v>5.0792999999999999</v>
      </c>
    </row>
    <row r="255" spans="1:15" ht="15" x14ac:dyDescent="0.2">
      <c r="A255" s="16">
        <v>48245</v>
      </c>
      <c r="B255" s="10">
        <f>4.8804 * CHOOSE(CONTROL!$C$32, $C$9, 100%, $E$9)</f>
        <v>4.8803999999999998</v>
      </c>
      <c r="C255" s="10">
        <f>4.8804 * CHOOSE(CONTROL!$C$32, $C$9, 100%, $E$9)</f>
        <v>4.8803999999999998</v>
      </c>
      <c r="D255" s="10">
        <f>4.8814 * CHOOSE(CONTROL!$C$32, $C$9, 100%, $E$9)</f>
        <v>4.8814000000000002</v>
      </c>
      <c r="E255" s="9">
        <f>4.9891 * CHOOSE(CONTROL!$C$32, $C$9, 100%, $E$9)</f>
        <v>4.9890999999999996</v>
      </c>
      <c r="F255" s="9">
        <f>4.9891 * CHOOSE(CONTROL!$C$32, $C$9, 100%, $E$9)</f>
        <v>4.9890999999999996</v>
      </c>
      <c r="G255" s="9">
        <f>4.9923 * CHOOSE(CONTROL!$C$32, $C$9, 100%, $E$9)</f>
        <v>4.9923000000000002</v>
      </c>
      <c r="H255" s="9">
        <f>6.0815 * CHOOSE(CONTROL!$C$32, $C$9, 100%, $E$9)</f>
        <v>6.0815000000000001</v>
      </c>
      <c r="I255" s="9">
        <f>6.0847 * CHOOSE(CONTROL!$C$32, $C$9, 100%, $E$9)</f>
        <v>6.0846999999999998</v>
      </c>
      <c r="J255" s="9">
        <f>6.0815 * CHOOSE(CONTROL!$C$32, $C$9, 100%, $E$9)</f>
        <v>6.0815000000000001</v>
      </c>
      <c r="K255" s="9">
        <f>6.0847 * CHOOSE(CONTROL!$C$32, $C$9, 100%, $E$9)</f>
        <v>6.0846999999999998</v>
      </c>
      <c r="L255" s="9">
        <f>4.9891 * CHOOSE(CONTROL!$C$32, $C$9, 100%, $E$9)</f>
        <v>4.9890999999999996</v>
      </c>
      <c r="M255" s="9">
        <f>4.9923 * CHOOSE(CONTROL!$C$32, $C$9, 100%, $E$9)</f>
        <v>4.9923000000000002</v>
      </c>
      <c r="N255" s="9">
        <f>4.9891 * CHOOSE(CONTROL!$C$32, $C$9, 100%, $E$9)</f>
        <v>4.9890999999999996</v>
      </c>
      <c r="O255" s="9">
        <f>4.9923 * CHOOSE(CONTROL!$C$32, $C$9, 100%, $E$9)</f>
        <v>4.9923000000000002</v>
      </c>
    </row>
    <row r="256" spans="1:15" ht="15" x14ac:dyDescent="0.2">
      <c r="A256" s="16">
        <v>48274</v>
      </c>
      <c r="B256" s="10">
        <f>4.8774 * CHOOSE(CONTROL!$C$32, $C$9, 100%, $E$9)</f>
        <v>4.8773999999999997</v>
      </c>
      <c r="C256" s="10">
        <f>4.8774 * CHOOSE(CONTROL!$C$32, $C$9, 100%, $E$9)</f>
        <v>4.8773999999999997</v>
      </c>
      <c r="D256" s="10">
        <f>4.8784 * CHOOSE(CONTROL!$C$32, $C$9, 100%, $E$9)</f>
        <v>4.8784000000000001</v>
      </c>
      <c r="E256" s="9">
        <f>5.0539 * CHOOSE(CONTROL!$C$32, $C$9, 100%, $E$9)</f>
        <v>5.0538999999999996</v>
      </c>
      <c r="F256" s="9">
        <f>5.0539 * CHOOSE(CONTROL!$C$32, $C$9, 100%, $E$9)</f>
        <v>5.0538999999999996</v>
      </c>
      <c r="G256" s="9">
        <f>5.0571 * CHOOSE(CONTROL!$C$32, $C$9, 100%, $E$9)</f>
        <v>5.0571000000000002</v>
      </c>
      <c r="H256" s="9">
        <f>6.0795 * CHOOSE(CONTROL!$C$32, $C$9, 100%, $E$9)</f>
        <v>6.0795000000000003</v>
      </c>
      <c r="I256" s="9">
        <f>6.0827 * CHOOSE(CONTROL!$C$32, $C$9, 100%, $E$9)</f>
        <v>6.0827</v>
      </c>
      <c r="J256" s="9">
        <f>6.0795 * CHOOSE(CONTROL!$C$32, $C$9, 100%, $E$9)</f>
        <v>6.0795000000000003</v>
      </c>
      <c r="K256" s="9">
        <f>6.0827 * CHOOSE(CONTROL!$C$32, $C$9, 100%, $E$9)</f>
        <v>6.0827</v>
      </c>
      <c r="L256" s="9">
        <f>5.0539 * CHOOSE(CONTROL!$C$32, $C$9, 100%, $E$9)</f>
        <v>5.0538999999999996</v>
      </c>
      <c r="M256" s="9">
        <f>5.0571 * CHOOSE(CONTROL!$C$32, $C$9, 100%, $E$9)</f>
        <v>5.0571000000000002</v>
      </c>
      <c r="N256" s="9">
        <f>5.0539 * CHOOSE(CONTROL!$C$32, $C$9, 100%, $E$9)</f>
        <v>5.0538999999999996</v>
      </c>
      <c r="O256" s="9">
        <f>5.0571 * CHOOSE(CONTROL!$C$32, $C$9, 100%, $E$9)</f>
        <v>5.0571000000000002</v>
      </c>
    </row>
    <row r="257" spans="1:15" ht="15" x14ac:dyDescent="0.2">
      <c r="A257" s="16">
        <v>48305</v>
      </c>
      <c r="B257" s="10">
        <f>4.8761 * CHOOSE(CONTROL!$C$32, $C$9, 100%, $E$9)</f>
        <v>4.8761000000000001</v>
      </c>
      <c r="C257" s="10">
        <f>4.8761 * CHOOSE(CONTROL!$C$32, $C$9, 100%, $E$9)</f>
        <v>4.8761000000000001</v>
      </c>
      <c r="D257" s="10">
        <f>4.877 * CHOOSE(CONTROL!$C$32, $C$9, 100%, $E$9)</f>
        <v>4.8769999999999998</v>
      </c>
      <c r="E257" s="9">
        <f>5.1216 * CHOOSE(CONTROL!$C$32, $C$9, 100%, $E$9)</f>
        <v>5.1215999999999999</v>
      </c>
      <c r="F257" s="9">
        <f>5.1216 * CHOOSE(CONTROL!$C$32, $C$9, 100%, $E$9)</f>
        <v>5.1215999999999999</v>
      </c>
      <c r="G257" s="9">
        <f>5.1247 * CHOOSE(CONTROL!$C$32, $C$9, 100%, $E$9)</f>
        <v>5.1246999999999998</v>
      </c>
      <c r="H257" s="9">
        <f>6.0785 * CHOOSE(CONTROL!$C$32, $C$9, 100%, $E$9)</f>
        <v>6.0785</v>
      </c>
      <c r="I257" s="9">
        <f>6.0816 * CHOOSE(CONTROL!$C$32, $C$9, 100%, $E$9)</f>
        <v>6.0815999999999999</v>
      </c>
      <c r="J257" s="9">
        <f>6.0785 * CHOOSE(CONTROL!$C$32, $C$9, 100%, $E$9)</f>
        <v>6.0785</v>
      </c>
      <c r="K257" s="9">
        <f>6.0816 * CHOOSE(CONTROL!$C$32, $C$9, 100%, $E$9)</f>
        <v>6.0815999999999999</v>
      </c>
      <c r="L257" s="9">
        <f>5.1216 * CHOOSE(CONTROL!$C$32, $C$9, 100%, $E$9)</f>
        <v>5.1215999999999999</v>
      </c>
      <c r="M257" s="9">
        <f>5.1247 * CHOOSE(CONTROL!$C$32, $C$9, 100%, $E$9)</f>
        <v>5.1246999999999998</v>
      </c>
      <c r="N257" s="9">
        <f>5.1216 * CHOOSE(CONTROL!$C$32, $C$9, 100%, $E$9)</f>
        <v>5.1215999999999999</v>
      </c>
      <c r="O257" s="9">
        <f>5.1247 * CHOOSE(CONTROL!$C$32, $C$9, 100%, $E$9)</f>
        <v>5.1246999999999998</v>
      </c>
    </row>
    <row r="258" spans="1:15" ht="15" x14ac:dyDescent="0.2">
      <c r="A258" s="16">
        <v>48335</v>
      </c>
      <c r="B258" s="10">
        <f>4.8761 * CHOOSE(CONTROL!$C$32, $C$9, 100%, $E$9)</f>
        <v>4.8761000000000001</v>
      </c>
      <c r="C258" s="10">
        <f>4.8761 * CHOOSE(CONTROL!$C$32, $C$9, 100%, $E$9)</f>
        <v>4.8761000000000001</v>
      </c>
      <c r="D258" s="10">
        <f>4.8774 * CHOOSE(CONTROL!$C$32, $C$9, 100%, $E$9)</f>
        <v>4.8773999999999997</v>
      </c>
      <c r="E258" s="9">
        <f>5.1485 * CHOOSE(CONTROL!$C$32, $C$9, 100%, $E$9)</f>
        <v>5.1485000000000003</v>
      </c>
      <c r="F258" s="9">
        <f>5.1485 * CHOOSE(CONTROL!$C$32, $C$9, 100%, $E$9)</f>
        <v>5.1485000000000003</v>
      </c>
      <c r="G258" s="9">
        <f>5.1529 * CHOOSE(CONTROL!$C$32, $C$9, 100%, $E$9)</f>
        <v>5.1528999999999998</v>
      </c>
      <c r="H258" s="9">
        <f>6.0785 * CHOOSE(CONTROL!$C$32, $C$9, 100%, $E$9)</f>
        <v>6.0785</v>
      </c>
      <c r="I258" s="9">
        <f>6.0828 * CHOOSE(CONTROL!$C$32, $C$9, 100%, $E$9)</f>
        <v>6.0827999999999998</v>
      </c>
      <c r="J258" s="9">
        <f>6.0785 * CHOOSE(CONTROL!$C$32, $C$9, 100%, $E$9)</f>
        <v>6.0785</v>
      </c>
      <c r="K258" s="9">
        <f>6.0828 * CHOOSE(CONTROL!$C$32, $C$9, 100%, $E$9)</f>
        <v>6.0827999999999998</v>
      </c>
      <c r="L258" s="9">
        <f>5.1485 * CHOOSE(CONTROL!$C$32, $C$9, 100%, $E$9)</f>
        <v>5.1485000000000003</v>
      </c>
      <c r="M258" s="9">
        <f>5.1529 * CHOOSE(CONTROL!$C$32, $C$9, 100%, $E$9)</f>
        <v>5.1528999999999998</v>
      </c>
      <c r="N258" s="9">
        <f>5.1485 * CHOOSE(CONTROL!$C$32, $C$9, 100%, $E$9)</f>
        <v>5.1485000000000003</v>
      </c>
      <c r="O258" s="9">
        <f>5.1529 * CHOOSE(CONTROL!$C$32, $C$9, 100%, $E$9)</f>
        <v>5.1528999999999998</v>
      </c>
    </row>
    <row r="259" spans="1:15" ht="15" x14ac:dyDescent="0.2">
      <c r="A259" s="16">
        <v>48366</v>
      </c>
      <c r="B259" s="10">
        <f>4.8821 * CHOOSE(CONTROL!$C$32, $C$9, 100%, $E$9)</f>
        <v>4.8821000000000003</v>
      </c>
      <c r="C259" s="10">
        <f>4.8821 * CHOOSE(CONTROL!$C$32, $C$9, 100%, $E$9)</f>
        <v>4.8821000000000003</v>
      </c>
      <c r="D259" s="10">
        <f>4.8834 * CHOOSE(CONTROL!$C$32, $C$9, 100%, $E$9)</f>
        <v>4.8834</v>
      </c>
      <c r="E259" s="9">
        <f>5.1258 * CHOOSE(CONTROL!$C$32, $C$9, 100%, $E$9)</f>
        <v>5.1257999999999999</v>
      </c>
      <c r="F259" s="9">
        <f>5.1258 * CHOOSE(CONTROL!$C$32, $C$9, 100%, $E$9)</f>
        <v>5.1257999999999999</v>
      </c>
      <c r="G259" s="9">
        <f>5.1302 * CHOOSE(CONTROL!$C$32, $C$9, 100%, $E$9)</f>
        <v>5.1302000000000003</v>
      </c>
      <c r="H259" s="9">
        <f>6.0825 * CHOOSE(CONTROL!$C$32, $C$9, 100%, $E$9)</f>
        <v>6.0824999999999996</v>
      </c>
      <c r="I259" s="9">
        <f>6.0868 * CHOOSE(CONTROL!$C$32, $C$9, 100%, $E$9)</f>
        <v>6.0868000000000002</v>
      </c>
      <c r="J259" s="9">
        <f>6.0825 * CHOOSE(CONTROL!$C$32, $C$9, 100%, $E$9)</f>
        <v>6.0824999999999996</v>
      </c>
      <c r="K259" s="9">
        <f>6.0868 * CHOOSE(CONTROL!$C$32, $C$9, 100%, $E$9)</f>
        <v>6.0868000000000002</v>
      </c>
      <c r="L259" s="9">
        <f>5.1258 * CHOOSE(CONTROL!$C$32, $C$9, 100%, $E$9)</f>
        <v>5.1257999999999999</v>
      </c>
      <c r="M259" s="9">
        <f>5.1302 * CHOOSE(CONTROL!$C$32, $C$9, 100%, $E$9)</f>
        <v>5.1302000000000003</v>
      </c>
      <c r="N259" s="9">
        <f>5.1258 * CHOOSE(CONTROL!$C$32, $C$9, 100%, $E$9)</f>
        <v>5.1257999999999999</v>
      </c>
      <c r="O259" s="9">
        <f>5.1302 * CHOOSE(CONTROL!$C$32, $C$9, 100%, $E$9)</f>
        <v>5.1302000000000003</v>
      </c>
    </row>
    <row r="260" spans="1:15" ht="15" x14ac:dyDescent="0.2">
      <c r="A260" s="16">
        <v>48396</v>
      </c>
      <c r="B260" s="10">
        <f>4.9515 * CHOOSE(CONTROL!$C$32, $C$9, 100%, $E$9)</f>
        <v>4.9515000000000002</v>
      </c>
      <c r="C260" s="10">
        <f>4.9515 * CHOOSE(CONTROL!$C$32, $C$9, 100%, $E$9)</f>
        <v>4.9515000000000002</v>
      </c>
      <c r="D260" s="10">
        <f>4.9528 * CHOOSE(CONTROL!$C$32, $C$9, 100%, $E$9)</f>
        <v>4.9527999999999999</v>
      </c>
      <c r="E260" s="9">
        <f>5.1692 * CHOOSE(CONTROL!$C$32, $C$9, 100%, $E$9)</f>
        <v>5.1692</v>
      </c>
      <c r="F260" s="9">
        <f>5.1692 * CHOOSE(CONTROL!$C$32, $C$9, 100%, $E$9)</f>
        <v>5.1692</v>
      </c>
      <c r="G260" s="9">
        <f>5.1736 * CHOOSE(CONTROL!$C$32, $C$9, 100%, $E$9)</f>
        <v>5.1736000000000004</v>
      </c>
      <c r="H260" s="9">
        <f>6.1728 * CHOOSE(CONTROL!$C$32, $C$9, 100%, $E$9)</f>
        <v>6.1727999999999996</v>
      </c>
      <c r="I260" s="9">
        <f>6.1772 * CHOOSE(CONTROL!$C$32, $C$9, 100%, $E$9)</f>
        <v>6.1772</v>
      </c>
      <c r="J260" s="9">
        <f>6.1728 * CHOOSE(CONTROL!$C$32, $C$9, 100%, $E$9)</f>
        <v>6.1727999999999996</v>
      </c>
      <c r="K260" s="9">
        <f>6.1772 * CHOOSE(CONTROL!$C$32, $C$9, 100%, $E$9)</f>
        <v>6.1772</v>
      </c>
      <c r="L260" s="9">
        <f>5.1692 * CHOOSE(CONTROL!$C$32, $C$9, 100%, $E$9)</f>
        <v>5.1692</v>
      </c>
      <c r="M260" s="9">
        <f>5.1736 * CHOOSE(CONTROL!$C$32, $C$9, 100%, $E$9)</f>
        <v>5.1736000000000004</v>
      </c>
      <c r="N260" s="9">
        <f>5.1692 * CHOOSE(CONTROL!$C$32, $C$9, 100%, $E$9)</f>
        <v>5.1692</v>
      </c>
      <c r="O260" s="9">
        <f>5.1736 * CHOOSE(CONTROL!$C$32, $C$9, 100%, $E$9)</f>
        <v>5.1736000000000004</v>
      </c>
    </row>
    <row r="261" spans="1:15" ht="15" x14ac:dyDescent="0.2">
      <c r="A261" s="16">
        <v>48427</v>
      </c>
      <c r="B261" s="10">
        <f>4.9582 * CHOOSE(CONTROL!$C$32, $C$9, 100%, $E$9)</f>
        <v>4.9581999999999997</v>
      </c>
      <c r="C261" s="10">
        <f>4.9582 * CHOOSE(CONTROL!$C$32, $C$9, 100%, $E$9)</f>
        <v>4.9581999999999997</v>
      </c>
      <c r="D261" s="10">
        <f>4.9595 * CHOOSE(CONTROL!$C$32, $C$9, 100%, $E$9)</f>
        <v>4.9595000000000002</v>
      </c>
      <c r="E261" s="9">
        <f>5.093 * CHOOSE(CONTROL!$C$32, $C$9, 100%, $E$9)</f>
        <v>5.093</v>
      </c>
      <c r="F261" s="9">
        <f>5.093 * CHOOSE(CONTROL!$C$32, $C$9, 100%, $E$9)</f>
        <v>5.093</v>
      </c>
      <c r="G261" s="9">
        <f>5.0974 * CHOOSE(CONTROL!$C$32, $C$9, 100%, $E$9)</f>
        <v>5.0974000000000004</v>
      </c>
      <c r="H261" s="9">
        <f>6.1772 * CHOOSE(CONTROL!$C$32, $C$9, 100%, $E$9)</f>
        <v>6.1772</v>
      </c>
      <c r="I261" s="9">
        <f>6.1816 * CHOOSE(CONTROL!$C$32, $C$9, 100%, $E$9)</f>
        <v>6.1816000000000004</v>
      </c>
      <c r="J261" s="9">
        <f>6.1772 * CHOOSE(CONTROL!$C$32, $C$9, 100%, $E$9)</f>
        <v>6.1772</v>
      </c>
      <c r="K261" s="9">
        <f>6.1816 * CHOOSE(CONTROL!$C$32, $C$9, 100%, $E$9)</f>
        <v>6.1816000000000004</v>
      </c>
      <c r="L261" s="9">
        <f>5.093 * CHOOSE(CONTROL!$C$32, $C$9, 100%, $E$9)</f>
        <v>5.093</v>
      </c>
      <c r="M261" s="9">
        <f>5.0974 * CHOOSE(CONTROL!$C$32, $C$9, 100%, $E$9)</f>
        <v>5.0974000000000004</v>
      </c>
      <c r="N261" s="9">
        <f>5.093 * CHOOSE(CONTROL!$C$32, $C$9, 100%, $E$9)</f>
        <v>5.093</v>
      </c>
      <c r="O261" s="9">
        <f>5.0974 * CHOOSE(CONTROL!$C$32, $C$9, 100%, $E$9)</f>
        <v>5.0974000000000004</v>
      </c>
    </row>
    <row r="262" spans="1:15" ht="15" x14ac:dyDescent="0.2">
      <c r="A262" s="16">
        <v>48458</v>
      </c>
      <c r="B262" s="10">
        <f>4.9552 * CHOOSE(CONTROL!$C$32, $C$9, 100%, $E$9)</f>
        <v>4.9551999999999996</v>
      </c>
      <c r="C262" s="10">
        <f>4.9552 * CHOOSE(CONTROL!$C$32, $C$9, 100%, $E$9)</f>
        <v>4.9551999999999996</v>
      </c>
      <c r="D262" s="10">
        <f>4.9565 * CHOOSE(CONTROL!$C$32, $C$9, 100%, $E$9)</f>
        <v>4.9565000000000001</v>
      </c>
      <c r="E262" s="9">
        <f>5.0819 * CHOOSE(CONTROL!$C$32, $C$9, 100%, $E$9)</f>
        <v>5.0819000000000001</v>
      </c>
      <c r="F262" s="9">
        <f>5.0819 * CHOOSE(CONTROL!$C$32, $C$9, 100%, $E$9)</f>
        <v>5.0819000000000001</v>
      </c>
      <c r="G262" s="9">
        <f>5.0862 * CHOOSE(CONTROL!$C$32, $C$9, 100%, $E$9)</f>
        <v>5.0861999999999998</v>
      </c>
      <c r="H262" s="9">
        <f>6.1752 * CHOOSE(CONTROL!$C$32, $C$9, 100%, $E$9)</f>
        <v>6.1752000000000002</v>
      </c>
      <c r="I262" s="9">
        <f>6.1796 * CHOOSE(CONTROL!$C$32, $C$9, 100%, $E$9)</f>
        <v>6.1795999999999998</v>
      </c>
      <c r="J262" s="9">
        <f>6.1752 * CHOOSE(CONTROL!$C$32, $C$9, 100%, $E$9)</f>
        <v>6.1752000000000002</v>
      </c>
      <c r="K262" s="9">
        <f>6.1796 * CHOOSE(CONTROL!$C$32, $C$9, 100%, $E$9)</f>
        <v>6.1795999999999998</v>
      </c>
      <c r="L262" s="9">
        <f>5.0819 * CHOOSE(CONTROL!$C$32, $C$9, 100%, $E$9)</f>
        <v>5.0819000000000001</v>
      </c>
      <c r="M262" s="9">
        <f>5.0862 * CHOOSE(CONTROL!$C$32, $C$9, 100%, $E$9)</f>
        <v>5.0861999999999998</v>
      </c>
      <c r="N262" s="9">
        <f>5.0819 * CHOOSE(CONTROL!$C$32, $C$9, 100%, $E$9)</f>
        <v>5.0819000000000001</v>
      </c>
      <c r="O262" s="9">
        <f>5.0862 * CHOOSE(CONTROL!$C$32, $C$9, 100%, $E$9)</f>
        <v>5.0861999999999998</v>
      </c>
    </row>
    <row r="263" spans="1:15" ht="15" x14ac:dyDescent="0.2">
      <c r="A263" s="16">
        <v>48488</v>
      </c>
      <c r="B263" s="10">
        <f>4.9544 * CHOOSE(CONTROL!$C$32, $C$9, 100%, $E$9)</f>
        <v>4.9543999999999997</v>
      </c>
      <c r="C263" s="10">
        <f>4.9544 * CHOOSE(CONTROL!$C$32, $C$9, 100%, $E$9)</f>
        <v>4.9543999999999997</v>
      </c>
      <c r="D263" s="10">
        <f>4.9553 * CHOOSE(CONTROL!$C$32, $C$9, 100%, $E$9)</f>
        <v>4.9553000000000003</v>
      </c>
      <c r="E263" s="9">
        <f>5.1044 * CHOOSE(CONTROL!$C$32, $C$9, 100%, $E$9)</f>
        <v>5.1044</v>
      </c>
      <c r="F263" s="9">
        <f>5.1044 * CHOOSE(CONTROL!$C$32, $C$9, 100%, $E$9)</f>
        <v>5.1044</v>
      </c>
      <c r="G263" s="9">
        <f>5.1076 * CHOOSE(CONTROL!$C$32, $C$9, 100%, $E$9)</f>
        <v>5.1075999999999997</v>
      </c>
      <c r="H263" s="9">
        <f>6.174 * CHOOSE(CONTROL!$C$32, $C$9, 100%, $E$9)</f>
        <v>6.1740000000000004</v>
      </c>
      <c r="I263" s="9">
        <f>6.1772 * CHOOSE(CONTROL!$C$32, $C$9, 100%, $E$9)</f>
        <v>6.1772</v>
      </c>
      <c r="J263" s="9">
        <f>6.174 * CHOOSE(CONTROL!$C$32, $C$9, 100%, $E$9)</f>
        <v>6.1740000000000004</v>
      </c>
      <c r="K263" s="9">
        <f>6.1772 * CHOOSE(CONTROL!$C$32, $C$9, 100%, $E$9)</f>
        <v>6.1772</v>
      </c>
      <c r="L263" s="9">
        <f>5.1044 * CHOOSE(CONTROL!$C$32, $C$9, 100%, $E$9)</f>
        <v>5.1044</v>
      </c>
      <c r="M263" s="9">
        <f>5.1076 * CHOOSE(CONTROL!$C$32, $C$9, 100%, $E$9)</f>
        <v>5.1075999999999997</v>
      </c>
      <c r="N263" s="9">
        <f>5.1044 * CHOOSE(CONTROL!$C$32, $C$9, 100%, $E$9)</f>
        <v>5.1044</v>
      </c>
      <c r="O263" s="9">
        <f>5.1076 * CHOOSE(CONTROL!$C$32, $C$9, 100%, $E$9)</f>
        <v>5.1075999999999997</v>
      </c>
    </row>
    <row r="264" spans="1:15" ht="15" x14ac:dyDescent="0.2">
      <c r="A264" s="16">
        <v>48519</v>
      </c>
      <c r="B264" s="10">
        <f>4.9574 * CHOOSE(CONTROL!$C$32, $C$9, 100%, $E$9)</f>
        <v>4.9573999999999998</v>
      </c>
      <c r="C264" s="10">
        <f>4.9574 * CHOOSE(CONTROL!$C$32, $C$9, 100%, $E$9)</f>
        <v>4.9573999999999998</v>
      </c>
      <c r="D264" s="10">
        <f>4.9584 * CHOOSE(CONTROL!$C$32, $C$9, 100%, $E$9)</f>
        <v>4.9584000000000001</v>
      </c>
      <c r="E264" s="9">
        <f>5.1245 * CHOOSE(CONTROL!$C$32, $C$9, 100%, $E$9)</f>
        <v>5.1245000000000003</v>
      </c>
      <c r="F264" s="9">
        <f>5.1245 * CHOOSE(CONTROL!$C$32, $C$9, 100%, $E$9)</f>
        <v>5.1245000000000003</v>
      </c>
      <c r="G264" s="9">
        <f>5.1277 * CHOOSE(CONTROL!$C$32, $C$9, 100%, $E$9)</f>
        <v>5.1276999999999999</v>
      </c>
      <c r="H264" s="9">
        <f>6.176 * CHOOSE(CONTROL!$C$32, $C$9, 100%, $E$9)</f>
        <v>6.1760000000000002</v>
      </c>
      <c r="I264" s="9">
        <f>6.1792 * CHOOSE(CONTROL!$C$32, $C$9, 100%, $E$9)</f>
        <v>6.1791999999999998</v>
      </c>
      <c r="J264" s="9">
        <f>6.176 * CHOOSE(CONTROL!$C$32, $C$9, 100%, $E$9)</f>
        <v>6.1760000000000002</v>
      </c>
      <c r="K264" s="9">
        <f>6.1792 * CHOOSE(CONTROL!$C$32, $C$9, 100%, $E$9)</f>
        <v>6.1791999999999998</v>
      </c>
      <c r="L264" s="9">
        <f>5.1245 * CHOOSE(CONTROL!$C$32, $C$9, 100%, $E$9)</f>
        <v>5.1245000000000003</v>
      </c>
      <c r="M264" s="9">
        <f>5.1277 * CHOOSE(CONTROL!$C$32, $C$9, 100%, $E$9)</f>
        <v>5.1276999999999999</v>
      </c>
      <c r="N264" s="9">
        <f>5.1245 * CHOOSE(CONTROL!$C$32, $C$9, 100%, $E$9)</f>
        <v>5.1245000000000003</v>
      </c>
      <c r="O264" s="9">
        <f>5.1277 * CHOOSE(CONTROL!$C$32, $C$9, 100%, $E$9)</f>
        <v>5.1276999999999999</v>
      </c>
    </row>
    <row r="265" spans="1:15" ht="15" x14ac:dyDescent="0.2">
      <c r="A265" s="16">
        <v>48549</v>
      </c>
      <c r="B265" s="10">
        <f>4.9574 * CHOOSE(CONTROL!$C$32, $C$9, 100%, $E$9)</f>
        <v>4.9573999999999998</v>
      </c>
      <c r="C265" s="10">
        <f>4.9574 * CHOOSE(CONTROL!$C$32, $C$9, 100%, $E$9)</f>
        <v>4.9573999999999998</v>
      </c>
      <c r="D265" s="10">
        <f>4.9584 * CHOOSE(CONTROL!$C$32, $C$9, 100%, $E$9)</f>
        <v>4.9584000000000001</v>
      </c>
      <c r="E265" s="9">
        <f>5.0796 * CHOOSE(CONTROL!$C$32, $C$9, 100%, $E$9)</f>
        <v>5.0796000000000001</v>
      </c>
      <c r="F265" s="9">
        <f>5.0796 * CHOOSE(CONTROL!$C$32, $C$9, 100%, $E$9)</f>
        <v>5.0796000000000001</v>
      </c>
      <c r="G265" s="9">
        <f>5.0828 * CHOOSE(CONTROL!$C$32, $C$9, 100%, $E$9)</f>
        <v>5.0827999999999998</v>
      </c>
      <c r="H265" s="9">
        <f>6.176 * CHOOSE(CONTROL!$C$32, $C$9, 100%, $E$9)</f>
        <v>6.1760000000000002</v>
      </c>
      <c r="I265" s="9">
        <f>6.1792 * CHOOSE(CONTROL!$C$32, $C$9, 100%, $E$9)</f>
        <v>6.1791999999999998</v>
      </c>
      <c r="J265" s="9">
        <f>6.176 * CHOOSE(CONTROL!$C$32, $C$9, 100%, $E$9)</f>
        <v>6.1760000000000002</v>
      </c>
      <c r="K265" s="9">
        <f>6.1792 * CHOOSE(CONTROL!$C$32, $C$9, 100%, $E$9)</f>
        <v>6.1791999999999998</v>
      </c>
      <c r="L265" s="9">
        <f>5.0796 * CHOOSE(CONTROL!$C$32, $C$9, 100%, $E$9)</f>
        <v>5.0796000000000001</v>
      </c>
      <c r="M265" s="9">
        <f>5.0828 * CHOOSE(CONTROL!$C$32, $C$9, 100%, $E$9)</f>
        <v>5.0827999999999998</v>
      </c>
      <c r="N265" s="9">
        <f>5.0796 * CHOOSE(CONTROL!$C$32, $C$9, 100%, $E$9)</f>
        <v>5.0796000000000001</v>
      </c>
      <c r="O265" s="9">
        <f>5.0828 * CHOOSE(CONTROL!$C$32, $C$9, 100%, $E$9)</f>
        <v>5.0827999999999998</v>
      </c>
    </row>
    <row r="266" spans="1:15" ht="15" x14ac:dyDescent="0.2">
      <c r="A266" s="16">
        <v>48580</v>
      </c>
      <c r="B266" s="10">
        <f>5.001 * CHOOSE(CONTROL!$C$32, $C$9, 100%, $E$9)</f>
        <v>5.0010000000000003</v>
      </c>
      <c r="C266" s="10">
        <f>5.001 * CHOOSE(CONTROL!$C$32, $C$9, 100%, $E$9)</f>
        <v>5.0010000000000003</v>
      </c>
      <c r="D266" s="10">
        <f>5.0019 * CHOOSE(CONTROL!$C$32, $C$9, 100%, $E$9)</f>
        <v>5.0019</v>
      </c>
      <c r="E266" s="9">
        <f>5.1394 * CHOOSE(CONTROL!$C$32, $C$9, 100%, $E$9)</f>
        <v>5.1394000000000002</v>
      </c>
      <c r="F266" s="9">
        <f>5.1394 * CHOOSE(CONTROL!$C$32, $C$9, 100%, $E$9)</f>
        <v>5.1394000000000002</v>
      </c>
      <c r="G266" s="9">
        <f>5.1425 * CHOOSE(CONTROL!$C$32, $C$9, 100%, $E$9)</f>
        <v>5.1425000000000001</v>
      </c>
      <c r="H266" s="9">
        <f>6.2225 * CHOOSE(CONTROL!$C$32, $C$9, 100%, $E$9)</f>
        <v>6.2225000000000001</v>
      </c>
      <c r="I266" s="9">
        <f>6.2257 * CHOOSE(CONTROL!$C$32, $C$9, 100%, $E$9)</f>
        <v>6.2256999999999998</v>
      </c>
      <c r="J266" s="9">
        <f>6.2225 * CHOOSE(CONTROL!$C$32, $C$9, 100%, $E$9)</f>
        <v>6.2225000000000001</v>
      </c>
      <c r="K266" s="9">
        <f>6.2257 * CHOOSE(CONTROL!$C$32, $C$9, 100%, $E$9)</f>
        <v>6.2256999999999998</v>
      </c>
      <c r="L266" s="9">
        <f>5.1394 * CHOOSE(CONTROL!$C$32, $C$9, 100%, $E$9)</f>
        <v>5.1394000000000002</v>
      </c>
      <c r="M266" s="9">
        <f>5.1425 * CHOOSE(CONTROL!$C$32, $C$9, 100%, $E$9)</f>
        <v>5.1425000000000001</v>
      </c>
      <c r="N266" s="9">
        <f>5.1394 * CHOOSE(CONTROL!$C$32, $C$9, 100%, $E$9)</f>
        <v>5.1394000000000002</v>
      </c>
      <c r="O266" s="9">
        <f>5.1425 * CHOOSE(CONTROL!$C$32, $C$9, 100%, $E$9)</f>
        <v>5.1425000000000001</v>
      </c>
    </row>
    <row r="267" spans="1:15" ht="15" x14ac:dyDescent="0.2">
      <c r="A267" s="16">
        <v>48611</v>
      </c>
      <c r="B267" s="10">
        <f>4.9979 * CHOOSE(CONTROL!$C$32, $C$9, 100%, $E$9)</f>
        <v>4.9978999999999996</v>
      </c>
      <c r="C267" s="10">
        <f>4.9979 * CHOOSE(CONTROL!$C$32, $C$9, 100%, $E$9)</f>
        <v>4.9978999999999996</v>
      </c>
      <c r="D267" s="10">
        <f>4.9989 * CHOOSE(CONTROL!$C$32, $C$9, 100%, $E$9)</f>
        <v>4.9988999999999999</v>
      </c>
      <c r="E267" s="9">
        <f>5.0497 * CHOOSE(CONTROL!$C$32, $C$9, 100%, $E$9)</f>
        <v>5.0496999999999996</v>
      </c>
      <c r="F267" s="9">
        <f>5.0497 * CHOOSE(CONTROL!$C$32, $C$9, 100%, $E$9)</f>
        <v>5.0496999999999996</v>
      </c>
      <c r="G267" s="9">
        <f>5.0529 * CHOOSE(CONTROL!$C$32, $C$9, 100%, $E$9)</f>
        <v>5.0529000000000002</v>
      </c>
      <c r="H267" s="9">
        <f>6.2205 * CHOOSE(CONTROL!$C$32, $C$9, 100%, $E$9)</f>
        <v>6.2205000000000004</v>
      </c>
      <c r="I267" s="9">
        <f>6.2237 * CHOOSE(CONTROL!$C$32, $C$9, 100%, $E$9)</f>
        <v>6.2237</v>
      </c>
      <c r="J267" s="9">
        <f>6.2205 * CHOOSE(CONTROL!$C$32, $C$9, 100%, $E$9)</f>
        <v>6.2205000000000004</v>
      </c>
      <c r="K267" s="9">
        <f>6.2237 * CHOOSE(CONTROL!$C$32, $C$9, 100%, $E$9)</f>
        <v>6.2237</v>
      </c>
      <c r="L267" s="9">
        <f>5.0497 * CHOOSE(CONTROL!$C$32, $C$9, 100%, $E$9)</f>
        <v>5.0496999999999996</v>
      </c>
      <c r="M267" s="9">
        <f>5.0529 * CHOOSE(CONTROL!$C$32, $C$9, 100%, $E$9)</f>
        <v>5.0529000000000002</v>
      </c>
      <c r="N267" s="9">
        <f>5.0497 * CHOOSE(CONTROL!$C$32, $C$9, 100%, $E$9)</f>
        <v>5.0496999999999996</v>
      </c>
      <c r="O267" s="9">
        <f>5.0529 * CHOOSE(CONTROL!$C$32, $C$9, 100%, $E$9)</f>
        <v>5.0529000000000002</v>
      </c>
    </row>
    <row r="268" spans="1:15" ht="15" x14ac:dyDescent="0.2">
      <c r="A268" s="16">
        <v>48639</v>
      </c>
      <c r="B268" s="10">
        <f>4.9949 * CHOOSE(CONTROL!$C$32, $C$9, 100%, $E$9)</f>
        <v>4.9949000000000003</v>
      </c>
      <c r="C268" s="10">
        <f>4.9949 * CHOOSE(CONTROL!$C$32, $C$9, 100%, $E$9)</f>
        <v>4.9949000000000003</v>
      </c>
      <c r="D268" s="10">
        <f>4.9958 * CHOOSE(CONTROL!$C$32, $C$9, 100%, $E$9)</f>
        <v>4.9958</v>
      </c>
      <c r="E268" s="9">
        <f>5.1166 * CHOOSE(CONTROL!$C$32, $C$9, 100%, $E$9)</f>
        <v>5.1166</v>
      </c>
      <c r="F268" s="9">
        <f>5.1166 * CHOOSE(CONTROL!$C$32, $C$9, 100%, $E$9)</f>
        <v>5.1166</v>
      </c>
      <c r="G268" s="9">
        <f>5.1198 * CHOOSE(CONTROL!$C$32, $C$9, 100%, $E$9)</f>
        <v>5.1197999999999997</v>
      </c>
      <c r="H268" s="9">
        <f>6.2185 * CHOOSE(CONTROL!$C$32, $C$9, 100%, $E$9)</f>
        <v>6.2184999999999997</v>
      </c>
      <c r="I268" s="9">
        <f>6.2217 * CHOOSE(CONTROL!$C$32, $C$9, 100%, $E$9)</f>
        <v>6.2217000000000002</v>
      </c>
      <c r="J268" s="9">
        <f>6.2185 * CHOOSE(CONTROL!$C$32, $C$9, 100%, $E$9)</f>
        <v>6.2184999999999997</v>
      </c>
      <c r="K268" s="9">
        <f>6.2217 * CHOOSE(CONTROL!$C$32, $C$9, 100%, $E$9)</f>
        <v>6.2217000000000002</v>
      </c>
      <c r="L268" s="9">
        <f>5.1166 * CHOOSE(CONTROL!$C$32, $C$9, 100%, $E$9)</f>
        <v>5.1166</v>
      </c>
      <c r="M268" s="9">
        <f>5.1198 * CHOOSE(CONTROL!$C$32, $C$9, 100%, $E$9)</f>
        <v>5.1197999999999997</v>
      </c>
      <c r="N268" s="9">
        <f>5.1166 * CHOOSE(CONTROL!$C$32, $C$9, 100%, $E$9)</f>
        <v>5.1166</v>
      </c>
      <c r="O268" s="9">
        <f>5.1198 * CHOOSE(CONTROL!$C$32, $C$9, 100%, $E$9)</f>
        <v>5.1197999999999997</v>
      </c>
    </row>
    <row r="269" spans="1:15" ht="15" x14ac:dyDescent="0.2">
      <c r="A269" s="16">
        <v>48670</v>
      </c>
      <c r="B269" s="10">
        <f>4.9937 * CHOOSE(CONTROL!$C$32, $C$9, 100%, $E$9)</f>
        <v>4.9936999999999996</v>
      </c>
      <c r="C269" s="10">
        <f>4.9937 * CHOOSE(CONTROL!$C$32, $C$9, 100%, $E$9)</f>
        <v>4.9936999999999996</v>
      </c>
      <c r="D269" s="10">
        <f>4.9946 * CHOOSE(CONTROL!$C$32, $C$9, 100%, $E$9)</f>
        <v>4.9946000000000002</v>
      </c>
      <c r="E269" s="9">
        <f>5.1865 * CHOOSE(CONTROL!$C$32, $C$9, 100%, $E$9)</f>
        <v>5.1864999999999997</v>
      </c>
      <c r="F269" s="9">
        <f>5.1865 * CHOOSE(CONTROL!$C$32, $C$9, 100%, $E$9)</f>
        <v>5.1864999999999997</v>
      </c>
      <c r="G269" s="9">
        <f>5.1896 * CHOOSE(CONTROL!$C$32, $C$9, 100%, $E$9)</f>
        <v>5.1896000000000004</v>
      </c>
      <c r="H269" s="9">
        <f>6.2175 * CHOOSE(CONTROL!$C$32, $C$9, 100%, $E$9)</f>
        <v>6.2175000000000002</v>
      </c>
      <c r="I269" s="9">
        <f>6.2207 * CHOOSE(CONTROL!$C$32, $C$9, 100%, $E$9)</f>
        <v>6.2206999999999999</v>
      </c>
      <c r="J269" s="9">
        <f>6.2175 * CHOOSE(CONTROL!$C$32, $C$9, 100%, $E$9)</f>
        <v>6.2175000000000002</v>
      </c>
      <c r="K269" s="9">
        <f>6.2207 * CHOOSE(CONTROL!$C$32, $C$9, 100%, $E$9)</f>
        <v>6.2206999999999999</v>
      </c>
      <c r="L269" s="9">
        <f>5.1865 * CHOOSE(CONTROL!$C$32, $C$9, 100%, $E$9)</f>
        <v>5.1864999999999997</v>
      </c>
      <c r="M269" s="9">
        <f>5.1896 * CHOOSE(CONTROL!$C$32, $C$9, 100%, $E$9)</f>
        <v>5.1896000000000004</v>
      </c>
      <c r="N269" s="9">
        <f>5.1865 * CHOOSE(CONTROL!$C$32, $C$9, 100%, $E$9)</f>
        <v>5.1864999999999997</v>
      </c>
      <c r="O269" s="9">
        <f>5.1896 * CHOOSE(CONTROL!$C$32, $C$9, 100%, $E$9)</f>
        <v>5.1896000000000004</v>
      </c>
    </row>
    <row r="270" spans="1:15" ht="15" x14ac:dyDescent="0.2">
      <c r="A270" s="16">
        <v>48700</v>
      </c>
      <c r="B270" s="10">
        <f>4.9937 * CHOOSE(CONTROL!$C$32, $C$9, 100%, $E$9)</f>
        <v>4.9936999999999996</v>
      </c>
      <c r="C270" s="10">
        <f>4.9937 * CHOOSE(CONTROL!$C$32, $C$9, 100%, $E$9)</f>
        <v>4.9936999999999996</v>
      </c>
      <c r="D270" s="10">
        <f>4.995 * CHOOSE(CONTROL!$C$32, $C$9, 100%, $E$9)</f>
        <v>4.9950000000000001</v>
      </c>
      <c r="E270" s="9">
        <f>5.2142 * CHOOSE(CONTROL!$C$32, $C$9, 100%, $E$9)</f>
        <v>5.2141999999999999</v>
      </c>
      <c r="F270" s="9">
        <f>5.2142 * CHOOSE(CONTROL!$C$32, $C$9, 100%, $E$9)</f>
        <v>5.2141999999999999</v>
      </c>
      <c r="G270" s="9">
        <f>5.2186 * CHOOSE(CONTROL!$C$32, $C$9, 100%, $E$9)</f>
        <v>5.2186000000000003</v>
      </c>
      <c r="H270" s="9">
        <f>6.2175 * CHOOSE(CONTROL!$C$32, $C$9, 100%, $E$9)</f>
        <v>6.2175000000000002</v>
      </c>
      <c r="I270" s="9">
        <f>6.2219 * CHOOSE(CONTROL!$C$32, $C$9, 100%, $E$9)</f>
        <v>6.2218999999999998</v>
      </c>
      <c r="J270" s="9">
        <f>6.2175 * CHOOSE(CONTROL!$C$32, $C$9, 100%, $E$9)</f>
        <v>6.2175000000000002</v>
      </c>
      <c r="K270" s="9">
        <f>6.2219 * CHOOSE(CONTROL!$C$32, $C$9, 100%, $E$9)</f>
        <v>6.2218999999999998</v>
      </c>
      <c r="L270" s="9">
        <f>5.2142 * CHOOSE(CONTROL!$C$32, $C$9, 100%, $E$9)</f>
        <v>5.2141999999999999</v>
      </c>
      <c r="M270" s="9">
        <f>5.2186 * CHOOSE(CONTROL!$C$32, $C$9, 100%, $E$9)</f>
        <v>5.2186000000000003</v>
      </c>
      <c r="N270" s="9">
        <f>5.2142 * CHOOSE(CONTROL!$C$32, $C$9, 100%, $E$9)</f>
        <v>5.2141999999999999</v>
      </c>
      <c r="O270" s="9">
        <f>5.2186 * CHOOSE(CONTROL!$C$32, $C$9, 100%, $E$9)</f>
        <v>5.2186000000000003</v>
      </c>
    </row>
    <row r="271" spans="1:15" ht="15" x14ac:dyDescent="0.2">
      <c r="A271" s="16">
        <v>48731</v>
      </c>
      <c r="B271" s="10">
        <f>4.9998 * CHOOSE(CONTROL!$C$32, $C$9, 100%, $E$9)</f>
        <v>4.9997999999999996</v>
      </c>
      <c r="C271" s="10">
        <f>4.9998 * CHOOSE(CONTROL!$C$32, $C$9, 100%, $E$9)</f>
        <v>4.9997999999999996</v>
      </c>
      <c r="D271" s="10">
        <f>5.0011 * CHOOSE(CONTROL!$C$32, $C$9, 100%, $E$9)</f>
        <v>5.0011000000000001</v>
      </c>
      <c r="E271" s="9">
        <f>5.1907 * CHOOSE(CONTROL!$C$32, $C$9, 100%, $E$9)</f>
        <v>5.1906999999999996</v>
      </c>
      <c r="F271" s="9">
        <f>5.1907 * CHOOSE(CONTROL!$C$32, $C$9, 100%, $E$9)</f>
        <v>5.1906999999999996</v>
      </c>
      <c r="G271" s="9">
        <f>5.1951 * CHOOSE(CONTROL!$C$32, $C$9, 100%, $E$9)</f>
        <v>5.1951000000000001</v>
      </c>
      <c r="H271" s="9">
        <f>6.2215 * CHOOSE(CONTROL!$C$32, $C$9, 100%, $E$9)</f>
        <v>6.2214999999999998</v>
      </c>
      <c r="I271" s="9">
        <f>6.2259 * CHOOSE(CONTROL!$C$32, $C$9, 100%, $E$9)</f>
        <v>6.2259000000000002</v>
      </c>
      <c r="J271" s="9">
        <f>6.2215 * CHOOSE(CONTROL!$C$32, $C$9, 100%, $E$9)</f>
        <v>6.2214999999999998</v>
      </c>
      <c r="K271" s="9">
        <f>6.2259 * CHOOSE(CONTROL!$C$32, $C$9, 100%, $E$9)</f>
        <v>6.2259000000000002</v>
      </c>
      <c r="L271" s="9">
        <f>5.1907 * CHOOSE(CONTROL!$C$32, $C$9, 100%, $E$9)</f>
        <v>5.1906999999999996</v>
      </c>
      <c r="M271" s="9">
        <f>5.1951 * CHOOSE(CONTROL!$C$32, $C$9, 100%, $E$9)</f>
        <v>5.1951000000000001</v>
      </c>
      <c r="N271" s="9">
        <f>5.1907 * CHOOSE(CONTROL!$C$32, $C$9, 100%, $E$9)</f>
        <v>5.1906999999999996</v>
      </c>
      <c r="O271" s="9">
        <f>5.1951 * CHOOSE(CONTROL!$C$32, $C$9, 100%, $E$9)</f>
        <v>5.1951000000000001</v>
      </c>
    </row>
    <row r="272" spans="1:15" ht="15" x14ac:dyDescent="0.2">
      <c r="A272" s="16">
        <v>48761</v>
      </c>
      <c r="B272" s="10">
        <f>5.0784 * CHOOSE(CONTROL!$C$32, $C$9, 100%, $E$9)</f>
        <v>5.0784000000000002</v>
      </c>
      <c r="C272" s="10">
        <f>5.0784 * CHOOSE(CONTROL!$C$32, $C$9, 100%, $E$9)</f>
        <v>5.0784000000000002</v>
      </c>
      <c r="D272" s="10">
        <f>5.0797 * CHOOSE(CONTROL!$C$32, $C$9, 100%, $E$9)</f>
        <v>5.0796999999999999</v>
      </c>
      <c r="E272" s="9">
        <f>5.2373 * CHOOSE(CONTROL!$C$32, $C$9, 100%, $E$9)</f>
        <v>5.2373000000000003</v>
      </c>
      <c r="F272" s="9">
        <f>5.2373 * CHOOSE(CONTROL!$C$32, $C$9, 100%, $E$9)</f>
        <v>5.2373000000000003</v>
      </c>
      <c r="G272" s="9">
        <f>5.2417 * CHOOSE(CONTROL!$C$32, $C$9, 100%, $E$9)</f>
        <v>5.2416999999999998</v>
      </c>
      <c r="H272" s="9">
        <f>6.3179 * CHOOSE(CONTROL!$C$32, $C$9, 100%, $E$9)</f>
        <v>6.3178999999999998</v>
      </c>
      <c r="I272" s="9">
        <f>6.3223 * CHOOSE(CONTROL!$C$32, $C$9, 100%, $E$9)</f>
        <v>6.3223000000000003</v>
      </c>
      <c r="J272" s="9">
        <f>6.3179 * CHOOSE(CONTROL!$C$32, $C$9, 100%, $E$9)</f>
        <v>6.3178999999999998</v>
      </c>
      <c r="K272" s="9">
        <f>6.3223 * CHOOSE(CONTROL!$C$32, $C$9, 100%, $E$9)</f>
        <v>6.3223000000000003</v>
      </c>
      <c r="L272" s="9">
        <f>5.2373 * CHOOSE(CONTROL!$C$32, $C$9, 100%, $E$9)</f>
        <v>5.2373000000000003</v>
      </c>
      <c r="M272" s="9">
        <f>5.2417 * CHOOSE(CONTROL!$C$32, $C$9, 100%, $E$9)</f>
        <v>5.2416999999999998</v>
      </c>
      <c r="N272" s="9">
        <f>5.2373 * CHOOSE(CONTROL!$C$32, $C$9, 100%, $E$9)</f>
        <v>5.2373000000000003</v>
      </c>
      <c r="O272" s="9">
        <f>5.2417 * CHOOSE(CONTROL!$C$32, $C$9, 100%, $E$9)</f>
        <v>5.2416999999999998</v>
      </c>
    </row>
    <row r="273" spans="1:15" ht="15" x14ac:dyDescent="0.2">
      <c r="A273" s="16">
        <v>48792</v>
      </c>
      <c r="B273" s="10">
        <f>5.0851 * CHOOSE(CONTROL!$C$32, $C$9, 100%, $E$9)</f>
        <v>5.0850999999999997</v>
      </c>
      <c r="C273" s="10">
        <f>5.0851 * CHOOSE(CONTROL!$C$32, $C$9, 100%, $E$9)</f>
        <v>5.0850999999999997</v>
      </c>
      <c r="D273" s="10">
        <f>5.0864 * CHOOSE(CONTROL!$C$32, $C$9, 100%, $E$9)</f>
        <v>5.0864000000000003</v>
      </c>
      <c r="E273" s="9">
        <f>5.1586 * CHOOSE(CONTROL!$C$32, $C$9, 100%, $E$9)</f>
        <v>5.1585999999999999</v>
      </c>
      <c r="F273" s="9">
        <f>5.1586 * CHOOSE(CONTROL!$C$32, $C$9, 100%, $E$9)</f>
        <v>5.1585999999999999</v>
      </c>
      <c r="G273" s="9">
        <f>5.163 * CHOOSE(CONTROL!$C$32, $C$9, 100%, $E$9)</f>
        <v>5.1630000000000003</v>
      </c>
      <c r="H273" s="9">
        <f>6.3223 * CHOOSE(CONTROL!$C$32, $C$9, 100%, $E$9)</f>
        <v>6.3223000000000003</v>
      </c>
      <c r="I273" s="9">
        <f>6.3267 * CHOOSE(CONTROL!$C$32, $C$9, 100%, $E$9)</f>
        <v>6.3266999999999998</v>
      </c>
      <c r="J273" s="9">
        <f>6.3223 * CHOOSE(CONTROL!$C$32, $C$9, 100%, $E$9)</f>
        <v>6.3223000000000003</v>
      </c>
      <c r="K273" s="9">
        <f>6.3267 * CHOOSE(CONTROL!$C$32, $C$9, 100%, $E$9)</f>
        <v>6.3266999999999998</v>
      </c>
      <c r="L273" s="9">
        <f>5.1586 * CHOOSE(CONTROL!$C$32, $C$9, 100%, $E$9)</f>
        <v>5.1585999999999999</v>
      </c>
      <c r="M273" s="9">
        <f>5.163 * CHOOSE(CONTROL!$C$32, $C$9, 100%, $E$9)</f>
        <v>5.1630000000000003</v>
      </c>
      <c r="N273" s="9">
        <f>5.1586 * CHOOSE(CONTROL!$C$32, $C$9, 100%, $E$9)</f>
        <v>5.1585999999999999</v>
      </c>
      <c r="O273" s="9">
        <f>5.163 * CHOOSE(CONTROL!$C$32, $C$9, 100%, $E$9)</f>
        <v>5.1630000000000003</v>
      </c>
    </row>
    <row r="274" spans="1:15" ht="15" x14ac:dyDescent="0.2">
      <c r="A274" s="16">
        <v>48823</v>
      </c>
      <c r="B274" s="10">
        <f>5.082 * CHOOSE(CONTROL!$C$32, $C$9, 100%, $E$9)</f>
        <v>5.0819999999999999</v>
      </c>
      <c r="C274" s="10">
        <f>5.082 * CHOOSE(CONTROL!$C$32, $C$9, 100%, $E$9)</f>
        <v>5.0819999999999999</v>
      </c>
      <c r="D274" s="10">
        <f>5.0833 * CHOOSE(CONTROL!$C$32, $C$9, 100%, $E$9)</f>
        <v>5.0833000000000004</v>
      </c>
      <c r="E274" s="9">
        <f>5.1472 * CHOOSE(CONTROL!$C$32, $C$9, 100%, $E$9)</f>
        <v>5.1471999999999998</v>
      </c>
      <c r="F274" s="9">
        <f>5.1472 * CHOOSE(CONTROL!$C$32, $C$9, 100%, $E$9)</f>
        <v>5.1471999999999998</v>
      </c>
      <c r="G274" s="9">
        <f>5.1516 * CHOOSE(CONTROL!$C$32, $C$9, 100%, $E$9)</f>
        <v>5.1516000000000002</v>
      </c>
      <c r="H274" s="9">
        <f>6.3203 * CHOOSE(CONTROL!$C$32, $C$9, 100%, $E$9)</f>
        <v>6.3202999999999996</v>
      </c>
      <c r="I274" s="9">
        <f>6.3247 * CHOOSE(CONTROL!$C$32, $C$9, 100%, $E$9)</f>
        <v>6.3247</v>
      </c>
      <c r="J274" s="9">
        <f>6.3203 * CHOOSE(CONTROL!$C$32, $C$9, 100%, $E$9)</f>
        <v>6.3202999999999996</v>
      </c>
      <c r="K274" s="9">
        <f>6.3247 * CHOOSE(CONTROL!$C$32, $C$9, 100%, $E$9)</f>
        <v>6.3247</v>
      </c>
      <c r="L274" s="9">
        <f>5.1472 * CHOOSE(CONTROL!$C$32, $C$9, 100%, $E$9)</f>
        <v>5.1471999999999998</v>
      </c>
      <c r="M274" s="9">
        <f>5.1516 * CHOOSE(CONTROL!$C$32, $C$9, 100%, $E$9)</f>
        <v>5.1516000000000002</v>
      </c>
      <c r="N274" s="9">
        <f>5.1472 * CHOOSE(CONTROL!$C$32, $C$9, 100%, $E$9)</f>
        <v>5.1471999999999998</v>
      </c>
      <c r="O274" s="9">
        <f>5.1516 * CHOOSE(CONTROL!$C$32, $C$9, 100%, $E$9)</f>
        <v>5.1516000000000002</v>
      </c>
    </row>
    <row r="275" spans="1:15" ht="15" x14ac:dyDescent="0.2">
      <c r="A275" s="16">
        <v>48853</v>
      </c>
      <c r="B275" s="10">
        <f>5.0817 * CHOOSE(CONTROL!$C$32, $C$9, 100%, $E$9)</f>
        <v>5.0816999999999997</v>
      </c>
      <c r="C275" s="10">
        <f>5.0817 * CHOOSE(CONTROL!$C$32, $C$9, 100%, $E$9)</f>
        <v>5.0816999999999997</v>
      </c>
      <c r="D275" s="10">
        <f>5.0827 * CHOOSE(CONTROL!$C$32, $C$9, 100%, $E$9)</f>
        <v>5.0827</v>
      </c>
      <c r="E275" s="9">
        <f>5.1709 * CHOOSE(CONTROL!$C$32, $C$9, 100%, $E$9)</f>
        <v>5.1708999999999996</v>
      </c>
      <c r="F275" s="9">
        <f>5.1709 * CHOOSE(CONTROL!$C$32, $C$9, 100%, $E$9)</f>
        <v>5.1708999999999996</v>
      </c>
      <c r="G275" s="9">
        <f>5.174 * CHOOSE(CONTROL!$C$32, $C$9, 100%, $E$9)</f>
        <v>5.1740000000000004</v>
      </c>
      <c r="H275" s="9">
        <f>6.3194 * CHOOSE(CONTROL!$C$32, $C$9, 100%, $E$9)</f>
        <v>6.3193999999999999</v>
      </c>
      <c r="I275" s="9">
        <f>6.3226 * CHOOSE(CONTROL!$C$32, $C$9, 100%, $E$9)</f>
        <v>6.3226000000000004</v>
      </c>
      <c r="J275" s="9">
        <f>6.3194 * CHOOSE(CONTROL!$C$32, $C$9, 100%, $E$9)</f>
        <v>6.3193999999999999</v>
      </c>
      <c r="K275" s="9">
        <f>6.3226 * CHOOSE(CONTROL!$C$32, $C$9, 100%, $E$9)</f>
        <v>6.3226000000000004</v>
      </c>
      <c r="L275" s="9">
        <f>5.1709 * CHOOSE(CONTROL!$C$32, $C$9, 100%, $E$9)</f>
        <v>5.1708999999999996</v>
      </c>
      <c r="M275" s="9">
        <f>5.174 * CHOOSE(CONTROL!$C$32, $C$9, 100%, $E$9)</f>
        <v>5.1740000000000004</v>
      </c>
      <c r="N275" s="9">
        <f>5.1709 * CHOOSE(CONTROL!$C$32, $C$9, 100%, $E$9)</f>
        <v>5.1708999999999996</v>
      </c>
      <c r="O275" s="9">
        <f>5.174 * CHOOSE(CONTROL!$C$32, $C$9, 100%, $E$9)</f>
        <v>5.1740000000000004</v>
      </c>
    </row>
    <row r="276" spans="1:15" ht="15" x14ac:dyDescent="0.2">
      <c r="A276" s="16">
        <v>48884</v>
      </c>
      <c r="B276" s="10">
        <f>5.0848 * CHOOSE(CONTROL!$C$32, $C$9, 100%, $E$9)</f>
        <v>5.0848000000000004</v>
      </c>
      <c r="C276" s="10">
        <f>5.0848 * CHOOSE(CONTROL!$C$32, $C$9, 100%, $E$9)</f>
        <v>5.0848000000000004</v>
      </c>
      <c r="D276" s="10">
        <f>5.0857 * CHOOSE(CONTROL!$C$32, $C$9, 100%, $E$9)</f>
        <v>5.0857000000000001</v>
      </c>
      <c r="E276" s="9">
        <f>5.1915 * CHOOSE(CONTROL!$C$32, $C$9, 100%, $E$9)</f>
        <v>5.1914999999999996</v>
      </c>
      <c r="F276" s="9">
        <f>5.1915 * CHOOSE(CONTROL!$C$32, $C$9, 100%, $E$9)</f>
        <v>5.1914999999999996</v>
      </c>
      <c r="G276" s="9">
        <f>5.1947 * CHOOSE(CONTROL!$C$32, $C$9, 100%, $E$9)</f>
        <v>5.1947000000000001</v>
      </c>
      <c r="H276" s="9">
        <f>6.3214 * CHOOSE(CONTROL!$C$32, $C$9, 100%, $E$9)</f>
        <v>6.3213999999999997</v>
      </c>
      <c r="I276" s="9">
        <f>6.3246 * CHOOSE(CONTROL!$C$32, $C$9, 100%, $E$9)</f>
        <v>6.3246000000000002</v>
      </c>
      <c r="J276" s="9">
        <f>6.3214 * CHOOSE(CONTROL!$C$32, $C$9, 100%, $E$9)</f>
        <v>6.3213999999999997</v>
      </c>
      <c r="K276" s="9">
        <f>6.3246 * CHOOSE(CONTROL!$C$32, $C$9, 100%, $E$9)</f>
        <v>6.3246000000000002</v>
      </c>
      <c r="L276" s="9">
        <f>5.1915 * CHOOSE(CONTROL!$C$32, $C$9, 100%, $E$9)</f>
        <v>5.1914999999999996</v>
      </c>
      <c r="M276" s="9">
        <f>5.1947 * CHOOSE(CONTROL!$C$32, $C$9, 100%, $E$9)</f>
        <v>5.1947000000000001</v>
      </c>
      <c r="N276" s="9">
        <f>5.1915 * CHOOSE(CONTROL!$C$32, $C$9, 100%, $E$9)</f>
        <v>5.1914999999999996</v>
      </c>
      <c r="O276" s="9">
        <f>5.1947 * CHOOSE(CONTROL!$C$32, $C$9, 100%, $E$9)</f>
        <v>5.1947000000000001</v>
      </c>
    </row>
    <row r="277" spans="1:15" ht="15" x14ac:dyDescent="0.2">
      <c r="A277" s="16">
        <v>48914</v>
      </c>
      <c r="B277" s="10">
        <f>5.0848 * CHOOSE(CONTROL!$C$32, $C$9, 100%, $E$9)</f>
        <v>5.0848000000000004</v>
      </c>
      <c r="C277" s="10">
        <f>5.0848 * CHOOSE(CONTROL!$C$32, $C$9, 100%, $E$9)</f>
        <v>5.0848000000000004</v>
      </c>
      <c r="D277" s="10">
        <f>5.0857 * CHOOSE(CONTROL!$C$32, $C$9, 100%, $E$9)</f>
        <v>5.0857000000000001</v>
      </c>
      <c r="E277" s="9">
        <f>5.1452 * CHOOSE(CONTROL!$C$32, $C$9, 100%, $E$9)</f>
        <v>5.1452</v>
      </c>
      <c r="F277" s="9">
        <f>5.1452 * CHOOSE(CONTROL!$C$32, $C$9, 100%, $E$9)</f>
        <v>5.1452</v>
      </c>
      <c r="G277" s="9">
        <f>5.1484 * CHOOSE(CONTROL!$C$32, $C$9, 100%, $E$9)</f>
        <v>5.1483999999999996</v>
      </c>
      <c r="H277" s="9">
        <f>6.3214 * CHOOSE(CONTROL!$C$32, $C$9, 100%, $E$9)</f>
        <v>6.3213999999999997</v>
      </c>
      <c r="I277" s="9">
        <f>6.3246 * CHOOSE(CONTROL!$C$32, $C$9, 100%, $E$9)</f>
        <v>6.3246000000000002</v>
      </c>
      <c r="J277" s="9">
        <f>6.3214 * CHOOSE(CONTROL!$C$32, $C$9, 100%, $E$9)</f>
        <v>6.3213999999999997</v>
      </c>
      <c r="K277" s="9">
        <f>6.3246 * CHOOSE(CONTROL!$C$32, $C$9, 100%, $E$9)</f>
        <v>6.3246000000000002</v>
      </c>
      <c r="L277" s="9">
        <f>5.1452 * CHOOSE(CONTROL!$C$32, $C$9, 100%, $E$9)</f>
        <v>5.1452</v>
      </c>
      <c r="M277" s="9">
        <f>5.1484 * CHOOSE(CONTROL!$C$32, $C$9, 100%, $E$9)</f>
        <v>5.1483999999999996</v>
      </c>
      <c r="N277" s="9">
        <f>5.1452 * CHOOSE(CONTROL!$C$32, $C$9, 100%, $E$9)</f>
        <v>5.1452</v>
      </c>
      <c r="O277" s="9">
        <f>5.1484 * CHOOSE(CONTROL!$C$32, $C$9, 100%, $E$9)</f>
        <v>5.1483999999999996</v>
      </c>
    </row>
    <row r="278" spans="1:15" ht="15" x14ac:dyDescent="0.2">
      <c r="A278" s="16">
        <v>48945</v>
      </c>
      <c r="B278" s="10">
        <f>5.1288 * CHOOSE(CONTROL!$C$32, $C$9, 100%, $E$9)</f>
        <v>5.1288</v>
      </c>
      <c r="C278" s="10">
        <f>5.1288 * CHOOSE(CONTROL!$C$32, $C$9, 100%, $E$9)</f>
        <v>5.1288</v>
      </c>
      <c r="D278" s="10">
        <f>5.1297 * CHOOSE(CONTROL!$C$32, $C$9, 100%, $E$9)</f>
        <v>5.1296999999999997</v>
      </c>
      <c r="E278" s="9">
        <f>5.208 * CHOOSE(CONTROL!$C$32, $C$9, 100%, $E$9)</f>
        <v>5.2080000000000002</v>
      </c>
      <c r="F278" s="9">
        <f>5.208 * CHOOSE(CONTROL!$C$32, $C$9, 100%, $E$9)</f>
        <v>5.2080000000000002</v>
      </c>
      <c r="G278" s="9">
        <f>5.2112 * CHOOSE(CONTROL!$C$32, $C$9, 100%, $E$9)</f>
        <v>5.2111999999999998</v>
      </c>
      <c r="H278" s="9">
        <f>6.3693 * CHOOSE(CONTROL!$C$32, $C$9, 100%, $E$9)</f>
        <v>6.3693</v>
      </c>
      <c r="I278" s="9">
        <f>6.3725 * CHOOSE(CONTROL!$C$32, $C$9, 100%, $E$9)</f>
        <v>6.3724999999999996</v>
      </c>
      <c r="J278" s="9">
        <f>6.3693 * CHOOSE(CONTROL!$C$32, $C$9, 100%, $E$9)</f>
        <v>6.3693</v>
      </c>
      <c r="K278" s="9">
        <f>6.3725 * CHOOSE(CONTROL!$C$32, $C$9, 100%, $E$9)</f>
        <v>6.3724999999999996</v>
      </c>
      <c r="L278" s="9">
        <f>5.208 * CHOOSE(CONTROL!$C$32, $C$9, 100%, $E$9)</f>
        <v>5.2080000000000002</v>
      </c>
      <c r="M278" s="9">
        <f>5.2112 * CHOOSE(CONTROL!$C$32, $C$9, 100%, $E$9)</f>
        <v>5.2111999999999998</v>
      </c>
      <c r="N278" s="9">
        <f>5.208 * CHOOSE(CONTROL!$C$32, $C$9, 100%, $E$9)</f>
        <v>5.2080000000000002</v>
      </c>
      <c r="O278" s="9">
        <f>5.2112 * CHOOSE(CONTROL!$C$32, $C$9, 100%, $E$9)</f>
        <v>5.2111999999999998</v>
      </c>
    </row>
    <row r="279" spans="1:15" ht="15" x14ac:dyDescent="0.2">
      <c r="A279" s="16">
        <v>48976</v>
      </c>
      <c r="B279" s="10">
        <f>5.1257 * CHOOSE(CONTROL!$C$32, $C$9, 100%, $E$9)</f>
        <v>5.1257000000000001</v>
      </c>
      <c r="C279" s="10">
        <f>5.1257 * CHOOSE(CONTROL!$C$32, $C$9, 100%, $E$9)</f>
        <v>5.1257000000000001</v>
      </c>
      <c r="D279" s="10">
        <f>5.1267 * CHOOSE(CONTROL!$C$32, $C$9, 100%, $E$9)</f>
        <v>5.1266999999999996</v>
      </c>
      <c r="E279" s="9">
        <f>5.1156 * CHOOSE(CONTROL!$C$32, $C$9, 100%, $E$9)</f>
        <v>5.1155999999999997</v>
      </c>
      <c r="F279" s="9">
        <f>5.1156 * CHOOSE(CONTROL!$C$32, $C$9, 100%, $E$9)</f>
        <v>5.1155999999999997</v>
      </c>
      <c r="G279" s="9">
        <f>5.1188 * CHOOSE(CONTROL!$C$32, $C$9, 100%, $E$9)</f>
        <v>5.1188000000000002</v>
      </c>
      <c r="H279" s="9">
        <f>6.3673 * CHOOSE(CONTROL!$C$32, $C$9, 100%, $E$9)</f>
        <v>6.3673000000000002</v>
      </c>
      <c r="I279" s="9">
        <f>6.3705 * CHOOSE(CONTROL!$C$32, $C$9, 100%, $E$9)</f>
        <v>6.3704999999999998</v>
      </c>
      <c r="J279" s="9">
        <f>6.3673 * CHOOSE(CONTROL!$C$32, $C$9, 100%, $E$9)</f>
        <v>6.3673000000000002</v>
      </c>
      <c r="K279" s="9">
        <f>6.3705 * CHOOSE(CONTROL!$C$32, $C$9, 100%, $E$9)</f>
        <v>6.3704999999999998</v>
      </c>
      <c r="L279" s="9">
        <f>5.1156 * CHOOSE(CONTROL!$C$32, $C$9, 100%, $E$9)</f>
        <v>5.1155999999999997</v>
      </c>
      <c r="M279" s="9">
        <f>5.1188 * CHOOSE(CONTROL!$C$32, $C$9, 100%, $E$9)</f>
        <v>5.1188000000000002</v>
      </c>
      <c r="N279" s="9">
        <f>5.1156 * CHOOSE(CONTROL!$C$32, $C$9, 100%, $E$9)</f>
        <v>5.1155999999999997</v>
      </c>
      <c r="O279" s="9">
        <f>5.1188 * CHOOSE(CONTROL!$C$32, $C$9, 100%, $E$9)</f>
        <v>5.1188000000000002</v>
      </c>
    </row>
    <row r="280" spans="1:15" ht="15" x14ac:dyDescent="0.2">
      <c r="A280" s="16">
        <v>49004</v>
      </c>
      <c r="B280" s="10">
        <f>5.1227 * CHOOSE(CONTROL!$C$32, $C$9, 100%, $E$9)</f>
        <v>5.1227</v>
      </c>
      <c r="C280" s="10">
        <f>5.1227 * CHOOSE(CONTROL!$C$32, $C$9, 100%, $E$9)</f>
        <v>5.1227</v>
      </c>
      <c r="D280" s="10">
        <f>5.1236 * CHOOSE(CONTROL!$C$32, $C$9, 100%, $E$9)</f>
        <v>5.1235999999999997</v>
      </c>
      <c r="E280" s="9">
        <f>5.1847 * CHOOSE(CONTROL!$C$32, $C$9, 100%, $E$9)</f>
        <v>5.1847000000000003</v>
      </c>
      <c r="F280" s="9">
        <f>5.1847 * CHOOSE(CONTROL!$C$32, $C$9, 100%, $E$9)</f>
        <v>5.1847000000000003</v>
      </c>
      <c r="G280" s="9">
        <f>5.1879 * CHOOSE(CONTROL!$C$32, $C$9, 100%, $E$9)</f>
        <v>5.1879</v>
      </c>
      <c r="H280" s="9">
        <f>6.3653 * CHOOSE(CONTROL!$C$32, $C$9, 100%, $E$9)</f>
        <v>6.3653000000000004</v>
      </c>
      <c r="I280" s="9">
        <f>6.3685 * CHOOSE(CONTROL!$C$32, $C$9, 100%, $E$9)</f>
        <v>6.3685</v>
      </c>
      <c r="J280" s="9">
        <f>6.3653 * CHOOSE(CONTROL!$C$32, $C$9, 100%, $E$9)</f>
        <v>6.3653000000000004</v>
      </c>
      <c r="K280" s="9">
        <f>6.3685 * CHOOSE(CONTROL!$C$32, $C$9, 100%, $E$9)</f>
        <v>6.3685</v>
      </c>
      <c r="L280" s="9">
        <f>5.1847 * CHOOSE(CONTROL!$C$32, $C$9, 100%, $E$9)</f>
        <v>5.1847000000000003</v>
      </c>
      <c r="M280" s="9">
        <f>5.1879 * CHOOSE(CONTROL!$C$32, $C$9, 100%, $E$9)</f>
        <v>5.1879</v>
      </c>
      <c r="N280" s="9">
        <f>5.1847 * CHOOSE(CONTROL!$C$32, $C$9, 100%, $E$9)</f>
        <v>5.1847000000000003</v>
      </c>
      <c r="O280" s="9">
        <f>5.1879 * CHOOSE(CONTROL!$C$32, $C$9, 100%, $E$9)</f>
        <v>5.1879</v>
      </c>
    </row>
    <row r="281" spans="1:15" ht="15" x14ac:dyDescent="0.2">
      <c r="A281" s="16">
        <v>49035</v>
      </c>
      <c r="B281" s="10">
        <f>5.1216 * CHOOSE(CONTROL!$C$32, $C$9, 100%, $E$9)</f>
        <v>5.1215999999999999</v>
      </c>
      <c r="C281" s="10">
        <f>5.1216 * CHOOSE(CONTROL!$C$32, $C$9, 100%, $E$9)</f>
        <v>5.1215999999999999</v>
      </c>
      <c r="D281" s="10">
        <f>5.1225 * CHOOSE(CONTROL!$C$32, $C$9, 100%, $E$9)</f>
        <v>5.1224999999999996</v>
      </c>
      <c r="E281" s="9">
        <f>5.2569 * CHOOSE(CONTROL!$C$32, $C$9, 100%, $E$9)</f>
        <v>5.2568999999999999</v>
      </c>
      <c r="F281" s="9">
        <f>5.2569 * CHOOSE(CONTROL!$C$32, $C$9, 100%, $E$9)</f>
        <v>5.2568999999999999</v>
      </c>
      <c r="G281" s="9">
        <f>5.26 * CHOOSE(CONTROL!$C$32, $C$9, 100%, $E$9)</f>
        <v>5.26</v>
      </c>
      <c r="H281" s="9">
        <f>6.3644 * CHOOSE(CONTROL!$C$32, $C$9, 100%, $E$9)</f>
        <v>6.3643999999999998</v>
      </c>
      <c r="I281" s="9">
        <f>6.3676 * CHOOSE(CONTROL!$C$32, $C$9, 100%, $E$9)</f>
        <v>6.3676000000000004</v>
      </c>
      <c r="J281" s="9">
        <f>6.3644 * CHOOSE(CONTROL!$C$32, $C$9, 100%, $E$9)</f>
        <v>6.3643999999999998</v>
      </c>
      <c r="K281" s="9">
        <f>6.3676 * CHOOSE(CONTROL!$C$32, $C$9, 100%, $E$9)</f>
        <v>6.3676000000000004</v>
      </c>
      <c r="L281" s="9">
        <f>5.2569 * CHOOSE(CONTROL!$C$32, $C$9, 100%, $E$9)</f>
        <v>5.2568999999999999</v>
      </c>
      <c r="M281" s="9">
        <f>5.26 * CHOOSE(CONTROL!$C$32, $C$9, 100%, $E$9)</f>
        <v>5.26</v>
      </c>
      <c r="N281" s="9">
        <f>5.2569 * CHOOSE(CONTROL!$C$32, $C$9, 100%, $E$9)</f>
        <v>5.2568999999999999</v>
      </c>
      <c r="O281" s="9">
        <f>5.26 * CHOOSE(CONTROL!$C$32, $C$9, 100%, $E$9)</f>
        <v>5.26</v>
      </c>
    </row>
    <row r="282" spans="1:15" ht="15" x14ac:dyDescent="0.2">
      <c r="A282" s="16">
        <v>49065</v>
      </c>
      <c r="B282" s="10">
        <f>5.1216 * CHOOSE(CONTROL!$C$32, $C$9, 100%, $E$9)</f>
        <v>5.1215999999999999</v>
      </c>
      <c r="C282" s="10">
        <f>5.1216 * CHOOSE(CONTROL!$C$32, $C$9, 100%, $E$9)</f>
        <v>5.1215999999999999</v>
      </c>
      <c r="D282" s="10">
        <f>5.1229 * CHOOSE(CONTROL!$C$32, $C$9, 100%, $E$9)</f>
        <v>5.1228999999999996</v>
      </c>
      <c r="E282" s="9">
        <f>5.2855 * CHOOSE(CONTROL!$C$32, $C$9, 100%, $E$9)</f>
        <v>5.2854999999999999</v>
      </c>
      <c r="F282" s="9">
        <f>5.2855 * CHOOSE(CONTROL!$C$32, $C$9, 100%, $E$9)</f>
        <v>5.2854999999999999</v>
      </c>
      <c r="G282" s="9">
        <f>5.2899 * CHOOSE(CONTROL!$C$32, $C$9, 100%, $E$9)</f>
        <v>5.2899000000000003</v>
      </c>
      <c r="H282" s="9">
        <f>6.3644 * CHOOSE(CONTROL!$C$32, $C$9, 100%, $E$9)</f>
        <v>6.3643999999999998</v>
      </c>
      <c r="I282" s="9">
        <f>6.3687 * CHOOSE(CONTROL!$C$32, $C$9, 100%, $E$9)</f>
        <v>6.3686999999999996</v>
      </c>
      <c r="J282" s="9">
        <f>6.3644 * CHOOSE(CONTROL!$C$32, $C$9, 100%, $E$9)</f>
        <v>6.3643999999999998</v>
      </c>
      <c r="K282" s="9">
        <f>6.3687 * CHOOSE(CONTROL!$C$32, $C$9, 100%, $E$9)</f>
        <v>6.3686999999999996</v>
      </c>
      <c r="L282" s="9">
        <f>5.2855 * CHOOSE(CONTROL!$C$32, $C$9, 100%, $E$9)</f>
        <v>5.2854999999999999</v>
      </c>
      <c r="M282" s="9">
        <f>5.2899 * CHOOSE(CONTROL!$C$32, $C$9, 100%, $E$9)</f>
        <v>5.2899000000000003</v>
      </c>
      <c r="N282" s="9">
        <f>5.2855 * CHOOSE(CONTROL!$C$32, $C$9, 100%, $E$9)</f>
        <v>5.2854999999999999</v>
      </c>
      <c r="O282" s="9">
        <f>5.2899 * CHOOSE(CONTROL!$C$32, $C$9, 100%, $E$9)</f>
        <v>5.2899000000000003</v>
      </c>
    </row>
    <row r="283" spans="1:15" ht="15" x14ac:dyDescent="0.2">
      <c r="A283" s="16">
        <v>49096</v>
      </c>
      <c r="B283" s="10">
        <f>5.1277 * CHOOSE(CONTROL!$C$32, $C$9, 100%, $E$9)</f>
        <v>5.1276999999999999</v>
      </c>
      <c r="C283" s="10">
        <f>5.1277 * CHOOSE(CONTROL!$C$32, $C$9, 100%, $E$9)</f>
        <v>5.1276999999999999</v>
      </c>
      <c r="D283" s="10">
        <f>5.129 * CHOOSE(CONTROL!$C$32, $C$9, 100%, $E$9)</f>
        <v>5.1289999999999996</v>
      </c>
      <c r="E283" s="9">
        <f>5.2611 * CHOOSE(CONTROL!$C$32, $C$9, 100%, $E$9)</f>
        <v>5.2610999999999999</v>
      </c>
      <c r="F283" s="9">
        <f>5.2611 * CHOOSE(CONTROL!$C$32, $C$9, 100%, $E$9)</f>
        <v>5.2610999999999999</v>
      </c>
      <c r="G283" s="9">
        <f>5.2655 * CHOOSE(CONTROL!$C$32, $C$9, 100%, $E$9)</f>
        <v>5.2655000000000003</v>
      </c>
      <c r="H283" s="9">
        <f>6.3684 * CHOOSE(CONTROL!$C$32, $C$9, 100%, $E$9)</f>
        <v>6.3684000000000003</v>
      </c>
      <c r="I283" s="9">
        <f>6.3727 * CHOOSE(CONTROL!$C$32, $C$9, 100%, $E$9)</f>
        <v>6.3727</v>
      </c>
      <c r="J283" s="9">
        <f>6.3684 * CHOOSE(CONTROL!$C$32, $C$9, 100%, $E$9)</f>
        <v>6.3684000000000003</v>
      </c>
      <c r="K283" s="9">
        <f>6.3727 * CHOOSE(CONTROL!$C$32, $C$9, 100%, $E$9)</f>
        <v>6.3727</v>
      </c>
      <c r="L283" s="9">
        <f>5.2611 * CHOOSE(CONTROL!$C$32, $C$9, 100%, $E$9)</f>
        <v>5.2610999999999999</v>
      </c>
      <c r="M283" s="9">
        <f>5.2655 * CHOOSE(CONTROL!$C$32, $C$9, 100%, $E$9)</f>
        <v>5.2655000000000003</v>
      </c>
      <c r="N283" s="9">
        <f>5.2611 * CHOOSE(CONTROL!$C$32, $C$9, 100%, $E$9)</f>
        <v>5.2610999999999999</v>
      </c>
      <c r="O283" s="9">
        <f>5.2655 * CHOOSE(CONTROL!$C$32, $C$9, 100%, $E$9)</f>
        <v>5.2655000000000003</v>
      </c>
    </row>
    <row r="284" spans="1:15" ht="15" x14ac:dyDescent="0.2">
      <c r="A284" s="16">
        <v>49126</v>
      </c>
      <c r="B284" s="10">
        <f>5.2067 * CHOOSE(CONTROL!$C$32, $C$9, 100%, $E$9)</f>
        <v>5.2066999999999997</v>
      </c>
      <c r="C284" s="10">
        <f>5.2067 * CHOOSE(CONTROL!$C$32, $C$9, 100%, $E$9)</f>
        <v>5.2066999999999997</v>
      </c>
      <c r="D284" s="10">
        <f>5.208 * CHOOSE(CONTROL!$C$32, $C$9, 100%, $E$9)</f>
        <v>5.2080000000000002</v>
      </c>
      <c r="E284" s="9">
        <f>5.3101 * CHOOSE(CONTROL!$C$32, $C$9, 100%, $E$9)</f>
        <v>5.3101000000000003</v>
      </c>
      <c r="F284" s="9">
        <f>5.3101 * CHOOSE(CONTROL!$C$32, $C$9, 100%, $E$9)</f>
        <v>5.3101000000000003</v>
      </c>
      <c r="G284" s="9">
        <f>5.3144 * CHOOSE(CONTROL!$C$32, $C$9, 100%, $E$9)</f>
        <v>5.3144</v>
      </c>
      <c r="H284" s="9">
        <f>6.4678 * CHOOSE(CONTROL!$C$32, $C$9, 100%, $E$9)</f>
        <v>6.4678000000000004</v>
      </c>
      <c r="I284" s="9">
        <f>6.4722 * CHOOSE(CONTROL!$C$32, $C$9, 100%, $E$9)</f>
        <v>6.4722</v>
      </c>
      <c r="J284" s="9">
        <f>6.4678 * CHOOSE(CONTROL!$C$32, $C$9, 100%, $E$9)</f>
        <v>6.4678000000000004</v>
      </c>
      <c r="K284" s="9">
        <f>6.4722 * CHOOSE(CONTROL!$C$32, $C$9, 100%, $E$9)</f>
        <v>6.4722</v>
      </c>
      <c r="L284" s="9">
        <f>5.3101 * CHOOSE(CONTROL!$C$32, $C$9, 100%, $E$9)</f>
        <v>5.3101000000000003</v>
      </c>
      <c r="M284" s="9">
        <f>5.3144 * CHOOSE(CONTROL!$C$32, $C$9, 100%, $E$9)</f>
        <v>5.3144</v>
      </c>
      <c r="N284" s="9">
        <f>5.3101 * CHOOSE(CONTROL!$C$32, $C$9, 100%, $E$9)</f>
        <v>5.3101000000000003</v>
      </c>
      <c r="O284" s="9">
        <f>5.3144 * CHOOSE(CONTROL!$C$32, $C$9, 100%, $E$9)</f>
        <v>5.3144</v>
      </c>
    </row>
    <row r="285" spans="1:15" ht="15" x14ac:dyDescent="0.2">
      <c r="A285" s="16">
        <v>49157</v>
      </c>
      <c r="B285" s="10">
        <f>5.2134 * CHOOSE(CONTROL!$C$32, $C$9, 100%, $E$9)</f>
        <v>5.2134</v>
      </c>
      <c r="C285" s="10">
        <f>5.2134 * CHOOSE(CONTROL!$C$32, $C$9, 100%, $E$9)</f>
        <v>5.2134</v>
      </c>
      <c r="D285" s="10">
        <f>5.2147 * CHOOSE(CONTROL!$C$32, $C$9, 100%, $E$9)</f>
        <v>5.2146999999999997</v>
      </c>
      <c r="E285" s="9">
        <f>5.2288 * CHOOSE(CONTROL!$C$32, $C$9, 100%, $E$9)</f>
        <v>5.2287999999999997</v>
      </c>
      <c r="F285" s="9">
        <f>5.2288 * CHOOSE(CONTROL!$C$32, $C$9, 100%, $E$9)</f>
        <v>5.2287999999999997</v>
      </c>
      <c r="G285" s="9">
        <f>5.2331 * CHOOSE(CONTROL!$C$32, $C$9, 100%, $E$9)</f>
        <v>5.2331000000000003</v>
      </c>
      <c r="H285" s="9">
        <f>6.4722 * CHOOSE(CONTROL!$C$32, $C$9, 100%, $E$9)</f>
        <v>6.4722</v>
      </c>
      <c r="I285" s="9">
        <f>6.4766 * CHOOSE(CONTROL!$C$32, $C$9, 100%, $E$9)</f>
        <v>6.4766000000000004</v>
      </c>
      <c r="J285" s="9">
        <f>6.4722 * CHOOSE(CONTROL!$C$32, $C$9, 100%, $E$9)</f>
        <v>6.4722</v>
      </c>
      <c r="K285" s="9">
        <f>6.4766 * CHOOSE(CONTROL!$C$32, $C$9, 100%, $E$9)</f>
        <v>6.4766000000000004</v>
      </c>
      <c r="L285" s="9">
        <f>5.2288 * CHOOSE(CONTROL!$C$32, $C$9, 100%, $E$9)</f>
        <v>5.2287999999999997</v>
      </c>
      <c r="M285" s="9">
        <f>5.2331 * CHOOSE(CONTROL!$C$32, $C$9, 100%, $E$9)</f>
        <v>5.2331000000000003</v>
      </c>
      <c r="N285" s="9">
        <f>5.2288 * CHOOSE(CONTROL!$C$32, $C$9, 100%, $E$9)</f>
        <v>5.2287999999999997</v>
      </c>
      <c r="O285" s="9">
        <f>5.2331 * CHOOSE(CONTROL!$C$32, $C$9, 100%, $E$9)</f>
        <v>5.2331000000000003</v>
      </c>
    </row>
    <row r="286" spans="1:15" ht="15" x14ac:dyDescent="0.2">
      <c r="A286" s="16">
        <v>49188</v>
      </c>
      <c r="B286" s="10">
        <f>5.2104 * CHOOSE(CONTROL!$C$32, $C$9, 100%, $E$9)</f>
        <v>5.2103999999999999</v>
      </c>
      <c r="C286" s="10">
        <f>5.2104 * CHOOSE(CONTROL!$C$32, $C$9, 100%, $E$9)</f>
        <v>5.2103999999999999</v>
      </c>
      <c r="D286" s="10">
        <f>5.2117 * CHOOSE(CONTROL!$C$32, $C$9, 100%, $E$9)</f>
        <v>5.2117000000000004</v>
      </c>
      <c r="E286" s="9">
        <f>5.2171 * CHOOSE(CONTROL!$C$32, $C$9, 100%, $E$9)</f>
        <v>5.2171000000000003</v>
      </c>
      <c r="F286" s="9">
        <f>5.2171 * CHOOSE(CONTROL!$C$32, $C$9, 100%, $E$9)</f>
        <v>5.2171000000000003</v>
      </c>
      <c r="G286" s="9">
        <f>5.2215 * CHOOSE(CONTROL!$C$32, $C$9, 100%, $E$9)</f>
        <v>5.2214999999999998</v>
      </c>
      <c r="H286" s="9">
        <f>6.4702 * CHOOSE(CONTROL!$C$32, $C$9, 100%, $E$9)</f>
        <v>6.4702000000000002</v>
      </c>
      <c r="I286" s="9">
        <f>6.4746 * CHOOSE(CONTROL!$C$32, $C$9, 100%, $E$9)</f>
        <v>6.4745999999999997</v>
      </c>
      <c r="J286" s="9">
        <f>6.4702 * CHOOSE(CONTROL!$C$32, $C$9, 100%, $E$9)</f>
        <v>6.4702000000000002</v>
      </c>
      <c r="K286" s="9">
        <f>6.4746 * CHOOSE(CONTROL!$C$32, $C$9, 100%, $E$9)</f>
        <v>6.4745999999999997</v>
      </c>
      <c r="L286" s="9">
        <f>5.2171 * CHOOSE(CONTROL!$C$32, $C$9, 100%, $E$9)</f>
        <v>5.2171000000000003</v>
      </c>
      <c r="M286" s="9">
        <f>5.2215 * CHOOSE(CONTROL!$C$32, $C$9, 100%, $E$9)</f>
        <v>5.2214999999999998</v>
      </c>
      <c r="N286" s="9">
        <f>5.2171 * CHOOSE(CONTROL!$C$32, $C$9, 100%, $E$9)</f>
        <v>5.2171000000000003</v>
      </c>
      <c r="O286" s="9">
        <f>5.2215 * CHOOSE(CONTROL!$C$32, $C$9, 100%, $E$9)</f>
        <v>5.2214999999999998</v>
      </c>
    </row>
    <row r="287" spans="1:15" ht="15" x14ac:dyDescent="0.2">
      <c r="A287" s="16">
        <v>49218</v>
      </c>
      <c r="B287" s="10">
        <f>5.2106 * CHOOSE(CONTROL!$C$32, $C$9, 100%, $E$9)</f>
        <v>5.2106000000000003</v>
      </c>
      <c r="C287" s="10">
        <f>5.2106 * CHOOSE(CONTROL!$C$32, $C$9, 100%, $E$9)</f>
        <v>5.2106000000000003</v>
      </c>
      <c r="D287" s="10">
        <f>5.2115 * CHOOSE(CONTROL!$C$32, $C$9, 100%, $E$9)</f>
        <v>5.2115</v>
      </c>
      <c r="E287" s="9">
        <f>5.2419 * CHOOSE(CONTROL!$C$32, $C$9, 100%, $E$9)</f>
        <v>5.2419000000000002</v>
      </c>
      <c r="F287" s="9">
        <f>5.2419 * CHOOSE(CONTROL!$C$32, $C$9, 100%, $E$9)</f>
        <v>5.2419000000000002</v>
      </c>
      <c r="G287" s="9">
        <f>5.2451 * CHOOSE(CONTROL!$C$32, $C$9, 100%, $E$9)</f>
        <v>5.2450999999999999</v>
      </c>
      <c r="H287" s="9">
        <f>6.4696 * CHOOSE(CONTROL!$C$32, $C$9, 100%, $E$9)</f>
        <v>6.4695999999999998</v>
      </c>
      <c r="I287" s="9">
        <f>6.4728 * CHOOSE(CONTROL!$C$32, $C$9, 100%, $E$9)</f>
        <v>6.4728000000000003</v>
      </c>
      <c r="J287" s="9">
        <f>6.4696 * CHOOSE(CONTROL!$C$32, $C$9, 100%, $E$9)</f>
        <v>6.4695999999999998</v>
      </c>
      <c r="K287" s="9">
        <f>6.4728 * CHOOSE(CONTROL!$C$32, $C$9, 100%, $E$9)</f>
        <v>6.4728000000000003</v>
      </c>
      <c r="L287" s="9">
        <f>5.2419 * CHOOSE(CONTROL!$C$32, $C$9, 100%, $E$9)</f>
        <v>5.2419000000000002</v>
      </c>
      <c r="M287" s="9">
        <f>5.2451 * CHOOSE(CONTROL!$C$32, $C$9, 100%, $E$9)</f>
        <v>5.2450999999999999</v>
      </c>
      <c r="N287" s="9">
        <f>5.2419 * CHOOSE(CONTROL!$C$32, $C$9, 100%, $E$9)</f>
        <v>5.2419000000000002</v>
      </c>
      <c r="O287" s="9">
        <f>5.2451 * CHOOSE(CONTROL!$C$32, $C$9, 100%, $E$9)</f>
        <v>5.2450999999999999</v>
      </c>
    </row>
    <row r="288" spans="1:15" ht="15" x14ac:dyDescent="0.2">
      <c r="A288" s="16">
        <v>49249</v>
      </c>
      <c r="B288" s="10">
        <f>5.2136 * CHOOSE(CONTROL!$C$32, $C$9, 100%, $E$9)</f>
        <v>5.2135999999999996</v>
      </c>
      <c r="C288" s="10">
        <f>5.2136 * CHOOSE(CONTROL!$C$32, $C$9, 100%, $E$9)</f>
        <v>5.2135999999999996</v>
      </c>
      <c r="D288" s="10">
        <f>5.2146 * CHOOSE(CONTROL!$C$32, $C$9, 100%, $E$9)</f>
        <v>5.2145999999999999</v>
      </c>
      <c r="E288" s="9">
        <f>5.2631 * CHOOSE(CONTROL!$C$32, $C$9, 100%, $E$9)</f>
        <v>5.2630999999999997</v>
      </c>
      <c r="F288" s="9">
        <f>5.2631 * CHOOSE(CONTROL!$C$32, $C$9, 100%, $E$9)</f>
        <v>5.2630999999999997</v>
      </c>
      <c r="G288" s="9">
        <f>5.2663 * CHOOSE(CONTROL!$C$32, $C$9, 100%, $E$9)</f>
        <v>5.2663000000000002</v>
      </c>
      <c r="H288" s="9">
        <f>6.4716 * CHOOSE(CONTROL!$C$32, $C$9, 100%, $E$9)</f>
        <v>6.4715999999999996</v>
      </c>
      <c r="I288" s="9">
        <f>6.4748 * CHOOSE(CONTROL!$C$32, $C$9, 100%, $E$9)</f>
        <v>6.4748000000000001</v>
      </c>
      <c r="J288" s="9">
        <f>6.4716 * CHOOSE(CONTROL!$C$32, $C$9, 100%, $E$9)</f>
        <v>6.4715999999999996</v>
      </c>
      <c r="K288" s="9">
        <f>6.4748 * CHOOSE(CONTROL!$C$32, $C$9, 100%, $E$9)</f>
        <v>6.4748000000000001</v>
      </c>
      <c r="L288" s="9">
        <f>5.2631 * CHOOSE(CONTROL!$C$32, $C$9, 100%, $E$9)</f>
        <v>5.2630999999999997</v>
      </c>
      <c r="M288" s="9">
        <f>5.2663 * CHOOSE(CONTROL!$C$32, $C$9, 100%, $E$9)</f>
        <v>5.2663000000000002</v>
      </c>
      <c r="N288" s="9">
        <f>5.2631 * CHOOSE(CONTROL!$C$32, $C$9, 100%, $E$9)</f>
        <v>5.2630999999999997</v>
      </c>
      <c r="O288" s="9">
        <f>5.2663 * CHOOSE(CONTROL!$C$32, $C$9, 100%, $E$9)</f>
        <v>5.2663000000000002</v>
      </c>
    </row>
    <row r="289" spans="1:15" ht="15" x14ac:dyDescent="0.2">
      <c r="A289" s="16">
        <v>49279</v>
      </c>
      <c r="B289" s="10">
        <f>5.2136 * CHOOSE(CONTROL!$C$32, $C$9, 100%, $E$9)</f>
        <v>5.2135999999999996</v>
      </c>
      <c r="C289" s="10">
        <f>5.2136 * CHOOSE(CONTROL!$C$32, $C$9, 100%, $E$9)</f>
        <v>5.2135999999999996</v>
      </c>
      <c r="D289" s="10">
        <f>5.2146 * CHOOSE(CONTROL!$C$32, $C$9, 100%, $E$9)</f>
        <v>5.2145999999999999</v>
      </c>
      <c r="E289" s="9">
        <f>5.2153 * CHOOSE(CONTROL!$C$32, $C$9, 100%, $E$9)</f>
        <v>5.2153</v>
      </c>
      <c r="F289" s="9">
        <f>5.2153 * CHOOSE(CONTROL!$C$32, $C$9, 100%, $E$9)</f>
        <v>5.2153</v>
      </c>
      <c r="G289" s="9">
        <f>5.2185 * CHOOSE(CONTROL!$C$32, $C$9, 100%, $E$9)</f>
        <v>5.2184999999999997</v>
      </c>
      <c r="H289" s="9">
        <f>6.4716 * CHOOSE(CONTROL!$C$32, $C$9, 100%, $E$9)</f>
        <v>6.4715999999999996</v>
      </c>
      <c r="I289" s="9">
        <f>6.4748 * CHOOSE(CONTROL!$C$32, $C$9, 100%, $E$9)</f>
        <v>6.4748000000000001</v>
      </c>
      <c r="J289" s="9">
        <f>6.4716 * CHOOSE(CONTROL!$C$32, $C$9, 100%, $E$9)</f>
        <v>6.4715999999999996</v>
      </c>
      <c r="K289" s="9">
        <f>6.4748 * CHOOSE(CONTROL!$C$32, $C$9, 100%, $E$9)</f>
        <v>6.4748000000000001</v>
      </c>
      <c r="L289" s="9">
        <f>5.2153 * CHOOSE(CONTROL!$C$32, $C$9, 100%, $E$9)</f>
        <v>5.2153</v>
      </c>
      <c r="M289" s="9">
        <f>5.2185 * CHOOSE(CONTROL!$C$32, $C$9, 100%, $E$9)</f>
        <v>5.2184999999999997</v>
      </c>
      <c r="N289" s="9">
        <f>5.2153 * CHOOSE(CONTROL!$C$32, $C$9, 100%, $E$9)</f>
        <v>5.2153</v>
      </c>
      <c r="O289" s="9">
        <f>5.2185 * CHOOSE(CONTROL!$C$32, $C$9, 100%, $E$9)</f>
        <v>5.2184999999999997</v>
      </c>
    </row>
    <row r="290" spans="1:15" ht="15" x14ac:dyDescent="0.2">
      <c r="A290" s="16">
        <v>49310</v>
      </c>
      <c r="B290" s="10">
        <f>5.2626 * CHOOSE(CONTROL!$C$32, $C$9, 100%, $E$9)</f>
        <v>5.2625999999999999</v>
      </c>
      <c r="C290" s="10">
        <f>5.2626 * CHOOSE(CONTROL!$C$32, $C$9, 100%, $E$9)</f>
        <v>5.2625999999999999</v>
      </c>
      <c r="D290" s="10">
        <f>5.2635 * CHOOSE(CONTROL!$C$32, $C$9, 100%, $E$9)</f>
        <v>5.2634999999999996</v>
      </c>
      <c r="E290" s="9">
        <f>5.2803 * CHOOSE(CONTROL!$C$32, $C$9, 100%, $E$9)</f>
        <v>5.2803000000000004</v>
      </c>
      <c r="F290" s="9">
        <f>5.2803 * CHOOSE(CONTROL!$C$32, $C$9, 100%, $E$9)</f>
        <v>5.2803000000000004</v>
      </c>
      <c r="G290" s="9">
        <f>5.2835 * CHOOSE(CONTROL!$C$32, $C$9, 100%, $E$9)</f>
        <v>5.2835000000000001</v>
      </c>
      <c r="H290" s="9">
        <f>6.5223 * CHOOSE(CONTROL!$C$32, $C$9, 100%, $E$9)</f>
        <v>6.5223000000000004</v>
      </c>
      <c r="I290" s="9">
        <f>6.5255 * CHOOSE(CONTROL!$C$32, $C$9, 100%, $E$9)</f>
        <v>6.5255000000000001</v>
      </c>
      <c r="J290" s="9">
        <f>6.5223 * CHOOSE(CONTROL!$C$32, $C$9, 100%, $E$9)</f>
        <v>6.5223000000000004</v>
      </c>
      <c r="K290" s="9">
        <f>6.5255 * CHOOSE(CONTROL!$C$32, $C$9, 100%, $E$9)</f>
        <v>6.5255000000000001</v>
      </c>
      <c r="L290" s="9">
        <f>5.2803 * CHOOSE(CONTROL!$C$32, $C$9, 100%, $E$9)</f>
        <v>5.2803000000000004</v>
      </c>
      <c r="M290" s="9">
        <f>5.2835 * CHOOSE(CONTROL!$C$32, $C$9, 100%, $E$9)</f>
        <v>5.2835000000000001</v>
      </c>
      <c r="N290" s="9">
        <f>5.2803 * CHOOSE(CONTROL!$C$32, $C$9, 100%, $E$9)</f>
        <v>5.2803000000000004</v>
      </c>
      <c r="O290" s="9">
        <f>5.2835 * CHOOSE(CONTROL!$C$32, $C$9, 100%, $E$9)</f>
        <v>5.2835000000000001</v>
      </c>
    </row>
    <row r="291" spans="1:15" ht="15" x14ac:dyDescent="0.2">
      <c r="A291" s="16">
        <v>49341</v>
      </c>
      <c r="B291" s="10">
        <f>5.2595 * CHOOSE(CONTROL!$C$32, $C$9, 100%, $E$9)</f>
        <v>5.2595000000000001</v>
      </c>
      <c r="C291" s="10">
        <f>5.2595 * CHOOSE(CONTROL!$C$32, $C$9, 100%, $E$9)</f>
        <v>5.2595000000000001</v>
      </c>
      <c r="D291" s="10">
        <f>5.2605 * CHOOSE(CONTROL!$C$32, $C$9, 100%, $E$9)</f>
        <v>5.2605000000000004</v>
      </c>
      <c r="E291" s="9">
        <f>5.185 * CHOOSE(CONTROL!$C$32, $C$9, 100%, $E$9)</f>
        <v>5.1849999999999996</v>
      </c>
      <c r="F291" s="9">
        <f>5.185 * CHOOSE(CONTROL!$C$32, $C$9, 100%, $E$9)</f>
        <v>5.1849999999999996</v>
      </c>
      <c r="G291" s="9">
        <f>5.1881 * CHOOSE(CONTROL!$C$32, $C$9, 100%, $E$9)</f>
        <v>5.1881000000000004</v>
      </c>
      <c r="H291" s="9">
        <f>6.5203 * CHOOSE(CONTROL!$C$32, $C$9, 100%, $E$9)</f>
        <v>6.5202999999999998</v>
      </c>
      <c r="I291" s="9">
        <f>6.5235 * CHOOSE(CONTROL!$C$32, $C$9, 100%, $E$9)</f>
        <v>6.5235000000000003</v>
      </c>
      <c r="J291" s="9">
        <f>6.5203 * CHOOSE(CONTROL!$C$32, $C$9, 100%, $E$9)</f>
        <v>6.5202999999999998</v>
      </c>
      <c r="K291" s="9">
        <f>6.5235 * CHOOSE(CONTROL!$C$32, $C$9, 100%, $E$9)</f>
        <v>6.5235000000000003</v>
      </c>
      <c r="L291" s="9">
        <f>5.185 * CHOOSE(CONTROL!$C$32, $C$9, 100%, $E$9)</f>
        <v>5.1849999999999996</v>
      </c>
      <c r="M291" s="9">
        <f>5.1881 * CHOOSE(CONTROL!$C$32, $C$9, 100%, $E$9)</f>
        <v>5.1881000000000004</v>
      </c>
      <c r="N291" s="9">
        <f>5.185 * CHOOSE(CONTROL!$C$32, $C$9, 100%, $E$9)</f>
        <v>5.1849999999999996</v>
      </c>
      <c r="O291" s="9">
        <f>5.1881 * CHOOSE(CONTROL!$C$32, $C$9, 100%, $E$9)</f>
        <v>5.1881000000000004</v>
      </c>
    </row>
    <row r="292" spans="1:15" ht="15" x14ac:dyDescent="0.2">
      <c r="A292" s="16">
        <v>49369</v>
      </c>
      <c r="B292" s="10">
        <f>5.2565 * CHOOSE(CONTROL!$C$32, $C$9, 100%, $E$9)</f>
        <v>5.2565</v>
      </c>
      <c r="C292" s="10">
        <f>5.2565 * CHOOSE(CONTROL!$C$32, $C$9, 100%, $E$9)</f>
        <v>5.2565</v>
      </c>
      <c r="D292" s="10">
        <f>5.2575 * CHOOSE(CONTROL!$C$32, $C$9, 100%, $E$9)</f>
        <v>5.2575000000000003</v>
      </c>
      <c r="E292" s="9">
        <f>5.2563 * CHOOSE(CONTROL!$C$32, $C$9, 100%, $E$9)</f>
        <v>5.2563000000000004</v>
      </c>
      <c r="F292" s="9">
        <f>5.2563 * CHOOSE(CONTROL!$C$32, $C$9, 100%, $E$9)</f>
        <v>5.2563000000000004</v>
      </c>
      <c r="G292" s="9">
        <f>5.2595 * CHOOSE(CONTROL!$C$32, $C$9, 100%, $E$9)</f>
        <v>5.2595000000000001</v>
      </c>
      <c r="H292" s="9">
        <f>6.5183 * CHOOSE(CONTROL!$C$32, $C$9, 100%, $E$9)</f>
        <v>6.5183</v>
      </c>
      <c r="I292" s="9">
        <f>6.5215 * CHOOSE(CONTROL!$C$32, $C$9, 100%, $E$9)</f>
        <v>6.5214999999999996</v>
      </c>
      <c r="J292" s="9">
        <f>6.5183 * CHOOSE(CONTROL!$C$32, $C$9, 100%, $E$9)</f>
        <v>6.5183</v>
      </c>
      <c r="K292" s="9">
        <f>6.5215 * CHOOSE(CONTROL!$C$32, $C$9, 100%, $E$9)</f>
        <v>6.5214999999999996</v>
      </c>
      <c r="L292" s="9">
        <f>5.2563 * CHOOSE(CONTROL!$C$32, $C$9, 100%, $E$9)</f>
        <v>5.2563000000000004</v>
      </c>
      <c r="M292" s="9">
        <f>5.2595 * CHOOSE(CONTROL!$C$32, $C$9, 100%, $E$9)</f>
        <v>5.2595000000000001</v>
      </c>
      <c r="N292" s="9">
        <f>5.2563 * CHOOSE(CONTROL!$C$32, $C$9, 100%, $E$9)</f>
        <v>5.2563000000000004</v>
      </c>
      <c r="O292" s="9">
        <f>5.2595 * CHOOSE(CONTROL!$C$32, $C$9, 100%, $E$9)</f>
        <v>5.2595000000000001</v>
      </c>
    </row>
    <row r="293" spans="1:15" ht="15" x14ac:dyDescent="0.2">
      <c r="A293" s="16">
        <v>49400</v>
      </c>
      <c r="B293" s="10">
        <f>5.2555 * CHOOSE(CONTROL!$C$32, $C$9, 100%, $E$9)</f>
        <v>5.2554999999999996</v>
      </c>
      <c r="C293" s="10">
        <f>5.2555 * CHOOSE(CONTROL!$C$32, $C$9, 100%, $E$9)</f>
        <v>5.2554999999999996</v>
      </c>
      <c r="D293" s="10">
        <f>5.2565 * CHOOSE(CONTROL!$C$32, $C$9, 100%, $E$9)</f>
        <v>5.2565</v>
      </c>
      <c r="E293" s="9">
        <f>5.331 * CHOOSE(CONTROL!$C$32, $C$9, 100%, $E$9)</f>
        <v>5.3310000000000004</v>
      </c>
      <c r="F293" s="9">
        <f>5.331 * CHOOSE(CONTROL!$C$32, $C$9, 100%, $E$9)</f>
        <v>5.3310000000000004</v>
      </c>
      <c r="G293" s="9">
        <f>5.3342 * CHOOSE(CONTROL!$C$32, $C$9, 100%, $E$9)</f>
        <v>5.3342000000000001</v>
      </c>
      <c r="H293" s="9">
        <f>6.5175 * CHOOSE(CONTROL!$C$32, $C$9, 100%, $E$9)</f>
        <v>6.5175000000000001</v>
      </c>
      <c r="I293" s="9">
        <f>6.5207 * CHOOSE(CONTROL!$C$32, $C$9, 100%, $E$9)</f>
        <v>6.5206999999999997</v>
      </c>
      <c r="J293" s="9">
        <f>6.5175 * CHOOSE(CONTROL!$C$32, $C$9, 100%, $E$9)</f>
        <v>6.5175000000000001</v>
      </c>
      <c r="K293" s="9">
        <f>6.5207 * CHOOSE(CONTROL!$C$32, $C$9, 100%, $E$9)</f>
        <v>6.5206999999999997</v>
      </c>
      <c r="L293" s="9">
        <f>5.331 * CHOOSE(CONTROL!$C$32, $C$9, 100%, $E$9)</f>
        <v>5.3310000000000004</v>
      </c>
      <c r="M293" s="9">
        <f>5.3342 * CHOOSE(CONTROL!$C$32, $C$9, 100%, $E$9)</f>
        <v>5.3342000000000001</v>
      </c>
      <c r="N293" s="9">
        <f>5.331 * CHOOSE(CONTROL!$C$32, $C$9, 100%, $E$9)</f>
        <v>5.3310000000000004</v>
      </c>
      <c r="O293" s="9">
        <f>5.3342 * CHOOSE(CONTROL!$C$32, $C$9, 100%, $E$9)</f>
        <v>5.3342000000000001</v>
      </c>
    </row>
    <row r="294" spans="1:15" ht="15" x14ac:dyDescent="0.2">
      <c r="A294" s="16">
        <v>49430</v>
      </c>
      <c r="B294" s="10">
        <f>5.2555 * CHOOSE(CONTROL!$C$32, $C$9, 100%, $E$9)</f>
        <v>5.2554999999999996</v>
      </c>
      <c r="C294" s="10">
        <f>5.2555 * CHOOSE(CONTROL!$C$32, $C$9, 100%, $E$9)</f>
        <v>5.2554999999999996</v>
      </c>
      <c r="D294" s="10">
        <f>5.2568 * CHOOSE(CONTROL!$C$32, $C$9, 100%, $E$9)</f>
        <v>5.2568000000000001</v>
      </c>
      <c r="E294" s="9">
        <f>5.3606 * CHOOSE(CONTROL!$C$32, $C$9, 100%, $E$9)</f>
        <v>5.3605999999999998</v>
      </c>
      <c r="F294" s="9">
        <f>5.3606 * CHOOSE(CONTROL!$C$32, $C$9, 100%, $E$9)</f>
        <v>5.3605999999999998</v>
      </c>
      <c r="G294" s="9">
        <f>5.3649 * CHOOSE(CONTROL!$C$32, $C$9, 100%, $E$9)</f>
        <v>5.3648999999999996</v>
      </c>
      <c r="H294" s="9">
        <f>6.5175 * CHOOSE(CONTROL!$C$32, $C$9, 100%, $E$9)</f>
        <v>6.5175000000000001</v>
      </c>
      <c r="I294" s="9">
        <f>6.5218 * CHOOSE(CONTROL!$C$32, $C$9, 100%, $E$9)</f>
        <v>6.5217999999999998</v>
      </c>
      <c r="J294" s="9">
        <f>6.5175 * CHOOSE(CONTROL!$C$32, $C$9, 100%, $E$9)</f>
        <v>6.5175000000000001</v>
      </c>
      <c r="K294" s="9">
        <f>6.5218 * CHOOSE(CONTROL!$C$32, $C$9, 100%, $E$9)</f>
        <v>6.5217999999999998</v>
      </c>
      <c r="L294" s="9">
        <f>5.3606 * CHOOSE(CONTROL!$C$32, $C$9, 100%, $E$9)</f>
        <v>5.3605999999999998</v>
      </c>
      <c r="M294" s="9">
        <f>5.3649 * CHOOSE(CONTROL!$C$32, $C$9, 100%, $E$9)</f>
        <v>5.3648999999999996</v>
      </c>
      <c r="N294" s="9">
        <f>5.3606 * CHOOSE(CONTROL!$C$32, $C$9, 100%, $E$9)</f>
        <v>5.3605999999999998</v>
      </c>
      <c r="O294" s="9">
        <f>5.3649 * CHOOSE(CONTROL!$C$32, $C$9, 100%, $E$9)</f>
        <v>5.3648999999999996</v>
      </c>
    </row>
    <row r="295" spans="1:15" ht="15" x14ac:dyDescent="0.2">
      <c r="A295" s="15">
        <v>49461</v>
      </c>
      <c r="B295" s="10">
        <f>5.2616 * CHOOSE(CONTROL!$C$32, $C$9, 100%, $E$9)</f>
        <v>5.2615999999999996</v>
      </c>
      <c r="C295" s="10">
        <f>5.2616 * CHOOSE(CONTROL!$C$32, $C$9, 100%, $E$9)</f>
        <v>5.2615999999999996</v>
      </c>
      <c r="D295" s="10">
        <f>5.2629 * CHOOSE(CONTROL!$C$32, $C$9, 100%, $E$9)</f>
        <v>5.2629000000000001</v>
      </c>
      <c r="E295" s="9">
        <f>5.3352 * CHOOSE(CONTROL!$C$32, $C$9, 100%, $E$9)</f>
        <v>5.3352000000000004</v>
      </c>
      <c r="F295" s="9">
        <f>5.3352 * CHOOSE(CONTROL!$C$32, $C$9, 100%, $E$9)</f>
        <v>5.3352000000000004</v>
      </c>
      <c r="G295" s="9">
        <f>5.3396 * CHOOSE(CONTROL!$C$32, $C$9, 100%, $E$9)</f>
        <v>5.3395999999999999</v>
      </c>
      <c r="H295" s="9">
        <f>6.5215 * CHOOSE(CONTROL!$C$32, $C$9, 100%, $E$9)</f>
        <v>6.5214999999999996</v>
      </c>
      <c r="I295" s="9">
        <f>6.5258 * CHOOSE(CONTROL!$C$32, $C$9, 100%, $E$9)</f>
        <v>6.5258000000000003</v>
      </c>
      <c r="J295" s="9">
        <f>6.5215 * CHOOSE(CONTROL!$C$32, $C$9, 100%, $E$9)</f>
        <v>6.5214999999999996</v>
      </c>
      <c r="K295" s="9">
        <f>6.5258 * CHOOSE(CONTROL!$C$32, $C$9, 100%, $E$9)</f>
        <v>6.5258000000000003</v>
      </c>
      <c r="L295" s="9">
        <f>5.3352 * CHOOSE(CONTROL!$C$32, $C$9, 100%, $E$9)</f>
        <v>5.3352000000000004</v>
      </c>
      <c r="M295" s="9">
        <f>5.3396 * CHOOSE(CONTROL!$C$32, $C$9, 100%, $E$9)</f>
        <v>5.3395999999999999</v>
      </c>
      <c r="N295" s="9">
        <f>5.3352 * CHOOSE(CONTROL!$C$32, $C$9, 100%, $E$9)</f>
        <v>5.3352000000000004</v>
      </c>
      <c r="O295" s="9">
        <f>5.3396 * CHOOSE(CONTROL!$C$32, $C$9, 100%, $E$9)</f>
        <v>5.3395999999999999</v>
      </c>
    </row>
    <row r="296" spans="1:15" ht="15" x14ac:dyDescent="0.2">
      <c r="A296" s="15">
        <v>49491</v>
      </c>
      <c r="B296" s="10">
        <f>5.3505 * CHOOSE(CONTROL!$C$32, $C$9, 100%, $E$9)</f>
        <v>5.3505000000000003</v>
      </c>
      <c r="C296" s="10">
        <f>5.3505 * CHOOSE(CONTROL!$C$32, $C$9, 100%, $E$9)</f>
        <v>5.3505000000000003</v>
      </c>
      <c r="D296" s="10">
        <f>5.3518 * CHOOSE(CONTROL!$C$32, $C$9, 100%, $E$9)</f>
        <v>5.3517999999999999</v>
      </c>
      <c r="E296" s="9">
        <f>5.3835 * CHOOSE(CONTROL!$C$32, $C$9, 100%, $E$9)</f>
        <v>5.3834999999999997</v>
      </c>
      <c r="F296" s="9">
        <f>5.3835 * CHOOSE(CONTROL!$C$32, $C$9, 100%, $E$9)</f>
        <v>5.3834999999999997</v>
      </c>
      <c r="G296" s="9">
        <f>5.3878 * CHOOSE(CONTROL!$C$32, $C$9, 100%, $E$9)</f>
        <v>5.3878000000000004</v>
      </c>
      <c r="H296" s="9">
        <f>6.6264 * CHOOSE(CONTROL!$C$32, $C$9, 100%, $E$9)</f>
        <v>6.6264000000000003</v>
      </c>
      <c r="I296" s="9">
        <f>6.6307 * CHOOSE(CONTROL!$C$32, $C$9, 100%, $E$9)</f>
        <v>6.6307</v>
      </c>
      <c r="J296" s="9">
        <f>6.6264 * CHOOSE(CONTROL!$C$32, $C$9, 100%, $E$9)</f>
        <v>6.6264000000000003</v>
      </c>
      <c r="K296" s="9">
        <f>6.6307 * CHOOSE(CONTROL!$C$32, $C$9, 100%, $E$9)</f>
        <v>6.6307</v>
      </c>
      <c r="L296" s="9">
        <f>5.3835 * CHOOSE(CONTROL!$C$32, $C$9, 100%, $E$9)</f>
        <v>5.3834999999999997</v>
      </c>
      <c r="M296" s="9">
        <f>5.3878 * CHOOSE(CONTROL!$C$32, $C$9, 100%, $E$9)</f>
        <v>5.3878000000000004</v>
      </c>
      <c r="N296" s="9">
        <f>5.3835 * CHOOSE(CONTROL!$C$32, $C$9, 100%, $E$9)</f>
        <v>5.3834999999999997</v>
      </c>
      <c r="O296" s="9">
        <f>5.3878 * CHOOSE(CONTROL!$C$32, $C$9, 100%, $E$9)</f>
        <v>5.3878000000000004</v>
      </c>
    </row>
    <row r="297" spans="1:15" ht="15" x14ac:dyDescent="0.2">
      <c r="A297" s="15">
        <v>49522</v>
      </c>
      <c r="B297" s="10">
        <f>5.3572 * CHOOSE(CONTROL!$C$32, $C$9, 100%, $E$9)</f>
        <v>5.3571999999999997</v>
      </c>
      <c r="C297" s="10">
        <f>5.3572 * CHOOSE(CONTROL!$C$32, $C$9, 100%, $E$9)</f>
        <v>5.3571999999999997</v>
      </c>
      <c r="D297" s="10">
        <f>5.3585 * CHOOSE(CONTROL!$C$32, $C$9, 100%, $E$9)</f>
        <v>5.3585000000000003</v>
      </c>
      <c r="E297" s="9">
        <f>5.2994 * CHOOSE(CONTROL!$C$32, $C$9, 100%, $E$9)</f>
        <v>5.2994000000000003</v>
      </c>
      <c r="F297" s="9">
        <f>5.2994 * CHOOSE(CONTROL!$C$32, $C$9, 100%, $E$9)</f>
        <v>5.2994000000000003</v>
      </c>
      <c r="G297" s="9">
        <f>5.3037 * CHOOSE(CONTROL!$C$32, $C$9, 100%, $E$9)</f>
        <v>5.3037000000000001</v>
      </c>
      <c r="H297" s="9">
        <f>6.6308 * CHOOSE(CONTROL!$C$32, $C$9, 100%, $E$9)</f>
        <v>6.6307999999999998</v>
      </c>
      <c r="I297" s="9">
        <f>6.6351 * CHOOSE(CONTROL!$C$32, $C$9, 100%, $E$9)</f>
        <v>6.6351000000000004</v>
      </c>
      <c r="J297" s="9">
        <f>6.6308 * CHOOSE(CONTROL!$C$32, $C$9, 100%, $E$9)</f>
        <v>6.6307999999999998</v>
      </c>
      <c r="K297" s="9">
        <f>6.6351 * CHOOSE(CONTROL!$C$32, $C$9, 100%, $E$9)</f>
        <v>6.6351000000000004</v>
      </c>
      <c r="L297" s="9">
        <f>5.2994 * CHOOSE(CONTROL!$C$32, $C$9, 100%, $E$9)</f>
        <v>5.2994000000000003</v>
      </c>
      <c r="M297" s="9">
        <f>5.3037 * CHOOSE(CONTROL!$C$32, $C$9, 100%, $E$9)</f>
        <v>5.3037000000000001</v>
      </c>
      <c r="N297" s="9">
        <f>5.2994 * CHOOSE(CONTROL!$C$32, $C$9, 100%, $E$9)</f>
        <v>5.2994000000000003</v>
      </c>
      <c r="O297" s="9">
        <f>5.3037 * CHOOSE(CONTROL!$C$32, $C$9, 100%, $E$9)</f>
        <v>5.3037000000000001</v>
      </c>
    </row>
    <row r="298" spans="1:15" ht="15" x14ac:dyDescent="0.2">
      <c r="A298" s="15">
        <v>49553</v>
      </c>
      <c r="B298" s="10">
        <f>5.3542 * CHOOSE(CONTROL!$C$32, $C$9, 100%, $E$9)</f>
        <v>5.3541999999999996</v>
      </c>
      <c r="C298" s="10">
        <f>5.3542 * CHOOSE(CONTROL!$C$32, $C$9, 100%, $E$9)</f>
        <v>5.3541999999999996</v>
      </c>
      <c r="D298" s="10">
        <f>5.3555 * CHOOSE(CONTROL!$C$32, $C$9, 100%, $E$9)</f>
        <v>5.3555000000000001</v>
      </c>
      <c r="E298" s="9">
        <f>5.2874 * CHOOSE(CONTROL!$C$32, $C$9, 100%, $E$9)</f>
        <v>5.2873999999999999</v>
      </c>
      <c r="F298" s="9">
        <f>5.2874 * CHOOSE(CONTROL!$C$32, $C$9, 100%, $E$9)</f>
        <v>5.2873999999999999</v>
      </c>
      <c r="G298" s="9">
        <f>5.2918 * CHOOSE(CONTROL!$C$32, $C$9, 100%, $E$9)</f>
        <v>5.2918000000000003</v>
      </c>
      <c r="H298" s="9">
        <f>6.6288 * CHOOSE(CONTROL!$C$32, $C$9, 100%, $E$9)</f>
        <v>6.6288</v>
      </c>
      <c r="I298" s="9">
        <f>6.6331 * CHOOSE(CONTROL!$C$32, $C$9, 100%, $E$9)</f>
        <v>6.6330999999999998</v>
      </c>
      <c r="J298" s="9">
        <f>6.6288 * CHOOSE(CONTROL!$C$32, $C$9, 100%, $E$9)</f>
        <v>6.6288</v>
      </c>
      <c r="K298" s="9">
        <f>6.6331 * CHOOSE(CONTROL!$C$32, $C$9, 100%, $E$9)</f>
        <v>6.6330999999999998</v>
      </c>
      <c r="L298" s="9">
        <f>5.2874 * CHOOSE(CONTROL!$C$32, $C$9, 100%, $E$9)</f>
        <v>5.2873999999999999</v>
      </c>
      <c r="M298" s="9">
        <f>5.2918 * CHOOSE(CONTROL!$C$32, $C$9, 100%, $E$9)</f>
        <v>5.2918000000000003</v>
      </c>
      <c r="N298" s="9">
        <f>5.2874 * CHOOSE(CONTROL!$C$32, $C$9, 100%, $E$9)</f>
        <v>5.2873999999999999</v>
      </c>
      <c r="O298" s="9">
        <f>5.2918 * CHOOSE(CONTROL!$C$32, $C$9, 100%, $E$9)</f>
        <v>5.2918000000000003</v>
      </c>
    </row>
    <row r="299" spans="1:15" ht="15" x14ac:dyDescent="0.2">
      <c r="A299" s="15">
        <v>49583</v>
      </c>
      <c r="B299" s="10">
        <f>5.3549 * CHOOSE(CONTROL!$C$32, $C$9, 100%, $E$9)</f>
        <v>5.3548999999999998</v>
      </c>
      <c r="C299" s="10">
        <f>5.3549 * CHOOSE(CONTROL!$C$32, $C$9, 100%, $E$9)</f>
        <v>5.3548999999999998</v>
      </c>
      <c r="D299" s="10">
        <f>5.3559 * CHOOSE(CONTROL!$C$32, $C$9, 100%, $E$9)</f>
        <v>5.3559000000000001</v>
      </c>
      <c r="E299" s="9">
        <f>5.3134 * CHOOSE(CONTROL!$C$32, $C$9, 100%, $E$9)</f>
        <v>5.3133999999999997</v>
      </c>
      <c r="F299" s="9">
        <f>5.3134 * CHOOSE(CONTROL!$C$32, $C$9, 100%, $E$9)</f>
        <v>5.3133999999999997</v>
      </c>
      <c r="G299" s="9">
        <f>5.3166 * CHOOSE(CONTROL!$C$32, $C$9, 100%, $E$9)</f>
        <v>5.3166000000000002</v>
      </c>
      <c r="H299" s="9">
        <f>6.6285 * CHOOSE(CONTROL!$C$32, $C$9, 100%, $E$9)</f>
        <v>6.6284999999999998</v>
      </c>
      <c r="I299" s="9">
        <f>6.6317 * CHOOSE(CONTROL!$C$32, $C$9, 100%, $E$9)</f>
        <v>6.6317000000000004</v>
      </c>
      <c r="J299" s="9">
        <f>6.6285 * CHOOSE(CONTROL!$C$32, $C$9, 100%, $E$9)</f>
        <v>6.6284999999999998</v>
      </c>
      <c r="K299" s="9">
        <f>6.6317 * CHOOSE(CONTROL!$C$32, $C$9, 100%, $E$9)</f>
        <v>6.6317000000000004</v>
      </c>
      <c r="L299" s="9">
        <f>5.3134 * CHOOSE(CONTROL!$C$32, $C$9, 100%, $E$9)</f>
        <v>5.3133999999999997</v>
      </c>
      <c r="M299" s="9">
        <f>5.3166 * CHOOSE(CONTROL!$C$32, $C$9, 100%, $E$9)</f>
        <v>5.3166000000000002</v>
      </c>
      <c r="N299" s="9">
        <f>5.3134 * CHOOSE(CONTROL!$C$32, $C$9, 100%, $E$9)</f>
        <v>5.3133999999999997</v>
      </c>
      <c r="O299" s="9">
        <f>5.3166 * CHOOSE(CONTROL!$C$32, $C$9, 100%, $E$9)</f>
        <v>5.3166000000000002</v>
      </c>
    </row>
    <row r="300" spans="1:15" ht="15" x14ac:dyDescent="0.2">
      <c r="A300" s="15">
        <v>49614</v>
      </c>
      <c r="B300" s="10">
        <f>5.358 * CHOOSE(CONTROL!$C$32, $C$9, 100%, $E$9)</f>
        <v>5.3579999999999997</v>
      </c>
      <c r="C300" s="10">
        <f>5.358 * CHOOSE(CONTROL!$C$32, $C$9, 100%, $E$9)</f>
        <v>5.3579999999999997</v>
      </c>
      <c r="D300" s="10">
        <f>5.3589 * CHOOSE(CONTROL!$C$32, $C$9, 100%, $E$9)</f>
        <v>5.3589000000000002</v>
      </c>
      <c r="E300" s="9">
        <f>5.3353 * CHOOSE(CONTROL!$C$32, $C$9, 100%, $E$9)</f>
        <v>5.3353000000000002</v>
      </c>
      <c r="F300" s="9">
        <f>5.3353 * CHOOSE(CONTROL!$C$32, $C$9, 100%, $E$9)</f>
        <v>5.3353000000000002</v>
      </c>
      <c r="G300" s="9">
        <f>5.3385 * CHOOSE(CONTROL!$C$32, $C$9, 100%, $E$9)</f>
        <v>5.3384999999999998</v>
      </c>
      <c r="H300" s="9">
        <f>6.6305 * CHOOSE(CONTROL!$C$32, $C$9, 100%, $E$9)</f>
        <v>6.6304999999999996</v>
      </c>
      <c r="I300" s="9">
        <f>6.6337 * CHOOSE(CONTROL!$C$32, $C$9, 100%, $E$9)</f>
        <v>6.6337000000000002</v>
      </c>
      <c r="J300" s="9">
        <f>6.6305 * CHOOSE(CONTROL!$C$32, $C$9, 100%, $E$9)</f>
        <v>6.6304999999999996</v>
      </c>
      <c r="K300" s="9">
        <f>6.6337 * CHOOSE(CONTROL!$C$32, $C$9, 100%, $E$9)</f>
        <v>6.6337000000000002</v>
      </c>
      <c r="L300" s="9">
        <f>5.3353 * CHOOSE(CONTROL!$C$32, $C$9, 100%, $E$9)</f>
        <v>5.3353000000000002</v>
      </c>
      <c r="M300" s="9">
        <f>5.3385 * CHOOSE(CONTROL!$C$32, $C$9, 100%, $E$9)</f>
        <v>5.3384999999999998</v>
      </c>
      <c r="N300" s="9">
        <f>5.3353 * CHOOSE(CONTROL!$C$32, $C$9, 100%, $E$9)</f>
        <v>5.3353000000000002</v>
      </c>
      <c r="O300" s="9">
        <f>5.3385 * CHOOSE(CONTROL!$C$32, $C$9, 100%, $E$9)</f>
        <v>5.3384999999999998</v>
      </c>
    </row>
    <row r="301" spans="1:15" ht="15" x14ac:dyDescent="0.2">
      <c r="A301" s="15">
        <v>49644</v>
      </c>
      <c r="B301" s="10">
        <f>5.358 * CHOOSE(CONTROL!$C$32, $C$9, 100%, $E$9)</f>
        <v>5.3579999999999997</v>
      </c>
      <c r="C301" s="10">
        <f>5.358 * CHOOSE(CONTROL!$C$32, $C$9, 100%, $E$9)</f>
        <v>5.3579999999999997</v>
      </c>
      <c r="D301" s="10">
        <f>5.3589 * CHOOSE(CONTROL!$C$32, $C$9, 100%, $E$9)</f>
        <v>5.3589000000000002</v>
      </c>
      <c r="E301" s="9">
        <f>5.286 * CHOOSE(CONTROL!$C$32, $C$9, 100%, $E$9)</f>
        <v>5.2859999999999996</v>
      </c>
      <c r="F301" s="9">
        <f>5.286 * CHOOSE(CONTROL!$C$32, $C$9, 100%, $E$9)</f>
        <v>5.2859999999999996</v>
      </c>
      <c r="G301" s="9">
        <f>5.2891 * CHOOSE(CONTROL!$C$32, $C$9, 100%, $E$9)</f>
        <v>5.2891000000000004</v>
      </c>
      <c r="H301" s="9">
        <f>6.6305 * CHOOSE(CONTROL!$C$32, $C$9, 100%, $E$9)</f>
        <v>6.6304999999999996</v>
      </c>
      <c r="I301" s="9">
        <f>6.6337 * CHOOSE(CONTROL!$C$32, $C$9, 100%, $E$9)</f>
        <v>6.6337000000000002</v>
      </c>
      <c r="J301" s="9">
        <f>6.6305 * CHOOSE(CONTROL!$C$32, $C$9, 100%, $E$9)</f>
        <v>6.6304999999999996</v>
      </c>
      <c r="K301" s="9">
        <f>6.6337 * CHOOSE(CONTROL!$C$32, $C$9, 100%, $E$9)</f>
        <v>6.6337000000000002</v>
      </c>
      <c r="L301" s="9">
        <f>5.286 * CHOOSE(CONTROL!$C$32, $C$9, 100%, $E$9)</f>
        <v>5.2859999999999996</v>
      </c>
      <c r="M301" s="9">
        <f>5.2891 * CHOOSE(CONTROL!$C$32, $C$9, 100%, $E$9)</f>
        <v>5.2891000000000004</v>
      </c>
      <c r="N301" s="9">
        <f>5.286 * CHOOSE(CONTROL!$C$32, $C$9, 100%, $E$9)</f>
        <v>5.2859999999999996</v>
      </c>
      <c r="O301" s="9">
        <f>5.2891 * CHOOSE(CONTROL!$C$32, $C$9, 100%, $E$9)</f>
        <v>5.2891000000000004</v>
      </c>
    </row>
    <row r="302" spans="1:15" ht="15" x14ac:dyDescent="0.2">
      <c r="A302" s="15">
        <v>49675</v>
      </c>
      <c r="B302" s="10">
        <f>5.403 * CHOOSE(CONTROL!$C$32, $C$9, 100%, $E$9)</f>
        <v>5.4029999999999996</v>
      </c>
      <c r="C302" s="10">
        <f>5.403 * CHOOSE(CONTROL!$C$32, $C$9, 100%, $E$9)</f>
        <v>5.4029999999999996</v>
      </c>
      <c r="D302" s="10">
        <f>5.4039 * CHOOSE(CONTROL!$C$32, $C$9, 100%, $E$9)</f>
        <v>5.4039000000000001</v>
      </c>
      <c r="E302" s="9">
        <f>5.3612 * CHOOSE(CONTROL!$C$32, $C$9, 100%, $E$9)</f>
        <v>5.3612000000000002</v>
      </c>
      <c r="F302" s="9">
        <f>5.3612 * CHOOSE(CONTROL!$C$32, $C$9, 100%, $E$9)</f>
        <v>5.3612000000000002</v>
      </c>
      <c r="G302" s="9">
        <f>5.3644 * CHOOSE(CONTROL!$C$32, $C$9, 100%, $E$9)</f>
        <v>5.3643999999999998</v>
      </c>
      <c r="H302" s="9">
        <f>6.6799 * CHOOSE(CONTROL!$C$32, $C$9, 100%, $E$9)</f>
        <v>6.6798999999999999</v>
      </c>
      <c r="I302" s="9">
        <f>6.6831 * CHOOSE(CONTROL!$C$32, $C$9, 100%, $E$9)</f>
        <v>6.6830999999999996</v>
      </c>
      <c r="J302" s="9">
        <f>6.6799 * CHOOSE(CONTROL!$C$32, $C$9, 100%, $E$9)</f>
        <v>6.6798999999999999</v>
      </c>
      <c r="K302" s="9">
        <f>6.6831 * CHOOSE(CONTROL!$C$32, $C$9, 100%, $E$9)</f>
        <v>6.6830999999999996</v>
      </c>
      <c r="L302" s="9">
        <f>5.3612 * CHOOSE(CONTROL!$C$32, $C$9, 100%, $E$9)</f>
        <v>5.3612000000000002</v>
      </c>
      <c r="M302" s="9">
        <f>5.3644 * CHOOSE(CONTROL!$C$32, $C$9, 100%, $E$9)</f>
        <v>5.3643999999999998</v>
      </c>
      <c r="N302" s="9">
        <f>5.3612 * CHOOSE(CONTROL!$C$32, $C$9, 100%, $E$9)</f>
        <v>5.3612000000000002</v>
      </c>
      <c r="O302" s="9">
        <f>5.3644 * CHOOSE(CONTROL!$C$32, $C$9, 100%, $E$9)</f>
        <v>5.3643999999999998</v>
      </c>
    </row>
    <row r="303" spans="1:15" ht="15" x14ac:dyDescent="0.2">
      <c r="A303" s="15">
        <v>49706</v>
      </c>
      <c r="B303" s="10">
        <f>5.4 * CHOOSE(CONTROL!$C$32, $C$9, 100%, $E$9)</f>
        <v>5.4</v>
      </c>
      <c r="C303" s="10">
        <f>5.4 * CHOOSE(CONTROL!$C$32, $C$9, 100%, $E$9)</f>
        <v>5.4</v>
      </c>
      <c r="D303" s="10">
        <f>5.4009 * CHOOSE(CONTROL!$C$32, $C$9, 100%, $E$9)</f>
        <v>5.4009</v>
      </c>
      <c r="E303" s="9">
        <f>5.2631 * CHOOSE(CONTROL!$C$32, $C$9, 100%, $E$9)</f>
        <v>5.2630999999999997</v>
      </c>
      <c r="F303" s="9">
        <f>5.2631 * CHOOSE(CONTROL!$C$32, $C$9, 100%, $E$9)</f>
        <v>5.2630999999999997</v>
      </c>
      <c r="G303" s="9">
        <f>5.2663 * CHOOSE(CONTROL!$C$32, $C$9, 100%, $E$9)</f>
        <v>5.2663000000000002</v>
      </c>
      <c r="H303" s="9">
        <f>6.6779 * CHOOSE(CONTROL!$C$32, $C$9, 100%, $E$9)</f>
        <v>6.6779000000000002</v>
      </c>
      <c r="I303" s="9">
        <f>6.6811 * CHOOSE(CONTROL!$C$32, $C$9, 100%, $E$9)</f>
        <v>6.6810999999999998</v>
      </c>
      <c r="J303" s="9">
        <f>6.6779 * CHOOSE(CONTROL!$C$32, $C$9, 100%, $E$9)</f>
        <v>6.6779000000000002</v>
      </c>
      <c r="K303" s="9">
        <f>6.6811 * CHOOSE(CONTROL!$C$32, $C$9, 100%, $E$9)</f>
        <v>6.6810999999999998</v>
      </c>
      <c r="L303" s="9">
        <f>5.2631 * CHOOSE(CONTROL!$C$32, $C$9, 100%, $E$9)</f>
        <v>5.2630999999999997</v>
      </c>
      <c r="M303" s="9">
        <f>5.2663 * CHOOSE(CONTROL!$C$32, $C$9, 100%, $E$9)</f>
        <v>5.2663000000000002</v>
      </c>
      <c r="N303" s="9">
        <f>5.2631 * CHOOSE(CONTROL!$C$32, $C$9, 100%, $E$9)</f>
        <v>5.2630999999999997</v>
      </c>
      <c r="O303" s="9">
        <f>5.2663 * CHOOSE(CONTROL!$C$32, $C$9, 100%, $E$9)</f>
        <v>5.2663000000000002</v>
      </c>
    </row>
    <row r="304" spans="1:15" ht="15" x14ac:dyDescent="0.2">
      <c r="A304" s="15">
        <v>49735</v>
      </c>
      <c r="B304" s="10">
        <f>5.3969 * CHOOSE(CONTROL!$C$32, $C$9, 100%, $E$9)</f>
        <v>5.3968999999999996</v>
      </c>
      <c r="C304" s="10">
        <f>5.3969 * CHOOSE(CONTROL!$C$32, $C$9, 100%, $E$9)</f>
        <v>5.3968999999999996</v>
      </c>
      <c r="D304" s="10">
        <f>5.3979 * CHOOSE(CONTROL!$C$32, $C$9, 100%, $E$9)</f>
        <v>5.3978999999999999</v>
      </c>
      <c r="E304" s="9">
        <f>5.3366 * CHOOSE(CONTROL!$C$32, $C$9, 100%, $E$9)</f>
        <v>5.3365999999999998</v>
      </c>
      <c r="F304" s="9">
        <f>5.3366 * CHOOSE(CONTROL!$C$32, $C$9, 100%, $E$9)</f>
        <v>5.3365999999999998</v>
      </c>
      <c r="G304" s="9">
        <f>5.3398 * CHOOSE(CONTROL!$C$32, $C$9, 100%, $E$9)</f>
        <v>5.3398000000000003</v>
      </c>
      <c r="H304" s="9">
        <f>6.9244 * CHOOSE(CONTROL!$C$32, $C$9, 100%, $E$9)</f>
        <v>6.9244000000000003</v>
      </c>
      <c r="I304" s="9">
        <f>6.9276 * CHOOSE(CONTROL!$C$32, $C$9, 100%, $E$9)</f>
        <v>6.9276</v>
      </c>
      <c r="J304" s="9">
        <f>6.9244 * CHOOSE(CONTROL!$C$32, $C$9, 100%, $E$9)</f>
        <v>6.9244000000000003</v>
      </c>
      <c r="K304" s="9">
        <f>6.9276 * CHOOSE(CONTROL!$C$32, $C$9, 100%, $E$9)</f>
        <v>6.9276</v>
      </c>
      <c r="L304" s="9">
        <f>5.3366 * CHOOSE(CONTROL!$C$32, $C$9, 100%, $E$9)</f>
        <v>5.3365999999999998</v>
      </c>
      <c r="M304" s="9">
        <f>5.3398 * CHOOSE(CONTROL!$C$32, $C$9, 100%, $E$9)</f>
        <v>5.3398000000000003</v>
      </c>
      <c r="N304" s="9">
        <f>5.3366 * CHOOSE(CONTROL!$C$32, $C$9, 100%, $E$9)</f>
        <v>5.3365999999999998</v>
      </c>
      <c r="O304" s="9">
        <f>5.3398 * CHOOSE(CONTROL!$C$32, $C$9, 100%, $E$9)</f>
        <v>5.3398000000000003</v>
      </c>
    </row>
    <row r="305" spans="1:15" ht="15" x14ac:dyDescent="0.2">
      <c r="A305" s="15">
        <v>49766</v>
      </c>
      <c r="B305" s="10">
        <f>5.3961 * CHOOSE(CONTROL!$C$32, $C$9, 100%, $E$9)</f>
        <v>5.3960999999999997</v>
      </c>
      <c r="C305" s="10">
        <f>5.3961 * CHOOSE(CONTROL!$C$32, $C$9, 100%, $E$9)</f>
        <v>5.3960999999999997</v>
      </c>
      <c r="D305" s="10">
        <f>5.397 * CHOOSE(CONTROL!$C$32, $C$9, 100%, $E$9)</f>
        <v>5.3970000000000002</v>
      </c>
      <c r="E305" s="9">
        <f>5.4137 * CHOOSE(CONTROL!$C$32, $C$9, 100%, $E$9)</f>
        <v>5.4137000000000004</v>
      </c>
      <c r="F305" s="9">
        <f>5.4137 * CHOOSE(CONTROL!$C$32, $C$9, 100%, $E$9)</f>
        <v>5.4137000000000004</v>
      </c>
      <c r="G305" s="9">
        <f>5.4169 * CHOOSE(CONTROL!$C$32, $C$9, 100%, $E$9)</f>
        <v>5.4169</v>
      </c>
      <c r="H305" s="9">
        <f>6.6751 * CHOOSE(CONTROL!$C$32, $C$9, 100%, $E$9)</f>
        <v>6.6750999999999996</v>
      </c>
      <c r="I305" s="9">
        <f>6.6783 * CHOOSE(CONTROL!$C$32, $C$9, 100%, $E$9)</f>
        <v>6.6783000000000001</v>
      </c>
      <c r="J305" s="9">
        <f>6.6751 * CHOOSE(CONTROL!$C$32, $C$9, 100%, $E$9)</f>
        <v>6.6750999999999996</v>
      </c>
      <c r="K305" s="9">
        <f>6.6783 * CHOOSE(CONTROL!$C$32, $C$9, 100%, $E$9)</f>
        <v>6.6783000000000001</v>
      </c>
      <c r="L305" s="9">
        <f>5.4137 * CHOOSE(CONTROL!$C$32, $C$9, 100%, $E$9)</f>
        <v>5.4137000000000004</v>
      </c>
      <c r="M305" s="9">
        <f>5.4169 * CHOOSE(CONTROL!$C$32, $C$9, 100%, $E$9)</f>
        <v>5.4169</v>
      </c>
      <c r="N305" s="9">
        <f>5.4137 * CHOOSE(CONTROL!$C$32, $C$9, 100%, $E$9)</f>
        <v>5.4137000000000004</v>
      </c>
      <c r="O305" s="9">
        <f>5.4169 * CHOOSE(CONTROL!$C$32, $C$9, 100%, $E$9)</f>
        <v>5.4169</v>
      </c>
    </row>
    <row r="306" spans="1:15" ht="15" x14ac:dyDescent="0.2">
      <c r="A306" s="15">
        <v>49796</v>
      </c>
      <c r="B306" s="10">
        <f>5.3961 * CHOOSE(CONTROL!$C$32, $C$9, 100%, $E$9)</f>
        <v>5.3960999999999997</v>
      </c>
      <c r="C306" s="10">
        <f>5.3961 * CHOOSE(CONTROL!$C$32, $C$9, 100%, $E$9)</f>
        <v>5.3960999999999997</v>
      </c>
      <c r="D306" s="10">
        <f>5.3974 * CHOOSE(CONTROL!$C$32, $C$9, 100%, $E$9)</f>
        <v>5.3974000000000002</v>
      </c>
      <c r="E306" s="9">
        <f>5.4441 * CHOOSE(CONTROL!$C$32, $C$9, 100%, $E$9)</f>
        <v>5.4440999999999997</v>
      </c>
      <c r="F306" s="9">
        <f>5.4441 * CHOOSE(CONTROL!$C$32, $C$9, 100%, $E$9)</f>
        <v>5.4440999999999997</v>
      </c>
      <c r="G306" s="9">
        <f>5.4485 * CHOOSE(CONTROL!$C$32, $C$9, 100%, $E$9)</f>
        <v>5.4485000000000001</v>
      </c>
      <c r="H306" s="9">
        <f>6.6751 * CHOOSE(CONTROL!$C$32, $C$9, 100%, $E$9)</f>
        <v>6.6750999999999996</v>
      </c>
      <c r="I306" s="9">
        <f>6.6795 * CHOOSE(CONTROL!$C$32, $C$9, 100%, $E$9)</f>
        <v>6.6795</v>
      </c>
      <c r="J306" s="9">
        <f>6.6751 * CHOOSE(CONTROL!$C$32, $C$9, 100%, $E$9)</f>
        <v>6.6750999999999996</v>
      </c>
      <c r="K306" s="9">
        <f>6.6795 * CHOOSE(CONTROL!$C$32, $C$9, 100%, $E$9)</f>
        <v>6.6795</v>
      </c>
      <c r="L306" s="9">
        <f>5.4441 * CHOOSE(CONTROL!$C$32, $C$9, 100%, $E$9)</f>
        <v>5.4440999999999997</v>
      </c>
      <c r="M306" s="9">
        <f>5.4485 * CHOOSE(CONTROL!$C$32, $C$9, 100%, $E$9)</f>
        <v>5.4485000000000001</v>
      </c>
      <c r="N306" s="9">
        <f>5.4441 * CHOOSE(CONTROL!$C$32, $C$9, 100%, $E$9)</f>
        <v>5.4440999999999997</v>
      </c>
      <c r="O306" s="9">
        <f>5.4485 * CHOOSE(CONTROL!$C$32, $C$9, 100%, $E$9)</f>
        <v>5.4485000000000001</v>
      </c>
    </row>
    <row r="307" spans="1:15" ht="15" x14ac:dyDescent="0.2">
      <c r="A307" s="15">
        <v>49827</v>
      </c>
      <c r="B307" s="10">
        <f>5.4022 * CHOOSE(CONTROL!$C$32, $C$9, 100%, $E$9)</f>
        <v>5.4021999999999997</v>
      </c>
      <c r="C307" s="10">
        <f>5.4022 * CHOOSE(CONTROL!$C$32, $C$9, 100%, $E$9)</f>
        <v>5.4021999999999997</v>
      </c>
      <c r="D307" s="10">
        <f>5.4035 * CHOOSE(CONTROL!$C$32, $C$9, 100%, $E$9)</f>
        <v>5.4035000000000002</v>
      </c>
      <c r="E307" s="9">
        <f>5.4179 * CHOOSE(CONTROL!$C$32, $C$9, 100%, $E$9)</f>
        <v>5.4179000000000004</v>
      </c>
      <c r="F307" s="9">
        <f>5.4179 * CHOOSE(CONTROL!$C$32, $C$9, 100%, $E$9)</f>
        <v>5.4179000000000004</v>
      </c>
      <c r="G307" s="9">
        <f>5.4223 * CHOOSE(CONTROL!$C$32, $C$9, 100%, $E$9)</f>
        <v>5.4222999999999999</v>
      </c>
      <c r="H307" s="9">
        <f>6.6791 * CHOOSE(CONTROL!$C$32, $C$9, 100%, $E$9)</f>
        <v>6.6791</v>
      </c>
      <c r="I307" s="9">
        <f>6.6835 * CHOOSE(CONTROL!$C$32, $C$9, 100%, $E$9)</f>
        <v>6.6835000000000004</v>
      </c>
      <c r="J307" s="9">
        <f>6.6791 * CHOOSE(CONTROL!$C$32, $C$9, 100%, $E$9)</f>
        <v>6.6791</v>
      </c>
      <c r="K307" s="9">
        <f>6.6835 * CHOOSE(CONTROL!$C$32, $C$9, 100%, $E$9)</f>
        <v>6.6835000000000004</v>
      </c>
      <c r="L307" s="9">
        <f>5.4179 * CHOOSE(CONTROL!$C$32, $C$9, 100%, $E$9)</f>
        <v>5.4179000000000004</v>
      </c>
      <c r="M307" s="9">
        <f>5.4223 * CHOOSE(CONTROL!$C$32, $C$9, 100%, $E$9)</f>
        <v>5.4222999999999999</v>
      </c>
      <c r="N307" s="9">
        <f>5.4179 * CHOOSE(CONTROL!$C$32, $C$9, 100%, $E$9)</f>
        <v>5.4179000000000004</v>
      </c>
      <c r="O307" s="9">
        <f>5.4223 * CHOOSE(CONTROL!$C$32, $C$9, 100%, $E$9)</f>
        <v>5.4222999999999999</v>
      </c>
    </row>
    <row r="308" spans="1:15" ht="15" x14ac:dyDescent="0.2">
      <c r="A308" s="15">
        <v>49857</v>
      </c>
      <c r="B308" s="10">
        <f>5.4827 * CHOOSE(CONTROL!$C$32, $C$9, 100%, $E$9)</f>
        <v>5.4827000000000004</v>
      </c>
      <c r="C308" s="10">
        <f>5.4827 * CHOOSE(CONTROL!$C$32, $C$9, 100%, $E$9)</f>
        <v>5.4827000000000004</v>
      </c>
      <c r="D308" s="10">
        <f>5.484 * CHOOSE(CONTROL!$C$32, $C$9, 100%, $E$9)</f>
        <v>5.484</v>
      </c>
      <c r="E308" s="9">
        <f>5.4936 * CHOOSE(CONTROL!$C$32, $C$9, 100%, $E$9)</f>
        <v>5.4935999999999998</v>
      </c>
      <c r="F308" s="9">
        <f>5.4936 * CHOOSE(CONTROL!$C$32, $C$9, 100%, $E$9)</f>
        <v>5.4935999999999998</v>
      </c>
      <c r="G308" s="9">
        <f>5.498 * CHOOSE(CONTROL!$C$32, $C$9, 100%, $E$9)</f>
        <v>5.4980000000000002</v>
      </c>
      <c r="H308" s="9">
        <f>6.7816 * CHOOSE(CONTROL!$C$32, $C$9, 100%, $E$9)</f>
        <v>6.7816000000000001</v>
      </c>
      <c r="I308" s="9">
        <f>6.7859 * CHOOSE(CONTROL!$C$32, $C$9, 100%, $E$9)</f>
        <v>6.7858999999999998</v>
      </c>
      <c r="J308" s="9">
        <f>6.7816 * CHOOSE(CONTROL!$C$32, $C$9, 100%, $E$9)</f>
        <v>6.7816000000000001</v>
      </c>
      <c r="K308" s="9">
        <f>6.7859 * CHOOSE(CONTROL!$C$32, $C$9, 100%, $E$9)</f>
        <v>6.7858999999999998</v>
      </c>
      <c r="L308" s="9">
        <f>5.4936 * CHOOSE(CONTROL!$C$32, $C$9, 100%, $E$9)</f>
        <v>5.4935999999999998</v>
      </c>
      <c r="M308" s="9">
        <f>5.498 * CHOOSE(CONTROL!$C$32, $C$9, 100%, $E$9)</f>
        <v>5.4980000000000002</v>
      </c>
      <c r="N308" s="9">
        <f>5.4936 * CHOOSE(CONTROL!$C$32, $C$9, 100%, $E$9)</f>
        <v>5.4935999999999998</v>
      </c>
      <c r="O308" s="9">
        <f>5.498 * CHOOSE(CONTROL!$C$32, $C$9, 100%, $E$9)</f>
        <v>5.4980000000000002</v>
      </c>
    </row>
    <row r="309" spans="1:15" ht="15" x14ac:dyDescent="0.2">
      <c r="A309" s="15">
        <v>49888</v>
      </c>
      <c r="B309" s="10">
        <f>5.4894 * CHOOSE(CONTROL!$C$32, $C$9, 100%, $E$9)</f>
        <v>5.4893999999999998</v>
      </c>
      <c r="C309" s="10">
        <f>5.4894 * CHOOSE(CONTROL!$C$32, $C$9, 100%, $E$9)</f>
        <v>5.4893999999999998</v>
      </c>
      <c r="D309" s="10">
        <f>5.4907 * CHOOSE(CONTROL!$C$32, $C$9, 100%, $E$9)</f>
        <v>5.4907000000000004</v>
      </c>
      <c r="E309" s="9">
        <f>5.4069 * CHOOSE(CONTROL!$C$32, $C$9, 100%, $E$9)</f>
        <v>5.4069000000000003</v>
      </c>
      <c r="F309" s="9">
        <f>5.4069 * CHOOSE(CONTROL!$C$32, $C$9, 100%, $E$9)</f>
        <v>5.4069000000000003</v>
      </c>
      <c r="G309" s="9">
        <f>5.4112 * CHOOSE(CONTROL!$C$32, $C$9, 100%, $E$9)</f>
        <v>5.4112</v>
      </c>
      <c r="H309" s="9">
        <f>6.786 * CHOOSE(CONTROL!$C$32, $C$9, 100%, $E$9)</f>
        <v>6.7859999999999996</v>
      </c>
      <c r="I309" s="9">
        <f>6.7903 * CHOOSE(CONTROL!$C$32, $C$9, 100%, $E$9)</f>
        <v>6.7903000000000002</v>
      </c>
      <c r="J309" s="9">
        <f>6.786 * CHOOSE(CONTROL!$C$32, $C$9, 100%, $E$9)</f>
        <v>6.7859999999999996</v>
      </c>
      <c r="K309" s="9">
        <f>6.7903 * CHOOSE(CONTROL!$C$32, $C$9, 100%, $E$9)</f>
        <v>6.7903000000000002</v>
      </c>
      <c r="L309" s="9">
        <f>5.4069 * CHOOSE(CONTROL!$C$32, $C$9, 100%, $E$9)</f>
        <v>5.4069000000000003</v>
      </c>
      <c r="M309" s="9">
        <f>5.4112 * CHOOSE(CONTROL!$C$32, $C$9, 100%, $E$9)</f>
        <v>5.4112</v>
      </c>
      <c r="N309" s="9">
        <f>5.4069 * CHOOSE(CONTROL!$C$32, $C$9, 100%, $E$9)</f>
        <v>5.4069000000000003</v>
      </c>
      <c r="O309" s="9">
        <f>5.4112 * CHOOSE(CONTROL!$C$32, $C$9, 100%, $E$9)</f>
        <v>5.4112</v>
      </c>
    </row>
    <row r="310" spans="1:15" ht="15" x14ac:dyDescent="0.2">
      <c r="A310" s="15">
        <v>49919</v>
      </c>
      <c r="B310" s="10">
        <f>5.4863 * CHOOSE(CONTROL!$C$32, $C$9, 100%, $E$9)</f>
        <v>5.4863</v>
      </c>
      <c r="C310" s="10">
        <f>5.4863 * CHOOSE(CONTROL!$C$32, $C$9, 100%, $E$9)</f>
        <v>5.4863</v>
      </c>
      <c r="D310" s="10">
        <f>5.4876 * CHOOSE(CONTROL!$C$32, $C$9, 100%, $E$9)</f>
        <v>5.4875999999999996</v>
      </c>
      <c r="E310" s="9">
        <f>5.3946 * CHOOSE(CONTROL!$C$32, $C$9, 100%, $E$9)</f>
        <v>5.3945999999999996</v>
      </c>
      <c r="F310" s="9">
        <f>5.3946 * CHOOSE(CONTROL!$C$32, $C$9, 100%, $E$9)</f>
        <v>5.3945999999999996</v>
      </c>
      <c r="G310" s="9">
        <f>5.3989 * CHOOSE(CONTROL!$C$32, $C$9, 100%, $E$9)</f>
        <v>5.3989000000000003</v>
      </c>
      <c r="H310" s="9">
        <f>6.784 * CHOOSE(CONTROL!$C$32, $C$9, 100%, $E$9)</f>
        <v>6.7839999999999998</v>
      </c>
      <c r="I310" s="9">
        <f>6.7883 * CHOOSE(CONTROL!$C$32, $C$9, 100%, $E$9)</f>
        <v>6.7882999999999996</v>
      </c>
      <c r="J310" s="9">
        <f>6.784 * CHOOSE(CONTROL!$C$32, $C$9, 100%, $E$9)</f>
        <v>6.7839999999999998</v>
      </c>
      <c r="K310" s="9">
        <f>6.7883 * CHOOSE(CONTROL!$C$32, $C$9, 100%, $E$9)</f>
        <v>6.7882999999999996</v>
      </c>
      <c r="L310" s="9">
        <f>5.3946 * CHOOSE(CONTROL!$C$32, $C$9, 100%, $E$9)</f>
        <v>5.3945999999999996</v>
      </c>
      <c r="M310" s="9">
        <f>5.3989 * CHOOSE(CONTROL!$C$32, $C$9, 100%, $E$9)</f>
        <v>5.3989000000000003</v>
      </c>
      <c r="N310" s="9">
        <f>5.3946 * CHOOSE(CONTROL!$C$32, $C$9, 100%, $E$9)</f>
        <v>5.3945999999999996</v>
      </c>
      <c r="O310" s="9">
        <f>5.3989 * CHOOSE(CONTROL!$C$32, $C$9, 100%, $E$9)</f>
        <v>5.3989000000000003</v>
      </c>
    </row>
    <row r="311" spans="1:15" ht="15" x14ac:dyDescent="0.2">
      <c r="A311" s="15">
        <v>49949</v>
      </c>
      <c r="B311" s="10">
        <f>5.4876 * CHOOSE(CONTROL!$C$32, $C$9, 100%, $E$9)</f>
        <v>5.4875999999999996</v>
      </c>
      <c r="C311" s="10">
        <f>5.4876 * CHOOSE(CONTROL!$C$32, $C$9, 100%, $E$9)</f>
        <v>5.4875999999999996</v>
      </c>
      <c r="D311" s="10">
        <f>5.4885 * CHOOSE(CONTROL!$C$32, $C$9, 100%, $E$9)</f>
        <v>5.4885000000000002</v>
      </c>
      <c r="E311" s="9">
        <f>5.4218 * CHOOSE(CONTROL!$C$32, $C$9, 100%, $E$9)</f>
        <v>5.4218000000000002</v>
      </c>
      <c r="F311" s="9">
        <f>5.4218 * CHOOSE(CONTROL!$C$32, $C$9, 100%, $E$9)</f>
        <v>5.4218000000000002</v>
      </c>
      <c r="G311" s="9">
        <f>5.425 * CHOOSE(CONTROL!$C$32, $C$9, 100%, $E$9)</f>
        <v>5.4249999999999998</v>
      </c>
      <c r="H311" s="9">
        <f>6.784 * CHOOSE(CONTROL!$C$32, $C$9, 100%, $E$9)</f>
        <v>6.7839999999999998</v>
      </c>
      <c r="I311" s="9">
        <f>6.7872 * CHOOSE(CONTROL!$C$32, $C$9, 100%, $E$9)</f>
        <v>6.7872000000000003</v>
      </c>
      <c r="J311" s="9">
        <f>6.784 * CHOOSE(CONTROL!$C$32, $C$9, 100%, $E$9)</f>
        <v>6.7839999999999998</v>
      </c>
      <c r="K311" s="9">
        <f>6.7872 * CHOOSE(CONTROL!$C$32, $C$9, 100%, $E$9)</f>
        <v>6.7872000000000003</v>
      </c>
      <c r="L311" s="9">
        <f>5.4218 * CHOOSE(CONTROL!$C$32, $C$9, 100%, $E$9)</f>
        <v>5.4218000000000002</v>
      </c>
      <c r="M311" s="9">
        <f>5.425 * CHOOSE(CONTROL!$C$32, $C$9, 100%, $E$9)</f>
        <v>5.4249999999999998</v>
      </c>
      <c r="N311" s="9">
        <f>5.4218 * CHOOSE(CONTROL!$C$32, $C$9, 100%, $E$9)</f>
        <v>5.4218000000000002</v>
      </c>
      <c r="O311" s="9">
        <f>5.425 * CHOOSE(CONTROL!$C$32, $C$9, 100%, $E$9)</f>
        <v>5.4249999999999998</v>
      </c>
    </row>
    <row r="312" spans="1:15" ht="15" x14ac:dyDescent="0.2">
      <c r="A312" s="15">
        <v>49980</v>
      </c>
      <c r="B312" s="10">
        <f>5.4906 * CHOOSE(CONTROL!$C$32, $C$9, 100%, $E$9)</f>
        <v>5.4905999999999997</v>
      </c>
      <c r="C312" s="10">
        <f>5.4906 * CHOOSE(CONTROL!$C$32, $C$9, 100%, $E$9)</f>
        <v>5.4905999999999997</v>
      </c>
      <c r="D312" s="10">
        <f>5.4916 * CHOOSE(CONTROL!$C$32, $C$9, 100%, $E$9)</f>
        <v>5.4916</v>
      </c>
      <c r="E312" s="9">
        <f>5.4442 * CHOOSE(CONTROL!$C$32, $C$9, 100%, $E$9)</f>
        <v>5.4442000000000004</v>
      </c>
      <c r="F312" s="9">
        <f>5.4442 * CHOOSE(CONTROL!$C$32, $C$9, 100%, $E$9)</f>
        <v>5.4442000000000004</v>
      </c>
      <c r="G312" s="9">
        <f>5.4474 * CHOOSE(CONTROL!$C$32, $C$9, 100%, $E$9)</f>
        <v>5.4474</v>
      </c>
      <c r="H312" s="9">
        <f>6.786 * CHOOSE(CONTROL!$C$32, $C$9, 100%, $E$9)</f>
        <v>6.7859999999999996</v>
      </c>
      <c r="I312" s="9">
        <f>6.7892 * CHOOSE(CONTROL!$C$32, $C$9, 100%, $E$9)</f>
        <v>6.7892000000000001</v>
      </c>
      <c r="J312" s="9">
        <f>6.786 * CHOOSE(CONTROL!$C$32, $C$9, 100%, $E$9)</f>
        <v>6.7859999999999996</v>
      </c>
      <c r="K312" s="9">
        <f>6.7892 * CHOOSE(CONTROL!$C$32, $C$9, 100%, $E$9)</f>
        <v>6.7892000000000001</v>
      </c>
      <c r="L312" s="9">
        <f>5.4442 * CHOOSE(CONTROL!$C$32, $C$9, 100%, $E$9)</f>
        <v>5.4442000000000004</v>
      </c>
      <c r="M312" s="9">
        <f>5.4474 * CHOOSE(CONTROL!$C$32, $C$9, 100%, $E$9)</f>
        <v>5.4474</v>
      </c>
      <c r="N312" s="9">
        <f>5.4442 * CHOOSE(CONTROL!$C$32, $C$9, 100%, $E$9)</f>
        <v>5.4442000000000004</v>
      </c>
      <c r="O312" s="9">
        <f>5.4474 * CHOOSE(CONTROL!$C$32, $C$9, 100%, $E$9)</f>
        <v>5.4474</v>
      </c>
    </row>
    <row r="313" spans="1:15" ht="15" x14ac:dyDescent="0.2">
      <c r="A313" s="15">
        <v>50010</v>
      </c>
      <c r="B313" s="10">
        <f>5.4906 * CHOOSE(CONTROL!$C$32, $C$9, 100%, $E$9)</f>
        <v>5.4905999999999997</v>
      </c>
      <c r="C313" s="10">
        <f>5.4906 * CHOOSE(CONTROL!$C$32, $C$9, 100%, $E$9)</f>
        <v>5.4905999999999997</v>
      </c>
      <c r="D313" s="10">
        <f>5.4916 * CHOOSE(CONTROL!$C$32, $C$9, 100%, $E$9)</f>
        <v>5.4916</v>
      </c>
      <c r="E313" s="9">
        <f>5.3934 * CHOOSE(CONTROL!$C$32, $C$9, 100%, $E$9)</f>
        <v>5.3933999999999997</v>
      </c>
      <c r="F313" s="9">
        <f>5.3934 * CHOOSE(CONTROL!$C$32, $C$9, 100%, $E$9)</f>
        <v>5.3933999999999997</v>
      </c>
      <c r="G313" s="9">
        <f>5.3966 * CHOOSE(CONTROL!$C$32, $C$9, 100%, $E$9)</f>
        <v>5.3966000000000003</v>
      </c>
      <c r="H313" s="9">
        <f>6.786 * CHOOSE(CONTROL!$C$32, $C$9, 100%, $E$9)</f>
        <v>6.7859999999999996</v>
      </c>
      <c r="I313" s="9">
        <f>6.7892 * CHOOSE(CONTROL!$C$32, $C$9, 100%, $E$9)</f>
        <v>6.7892000000000001</v>
      </c>
      <c r="J313" s="9">
        <f>6.786 * CHOOSE(CONTROL!$C$32, $C$9, 100%, $E$9)</f>
        <v>6.7859999999999996</v>
      </c>
      <c r="K313" s="9">
        <f>6.7892 * CHOOSE(CONTROL!$C$32, $C$9, 100%, $E$9)</f>
        <v>6.7892000000000001</v>
      </c>
      <c r="L313" s="9">
        <f>5.3934 * CHOOSE(CONTROL!$C$32, $C$9, 100%, $E$9)</f>
        <v>5.3933999999999997</v>
      </c>
      <c r="M313" s="9">
        <f>5.3966 * CHOOSE(CONTROL!$C$32, $C$9, 100%, $E$9)</f>
        <v>5.3966000000000003</v>
      </c>
      <c r="N313" s="9">
        <f>5.3934 * CHOOSE(CONTROL!$C$32, $C$9, 100%, $E$9)</f>
        <v>5.3933999999999997</v>
      </c>
      <c r="O313" s="9">
        <f>5.3966 * CHOOSE(CONTROL!$C$32, $C$9, 100%, $E$9)</f>
        <v>5.3966000000000003</v>
      </c>
    </row>
    <row r="314" spans="1:15" ht="15" x14ac:dyDescent="0.2">
      <c r="A314" s="15">
        <v>50041</v>
      </c>
      <c r="B314" s="10">
        <f>5.5382 * CHOOSE(CONTROL!$C$32, $C$9, 100%, $E$9)</f>
        <v>5.5381999999999998</v>
      </c>
      <c r="C314" s="10">
        <f>5.5382 * CHOOSE(CONTROL!$C$32, $C$9, 100%, $E$9)</f>
        <v>5.5381999999999998</v>
      </c>
      <c r="D314" s="10">
        <f>5.5391 * CHOOSE(CONTROL!$C$32, $C$9, 100%, $E$9)</f>
        <v>5.5391000000000004</v>
      </c>
      <c r="E314" s="9">
        <f>5.4645 * CHOOSE(CONTROL!$C$32, $C$9, 100%, $E$9)</f>
        <v>5.4645000000000001</v>
      </c>
      <c r="F314" s="9">
        <f>5.4645 * CHOOSE(CONTROL!$C$32, $C$9, 100%, $E$9)</f>
        <v>5.4645000000000001</v>
      </c>
      <c r="G314" s="9">
        <f>5.4677 * CHOOSE(CONTROL!$C$32, $C$9, 100%, $E$9)</f>
        <v>5.4676999999999998</v>
      </c>
      <c r="H314" s="9">
        <f>6.8377 * CHOOSE(CONTROL!$C$32, $C$9, 100%, $E$9)</f>
        <v>6.8376999999999999</v>
      </c>
      <c r="I314" s="9">
        <f>6.8409 * CHOOSE(CONTROL!$C$32, $C$9, 100%, $E$9)</f>
        <v>6.8409000000000004</v>
      </c>
      <c r="J314" s="9">
        <f>6.8377 * CHOOSE(CONTROL!$C$32, $C$9, 100%, $E$9)</f>
        <v>6.8376999999999999</v>
      </c>
      <c r="K314" s="9">
        <f>6.8409 * CHOOSE(CONTROL!$C$32, $C$9, 100%, $E$9)</f>
        <v>6.8409000000000004</v>
      </c>
      <c r="L314" s="9">
        <f>5.4645 * CHOOSE(CONTROL!$C$32, $C$9, 100%, $E$9)</f>
        <v>5.4645000000000001</v>
      </c>
      <c r="M314" s="9">
        <f>5.4677 * CHOOSE(CONTROL!$C$32, $C$9, 100%, $E$9)</f>
        <v>5.4676999999999998</v>
      </c>
      <c r="N314" s="9">
        <f>5.4645 * CHOOSE(CONTROL!$C$32, $C$9, 100%, $E$9)</f>
        <v>5.4645000000000001</v>
      </c>
      <c r="O314" s="9">
        <f>5.4677 * CHOOSE(CONTROL!$C$32, $C$9, 100%, $E$9)</f>
        <v>5.4676999999999998</v>
      </c>
    </row>
    <row r="315" spans="1:15" ht="15" x14ac:dyDescent="0.2">
      <c r="A315" s="15">
        <v>50072</v>
      </c>
      <c r="B315" s="10">
        <f>5.5352 * CHOOSE(CONTROL!$C$32, $C$9, 100%, $E$9)</f>
        <v>5.5351999999999997</v>
      </c>
      <c r="C315" s="10">
        <f>5.5352 * CHOOSE(CONTROL!$C$32, $C$9, 100%, $E$9)</f>
        <v>5.5351999999999997</v>
      </c>
      <c r="D315" s="10">
        <f>5.5361 * CHOOSE(CONTROL!$C$32, $C$9, 100%, $E$9)</f>
        <v>5.5361000000000002</v>
      </c>
      <c r="E315" s="9">
        <f>5.3635 * CHOOSE(CONTROL!$C$32, $C$9, 100%, $E$9)</f>
        <v>5.3635000000000002</v>
      </c>
      <c r="F315" s="9">
        <f>5.3635 * CHOOSE(CONTROL!$C$32, $C$9, 100%, $E$9)</f>
        <v>5.3635000000000002</v>
      </c>
      <c r="G315" s="9">
        <f>5.3667 * CHOOSE(CONTROL!$C$32, $C$9, 100%, $E$9)</f>
        <v>5.3666999999999998</v>
      </c>
      <c r="H315" s="9">
        <f>6.8357 * CHOOSE(CONTROL!$C$32, $C$9, 100%, $E$9)</f>
        <v>6.8357000000000001</v>
      </c>
      <c r="I315" s="9">
        <f>6.8389 * CHOOSE(CONTROL!$C$32, $C$9, 100%, $E$9)</f>
        <v>6.8388999999999998</v>
      </c>
      <c r="J315" s="9">
        <f>6.8357 * CHOOSE(CONTROL!$C$32, $C$9, 100%, $E$9)</f>
        <v>6.8357000000000001</v>
      </c>
      <c r="K315" s="9">
        <f>6.8389 * CHOOSE(CONTROL!$C$32, $C$9, 100%, $E$9)</f>
        <v>6.8388999999999998</v>
      </c>
      <c r="L315" s="9">
        <f>5.3635 * CHOOSE(CONTROL!$C$32, $C$9, 100%, $E$9)</f>
        <v>5.3635000000000002</v>
      </c>
      <c r="M315" s="9">
        <f>5.3667 * CHOOSE(CONTROL!$C$32, $C$9, 100%, $E$9)</f>
        <v>5.3666999999999998</v>
      </c>
      <c r="N315" s="9">
        <f>5.3635 * CHOOSE(CONTROL!$C$32, $C$9, 100%, $E$9)</f>
        <v>5.3635000000000002</v>
      </c>
      <c r="O315" s="9">
        <f>5.3667 * CHOOSE(CONTROL!$C$32, $C$9, 100%, $E$9)</f>
        <v>5.3666999999999998</v>
      </c>
    </row>
    <row r="316" spans="1:15" ht="15" x14ac:dyDescent="0.2">
      <c r="A316" s="15">
        <v>50100</v>
      </c>
      <c r="B316" s="10">
        <f>5.5321 * CHOOSE(CONTROL!$C$32, $C$9, 100%, $E$9)</f>
        <v>5.5320999999999998</v>
      </c>
      <c r="C316" s="10">
        <f>5.5321 * CHOOSE(CONTROL!$C$32, $C$9, 100%, $E$9)</f>
        <v>5.5320999999999998</v>
      </c>
      <c r="D316" s="10">
        <f>5.5331 * CHOOSE(CONTROL!$C$32, $C$9, 100%, $E$9)</f>
        <v>5.5331000000000001</v>
      </c>
      <c r="E316" s="9">
        <f>5.4393 * CHOOSE(CONTROL!$C$32, $C$9, 100%, $E$9)</f>
        <v>5.4393000000000002</v>
      </c>
      <c r="F316" s="9">
        <f>5.4393 * CHOOSE(CONTROL!$C$32, $C$9, 100%, $E$9)</f>
        <v>5.4393000000000002</v>
      </c>
      <c r="G316" s="9">
        <f>5.4425 * CHOOSE(CONTROL!$C$32, $C$9, 100%, $E$9)</f>
        <v>5.4424999999999999</v>
      </c>
      <c r="H316" s="9">
        <f>6.8337 * CHOOSE(CONTROL!$C$32, $C$9, 100%, $E$9)</f>
        <v>6.8337000000000003</v>
      </c>
      <c r="I316" s="9">
        <f>6.8369 * CHOOSE(CONTROL!$C$32, $C$9, 100%, $E$9)</f>
        <v>6.8369</v>
      </c>
      <c r="J316" s="9">
        <f>6.8337 * CHOOSE(CONTROL!$C$32, $C$9, 100%, $E$9)</f>
        <v>6.8337000000000003</v>
      </c>
      <c r="K316" s="9">
        <f>6.8369 * CHOOSE(CONTROL!$C$32, $C$9, 100%, $E$9)</f>
        <v>6.8369</v>
      </c>
      <c r="L316" s="9">
        <f>5.4393 * CHOOSE(CONTROL!$C$32, $C$9, 100%, $E$9)</f>
        <v>5.4393000000000002</v>
      </c>
      <c r="M316" s="9">
        <f>5.4425 * CHOOSE(CONTROL!$C$32, $C$9, 100%, $E$9)</f>
        <v>5.4424999999999999</v>
      </c>
      <c r="N316" s="9">
        <f>5.4393 * CHOOSE(CONTROL!$C$32, $C$9, 100%, $E$9)</f>
        <v>5.4393000000000002</v>
      </c>
      <c r="O316" s="9">
        <f>5.4425 * CHOOSE(CONTROL!$C$32, $C$9, 100%, $E$9)</f>
        <v>5.4424999999999999</v>
      </c>
    </row>
    <row r="317" spans="1:15" ht="15" x14ac:dyDescent="0.2">
      <c r="A317" s="15">
        <v>50131</v>
      </c>
      <c r="B317" s="10">
        <f>5.5314 * CHOOSE(CONTROL!$C$32, $C$9, 100%, $E$9)</f>
        <v>5.5313999999999997</v>
      </c>
      <c r="C317" s="10">
        <f>5.5314 * CHOOSE(CONTROL!$C$32, $C$9, 100%, $E$9)</f>
        <v>5.5313999999999997</v>
      </c>
      <c r="D317" s="10">
        <f>5.5324 * CHOOSE(CONTROL!$C$32, $C$9, 100%, $E$9)</f>
        <v>5.5324</v>
      </c>
      <c r="E317" s="9">
        <f>5.5188 * CHOOSE(CONTROL!$C$32, $C$9, 100%, $E$9)</f>
        <v>5.5187999999999997</v>
      </c>
      <c r="F317" s="9">
        <f>5.5188 * CHOOSE(CONTROL!$C$32, $C$9, 100%, $E$9)</f>
        <v>5.5187999999999997</v>
      </c>
      <c r="G317" s="9">
        <f>5.522 * CHOOSE(CONTROL!$C$32, $C$9, 100%, $E$9)</f>
        <v>5.5220000000000002</v>
      </c>
      <c r="H317" s="9">
        <f>6.8331 * CHOOSE(CONTROL!$C$32, $C$9, 100%, $E$9)</f>
        <v>6.8331</v>
      </c>
      <c r="I317" s="9">
        <f>6.8363 * CHOOSE(CONTROL!$C$32, $C$9, 100%, $E$9)</f>
        <v>6.8362999999999996</v>
      </c>
      <c r="J317" s="9">
        <f>6.8331 * CHOOSE(CONTROL!$C$32, $C$9, 100%, $E$9)</f>
        <v>6.8331</v>
      </c>
      <c r="K317" s="9">
        <f>6.8363 * CHOOSE(CONTROL!$C$32, $C$9, 100%, $E$9)</f>
        <v>6.8362999999999996</v>
      </c>
      <c r="L317" s="9">
        <f>5.5188 * CHOOSE(CONTROL!$C$32, $C$9, 100%, $E$9)</f>
        <v>5.5187999999999997</v>
      </c>
      <c r="M317" s="9">
        <f>5.522 * CHOOSE(CONTROL!$C$32, $C$9, 100%, $E$9)</f>
        <v>5.5220000000000002</v>
      </c>
      <c r="N317" s="9">
        <f>5.5188 * CHOOSE(CONTROL!$C$32, $C$9, 100%, $E$9)</f>
        <v>5.5187999999999997</v>
      </c>
      <c r="O317" s="9">
        <f>5.522 * CHOOSE(CONTROL!$C$32, $C$9, 100%, $E$9)</f>
        <v>5.5220000000000002</v>
      </c>
    </row>
    <row r="318" spans="1:15" ht="15" x14ac:dyDescent="0.2">
      <c r="A318" s="15">
        <v>50161</v>
      </c>
      <c r="B318" s="10">
        <f>5.5314 * CHOOSE(CONTROL!$C$32, $C$9, 100%, $E$9)</f>
        <v>5.5313999999999997</v>
      </c>
      <c r="C318" s="10">
        <f>5.5314 * CHOOSE(CONTROL!$C$32, $C$9, 100%, $E$9)</f>
        <v>5.5313999999999997</v>
      </c>
      <c r="D318" s="10">
        <f>5.5327 * CHOOSE(CONTROL!$C$32, $C$9, 100%, $E$9)</f>
        <v>5.5327000000000002</v>
      </c>
      <c r="E318" s="9">
        <f>5.5502 * CHOOSE(CONTROL!$C$32, $C$9, 100%, $E$9)</f>
        <v>5.5502000000000002</v>
      </c>
      <c r="F318" s="9">
        <f>5.5502 * CHOOSE(CONTROL!$C$32, $C$9, 100%, $E$9)</f>
        <v>5.5502000000000002</v>
      </c>
      <c r="G318" s="9">
        <f>5.5545 * CHOOSE(CONTROL!$C$32, $C$9, 100%, $E$9)</f>
        <v>5.5545</v>
      </c>
      <c r="H318" s="9">
        <f>6.8331 * CHOOSE(CONTROL!$C$32, $C$9, 100%, $E$9)</f>
        <v>6.8331</v>
      </c>
      <c r="I318" s="9">
        <f>6.8374 * CHOOSE(CONTROL!$C$32, $C$9, 100%, $E$9)</f>
        <v>6.8373999999999997</v>
      </c>
      <c r="J318" s="9">
        <f>6.8331 * CHOOSE(CONTROL!$C$32, $C$9, 100%, $E$9)</f>
        <v>6.8331</v>
      </c>
      <c r="K318" s="9">
        <f>6.8374 * CHOOSE(CONTROL!$C$32, $C$9, 100%, $E$9)</f>
        <v>6.8373999999999997</v>
      </c>
      <c r="L318" s="9">
        <f>5.5502 * CHOOSE(CONTROL!$C$32, $C$9, 100%, $E$9)</f>
        <v>5.5502000000000002</v>
      </c>
      <c r="M318" s="9">
        <f>5.5545 * CHOOSE(CONTROL!$C$32, $C$9, 100%, $E$9)</f>
        <v>5.5545</v>
      </c>
      <c r="N318" s="9">
        <f>5.5502 * CHOOSE(CONTROL!$C$32, $C$9, 100%, $E$9)</f>
        <v>5.5502000000000002</v>
      </c>
      <c r="O318" s="9">
        <f>5.5545 * CHOOSE(CONTROL!$C$32, $C$9, 100%, $E$9)</f>
        <v>5.5545</v>
      </c>
    </row>
    <row r="319" spans="1:15" ht="15" x14ac:dyDescent="0.2">
      <c r="A319" s="15">
        <v>50192</v>
      </c>
      <c r="B319" s="10">
        <f>5.5375 * CHOOSE(CONTROL!$C$32, $C$9, 100%, $E$9)</f>
        <v>5.5374999999999996</v>
      </c>
      <c r="C319" s="10">
        <f>5.5375 * CHOOSE(CONTROL!$C$32, $C$9, 100%, $E$9)</f>
        <v>5.5374999999999996</v>
      </c>
      <c r="D319" s="10">
        <f>5.5388 * CHOOSE(CONTROL!$C$32, $C$9, 100%, $E$9)</f>
        <v>5.5388000000000002</v>
      </c>
      <c r="E319" s="9">
        <f>5.523 * CHOOSE(CONTROL!$C$32, $C$9, 100%, $E$9)</f>
        <v>5.5229999999999997</v>
      </c>
      <c r="F319" s="9">
        <f>5.523 * CHOOSE(CONTROL!$C$32, $C$9, 100%, $E$9)</f>
        <v>5.5229999999999997</v>
      </c>
      <c r="G319" s="9">
        <f>5.5274 * CHOOSE(CONTROL!$C$32, $C$9, 100%, $E$9)</f>
        <v>5.5274000000000001</v>
      </c>
      <c r="H319" s="9">
        <f>6.8371 * CHOOSE(CONTROL!$C$32, $C$9, 100%, $E$9)</f>
        <v>6.8371000000000004</v>
      </c>
      <c r="I319" s="9">
        <f>6.8414 * CHOOSE(CONTROL!$C$32, $C$9, 100%, $E$9)</f>
        <v>6.8414000000000001</v>
      </c>
      <c r="J319" s="9">
        <f>6.8371 * CHOOSE(CONTROL!$C$32, $C$9, 100%, $E$9)</f>
        <v>6.8371000000000004</v>
      </c>
      <c r="K319" s="9">
        <f>6.8414 * CHOOSE(CONTROL!$C$32, $C$9, 100%, $E$9)</f>
        <v>6.8414000000000001</v>
      </c>
      <c r="L319" s="9">
        <f>5.523 * CHOOSE(CONTROL!$C$32, $C$9, 100%, $E$9)</f>
        <v>5.5229999999999997</v>
      </c>
      <c r="M319" s="9">
        <f>5.5274 * CHOOSE(CONTROL!$C$32, $C$9, 100%, $E$9)</f>
        <v>5.5274000000000001</v>
      </c>
      <c r="N319" s="9">
        <f>5.523 * CHOOSE(CONTROL!$C$32, $C$9, 100%, $E$9)</f>
        <v>5.5229999999999997</v>
      </c>
      <c r="O319" s="9">
        <f>5.5274 * CHOOSE(CONTROL!$C$32, $C$9, 100%, $E$9)</f>
        <v>5.5274000000000001</v>
      </c>
    </row>
    <row r="320" spans="1:15" ht="15" x14ac:dyDescent="0.2">
      <c r="A320" s="15">
        <v>50222</v>
      </c>
      <c r="B320" s="10">
        <f>5.6223 * CHOOSE(CONTROL!$C$32, $C$9, 100%, $E$9)</f>
        <v>5.6223000000000001</v>
      </c>
      <c r="C320" s="10">
        <f>5.6223 * CHOOSE(CONTROL!$C$32, $C$9, 100%, $E$9)</f>
        <v>5.6223000000000001</v>
      </c>
      <c r="D320" s="10">
        <f>5.6236 * CHOOSE(CONTROL!$C$32, $C$9, 100%, $E$9)</f>
        <v>5.6235999999999997</v>
      </c>
      <c r="E320" s="9">
        <f>5.5852 * CHOOSE(CONTROL!$C$32, $C$9, 100%, $E$9)</f>
        <v>5.5852000000000004</v>
      </c>
      <c r="F320" s="9">
        <f>5.5852 * CHOOSE(CONTROL!$C$32, $C$9, 100%, $E$9)</f>
        <v>5.5852000000000004</v>
      </c>
      <c r="G320" s="9">
        <f>5.5895 * CHOOSE(CONTROL!$C$32, $C$9, 100%, $E$9)</f>
        <v>5.5895000000000001</v>
      </c>
      <c r="H320" s="9">
        <f>6.944 * CHOOSE(CONTROL!$C$32, $C$9, 100%, $E$9)</f>
        <v>6.944</v>
      </c>
      <c r="I320" s="9">
        <f>6.9484 * CHOOSE(CONTROL!$C$32, $C$9, 100%, $E$9)</f>
        <v>6.9484000000000004</v>
      </c>
      <c r="J320" s="9">
        <f>6.944 * CHOOSE(CONTROL!$C$32, $C$9, 100%, $E$9)</f>
        <v>6.944</v>
      </c>
      <c r="K320" s="9">
        <f>6.9484 * CHOOSE(CONTROL!$C$32, $C$9, 100%, $E$9)</f>
        <v>6.9484000000000004</v>
      </c>
      <c r="L320" s="9">
        <f>5.5852 * CHOOSE(CONTROL!$C$32, $C$9, 100%, $E$9)</f>
        <v>5.5852000000000004</v>
      </c>
      <c r="M320" s="9">
        <f>5.5895 * CHOOSE(CONTROL!$C$32, $C$9, 100%, $E$9)</f>
        <v>5.5895000000000001</v>
      </c>
      <c r="N320" s="9">
        <f>5.5852 * CHOOSE(CONTROL!$C$32, $C$9, 100%, $E$9)</f>
        <v>5.5852000000000004</v>
      </c>
      <c r="O320" s="9">
        <f>5.5895 * CHOOSE(CONTROL!$C$32, $C$9, 100%, $E$9)</f>
        <v>5.5895000000000001</v>
      </c>
    </row>
    <row r="321" spans="1:15" ht="15" x14ac:dyDescent="0.2">
      <c r="A321" s="15">
        <v>50253</v>
      </c>
      <c r="B321" s="10">
        <f>5.629 * CHOOSE(CONTROL!$C$32, $C$9, 100%, $E$9)</f>
        <v>5.6289999999999996</v>
      </c>
      <c r="C321" s="10">
        <f>5.629 * CHOOSE(CONTROL!$C$32, $C$9, 100%, $E$9)</f>
        <v>5.6289999999999996</v>
      </c>
      <c r="D321" s="10">
        <f>5.6303 * CHOOSE(CONTROL!$C$32, $C$9, 100%, $E$9)</f>
        <v>5.6303000000000001</v>
      </c>
      <c r="E321" s="9">
        <f>5.4957 * CHOOSE(CONTROL!$C$32, $C$9, 100%, $E$9)</f>
        <v>5.4957000000000003</v>
      </c>
      <c r="F321" s="9">
        <f>5.4957 * CHOOSE(CONTROL!$C$32, $C$9, 100%, $E$9)</f>
        <v>5.4957000000000003</v>
      </c>
      <c r="G321" s="9">
        <f>5.5 * CHOOSE(CONTROL!$C$32, $C$9, 100%, $E$9)</f>
        <v>5.5</v>
      </c>
      <c r="H321" s="9">
        <f>6.9484 * CHOOSE(CONTROL!$C$32, $C$9, 100%, $E$9)</f>
        <v>6.9484000000000004</v>
      </c>
      <c r="I321" s="9">
        <f>6.9528 * CHOOSE(CONTROL!$C$32, $C$9, 100%, $E$9)</f>
        <v>6.9527999999999999</v>
      </c>
      <c r="J321" s="9">
        <f>6.9484 * CHOOSE(CONTROL!$C$32, $C$9, 100%, $E$9)</f>
        <v>6.9484000000000004</v>
      </c>
      <c r="K321" s="9">
        <f>6.9528 * CHOOSE(CONTROL!$C$32, $C$9, 100%, $E$9)</f>
        <v>6.9527999999999999</v>
      </c>
      <c r="L321" s="9">
        <f>5.4957 * CHOOSE(CONTROL!$C$32, $C$9, 100%, $E$9)</f>
        <v>5.4957000000000003</v>
      </c>
      <c r="M321" s="9">
        <f>5.5 * CHOOSE(CONTROL!$C$32, $C$9, 100%, $E$9)</f>
        <v>5.5</v>
      </c>
      <c r="N321" s="9">
        <f>5.4957 * CHOOSE(CONTROL!$C$32, $C$9, 100%, $E$9)</f>
        <v>5.4957000000000003</v>
      </c>
      <c r="O321" s="9">
        <f>5.5 * CHOOSE(CONTROL!$C$32, $C$9, 100%, $E$9)</f>
        <v>5.5</v>
      </c>
    </row>
    <row r="322" spans="1:15" ht="15" x14ac:dyDescent="0.2">
      <c r="A322" s="15">
        <v>50284</v>
      </c>
      <c r="B322" s="10">
        <f>5.626 * CHOOSE(CONTROL!$C$32, $C$9, 100%, $E$9)</f>
        <v>5.6260000000000003</v>
      </c>
      <c r="C322" s="10">
        <f>5.626 * CHOOSE(CONTROL!$C$32, $C$9, 100%, $E$9)</f>
        <v>5.6260000000000003</v>
      </c>
      <c r="D322" s="10">
        <f>5.6273 * CHOOSE(CONTROL!$C$32, $C$9, 100%, $E$9)</f>
        <v>5.6273</v>
      </c>
      <c r="E322" s="9">
        <f>5.4831 * CHOOSE(CONTROL!$C$32, $C$9, 100%, $E$9)</f>
        <v>5.4831000000000003</v>
      </c>
      <c r="F322" s="9">
        <f>5.4831 * CHOOSE(CONTROL!$C$32, $C$9, 100%, $E$9)</f>
        <v>5.4831000000000003</v>
      </c>
      <c r="G322" s="9">
        <f>5.4874 * CHOOSE(CONTROL!$C$32, $C$9, 100%, $E$9)</f>
        <v>5.4874000000000001</v>
      </c>
      <c r="H322" s="9">
        <f>6.9464 * CHOOSE(CONTROL!$C$32, $C$9, 100%, $E$9)</f>
        <v>6.9463999999999997</v>
      </c>
      <c r="I322" s="9">
        <f>6.9508 * CHOOSE(CONTROL!$C$32, $C$9, 100%, $E$9)</f>
        <v>6.9508000000000001</v>
      </c>
      <c r="J322" s="9">
        <f>6.9464 * CHOOSE(CONTROL!$C$32, $C$9, 100%, $E$9)</f>
        <v>6.9463999999999997</v>
      </c>
      <c r="K322" s="9">
        <f>6.9508 * CHOOSE(CONTROL!$C$32, $C$9, 100%, $E$9)</f>
        <v>6.9508000000000001</v>
      </c>
      <c r="L322" s="9">
        <f>5.4831 * CHOOSE(CONTROL!$C$32, $C$9, 100%, $E$9)</f>
        <v>5.4831000000000003</v>
      </c>
      <c r="M322" s="9">
        <f>5.4874 * CHOOSE(CONTROL!$C$32, $C$9, 100%, $E$9)</f>
        <v>5.4874000000000001</v>
      </c>
      <c r="N322" s="9">
        <f>5.4831 * CHOOSE(CONTROL!$C$32, $C$9, 100%, $E$9)</f>
        <v>5.4831000000000003</v>
      </c>
      <c r="O322" s="9">
        <f>5.4874 * CHOOSE(CONTROL!$C$32, $C$9, 100%, $E$9)</f>
        <v>5.4874000000000001</v>
      </c>
    </row>
    <row r="323" spans="1:15" ht="15" x14ac:dyDescent="0.2">
      <c r="A323" s="15">
        <v>50314</v>
      </c>
      <c r="B323" s="10">
        <f>5.6278 * CHOOSE(CONTROL!$C$32, $C$9, 100%, $E$9)</f>
        <v>5.6277999999999997</v>
      </c>
      <c r="C323" s="10">
        <f>5.6278 * CHOOSE(CONTROL!$C$32, $C$9, 100%, $E$9)</f>
        <v>5.6277999999999997</v>
      </c>
      <c r="D323" s="10">
        <f>5.6287 * CHOOSE(CONTROL!$C$32, $C$9, 100%, $E$9)</f>
        <v>5.6287000000000003</v>
      </c>
      <c r="E323" s="9">
        <f>5.5115 * CHOOSE(CONTROL!$C$32, $C$9, 100%, $E$9)</f>
        <v>5.5114999999999998</v>
      </c>
      <c r="F323" s="9">
        <f>5.5115 * CHOOSE(CONTROL!$C$32, $C$9, 100%, $E$9)</f>
        <v>5.5114999999999998</v>
      </c>
      <c r="G323" s="9">
        <f>5.5147 * CHOOSE(CONTROL!$C$32, $C$9, 100%, $E$9)</f>
        <v>5.5147000000000004</v>
      </c>
      <c r="H323" s="9">
        <f>6.9468 * CHOOSE(CONTROL!$C$32, $C$9, 100%, $E$9)</f>
        <v>6.9467999999999996</v>
      </c>
      <c r="I323" s="9">
        <f>6.95 * CHOOSE(CONTROL!$C$32, $C$9, 100%, $E$9)</f>
        <v>6.95</v>
      </c>
      <c r="J323" s="9">
        <f>6.9468 * CHOOSE(CONTROL!$C$32, $C$9, 100%, $E$9)</f>
        <v>6.9467999999999996</v>
      </c>
      <c r="K323" s="9">
        <f>6.95 * CHOOSE(CONTROL!$C$32, $C$9, 100%, $E$9)</f>
        <v>6.95</v>
      </c>
      <c r="L323" s="9">
        <f>5.5115 * CHOOSE(CONTROL!$C$32, $C$9, 100%, $E$9)</f>
        <v>5.5114999999999998</v>
      </c>
      <c r="M323" s="9">
        <f>5.5147 * CHOOSE(CONTROL!$C$32, $C$9, 100%, $E$9)</f>
        <v>5.5147000000000004</v>
      </c>
      <c r="N323" s="9">
        <f>5.5115 * CHOOSE(CONTROL!$C$32, $C$9, 100%, $E$9)</f>
        <v>5.5114999999999998</v>
      </c>
      <c r="O323" s="9">
        <f>5.5147 * CHOOSE(CONTROL!$C$32, $C$9, 100%, $E$9)</f>
        <v>5.5147000000000004</v>
      </c>
    </row>
    <row r="324" spans="1:15" ht="15" x14ac:dyDescent="0.2">
      <c r="A324" s="15">
        <v>50345</v>
      </c>
      <c r="B324" s="10">
        <f>5.6308 * CHOOSE(CONTROL!$C$32, $C$9, 100%, $E$9)</f>
        <v>5.6307999999999998</v>
      </c>
      <c r="C324" s="10">
        <f>5.6308 * CHOOSE(CONTROL!$C$32, $C$9, 100%, $E$9)</f>
        <v>5.6307999999999998</v>
      </c>
      <c r="D324" s="10">
        <f>5.6318 * CHOOSE(CONTROL!$C$32, $C$9, 100%, $E$9)</f>
        <v>5.6318000000000001</v>
      </c>
      <c r="E324" s="9">
        <f>5.5346 * CHOOSE(CONTROL!$C$32, $C$9, 100%, $E$9)</f>
        <v>5.5346000000000002</v>
      </c>
      <c r="F324" s="9">
        <f>5.5346 * CHOOSE(CONTROL!$C$32, $C$9, 100%, $E$9)</f>
        <v>5.5346000000000002</v>
      </c>
      <c r="G324" s="9">
        <f>5.5378 * CHOOSE(CONTROL!$C$32, $C$9, 100%, $E$9)</f>
        <v>5.5377999999999998</v>
      </c>
      <c r="H324" s="9">
        <f>6.9488 * CHOOSE(CONTROL!$C$32, $C$9, 100%, $E$9)</f>
        <v>6.9488000000000003</v>
      </c>
      <c r="I324" s="9">
        <f>6.952 * CHOOSE(CONTROL!$C$32, $C$9, 100%, $E$9)</f>
        <v>6.952</v>
      </c>
      <c r="J324" s="9">
        <f>6.9488 * CHOOSE(CONTROL!$C$32, $C$9, 100%, $E$9)</f>
        <v>6.9488000000000003</v>
      </c>
      <c r="K324" s="9">
        <f>6.952 * CHOOSE(CONTROL!$C$32, $C$9, 100%, $E$9)</f>
        <v>6.952</v>
      </c>
      <c r="L324" s="9">
        <f>5.5346 * CHOOSE(CONTROL!$C$32, $C$9, 100%, $E$9)</f>
        <v>5.5346000000000002</v>
      </c>
      <c r="M324" s="9">
        <f>5.5378 * CHOOSE(CONTROL!$C$32, $C$9, 100%, $E$9)</f>
        <v>5.5377999999999998</v>
      </c>
      <c r="N324" s="9">
        <f>5.5346 * CHOOSE(CONTROL!$C$32, $C$9, 100%, $E$9)</f>
        <v>5.5346000000000002</v>
      </c>
      <c r="O324" s="9">
        <f>5.5378 * CHOOSE(CONTROL!$C$32, $C$9, 100%, $E$9)</f>
        <v>5.5377999999999998</v>
      </c>
    </row>
    <row r="325" spans="1:15" ht="15" x14ac:dyDescent="0.2">
      <c r="A325" s="15">
        <v>50375</v>
      </c>
      <c r="B325" s="10">
        <f>5.6308 * CHOOSE(CONTROL!$C$32, $C$9, 100%, $E$9)</f>
        <v>5.6307999999999998</v>
      </c>
      <c r="C325" s="10">
        <f>5.6308 * CHOOSE(CONTROL!$C$32, $C$9, 100%, $E$9)</f>
        <v>5.6307999999999998</v>
      </c>
      <c r="D325" s="10">
        <f>5.6318 * CHOOSE(CONTROL!$C$32, $C$9, 100%, $E$9)</f>
        <v>5.6318000000000001</v>
      </c>
      <c r="E325" s="9">
        <f>5.4823 * CHOOSE(CONTROL!$C$32, $C$9, 100%, $E$9)</f>
        <v>5.4823000000000004</v>
      </c>
      <c r="F325" s="9">
        <f>5.4823 * CHOOSE(CONTROL!$C$32, $C$9, 100%, $E$9)</f>
        <v>5.4823000000000004</v>
      </c>
      <c r="G325" s="9">
        <f>5.4854 * CHOOSE(CONTROL!$C$32, $C$9, 100%, $E$9)</f>
        <v>5.4854000000000003</v>
      </c>
      <c r="H325" s="9">
        <f>6.9488 * CHOOSE(CONTROL!$C$32, $C$9, 100%, $E$9)</f>
        <v>6.9488000000000003</v>
      </c>
      <c r="I325" s="9">
        <f>6.952 * CHOOSE(CONTROL!$C$32, $C$9, 100%, $E$9)</f>
        <v>6.952</v>
      </c>
      <c r="J325" s="9">
        <f>6.9488 * CHOOSE(CONTROL!$C$32, $C$9, 100%, $E$9)</f>
        <v>6.9488000000000003</v>
      </c>
      <c r="K325" s="9">
        <f>6.952 * CHOOSE(CONTROL!$C$32, $C$9, 100%, $E$9)</f>
        <v>6.952</v>
      </c>
      <c r="L325" s="9">
        <f>5.4823 * CHOOSE(CONTROL!$C$32, $C$9, 100%, $E$9)</f>
        <v>5.4823000000000004</v>
      </c>
      <c r="M325" s="9">
        <f>5.4854 * CHOOSE(CONTROL!$C$32, $C$9, 100%, $E$9)</f>
        <v>5.4854000000000003</v>
      </c>
      <c r="N325" s="9">
        <f>5.4823 * CHOOSE(CONTROL!$C$32, $C$9, 100%, $E$9)</f>
        <v>5.4823000000000004</v>
      </c>
      <c r="O325" s="9">
        <f>5.4854 * CHOOSE(CONTROL!$C$32, $C$9, 100%, $E$9)</f>
        <v>5.4854000000000003</v>
      </c>
    </row>
    <row r="326" spans="1:15" ht="15.75" x14ac:dyDescent="0.25">
      <c r="A326" s="14">
        <v>50436</v>
      </c>
      <c r="B326" s="10">
        <f>5.6787 * CHOOSE(CONTROL!$C$32, $C$9, 100%, $E$9)</f>
        <v>5.6787000000000001</v>
      </c>
      <c r="C326" s="10">
        <f>5.6787 * CHOOSE(CONTROL!$C$32, $C$9, 100%, $E$9)</f>
        <v>5.6787000000000001</v>
      </c>
      <c r="D326" s="10">
        <f>5.6797 * CHOOSE(CONTROL!$C$32, $C$9, 100%, $E$9)</f>
        <v>5.6797000000000004</v>
      </c>
      <c r="E326" s="9">
        <f>5.5584 * CHOOSE(CONTROL!$C$32, $C$9, 100%, $E$9)</f>
        <v>5.5583999999999998</v>
      </c>
      <c r="F326" s="9">
        <f>5.5584 * CHOOSE(CONTROL!$C$32, $C$9, 100%, $E$9)</f>
        <v>5.5583999999999998</v>
      </c>
      <c r="G326" s="9">
        <f>5.5615 * CHOOSE(CONTROL!$C$32, $C$9, 100%, $E$9)</f>
        <v>5.5614999999999997</v>
      </c>
      <c r="H326" s="9">
        <f>7.001 * CHOOSE(CONTROL!$C$32, $C$9, 100%, $E$9)</f>
        <v>7.0010000000000003</v>
      </c>
      <c r="I326" s="9">
        <f>7.0042 * CHOOSE(CONTROL!$C$32, $C$9, 100%, $E$9)</f>
        <v>7.0042</v>
      </c>
      <c r="J326" s="9">
        <f>7.001 * CHOOSE(CONTROL!$C$32, $C$9, 100%, $E$9)</f>
        <v>7.0010000000000003</v>
      </c>
      <c r="K326" s="9">
        <f>7.0042 * CHOOSE(CONTROL!$C$32, $C$9, 100%, $E$9)</f>
        <v>7.0042</v>
      </c>
      <c r="L326" s="9">
        <f>5.5584 * CHOOSE(CONTROL!$C$32, $C$9, 100%, $E$9)</f>
        <v>5.5583999999999998</v>
      </c>
      <c r="M326" s="9">
        <f>5.5615 * CHOOSE(CONTROL!$C$32, $C$9, 100%, $E$9)</f>
        <v>5.5614999999999997</v>
      </c>
      <c r="N326" s="9">
        <f>5.5584 * CHOOSE(CONTROL!$C$32, $C$9, 100%, $E$9)</f>
        <v>5.5583999999999998</v>
      </c>
      <c r="O326" s="9">
        <f>5.5615 * CHOOSE(CONTROL!$C$32, $C$9, 100%, $E$9)</f>
        <v>5.5614999999999997</v>
      </c>
    </row>
    <row r="327" spans="1:15" ht="15.75" x14ac:dyDescent="0.25">
      <c r="A327" s="14">
        <v>50464</v>
      </c>
      <c r="B327" s="10">
        <f>5.6757 * CHOOSE(CONTROL!$C$32, $C$9, 100%, $E$9)</f>
        <v>5.6757</v>
      </c>
      <c r="C327" s="10">
        <f>5.6757 * CHOOSE(CONTROL!$C$32, $C$9, 100%, $E$9)</f>
        <v>5.6757</v>
      </c>
      <c r="D327" s="10">
        <f>5.6767 * CHOOSE(CONTROL!$C$32, $C$9, 100%, $E$9)</f>
        <v>5.6767000000000003</v>
      </c>
      <c r="E327" s="9">
        <f>5.4544 * CHOOSE(CONTROL!$C$32, $C$9, 100%, $E$9)</f>
        <v>5.4543999999999997</v>
      </c>
      <c r="F327" s="9">
        <f>5.4544 * CHOOSE(CONTROL!$C$32, $C$9, 100%, $E$9)</f>
        <v>5.4543999999999997</v>
      </c>
      <c r="G327" s="9">
        <f>5.4576 * CHOOSE(CONTROL!$C$32, $C$9, 100%, $E$9)</f>
        <v>5.4576000000000002</v>
      </c>
      <c r="H327" s="9">
        <f>6.999 * CHOOSE(CONTROL!$C$32, $C$9, 100%, $E$9)</f>
        <v>6.9989999999999997</v>
      </c>
      <c r="I327" s="9">
        <f>7.0022 * CHOOSE(CONTROL!$C$32, $C$9, 100%, $E$9)</f>
        <v>7.0022000000000002</v>
      </c>
      <c r="J327" s="9">
        <f>6.999 * CHOOSE(CONTROL!$C$32, $C$9, 100%, $E$9)</f>
        <v>6.9989999999999997</v>
      </c>
      <c r="K327" s="9">
        <f>7.0022 * CHOOSE(CONTROL!$C$32, $C$9, 100%, $E$9)</f>
        <v>7.0022000000000002</v>
      </c>
      <c r="L327" s="9">
        <f>5.4544 * CHOOSE(CONTROL!$C$32, $C$9, 100%, $E$9)</f>
        <v>5.4543999999999997</v>
      </c>
      <c r="M327" s="9">
        <f>5.4576 * CHOOSE(CONTROL!$C$32, $C$9, 100%, $E$9)</f>
        <v>5.4576000000000002</v>
      </c>
      <c r="N327" s="9">
        <f>5.4544 * CHOOSE(CONTROL!$C$32, $C$9, 100%, $E$9)</f>
        <v>5.4543999999999997</v>
      </c>
      <c r="O327" s="9">
        <f>5.4576 * CHOOSE(CONTROL!$C$32, $C$9, 100%, $E$9)</f>
        <v>5.4576000000000002</v>
      </c>
    </row>
    <row r="328" spans="1:15" ht="15.75" x14ac:dyDescent="0.25">
      <c r="A328" s="14">
        <v>50495</v>
      </c>
      <c r="B328" s="10">
        <f>5.6727 * CHOOSE(CONTROL!$C$32, $C$9, 100%, $E$9)</f>
        <v>5.6726999999999999</v>
      </c>
      <c r="C328" s="10">
        <f>5.6727 * CHOOSE(CONTROL!$C$32, $C$9, 100%, $E$9)</f>
        <v>5.6726999999999999</v>
      </c>
      <c r="D328" s="10">
        <f>5.6736 * CHOOSE(CONTROL!$C$32, $C$9, 100%, $E$9)</f>
        <v>5.6736000000000004</v>
      </c>
      <c r="E328" s="9">
        <f>5.5326 * CHOOSE(CONTROL!$C$32, $C$9, 100%, $E$9)</f>
        <v>5.5326000000000004</v>
      </c>
      <c r="F328" s="9">
        <f>5.5326 * CHOOSE(CONTROL!$C$32, $C$9, 100%, $E$9)</f>
        <v>5.5326000000000004</v>
      </c>
      <c r="G328" s="9">
        <f>5.5358 * CHOOSE(CONTROL!$C$32, $C$9, 100%, $E$9)</f>
        <v>5.5358000000000001</v>
      </c>
      <c r="H328" s="9">
        <f>6.997 * CHOOSE(CONTROL!$C$32, $C$9, 100%, $E$9)</f>
        <v>6.9969999999999999</v>
      </c>
      <c r="I328" s="9">
        <f>7.0002 * CHOOSE(CONTROL!$C$32, $C$9, 100%, $E$9)</f>
        <v>7.0002000000000004</v>
      </c>
      <c r="J328" s="9">
        <f>6.997 * CHOOSE(CONTROL!$C$32, $C$9, 100%, $E$9)</f>
        <v>6.9969999999999999</v>
      </c>
      <c r="K328" s="9">
        <f>7.0002 * CHOOSE(CONTROL!$C$32, $C$9, 100%, $E$9)</f>
        <v>7.0002000000000004</v>
      </c>
      <c r="L328" s="9">
        <f>5.5326 * CHOOSE(CONTROL!$C$32, $C$9, 100%, $E$9)</f>
        <v>5.5326000000000004</v>
      </c>
      <c r="M328" s="9">
        <f>5.5358 * CHOOSE(CONTROL!$C$32, $C$9, 100%, $E$9)</f>
        <v>5.5358000000000001</v>
      </c>
      <c r="N328" s="9">
        <f>5.5326 * CHOOSE(CONTROL!$C$32, $C$9, 100%, $E$9)</f>
        <v>5.5326000000000004</v>
      </c>
      <c r="O328" s="9">
        <f>5.5358 * CHOOSE(CONTROL!$C$32, $C$9, 100%, $E$9)</f>
        <v>5.5358000000000001</v>
      </c>
    </row>
    <row r="329" spans="1:15" ht="15.75" x14ac:dyDescent="0.25">
      <c r="A329" s="14">
        <v>50525</v>
      </c>
      <c r="B329" s="10">
        <f>5.6721 * CHOOSE(CONTROL!$C$32, $C$9, 100%, $E$9)</f>
        <v>5.6721000000000004</v>
      </c>
      <c r="C329" s="10">
        <f>5.6721 * CHOOSE(CONTROL!$C$32, $C$9, 100%, $E$9)</f>
        <v>5.6721000000000004</v>
      </c>
      <c r="D329" s="10">
        <f>5.6731 * CHOOSE(CONTROL!$C$32, $C$9, 100%, $E$9)</f>
        <v>5.6730999999999998</v>
      </c>
      <c r="E329" s="9">
        <f>5.6145 * CHOOSE(CONTROL!$C$32, $C$9, 100%, $E$9)</f>
        <v>5.6144999999999996</v>
      </c>
      <c r="F329" s="9">
        <f>5.6145 * CHOOSE(CONTROL!$C$32, $C$9, 100%, $E$9)</f>
        <v>5.6144999999999996</v>
      </c>
      <c r="G329" s="9">
        <f>5.6177 * CHOOSE(CONTROL!$C$32, $C$9, 100%, $E$9)</f>
        <v>5.6177000000000001</v>
      </c>
      <c r="H329" s="9">
        <f>6.9965 * CHOOSE(CONTROL!$C$32, $C$9, 100%, $E$9)</f>
        <v>6.9965000000000002</v>
      </c>
      <c r="I329" s="9">
        <f>6.9997 * CHOOSE(CONTROL!$C$32, $C$9, 100%, $E$9)</f>
        <v>6.9996999999999998</v>
      </c>
      <c r="J329" s="9">
        <f>6.9965 * CHOOSE(CONTROL!$C$32, $C$9, 100%, $E$9)</f>
        <v>6.9965000000000002</v>
      </c>
      <c r="K329" s="9">
        <f>6.9997 * CHOOSE(CONTROL!$C$32, $C$9, 100%, $E$9)</f>
        <v>6.9996999999999998</v>
      </c>
      <c r="L329" s="9">
        <f>5.6145 * CHOOSE(CONTROL!$C$32, $C$9, 100%, $E$9)</f>
        <v>5.6144999999999996</v>
      </c>
      <c r="M329" s="9">
        <f>5.6177 * CHOOSE(CONTROL!$C$32, $C$9, 100%, $E$9)</f>
        <v>5.6177000000000001</v>
      </c>
      <c r="N329" s="9">
        <f>5.6145 * CHOOSE(CONTROL!$C$32, $C$9, 100%, $E$9)</f>
        <v>5.6144999999999996</v>
      </c>
      <c r="O329" s="9">
        <f>5.6177 * CHOOSE(CONTROL!$C$32, $C$9, 100%, $E$9)</f>
        <v>5.6177000000000001</v>
      </c>
    </row>
    <row r="330" spans="1:15" ht="15.75" x14ac:dyDescent="0.25">
      <c r="A330" s="14">
        <v>50556</v>
      </c>
      <c r="B330" s="10">
        <f>5.6721 * CHOOSE(CONTROL!$C$32, $C$9, 100%, $E$9)</f>
        <v>5.6721000000000004</v>
      </c>
      <c r="C330" s="10">
        <f>5.6721 * CHOOSE(CONTROL!$C$32, $C$9, 100%, $E$9)</f>
        <v>5.6721000000000004</v>
      </c>
      <c r="D330" s="10">
        <f>5.6734 * CHOOSE(CONTROL!$C$32, $C$9, 100%, $E$9)</f>
        <v>5.6734</v>
      </c>
      <c r="E330" s="9">
        <f>5.6469 * CHOOSE(CONTROL!$C$32, $C$9, 100%, $E$9)</f>
        <v>5.6468999999999996</v>
      </c>
      <c r="F330" s="9">
        <f>5.6469 * CHOOSE(CONTROL!$C$32, $C$9, 100%, $E$9)</f>
        <v>5.6468999999999996</v>
      </c>
      <c r="G330" s="9">
        <f>5.6512 * CHOOSE(CONTROL!$C$32, $C$9, 100%, $E$9)</f>
        <v>5.6512000000000002</v>
      </c>
      <c r="H330" s="9">
        <f>6.9965 * CHOOSE(CONTROL!$C$32, $C$9, 100%, $E$9)</f>
        <v>6.9965000000000002</v>
      </c>
      <c r="I330" s="9">
        <f>7.0008 * CHOOSE(CONTROL!$C$32, $C$9, 100%, $E$9)</f>
        <v>7.0007999999999999</v>
      </c>
      <c r="J330" s="9">
        <f>6.9965 * CHOOSE(CONTROL!$C$32, $C$9, 100%, $E$9)</f>
        <v>6.9965000000000002</v>
      </c>
      <c r="K330" s="9">
        <f>7.0008 * CHOOSE(CONTROL!$C$32, $C$9, 100%, $E$9)</f>
        <v>7.0007999999999999</v>
      </c>
      <c r="L330" s="9">
        <f>5.6469 * CHOOSE(CONTROL!$C$32, $C$9, 100%, $E$9)</f>
        <v>5.6468999999999996</v>
      </c>
      <c r="M330" s="9">
        <f>5.6512 * CHOOSE(CONTROL!$C$32, $C$9, 100%, $E$9)</f>
        <v>5.6512000000000002</v>
      </c>
      <c r="N330" s="9">
        <f>5.6469 * CHOOSE(CONTROL!$C$32, $C$9, 100%, $E$9)</f>
        <v>5.6468999999999996</v>
      </c>
      <c r="O330" s="9">
        <f>5.6512 * CHOOSE(CONTROL!$C$32, $C$9, 100%, $E$9)</f>
        <v>5.6512000000000002</v>
      </c>
    </row>
    <row r="331" spans="1:15" ht="15.75" x14ac:dyDescent="0.25">
      <c r="A331" s="14">
        <v>50586</v>
      </c>
      <c r="B331" s="10">
        <f>5.6782 * CHOOSE(CONTROL!$C$32, $C$9, 100%, $E$9)</f>
        <v>5.6782000000000004</v>
      </c>
      <c r="C331" s="10">
        <f>5.6782 * CHOOSE(CONTROL!$C$32, $C$9, 100%, $E$9)</f>
        <v>5.6782000000000004</v>
      </c>
      <c r="D331" s="10">
        <f>5.6795 * CHOOSE(CONTROL!$C$32, $C$9, 100%, $E$9)</f>
        <v>5.6795</v>
      </c>
      <c r="E331" s="9">
        <f>5.6188 * CHOOSE(CONTROL!$C$32, $C$9, 100%, $E$9)</f>
        <v>5.6188000000000002</v>
      </c>
      <c r="F331" s="9">
        <f>5.6188 * CHOOSE(CONTROL!$C$32, $C$9, 100%, $E$9)</f>
        <v>5.6188000000000002</v>
      </c>
      <c r="G331" s="9">
        <f>5.6231 * CHOOSE(CONTROL!$C$32, $C$9, 100%, $E$9)</f>
        <v>5.6231</v>
      </c>
      <c r="H331" s="9">
        <f>7.0005 * CHOOSE(CONTROL!$C$32, $C$9, 100%, $E$9)</f>
        <v>7.0004999999999997</v>
      </c>
      <c r="I331" s="9">
        <f>7.0048 * CHOOSE(CONTROL!$C$32, $C$9, 100%, $E$9)</f>
        <v>7.0048000000000004</v>
      </c>
      <c r="J331" s="9">
        <f>7.0005 * CHOOSE(CONTROL!$C$32, $C$9, 100%, $E$9)</f>
        <v>7.0004999999999997</v>
      </c>
      <c r="K331" s="9">
        <f>7.0048 * CHOOSE(CONTROL!$C$32, $C$9, 100%, $E$9)</f>
        <v>7.0048000000000004</v>
      </c>
      <c r="L331" s="9">
        <f>5.6188 * CHOOSE(CONTROL!$C$32, $C$9, 100%, $E$9)</f>
        <v>5.6188000000000002</v>
      </c>
      <c r="M331" s="9">
        <f>5.6231 * CHOOSE(CONTROL!$C$32, $C$9, 100%, $E$9)</f>
        <v>5.6231</v>
      </c>
      <c r="N331" s="9">
        <f>5.6188 * CHOOSE(CONTROL!$C$32, $C$9, 100%, $E$9)</f>
        <v>5.6188000000000002</v>
      </c>
      <c r="O331" s="9">
        <f>5.6231 * CHOOSE(CONTROL!$C$32, $C$9, 100%, $E$9)</f>
        <v>5.6231</v>
      </c>
    </row>
    <row r="332" spans="1:15" ht="15.75" x14ac:dyDescent="0.25">
      <c r="A332" s="14">
        <v>50617</v>
      </c>
      <c r="B332" s="10">
        <f>5.7636 * CHOOSE(CONTROL!$C$32, $C$9, 100%, $E$9)</f>
        <v>5.7636000000000003</v>
      </c>
      <c r="C332" s="10">
        <f>5.7636 * CHOOSE(CONTROL!$C$32, $C$9, 100%, $E$9)</f>
        <v>5.7636000000000003</v>
      </c>
      <c r="D332" s="10">
        <f>5.7649 * CHOOSE(CONTROL!$C$32, $C$9, 100%, $E$9)</f>
        <v>5.7648999999999999</v>
      </c>
      <c r="E332" s="9">
        <f>5.69 * CHOOSE(CONTROL!$C$32, $C$9, 100%, $E$9)</f>
        <v>5.69</v>
      </c>
      <c r="F332" s="9">
        <f>5.69 * CHOOSE(CONTROL!$C$32, $C$9, 100%, $E$9)</f>
        <v>5.69</v>
      </c>
      <c r="G332" s="9">
        <f>5.6944 * CHOOSE(CONTROL!$C$32, $C$9, 100%, $E$9)</f>
        <v>5.6943999999999999</v>
      </c>
      <c r="H332" s="9">
        <f>7.1086 * CHOOSE(CONTROL!$C$32, $C$9, 100%, $E$9)</f>
        <v>7.1086</v>
      </c>
      <c r="I332" s="9">
        <f>7.1129 * CHOOSE(CONTROL!$C$32, $C$9, 100%, $E$9)</f>
        <v>7.1128999999999998</v>
      </c>
      <c r="J332" s="9">
        <f>7.1086 * CHOOSE(CONTROL!$C$32, $C$9, 100%, $E$9)</f>
        <v>7.1086</v>
      </c>
      <c r="K332" s="9">
        <f>7.1129 * CHOOSE(CONTROL!$C$32, $C$9, 100%, $E$9)</f>
        <v>7.1128999999999998</v>
      </c>
      <c r="L332" s="9">
        <f>5.69 * CHOOSE(CONTROL!$C$32, $C$9, 100%, $E$9)</f>
        <v>5.69</v>
      </c>
      <c r="M332" s="9">
        <f>5.6944 * CHOOSE(CONTROL!$C$32, $C$9, 100%, $E$9)</f>
        <v>5.6943999999999999</v>
      </c>
      <c r="N332" s="9">
        <f>5.69 * CHOOSE(CONTROL!$C$32, $C$9, 100%, $E$9)</f>
        <v>5.69</v>
      </c>
      <c r="O332" s="9">
        <f>5.6944 * CHOOSE(CONTROL!$C$32, $C$9, 100%, $E$9)</f>
        <v>5.6943999999999999</v>
      </c>
    </row>
    <row r="333" spans="1:15" ht="15.75" x14ac:dyDescent="0.25">
      <c r="A333" s="14">
        <v>50648</v>
      </c>
      <c r="B333" s="10">
        <f>5.7703 * CHOOSE(CONTROL!$C$32, $C$9, 100%, $E$9)</f>
        <v>5.7702999999999998</v>
      </c>
      <c r="C333" s="10">
        <f>5.7703 * CHOOSE(CONTROL!$C$32, $C$9, 100%, $E$9)</f>
        <v>5.7702999999999998</v>
      </c>
      <c r="D333" s="10">
        <f>5.7716 * CHOOSE(CONTROL!$C$32, $C$9, 100%, $E$9)</f>
        <v>5.7716000000000003</v>
      </c>
      <c r="E333" s="9">
        <f>5.5977 * CHOOSE(CONTROL!$C$32, $C$9, 100%, $E$9)</f>
        <v>5.5976999999999997</v>
      </c>
      <c r="F333" s="9">
        <f>5.5977 * CHOOSE(CONTROL!$C$32, $C$9, 100%, $E$9)</f>
        <v>5.5976999999999997</v>
      </c>
      <c r="G333" s="9">
        <f>5.602 * CHOOSE(CONTROL!$C$32, $C$9, 100%, $E$9)</f>
        <v>5.6020000000000003</v>
      </c>
      <c r="H333" s="9">
        <f>7.113 * CHOOSE(CONTROL!$C$32, $C$9, 100%, $E$9)</f>
        <v>7.1130000000000004</v>
      </c>
      <c r="I333" s="9">
        <f>7.1173 * CHOOSE(CONTROL!$C$32, $C$9, 100%, $E$9)</f>
        <v>7.1173000000000002</v>
      </c>
      <c r="J333" s="9">
        <f>7.113 * CHOOSE(CONTROL!$C$32, $C$9, 100%, $E$9)</f>
        <v>7.1130000000000004</v>
      </c>
      <c r="K333" s="9">
        <f>7.1173 * CHOOSE(CONTROL!$C$32, $C$9, 100%, $E$9)</f>
        <v>7.1173000000000002</v>
      </c>
      <c r="L333" s="9">
        <f>5.5977 * CHOOSE(CONTROL!$C$32, $C$9, 100%, $E$9)</f>
        <v>5.5976999999999997</v>
      </c>
      <c r="M333" s="9">
        <f>5.602 * CHOOSE(CONTROL!$C$32, $C$9, 100%, $E$9)</f>
        <v>5.6020000000000003</v>
      </c>
      <c r="N333" s="9">
        <f>5.5977 * CHOOSE(CONTROL!$C$32, $C$9, 100%, $E$9)</f>
        <v>5.5976999999999997</v>
      </c>
      <c r="O333" s="9">
        <f>5.602 * CHOOSE(CONTROL!$C$32, $C$9, 100%, $E$9)</f>
        <v>5.6020000000000003</v>
      </c>
    </row>
    <row r="334" spans="1:15" ht="15.75" x14ac:dyDescent="0.25">
      <c r="A334" s="14">
        <v>50678</v>
      </c>
      <c r="B334" s="10">
        <f>5.7672 * CHOOSE(CONTROL!$C$32, $C$9, 100%, $E$9)</f>
        <v>5.7671999999999999</v>
      </c>
      <c r="C334" s="10">
        <f>5.7672 * CHOOSE(CONTROL!$C$32, $C$9, 100%, $E$9)</f>
        <v>5.7671999999999999</v>
      </c>
      <c r="D334" s="10">
        <f>5.7686 * CHOOSE(CONTROL!$C$32, $C$9, 100%, $E$9)</f>
        <v>5.7686000000000002</v>
      </c>
      <c r="E334" s="9">
        <f>5.5848 * CHOOSE(CONTROL!$C$32, $C$9, 100%, $E$9)</f>
        <v>5.5848000000000004</v>
      </c>
      <c r="F334" s="9">
        <f>5.5848 * CHOOSE(CONTROL!$C$32, $C$9, 100%, $E$9)</f>
        <v>5.5848000000000004</v>
      </c>
      <c r="G334" s="9">
        <f>5.5891 * CHOOSE(CONTROL!$C$32, $C$9, 100%, $E$9)</f>
        <v>5.5891000000000002</v>
      </c>
      <c r="H334" s="9">
        <f>7.111 * CHOOSE(CONTROL!$C$32, $C$9, 100%, $E$9)</f>
        <v>7.1109999999999998</v>
      </c>
      <c r="I334" s="9">
        <f>7.1153 * CHOOSE(CONTROL!$C$32, $C$9, 100%, $E$9)</f>
        <v>7.1153000000000004</v>
      </c>
      <c r="J334" s="9">
        <f>7.111 * CHOOSE(CONTROL!$C$32, $C$9, 100%, $E$9)</f>
        <v>7.1109999999999998</v>
      </c>
      <c r="K334" s="9">
        <f>7.1153 * CHOOSE(CONTROL!$C$32, $C$9, 100%, $E$9)</f>
        <v>7.1153000000000004</v>
      </c>
      <c r="L334" s="9">
        <f>5.5848 * CHOOSE(CONTROL!$C$32, $C$9, 100%, $E$9)</f>
        <v>5.5848000000000004</v>
      </c>
      <c r="M334" s="9">
        <f>5.5891 * CHOOSE(CONTROL!$C$32, $C$9, 100%, $E$9)</f>
        <v>5.5891000000000002</v>
      </c>
      <c r="N334" s="9">
        <f>5.5848 * CHOOSE(CONTROL!$C$32, $C$9, 100%, $E$9)</f>
        <v>5.5848000000000004</v>
      </c>
      <c r="O334" s="9">
        <f>5.5891 * CHOOSE(CONTROL!$C$32, $C$9, 100%, $E$9)</f>
        <v>5.5891000000000002</v>
      </c>
    </row>
    <row r="335" spans="1:15" ht="15.75" x14ac:dyDescent="0.25">
      <c r="A335" s="14">
        <v>50709</v>
      </c>
      <c r="B335" s="10">
        <f>5.7696 * CHOOSE(CONTROL!$C$32, $C$9, 100%, $E$9)</f>
        <v>5.7695999999999996</v>
      </c>
      <c r="C335" s="10">
        <f>5.7696 * CHOOSE(CONTROL!$C$32, $C$9, 100%, $E$9)</f>
        <v>5.7695999999999996</v>
      </c>
      <c r="D335" s="10">
        <f>5.7705 * CHOOSE(CONTROL!$C$32, $C$9, 100%, $E$9)</f>
        <v>5.7705000000000002</v>
      </c>
      <c r="E335" s="9">
        <f>5.6145 * CHOOSE(CONTROL!$C$32, $C$9, 100%, $E$9)</f>
        <v>5.6144999999999996</v>
      </c>
      <c r="F335" s="9">
        <f>5.6145 * CHOOSE(CONTROL!$C$32, $C$9, 100%, $E$9)</f>
        <v>5.6144999999999996</v>
      </c>
      <c r="G335" s="9">
        <f>5.6176 * CHOOSE(CONTROL!$C$32, $C$9, 100%, $E$9)</f>
        <v>5.6176000000000004</v>
      </c>
      <c r="H335" s="9">
        <f>7.1117 * CHOOSE(CONTROL!$C$32, $C$9, 100%, $E$9)</f>
        <v>7.1116999999999999</v>
      </c>
      <c r="I335" s="9">
        <f>7.1149 * CHOOSE(CONTROL!$C$32, $C$9, 100%, $E$9)</f>
        <v>7.1148999999999996</v>
      </c>
      <c r="J335" s="9">
        <f>7.1117 * CHOOSE(CONTROL!$C$32, $C$9, 100%, $E$9)</f>
        <v>7.1116999999999999</v>
      </c>
      <c r="K335" s="9">
        <f>7.1149 * CHOOSE(CONTROL!$C$32, $C$9, 100%, $E$9)</f>
        <v>7.1148999999999996</v>
      </c>
      <c r="L335" s="9">
        <f>5.6145 * CHOOSE(CONTROL!$C$32, $C$9, 100%, $E$9)</f>
        <v>5.6144999999999996</v>
      </c>
      <c r="M335" s="9">
        <f>5.6176 * CHOOSE(CONTROL!$C$32, $C$9, 100%, $E$9)</f>
        <v>5.6176000000000004</v>
      </c>
      <c r="N335" s="9">
        <f>5.6145 * CHOOSE(CONTROL!$C$32, $C$9, 100%, $E$9)</f>
        <v>5.6144999999999996</v>
      </c>
      <c r="O335" s="9">
        <f>5.6176 * CHOOSE(CONTROL!$C$32, $C$9, 100%, $E$9)</f>
        <v>5.6176000000000004</v>
      </c>
    </row>
    <row r="336" spans="1:15" ht="15.75" x14ac:dyDescent="0.25">
      <c r="A336" s="14">
        <v>50739</v>
      </c>
      <c r="B336" s="10">
        <f>5.7726 * CHOOSE(CONTROL!$C$32, $C$9, 100%, $E$9)</f>
        <v>5.7725999999999997</v>
      </c>
      <c r="C336" s="10">
        <f>5.7726 * CHOOSE(CONTROL!$C$32, $C$9, 100%, $E$9)</f>
        <v>5.7725999999999997</v>
      </c>
      <c r="D336" s="10">
        <f>5.7736 * CHOOSE(CONTROL!$C$32, $C$9, 100%, $E$9)</f>
        <v>5.7736000000000001</v>
      </c>
      <c r="E336" s="9">
        <f>5.6381 * CHOOSE(CONTROL!$C$32, $C$9, 100%, $E$9)</f>
        <v>5.6380999999999997</v>
      </c>
      <c r="F336" s="9">
        <f>5.6381 * CHOOSE(CONTROL!$C$32, $C$9, 100%, $E$9)</f>
        <v>5.6380999999999997</v>
      </c>
      <c r="G336" s="9">
        <f>5.6413 * CHOOSE(CONTROL!$C$32, $C$9, 100%, $E$9)</f>
        <v>5.6413000000000002</v>
      </c>
      <c r="H336" s="9">
        <f>7.1137 * CHOOSE(CONTROL!$C$32, $C$9, 100%, $E$9)</f>
        <v>7.1136999999999997</v>
      </c>
      <c r="I336" s="9">
        <f>7.1169 * CHOOSE(CONTROL!$C$32, $C$9, 100%, $E$9)</f>
        <v>7.1169000000000002</v>
      </c>
      <c r="J336" s="9">
        <f>7.1137 * CHOOSE(CONTROL!$C$32, $C$9, 100%, $E$9)</f>
        <v>7.1136999999999997</v>
      </c>
      <c r="K336" s="9">
        <f>7.1169 * CHOOSE(CONTROL!$C$32, $C$9, 100%, $E$9)</f>
        <v>7.1169000000000002</v>
      </c>
      <c r="L336" s="9">
        <f>5.6381 * CHOOSE(CONTROL!$C$32, $C$9, 100%, $E$9)</f>
        <v>5.6380999999999997</v>
      </c>
      <c r="M336" s="9">
        <f>5.6413 * CHOOSE(CONTROL!$C$32, $C$9, 100%, $E$9)</f>
        <v>5.6413000000000002</v>
      </c>
      <c r="N336" s="9">
        <f>5.6381 * CHOOSE(CONTROL!$C$32, $C$9, 100%, $E$9)</f>
        <v>5.6380999999999997</v>
      </c>
      <c r="O336" s="9">
        <f>5.6413 * CHOOSE(CONTROL!$C$32, $C$9, 100%, $E$9)</f>
        <v>5.6413000000000002</v>
      </c>
    </row>
    <row r="337" spans="1:15" ht="15.75" x14ac:dyDescent="0.25">
      <c r="A337" s="14">
        <v>50770</v>
      </c>
      <c r="B337" s="10">
        <f>5.7726 * CHOOSE(CONTROL!$C$32, $C$9, 100%, $E$9)</f>
        <v>5.7725999999999997</v>
      </c>
      <c r="C337" s="10">
        <f>5.7726 * CHOOSE(CONTROL!$C$32, $C$9, 100%, $E$9)</f>
        <v>5.7725999999999997</v>
      </c>
      <c r="D337" s="10">
        <f>5.7736 * CHOOSE(CONTROL!$C$32, $C$9, 100%, $E$9)</f>
        <v>5.7736000000000001</v>
      </c>
      <c r="E337" s="9">
        <f>5.6156 * CHOOSE(CONTROL!$C$32, $C$9, 100%, $E$9)</f>
        <v>5.6155999999999997</v>
      </c>
      <c r="F337" s="9">
        <f>5.6156 * CHOOSE(CONTROL!$C$32, $C$9, 100%, $E$9)</f>
        <v>5.6155999999999997</v>
      </c>
      <c r="G337" s="9">
        <f>5.6188 * CHOOSE(CONTROL!$C$32, $C$9, 100%, $E$9)</f>
        <v>5.6188000000000002</v>
      </c>
      <c r="H337" s="9">
        <f>7.1137 * CHOOSE(CONTROL!$C$32, $C$9, 100%, $E$9)</f>
        <v>7.1136999999999997</v>
      </c>
      <c r="I337" s="9">
        <f>7.1169 * CHOOSE(CONTROL!$C$32, $C$9, 100%, $E$9)</f>
        <v>7.1169000000000002</v>
      </c>
      <c r="J337" s="9">
        <f>7.1137 * CHOOSE(CONTROL!$C$32, $C$9, 100%, $E$9)</f>
        <v>7.1136999999999997</v>
      </c>
      <c r="K337" s="9">
        <f>7.1169 * CHOOSE(CONTROL!$C$32, $C$9, 100%, $E$9)</f>
        <v>7.1169000000000002</v>
      </c>
      <c r="L337" s="9">
        <f>5.6156 * CHOOSE(CONTROL!$C$32, $C$9, 100%, $E$9)</f>
        <v>5.6155999999999997</v>
      </c>
      <c r="M337" s="9">
        <f>5.6188 * CHOOSE(CONTROL!$C$32, $C$9, 100%, $E$9)</f>
        <v>5.6188000000000002</v>
      </c>
      <c r="N337" s="9">
        <f>5.6156 * CHOOSE(CONTROL!$C$32, $C$9, 100%, $E$9)</f>
        <v>5.6155999999999997</v>
      </c>
      <c r="O337" s="9">
        <f>5.6188 * CHOOSE(CONTROL!$C$32, $C$9, 100%, $E$9)</f>
        <v>5.6188000000000002</v>
      </c>
    </row>
    <row r="338" spans="1:15" ht="15.75" x14ac:dyDescent="0.25">
      <c r="A338" s="14">
        <v>50801</v>
      </c>
      <c r="B338" s="10">
        <f>5.822 * CHOOSE(CONTROL!$C$32, $C$9, 100%, $E$9)</f>
        <v>5.8220000000000001</v>
      </c>
      <c r="C338" s="10">
        <f>5.822 * CHOOSE(CONTROL!$C$32, $C$9, 100%, $E$9)</f>
        <v>5.8220000000000001</v>
      </c>
      <c r="D338" s="10">
        <f>5.8229 * CHOOSE(CONTROL!$C$32, $C$9, 100%, $E$9)</f>
        <v>5.8228999999999997</v>
      </c>
      <c r="E338" s="9">
        <f>5.6604 * CHOOSE(CONTROL!$C$32, $C$9, 100%, $E$9)</f>
        <v>5.6604000000000001</v>
      </c>
      <c r="F338" s="9">
        <f>5.6604 * CHOOSE(CONTROL!$C$32, $C$9, 100%, $E$9)</f>
        <v>5.6604000000000001</v>
      </c>
      <c r="G338" s="9">
        <f>5.6636 * CHOOSE(CONTROL!$C$32, $C$9, 100%, $E$9)</f>
        <v>5.6635999999999997</v>
      </c>
      <c r="H338" s="9">
        <f>7.1674 * CHOOSE(CONTROL!$C$32, $C$9, 100%, $E$9)</f>
        <v>7.1673999999999998</v>
      </c>
      <c r="I338" s="9">
        <f>7.1706 * CHOOSE(CONTROL!$C$32, $C$9, 100%, $E$9)</f>
        <v>7.1706000000000003</v>
      </c>
      <c r="J338" s="9">
        <f>7.1674 * CHOOSE(CONTROL!$C$32, $C$9, 100%, $E$9)</f>
        <v>7.1673999999999998</v>
      </c>
      <c r="K338" s="9">
        <f>7.1706 * CHOOSE(CONTROL!$C$32, $C$9, 100%, $E$9)</f>
        <v>7.1706000000000003</v>
      </c>
      <c r="L338" s="9">
        <f>5.6604 * CHOOSE(CONTROL!$C$32, $C$9, 100%, $E$9)</f>
        <v>5.6604000000000001</v>
      </c>
      <c r="M338" s="9">
        <f>5.6636 * CHOOSE(CONTROL!$C$32, $C$9, 100%, $E$9)</f>
        <v>5.6635999999999997</v>
      </c>
      <c r="N338" s="9">
        <f>5.6604 * CHOOSE(CONTROL!$C$32, $C$9, 100%, $E$9)</f>
        <v>5.6604000000000001</v>
      </c>
      <c r="O338" s="9">
        <f>5.6636 * CHOOSE(CONTROL!$C$32, $C$9, 100%, $E$9)</f>
        <v>5.6635999999999997</v>
      </c>
    </row>
    <row r="339" spans="1:15" ht="15.75" x14ac:dyDescent="0.25">
      <c r="A339" s="14">
        <v>50829</v>
      </c>
      <c r="B339" s="10">
        <f>5.8189 * CHOOSE(CONTROL!$C$32, $C$9, 100%, $E$9)</f>
        <v>5.8189000000000002</v>
      </c>
      <c r="C339" s="10">
        <f>5.8189 * CHOOSE(CONTROL!$C$32, $C$9, 100%, $E$9)</f>
        <v>5.8189000000000002</v>
      </c>
      <c r="D339" s="10">
        <f>5.8199 * CHOOSE(CONTROL!$C$32, $C$9, 100%, $E$9)</f>
        <v>5.8198999999999996</v>
      </c>
      <c r="E339" s="9">
        <f>5.5534 * CHOOSE(CONTROL!$C$32, $C$9, 100%, $E$9)</f>
        <v>5.5533999999999999</v>
      </c>
      <c r="F339" s="9">
        <f>5.5534 * CHOOSE(CONTROL!$C$32, $C$9, 100%, $E$9)</f>
        <v>5.5533999999999999</v>
      </c>
      <c r="G339" s="9">
        <f>5.5566 * CHOOSE(CONTROL!$C$32, $C$9, 100%, $E$9)</f>
        <v>5.5566000000000004</v>
      </c>
      <c r="H339" s="9">
        <f>7.1654 * CHOOSE(CONTROL!$C$32, $C$9, 100%, $E$9)</f>
        <v>7.1654</v>
      </c>
      <c r="I339" s="9">
        <f>7.1686 * CHOOSE(CONTROL!$C$32, $C$9, 100%, $E$9)</f>
        <v>7.1685999999999996</v>
      </c>
      <c r="J339" s="9">
        <f>7.1654 * CHOOSE(CONTROL!$C$32, $C$9, 100%, $E$9)</f>
        <v>7.1654</v>
      </c>
      <c r="K339" s="9">
        <f>7.1686 * CHOOSE(CONTROL!$C$32, $C$9, 100%, $E$9)</f>
        <v>7.1685999999999996</v>
      </c>
      <c r="L339" s="9">
        <f>5.5534 * CHOOSE(CONTROL!$C$32, $C$9, 100%, $E$9)</f>
        <v>5.5533999999999999</v>
      </c>
      <c r="M339" s="9">
        <f>5.5566 * CHOOSE(CONTROL!$C$32, $C$9, 100%, $E$9)</f>
        <v>5.5566000000000004</v>
      </c>
      <c r="N339" s="9">
        <f>5.5534 * CHOOSE(CONTROL!$C$32, $C$9, 100%, $E$9)</f>
        <v>5.5533999999999999</v>
      </c>
      <c r="O339" s="9">
        <f>5.5566 * CHOOSE(CONTROL!$C$32, $C$9, 100%, $E$9)</f>
        <v>5.5566000000000004</v>
      </c>
    </row>
    <row r="340" spans="1:15" ht="15.75" x14ac:dyDescent="0.25">
      <c r="A340" s="14">
        <v>50860</v>
      </c>
      <c r="B340" s="10">
        <f>5.8159 * CHOOSE(CONTROL!$C$32, $C$9, 100%, $E$9)</f>
        <v>5.8159000000000001</v>
      </c>
      <c r="C340" s="10">
        <f>5.8159 * CHOOSE(CONTROL!$C$32, $C$9, 100%, $E$9)</f>
        <v>5.8159000000000001</v>
      </c>
      <c r="D340" s="10">
        <f>5.8169 * CHOOSE(CONTROL!$C$32, $C$9, 100%, $E$9)</f>
        <v>5.8169000000000004</v>
      </c>
      <c r="E340" s="9">
        <f>5.634 * CHOOSE(CONTROL!$C$32, $C$9, 100%, $E$9)</f>
        <v>5.6340000000000003</v>
      </c>
      <c r="F340" s="9">
        <f>5.634 * CHOOSE(CONTROL!$C$32, $C$9, 100%, $E$9)</f>
        <v>5.6340000000000003</v>
      </c>
      <c r="G340" s="9">
        <f>5.6372 * CHOOSE(CONTROL!$C$32, $C$9, 100%, $E$9)</f>
        <v>5.6372</v>
      </c>
      <c r="H340" s="9">
        <f>7.1634 * CHOOSE(CONTROL!$C$32, $C$9, 100%, $E$9)</f>
        <v>7.1634000000000002</v>
      </c>
      <c r="I340" s="9">
        <f>7.1666 * CHOOSE(CONTROL!$C$32, $C$9, 100%, $E$9)</f>
        <v>7.1665999999999999</v>
      </c>
      <c r="J340" s="9">
        <f>7.1634 * CHOOSE(CONTROL!$C$32, $C$9, 100%, $E$9)</f>
        <v>7.1634000000000002</v>
      </c>
      <c r="K340" s="9">
        <f>7.1666 * CHOOSE(CONTROL!$C$32, $C$9, 100%, $E$9)</f>
        <v>7.1665999999999999</v>
      </c>
      <c r="L340" s="9">
        <f>5.634 * CHOOSE(CONTROL!$C$32, $C$9, 100%, $E$9)</f>
        <v>5.6340000000000003</v>
      </c>
      <c r="M340" s="9">
        <f>5.6372 * CHOOSE(CONTROL!$C$32, $C$9, 100%, $E$9)</f>
        <v>5.6372</v>
      </c>
      <c r="N340" s="9">
        <f>5.634 * CHOOSE(CONTROL!$C$32, $C$9, 100%, $E$9)</f>
        <v>5.6340000000000003</v>
      </c>
      <c r="O340" s="9">
        <f>5.6372 * CHOOSE(CONTROL!$C$32, $C$9, 100%, $E$9)</f>
        <v>5.6372</v>
      </c>
    </row>
    <row r="341" spans="1:15" ht="15.75" x14ac:dyDescent="0.25">
      <c r="A341" s="14">
        <v>50890</v>
      </c>
      <c r="B341" s="10">
        <f>5.8155 * CHOOSE(CONTROL!$C$32, $C$9, 100%, $E$9)</f>
        <v>5.8155000000000001</v>
      </c>
      <c r="C341" s="10">
        <f>5.8155 * CHOOSE(CONTROL!$C$32, $C$9, 100%, $E$9)</f>
        <v>5.8155000000000001</v>
      </c>
      <c r="D341" s="10">
        <f>5.8164 * CHOOSE(CONTROL!$C$32, $C$9, 100%, $E$9)</f>
        <v>5.8163999999999998</v>
      </c>
      <c r="E341" s="9">
        <f>5.7185 * CHOOSE(CONTROL!$C$32, $C$9, 100%, $E$9)</f>
        <v>5.7184999999999997</v>
      </c>
      <c r="F341" s="9">
        <f>5.7185 * CHOOSE(CONTROL!$C$32, $C$9, 100%, $E$9)</f>
        <v>5.7184999999999997</v>
      </c>
      <c r="G341" s="9">
        <f>5.7217 * CHOOSE(CONTROL!$C$32, $C$9, 100%, $E$9)</f>
        <v>5.7217000000000002</v>
      </c>
      <c r="H341" s="9">
        <f>7.163 * CHOOSE(CONTROL!$C$32, $C$9, 100%, $E$9)</f>
        <v>7.1630000000000003</v>
      </c>
      <c r="I341" s="9">
        <f>7.1662 * CHOOSE(CONTROL!$C$32, $C$9, 100%, $E$9)</f>
        <v>7.1661999999999999</v>
      </c>
      <c r="J341" s="9">
        <f>7.163 * CHOOSE(CONTROL!$C$32, $C$9, 100%, $E$9)</f>
        <v>7.1630000000000003</v>
      </c>
      <c r="K341" s="9">
        <f>7.1662 * CHOOSE(CONTROL!$C$32, $C$9, 100%, $E$9)</f>
        <v>7.1661999999999999</v>
      </c>
      <c r="L341" s="9">
        <f>5.7185 * CHOOSE(CONTROL!$C$32, $C$9, 100%, $E$9)</f>
        <v>5.7184999999999997</v>
      </c>
      <c r="M341" s="9">
        <f>5.7217 * CHOOSE(CONTROL!$C$32, $C$9, 100%, $E$9)</f>
        <v>5.7217000000000002</v>
      </c>
      <c r="N341" s="9">
        <f>5.7185 * CHOOSE(CONTROL!$C$32, $C$9, 100%, $E$9)</f>
        <v>5.7184999999999997</v>
      </c>
      <c r="O341" s="9">
        <f>5.7217 * CHOOSE(CONTROL!$C$32, $C$9, 100%, $E$9)</f>
        <v>5.7217000000000002</v>
      </c>
    </row>
    <row r="342" spans="1:15" ht="15.75" x14ac:dyDescent="0.25">
      <c r="A342" s="14">
        <v>50921</v>
      </c>
      <c r="B342" s="10">
        <f>5.8155 * CHOOSE(CONTROL!$C$32, $C$9, 100%, $E$9)</f>
        <v>5.8155000000000001</v>
      </c>
      <c r="C342" s="10">
        <f>5.8155 * CHOOSE(CONTROL!$C$32, $C$9, 100%, $E$9)</f>
        <v>5.8155000000000001</v>
      </c>
      <c r="D342" s="10">
        <f>5.8168 * CHOOSE(CONTROL!$C$32, $C$9, 100%, $E$9)</f>
        <v>5.8167999999999997</v>
      </c>
      <c r="E342" s="9">
        <f>5.7518 * CHOOSE(CONTROL!$C$32, $C$9, 100%, $E$9)</f>
        <v>5.7518000000000002</v>
      </c>
      <c r="F342" s="9">
        <f>5.7518 * CHOOSE(CONTROL!$C$32, $C$9, 100%, $E$9)</f>
        <v>5.7518000000000002</v>
      </c>
      <c r="G342" s="9">
        <f>5.7562 * CHOOSE(CONTROL!$C$32, $C$9, 100%, $E$9)</f>
        <v>5.7561999999999998</v>
      </c>
      <c r="H342" s="9">
        <f>7.163 * CHOOSE(CONTROL!$C$32, $C$9, 100%, $E$9)</f>
        <v>7.1630000000000003</v>
      </c>
      <c r="I342" s="9">
        <f>7.1673 * CHOOSE(CONTROL!$C$32, $C$9, 100%, $E$9)</f>
        <v>7.1673</v>
      </c>
      <c r="J342" s="9">
        <f>7.163 * CHOOSE(CONTROL!$C$32, $C$9, 100%, $E$9)</f>
        <v>7.1630000000000003</v>
      </c>
      <c r="K342" s="9">
        <f>7.1673 * CHOOSE(CONTROL!$C$32, $C$9, 100%, $E$9)</f>
        <v>7.1673</v>
      </c>
      <c r="L342" s="9">
        <f>5.7518 * CHOOSE(CONTROL!$C$32, $C$9, 100%, $E$9)</f>
        <v>5.7518000000000002</v>
      </c>
      <c r="M342" s="9">
        <f>5.7562 * CHOOSE(CONTROL!$C$32, $C$9, 100%, $E$9)</f>
        <v>5.7561999999999998</v>
      </c>
      <c r="N342" s="9">
        <f>5.7518 * CHOOSE(CONTROL!$C$32, $C$9, 100%, $E$9)</f>
        <v>5.7518000000000002</v>
      </c>
      <c r="O342" s="9">
        <f>5.7562 * CHOOSE(CONTROL!$C$32, $C$9, 100%, $E$9)</f>
        <v>5.7561999999999998</v>
      </c>
    </row>
    <row r="343" spans="1:15" ht="15.75" x14ac:dyDescent="0.25">
      <c r="A343" s="14">
        <v>50951</v>
      </c>
      <c r="B343" s="10">
        <f>5.8216 * CHOOSE(CONTROL!$C$32, $C$9, 100%, $E$9)</f>
        <v>5.8216000000000001</v>
      </c>
      <c r="C343" s="10">
        <f>5.8216 * CHOOSE(CONTROL!$C$32, $C$9, 100%, $E$9)</f>
        <v>5.8216000000000001</v>
      </c>
      <c r="D343" s="10">
        <f>5.8229 * CHOOSE(CONTROL!$C$32, $C$9, 100%, $E$9)</f>
        <v>5.8228999999999997</v>
      </c>
      <c r="E343" s="9">
        <f>5.7228 * CHOOSE(CONTROL!$C$32, $C$9, 100%, $E$9)</f>
        <v>5.7228000000000003</v>
      </c>
      <c r="F343" s="9">
        <f>5.7228 * CHOOSE(CONTROL!$C$32, $C$9, 100%, $E$9)</f>
        <v>5.7228000000000003</v>
      </c>
      <c r="G343" s="9">
        <f>5.7271 * CHOOSE(CONTROL!$C$32, $C$9, 100%, $E$9)</f>
        <v>5.7271000000000001</v>
      </c>
      <c r="H343" s="9">
        <f>7.167 * CHOOSE(CONTROL!$C$32, $C$9, 100%, $E$9)</f>
        <v>7.1669999999999998</v>
      </c>
      <c r="I343" s="9">
        <f>7.1713 * CHOOSE(CONTROL!$C$32, $C$9, 100%, $E$9)</f>
        <v>7.1712999999999996</v>
      </c>
      <c r="J343" s="9">
        <f>7.167 * CHOOSE(CONTROL!$C$32, $C$9, 100%, $E$9)</f>
        <v>7.1669999999999998</v>
      </c>
      <c r="K343" s="9">
        <f>7.1713 * CHOOSE(CONTROL!$C$32, $C$9, 100%, $E$9)</f>
        <v>7.1712999999999996</v>
      </c>
      <c r="L343" s="9">
        <f>5.7228 * CHOOSE(CONTROL!$C$32, $C$9, 100%, $E$9)</f>
        <v>5.7228000000000003</v>
      </c>
      <c r="M343" s="9">
        <f>5.7271 * CHOOSE(CONTROL!$C$32, $C$9, 100%, $E$9)</f>
        <v>5.7271000000000001</v>
      </c>
      <c r="N343" s="9">
        <f>5.7228 * CHOOSE(CONTROL!$C$32, $C$9, 100%, $E$9)</f>
        <v>5.7228000000000003</v>
      </c>
      <c r="O343" s="9">
        <f>5.7271 * CHOOSE(CONTROL!$C$32, $C$9, 100%, $E$9)</f>
        <v>5.7271000000000001</v>
      </c>
    </row>
    <row r="344" spans="1:15" ht="15.75" x14ac:dyDescent="0.25">
      <c r="A344" s="14">
        <v>50982</v>
      </c>
      <c r="B344" s="10">
        <f>5.9093 * CHOOSE(CONTROL!$C$32, $C$9, 100%, $E$9)</f>
        <v>5.9093</v>
      </c>
      <c r="C344" s="10">
        <f>5.9093 * CHOOSE(CONTROL!$C$32, $C$9, 100%, $E$9)</f>
        <v>5.9093</v>
      </c>
      <c r="D344" s="10">
        <f>5.9106 * CHOOSE(CONTROL!$C$32, $C$9, 100%, $E$9)</f>
        <v>5.9105999999999996</v>
      </c>
      <c r="E344" s="9">
        <f>5.7906 * CHOOSE(CONTROL!$C$32, $C$9, 100%, $E$9)</f>
        <v>5.7906000000000004</v>
      </c>
      <c r="F344" s="9">
        <f>5.7906 * CHOOSE(CONTROL!$C$32, $C$9, 100%, $E$9)</f>
        <v>5.7906000000000004</v>
      </c>
      <c r="G344" s="9">
        <f>5.795 * CHOOSE(CONTROL!$C$32, $C$9, 100%, $E$9)</f>
        <v>5.7949999999999999</v>
      </c>
      <c r="H344" s="9">
        <f>7.2779 * CHOOSE(CONTROL!$C$32, $C$9, 100%, $E$9)</f>
        <v>7.2778999999999998</v>
      </c>
      <c r="I344" s="9">
        <f>7.2823 * CHOOSE(CONTROL!$C$32, $C$9, 100%, $E$9)</f>
        <v>7.2823000000000002</v>
      </c>
      <c r="J344" s="9">
        <f>7.2779 * CHOOSE(CONTROL!$C$32, $C$9, 100%, $E$9)</f>
        <v>7.2778999999999998</v>
      </c>
      <c r="K344" s="9">
        <f>7.2823 * CHOOSE(CONTROL!$C$32, $C$9, 100%, $E$9)</f>
        <v>7.2823000000000002</v>
      </c>
      <c r="L344" s="9">
        <f>5.7906 * CHOOSE(CONTROL!$C$32, $C$9, 100%, $E$9)</f>
        <v>5.7906000000000004</v>
      </c>
      <c r="M344" s="9">
        <f>5.795 * CHOOSE(CONTROL!$C$32, $C$9, 100%, $E$9)</f>
        <v>5.7949999999999999</v>
      </c>
      <c r="N344" s="9">
        <f>5.7906 * CHOOSE(CONTROL!$C$32, $C$9, 100%, $E$9)</f>
        <v>5.7906000000000004</v>
      </c>
      <c r="O344" s="9">
        <f>5.795 * CHOOSE(CONTROL!$C$32, $C$9, 100%, $E$9)</f>
        <v>5.7949999999999999</v>
      </c>
    </row>
    <row r="345" spans="1:15" ht="15.75" x14ac:dyDescent="0.25">
      <c r="A345" s="14">
        <v>51013</v>
      </c>
      <c r="B345" s="10">
        <f>5.916 * CHOOSE(CONTROL!$C$32, $C$9, 100%, $E$9)</f>
        <v>5.9160000000000004</v>
      </c>
      <c r="C345" s="10">
        <f>5.916 * CHOOSE(CONTROL!$C$32, $C$9, 100%, $E$9)</f>
        <v>5.9160000000000004</v>
      </c>
      <c r="D345" s="10">
        <f>5.9173 * CHOOSE(CONTROL!$C$32, $C$9, 100%, $E$9)</f>
        <v>5.9173</v>
      </c>
      <c r="E345" s="9">
        <f>5.6954 * CHOOSE(CONTROL!$C$32, $C$9, 100%, $E$9)</f>
        <v>5.6954000000000002</v>
      </c>
      <c r="F345" s="9">
        <f>5.6954 * CHOOSE(CONTROL!$C$32, $C$9, 100%, $E$9)</f>
        <v>5.6954000000000002</v>
      </c>
      <c r="G345" s="9">
        <f>5.6997 * CHOOSE(CONTROL!$C$32, $C$9, 100%, $E$9)</f>
        <v>5.6997</v>
      </c>
      <c r="H345" s="9">
        <f>7.2823 * CHOOSE(CONTROL!$C$32, $C$9, 100%, $E$9)</f>
        <v>7.2823000000000002</v>
      </c>
      <c r="I345" s="9">
        <f>7.2867 * CHOOSE(CONTROL!$C$32, $C$9, 100%, $E$9)</f>
        <v>7.2866999999999997</v>
      </c>
      <c r="J345" s="9">
        <f>7.2823 * CHOOSE(CONTROL!$C$32, $C$9, 100%, $E$9)</f>
        <v>7.2823000000000002</v>
      </c>
      <c r="K345" s="9">
        <f>7.2867 * CHOOSE(CONTROL!$C$32, $C$9, 100%, $E$9)</f>
        <v>7.2866999999999997</v>
      </c>
      <c r="L345" s="9">
        <f>5.6954 * CHOOSE(CONTROL!$C$32, $C$9, 100%, $E$9)</f>
        <v>5.6954000000000002</v>
      </c>
      <c r="M345" s="9">
        <f>5.6997 * CHOOSE(CONTROL!$C$32, $C$9, 100%, $E$9)</f>
        <v>5.6997</v>
      </c>
      <c r="N345" s="9">
        <f>5.6954 * CHOOSE(CONTROL!$C$32, $C$9, 100%, $E$9)</f>
        <v>5.6954000000000002</v>
      </c>
      <c r="O345" s="9">
        <f>5.6997 * CHOOSE(CONTROL!$C$32, $C$9, 100%, $E$9)</f>
        <v>5.6997</v>
      </c>
    </row>
    <row r="346" spans="1:15" ht="15.75" x14ac:dyDescent="0.25">
      <c r="A346" s="14">
        <v>51043</v>
      </c>
      <c r="B346" s="10">
        <f>5.913 * CHOOSE(CONTROL!$C$32, $C$9, 100%, $E$9)</f>
        <v>5.9130000000000003</v>
      </c>
      <c r="C346" s="10">
        <f>5.913 * CHOOSE(CONTROL!$C$32, $C$9, 100%, $E$9)</f>
        <v>5.9130000000000003</v>
      </c>
      <c r="D346" s="10">
        <f>5.9143 * CHOOSE(CONTROL!$C$32, $C$9, 100%, $E$9)</f>
        <v>5.9142999999999999</v>
      </c>
      <c r="E346" s="9">
        <f>5.6822 * CHOOSE(CONTROL!$C$32, $C$9, 100%, $E$9)</f>
        <v>5.6821999999999999</v>
      </c>
      <c r="F346" s="9">
        <f>5.6822 * CHOOSE(CONTROL!$C$32, $C$9, 100%, $E$9)</f>
        <v>5.6821999999999999</v>
      </c>
      <c r="G346" s="9">
        <f>5.6865 * CHOOSE(CONTROL!$C$32, $C$9, 100%, $E$9)</f>
        <v>5.6864999999999997</v>
      </c>
      <c r="H346" s="9">
        <f>7.2803 * CHOOSE(CONTROL!$C$32, $C$9, 100%, $E$9)</f>
        <v>7.2803000000000004</v>
      </c>
      <c r="I346" s="9">
        <f>7.2847 * CHOOSE(CONTROL!$C$32, $C$9, 100%, $E$9)</f>
        <v>7.2847</v>
      </c>
      <c r="J346" s="9">
        <f>7.2803 * CHOOSE(CONTROL!$C$32, $C$9, 100%, $E$9)</f>
        <v>7.2803000000000004</v>
      </c>
      <c r="K346" s="9">
        <f>7.2847 * CHOOSE(CONTROL!$C$32, $C$9, 100%, $E$9)</f>
        <v>7.2847</v>
      </c>
      <c r="L346" s="9">
        <f>5.6822 * CHOOSE(CONTROL!$C$32, $C$9, 100%, $E$9)</f>
        <v>5.6821999999999999</v>
      </c>
      <c r="M346" s="9">
        <f>5.6865 * CHOOSE(CONTROL!$C$32, $C$9, 100%, $E$9)</f>
        <v>5.6864999999999997</v>
      </c>
      <c r="N346" s="9">
        <f>5.6822 * CHOOSE(CONTROL!$C$32, $C$9, 100%, $E$9)</f>
        <v>5.6821999999999999</v>
      </c>
      <c r="O346" s="9">
        <f>5.6865 * CHOOSE(CONTROL!$C$32, $C$9, 100%, $E$9)</f>
        <v>5.6864999999999997</v>
      </c>
    </row>
    <row r="347" spans="1:15" ht="15.75" x14ac:dyDescent="0.25">
      <c r="A347" s="14">
        <v>51074</v>
      </c>
      <c r="B347" s="10">
        <f>5.9159 * CHOOSE(CONTROL!$C$32, $C$9, 100%, $E$9)</f>
        <v>5.9158999999999997</v>
      </c>
      <c r="C347" s="10">
        <f>5.9159 * CHOOSE(CONTROL!$C$32, $C$9, 100%, $E$9)</f>
        <v>5.9158999999999997</v>
      </c>
      <c r="D347" s="10">
        <f>5.9168 * CHOOSE(CONTROL!$C$32, $C$9, 100%, $E$9)</f>
        <v>5.9168000000000003</v>
      </c>
      <c r="E347" s="9">
        <f>5.7131 * CHOOSE(CONTROL!$C$32, $C$9, 100%, $E$9)</f>
        <v>5.7130999999999998</v>
      </c>
      <c r="F347" s="9">
        <f>5.7131 * CHOOSE(CONTROL!$C$32, $C$9, 100%, $E$9)</f>
        <v>5.7130999999999998</v>
      </c>
      <c r="G347" s="9">
        <f>5.7163 * CHOOSE(CONTROL!$C$32, $C$9, 100%, $E$9)</f>
        <v>5.7163000000000004</v>
      </c>
      <c r="H347" s="9">
        <f>7.2814 * CHOOSE(CONTROL!$C$32, $C$9, 100%, $E$9)</f>
        <v>7.2813999999999997</v>
      </c>
      <c r="I347" s="9">
        <f>7.2846 * CHOOSE(CONTROL!$C$32, $C$9, 100%, $E$9)</f>
        <v>7.2846000000000002</v>
      </c>
      <c r="J347" s="9">
        <f>7.2814 * CHOOSE(CONTROL!$C$32, $C$9, 100%, $E$9)</f>
        <v>7.2813999999999997</v>
      </c>
      <c r="K347" s="9">
        <f>7.2846 * CHOOSE(CONTROL!$C$32, $C$9, 100%, $E$9)</f>
        <v>7.2846000000000002</v>
      </c>
      <c r="L347" s="9">
        <f>5.7131 * CHOOSE(CONTROL!$C$32, $C$9, 100%, $E$9)</f>
        <v>5.7130999999999998</v>
      </c>
      <c r="M347" s="9">
        <f>5.7163 * CHOOSE(CONTROL!$C$32, $C$9, 100%, $E$9)</f>
        <v>5.7163000000000004</v>
      </c>
      <c r="N347" s="9">
        <f>5.7131 * CHOOSE(CONTROL!$C$32, $C$9, 100%, $E$9)</f>
        <v>5.7130999999999998</v>
      </c>
      <c r="O347" s="9">
        <f>5.7163 * CHOOSE(CONTROL!$C$32, $C$9, 100%, $E$9)</f>
        <v>5.7163000000000004</v>
      </c>
    </row>
    <row r="348" spans="1:15" ht="15.75" x14ac:dyDescent="0.25">
      <c r="A348" s="14">
        <v>51104</v>
      </c>
      <c r="B348" s="10">
        <f>5.9189 * CHOOSE(CONTROL!$C$32, $C$9, 100%, $E$9)</f>
        <v>5.9188999999999998</v>
      </c>
      <c r="C348" s="10">
        <f>5.9189 * CHOOSE(CONTROL!$C$32, $C$9, 100%, $E$9)</f>
        <v>5.9188999999999998</v>
      </c>
      <c r="D348" s="10">
        <f>5.9199 * CHOOSE(CONTROL!$C$32, $C$9, 100%, $E$9)</f>
        <v>5.9199000000000002</v>
      </c>
      <c r="E348" s="9">
        <f>5.7375 * CHOOSE(CONTROL!$C$32, $C$9, 100%, $E$9)</f>
        <v>5.7374999999999998</v>
      </c>
      <c r="F348" s="9">
        <f>5.7375 * CHOOSE(CONTROL!$C$32, $C$9, 100%, $E$9)</f>
        <v>5.7374999999999998</v>
      </c>
      <c r="G348" s="9">
        <f>5.7407 * CHOOSE(CONTROL!$C$32, $C$9, 100%, $E$9)</f>
        <v>5.7407000000000004</v>
      </c>
      <c r="H348" s="9">
        <f>7.2834 * CHOOSE(CONTROL!$C$32, $C$9, 100%, $E$9)</f>
        <v>7.2834000000000003</v>
      </c>
      <c r="I348" s="9">
        <f>7.2866 * CHOOSE(CONTROL!$C$32, $C$9, 100%, $E$9)</f>
        <v>7.2866</v>
      </c>
      <c r="J348" s="9">
        <f>7.2834 * CHOOSE(CONTROL!$C$32, $C$9, 100%, $E$9)</f>
        <v>7.2834000000000003</v>
      </c>
      <c r="K348" s="9">
        <f>7.2866 * CHOOSE(CONTROL!$C$32, $C$9, 100%, $E$9)</f>
        <v>7.2866</v>
      </c>
      <c r="L348" s="9">
        <f>5.7375 * CHOOSE(CONTROL!$C$32, $C$9, 100%, $E$9)</f>
        <v>5.7374999999999998</v>
      </c>
      <c r="M348" s="9">
        <f>5.7407 * CHOOSE(CONTROL!$C$32, $C$9, 100%, $E$9)</f>
        <v>5.7407000000000004</v>
      </c>
      <c r="N348" s="9">
        <f>5.7375 * CHOOSE(CONTROL!$C$32, $C$9, 100%, $E$9)</f>
        <v>5.7374999999999998</v>
      </c>
      <c r="O348" s="9">
        <f>5.7407 * CHOOSE(CONTROL!$C$32, $C$9, 100%, $E$9)</f>
        <v>5.7407000000000004</v>
      </c>
    </row>
    <row r="349" spans="1:15" ht="15.75" x14ac:dyDescent="0.25">
      <c r="A349" s="14">
        <v>51135</v>
      </c>
      <c r="B349" s="10">
        <f>5.9189 * CHOOSE(CONTROL!$C$32, $C$9, 100%, $E$9)</f>
        <v>5.9188999999999998</v>
      </c>
      <c r="C349" s="10">
        <f>5.9189 * CHOOSE(CONTROL!$C$32, $C$9, 100%, $E$9)</f>
        <v>5.9188999999999998</v>
      </c>
      <c r="D349" s="10">
        <f>5.9199 * CHOOSE(CONTROL!$C$32, $C$9, 100%, $E$9)</f>
        <v>5.9199000000000002</v>
      </c>
      <c r="E349" s="9">
        <f>5.682 * CHOOSE(CONTROL!$C$32, $C$9, 100%, $E$9)</f>
        <v>5.6820000000000004</v>
      </c>
      <c r="F349" s="9">
        <f>5.682 * CHOOSE(CONTROL!$C$32, $C$9, 100%, $E$9)</f>
        <v>5.6820000000000004</v>
      </c>
      <c r="G349" s="9">
        <f>5.6851 * CHOOSE(CONTROL!$C$32, $C$9, 100%, $E$9)</f>
        <v>5.6851000000000003</v>
      </c>
      <c r="H349" s="9">
        <f>7.2834 * CHOOSE(CONTROL!$C$32, $C$9, 100%, $E$9)</f>
        <v>7.2834000000000003</v>
      </c>
      <c r="I349" s="9">
        <f>7.2866 * CHOOSE(CONTROL!$C$32, $C$9, 100%, $E$9)</f>
        <v>7.2866</v>
      </c>
      <c r="J349" s="9">
        <f>7.2834 * CHOOSE(CONTROL!$C$32, $C$9, 100%, $E$9)</f>
        <v>7.2834000000000003</v>
      </c>
      <c r="K349" s="9">
        <f>7.2866 * CHOOSE(CONTROL!$C$32, $C$9, 100%, $E$9)</f>
        <v>7.2866</v>
      </c>
      <c r="L349" s="9">
        <f>5.682 * CHOOSE(CONTROL!$C$32, $C$9, 100%, $E$9)</f>
        <v>5.6820000000000004</v>
      </c>
      <c r="M349" s="9">
        <f>5.6851 * CHOOSE(CONTROL!$C$32, $C$9, 100%, $E$9)</f>
        <v>5.6851000000000003</v>
      </c>
      <c r="N349" s="9">
        <f>5.682 * CHOOSE(CONTROL!$C$32, $C$9, 100%, $E$9)</f>
        <v>5.6820000000000004</v>
      </c>
      <c r="O349" s="9">
        <f>5.6851 * CHOOSE(CONTROL!$C$32, $C$9, 100%, $E$9)</f>
        <v>5.6851000000000003</v>
      </c>
    </row>
    <row r="350" spans="1:15" ht="15.75" x14ac:dyDescent="0.25">
      <c r="A350" s="14">
        <v>51166</v>
      </c>
      <c r="B350" s="10">
        <f>5.9692 * CHOOSE(CONTROL!$C$32, $C$9, 100%, $E$9)</f>
        <v>5.9691999999999998</v>
      </c>
      <c r="C350" s="10">
        <f>5.9692 * CHOOSE(CONTROL!$C$32, $C$9, 100%, $E$9)</f>
        <v>5.9691999999999998</v>
      </c>
      <c r="D350" s="10">
        <f>5.9702 * CHOOSE(CONTROL!$C$32, $C$9, 100%, $E$9)</f>
        <v>5.9702000000000002</v>
      </c>
      <c r="E350" s="9">
        <f>5.761 * CHOOSE(CONTROL!$C$32, $C$9, 100%, $E$9)</f>
        <v>5.7610000000000001</v>
      </c>
      <c r="F350" s="9">
        <f>5.761 * CHOOSE(CONTROL!$C$32, $C$9, 100%, $E$9)</f>
        <v>5.7610000000000001</v>
      </c>
      <c r="G350" s="9">
        <f>5.7642 * CHOOSE(CONTROL!$C$32, $C$9, 100%, $E$9)</f>
        <v>5.7641999999999998</v>
      </c>
      <c r="H350" s="9">
        <f>7.3382 * CHOOSE(CONTROL!$C$32, $C$9, 100%, $E$9)</f>
        <v>7.3381999999999996</v>
      </c>
      <c r="I350" s="9">
        <f>7.3414 * CHOOSE(CONTROL!$C$32, $C$9, 100%, $E$9)</f>
        <v>7.3414000000000001</v>
      </c>
      <c r="J350" s="9">
        <f>7.3382 * CHOOSE(CONTROL!$C$32, $C$9, 100%, $E$9)</f>
        <v>7.3381999999999996</v>
      </c>
      <c r="K350" s="9">
        <f>7.3414 * CHOOSE(CONTROL!$C$32, $C$9, 100%, $E$9)</f>
        <v>7.3414000000000001</v>
      </c>
      <c r="L350" s="9">
        <f>5.761 * CHOOSE(CONTROL!$C$32, $C$9, 100%, $E$9)</f>
        <v>5.7610000000000001</v>
      </c>
      <c r="M350" s="9">
        <f>5.7642 * CHOOSE(CONTROL!$C$32, $C$9, 100%, $E$9)</f>
        <v>5.7641999999999998</v>
      </c>
      <c r="N350" s="9">
        <f>5.761 * CHOOSE(CONTROL!$C$32, $C$9, 100%, $E$9)</f>
        <v>5.7610000000000001</v>
      </c>
      <c r="O350" s="9">
        <f>5.7642 * CHOOSE(CONTROL!$C$32, $C$9, 100%, $E$9)</f>
        <v>5.7641999999999998</v>
      </c>
    </row>
    <row r="351" spans="1:15" ht="15.75" x14ac:dyDescent="0.25">
      <c r="A351" s="14">
        <v>51194</v>
      </c>
      <c r="B351" s="10">
        <f>5.9662 * CHOOSE(CONTROL!$C$32, $C$9, 100%, $E$9)</f>
        <v>5.9661999999999997</v>
      </c>
      <c r="C351" s="10">
        <f>5.9662 * CHOOSE(CONTROL!$C$32, $C$9, 100%, $E$9)</f>
        <v>5.9661999999999997</v>
      </c>
      <c r="D351" s="10">
        <f>5.9671 * CHOOSE(CONTROL!$C$32, $C$9, 100%, $E$9)</f>
        <v>5.9671000000000003</v>
      </c>
      <c r="E351" s="9">
        <f>5.6509 * CHOOSE(CONTROL!$C$32, $C$9, 100%, $E$9)</f>
        <v>5.6509</v>
      </c>
      <c r="F351" s="9">
        <f>5.6509 * CHOOSE(CONTROL!$C$32, $C$9, 100%, $E$9)</f>
        <v>5.6509</v>
      </c>
      <c r="G351" s="9">
        <f>5.654 * CHOOSE(CONTROL!$C$32, $C$9, 100%, $E$9)</f>
        <v>5.6539999999999999</v>
      </c>
      <c r="H351" s="9">
        <f>7.3362 * CHOOSE(CONTROL!$C$32, $C$9, 100%, $E$9)</f>
        <v>7.3361999999999998</v>
      </c>
      <c r="I351" s="9">
        <f>7.3394 * CHOOSE(CONTROL!$C$32, $C$9, 100%, $E$9)</f>
        <v>7.3394000000000004</v>
      </c>
      <c r="J351" s="9">
        <f>7.3362 * CHOOSE(CONTROL!$C$32, $C$9, 100%, $E$9)</f>
        <v>7.3361999999999998</v>
      </c>
      <c r="K351" s="9">
        <f>7.3394 * CHOOSE(CONTROL!$C$32, $C$9, 100%, $E$9)</f>
        <v>7.3394000000000004</v>
      </c>
      <c r="L351" s="9">
        <f>5.6509 * CHOOSE(CONTROL!$C$32, $C$9, 100%, $E$9)</f>
        <v>5.6509</v>
      </c>
      <c r="M351" s="9">
        <f>5.654 * CHOOSE(CONTROL!$C$32, $C$9, 100%, $E$9)</f>
        <v>5.6539999999999999</v>
      </c>
      <c r="N351" s="9">
        <f>5.6509 * CHOOSE(CONTROL!$C$32, $C$9, 100%, $E$9)</f>
        <v>5.6509</v>
      </c>
      <c r="O351" s="9">
        <f>5.654 * CHOOSE(CONTROL!$C$32, $C$9, 100%, $E$9)</f>
        <v>5.6539999999999999</v>
      </c>
    </row>
    <row r="352" spans="1:15" ht="15.75" x14ac:dyDescent="0.25">
      <c r="A352" s="14">
        <v>51226</v>
      </c>
      <c r="B352" s="10">
        <f>5.9632 * CHOOSE(CONTROL!$C$32, $C$9, 100%, $E$9)</f>
        <v>5.9631999999999996</v>
      </c>
      <c r="C352" s="10">
        <f>5.9632 * CHOOSE(CONTROL!$C$32, $C$9, 100%, $E$9)</f>
        <v>5.9631999999999996</v>
      </c>
      <c r="D352" s="10">
        <f>5.9641 * CHOOSE(CONTROL!$C$32, $C$9, 100%, $E$9)</f>
        <v>5.9641000000000002</v>
      </c>
      <c r="E352" s="9">
        <f>5.7339 * CHOOSE(CONTROL!$C$32, $C$9, 100%, $E$9)</f>
        <v>5.7339000000000002</v>
      </c>
      <c r="F352" s="9">
        <f>5.7339 * CHOOSE(CONTROL!$C$32, $C$9, 100%, $E$9)</f>
        <v>5.7339000000000002</v>
      </c>
      <c r="G352" s="9">
        <f>5.7371 * CHOOSE(CONTROL!$C$32, $C$9, 100%, $E$9)</f>
        <v>5.7370999999999999</v>
      </c>
      <c r="H352" s="9">
        <f>7.3342 * CHOOSE(CONTROL!$C$32, $C$9, 100%, $E$9)</f>
        <v>7.3342000000000001</v>
      </c>
      <c r="I352" s="9">
        <f>7.3374 * CHOOSE(CONTROL!$C$32, $C$9, 100%, $E$9)</f>
        <v>7.3373999999999997</v>
      </c>
      <c r="J352" s="9">
        <f>7.3342 * CHOOSE(CONTROL!$C$32, $C$9, 100%, $E$9)</f>
        <v>7.3342000000000001</v>
      </c>
      <c r="K352" s="9">
        <f>7.3374 * CHOOSE(CONTROL!$C$32, $C$9, 100%, $E$9)</f>
        <v>7.3373999999999997</v>
      </c>
      <c r="L352" s="9">
        <f>5.7339 * CHOOSE(CONTROL!$C$32, $C$9, 100%, $E$9)</f>
        <v>5.7339000000000002</v>
      </c>
      <c r="M352" s="9">
        <f>5.7371 * CHOOSE(CONTROL!$C$32, $C$9, 100%, $E$9)</f>
        <v>5.7370999999999999</v>
      </c>
      <c r="N352" s="9">
        <f>5.7339 * CHOOSE(CONTROL!$C$32, $C$9, 100%, $E$9)</f>
        <v>5.7339000000000002</v>
      </c>
      <c r="O352" s="9">
        <f>5.7371 * CHOOSE(CONTROL!$C$32, $C$9, 100%, $E$9)</f>
        <v>5.7370999999999999</v>
      </c>
    </row>
    <row r="353" spans="1:15" ht="15.75" x14ac:dyDescent="0.25">
      <c r="A353" s="14">
        <v>51256</v>
      </c>
      <c r="B353" s="10">
        <f>5.9629 * CHOOSE(CONTROL!$C$32, $C$9, 100%, $E$9)</f>
        <v>5.9629000000000003</v>
      </c>
      <c r="C353" s="10">
        <f>5.9629 * CHOOSE(CONTROL!$C$32, $C$9, 100%, $E$9)</f>
        <v>5.9629000000000003</v>
      </c>
      <c r="D353" s="10">
        <f>5.9638 * CHOOSE(CONTROL!$C$32, $C$9, 100%, $E$9)</f>
        <v>5.9638</v>
      </c>
      <c r="E353" s="9">
        <f>5.8211 * CHOOSE(CONTROL!$C$32, $C$9, 100%, $E$9)</f>
        <v>5.8211000000000004</v>
      </c>
      <c r="F353" s="9">
        <f>5.8211 * CHOOSE(CONTROL!$C$32, $C$9, 100%, $E$9)</f>
        <v>5.8211000000000004</v>
      </c>
      <c r="G353" s="9">
        <f>5.8243 * CHOOSE(CONTROL!$C$32, $C$9, 100%, $E$9)</f>
        <v>5.8243</v>
      </c>
      <c r="H353" s="9">
        <f>7.3338 * CHOOSE(CONTROL!$C$32, $C$9, 100%, $E$9)</f>
        <v>7.3338000000000001</v>
      </c>
      <c r="I353" s="9">
        <f>7.337 * CHOOSE(CONTROL!$C$32, $C$9, 100%, $E$9)</f>
        <v>7.3369999999999997</v>
      </c>
      <c r="J353" s="9">
        <f>7.3338 * CHOOSE(CONTROL!$C$32, $C$9, 100%, $E$9)</f>
        <v>7.3338000000000001</v>
      </c>
      <c r="K353" s="9">
        <f>7.337 * CHOOSE(CONTROL!$C$32, $C$9, 100%, $E$9)</f>
        <v>7.3369999999999997</v>
      </c>
      <c r="L353" s="9">
        <f>5.8211 * CHOOSE(CONTROL!$C$32, $C$9, 100%, $E$9)</f>
        <v>5.8211000000000004</v>
      </c>
      <c r="M353" s="9">
        <f>5.8243 * CHOOSE(CONTROL!$C$32, $C$9, 100%, $E$9)</f>
        <v>5.8243</v>
      </c>
      <c r="N353" s="9">
        <f>5.8211 * CHOOSE(CONTROL!$C$32, $C$9, 100%, $E$9)</f>
        <v>5.8211000000000004</v>
      </c>
      <c r="O353" s="9">
        <f>5.8243 * CHOOSE(CONTROL!$C$32, $C$9, 100%, $E$9)</f>
        <v>5.8243</v>
      </c>
    </row>
    <row r="354" spans="1:15" ht="15.75" x14ac:dyDescent="0.25">
      <c r="A354" s="14">
        <v>51287</v>
      </c>
      <c r="B354" s="10">
        <f>5.9629 * CHOOSE(CONTROL!$C$32, $C$9, 100%, $E$9)</f>
        <v>5.9629000000000003</v>
      </c>
      <c r="C354" s="10">
        <f>5.9629 * CHOOSE(CONTROL!$C$32, $C$9, 100%, $E$9)</f>
        <v>5.9629000000000003</v>
      </c>
      <c r="D354" s="10">
        <f>5.9642 * CHOOSE(CONTROL!$C$32, $C$9, 100%, $E$9)</f>
        <v>5.9641999999999999</v>
      </c>
      <c r="E354" s="9">
        <f>5.8555 * CHOOSE(CONTROL!$C$32, $C$9, 100%, $E$9)</f>
        <v>5.8555000000000001</v>
      </c>
      <c r="F354" s="9">
        <f>5.8555 * CHOOSE(CONTROL!$C$32, $C$9, 100%, $E$9)</f>
        <v>5.8555000000000001</v>
      </c>
      <c r="G354" s="9">
        <f>5.8598 * CHOOSE(CONTROL!$C$32, $C$9, 100%, $E$9)</f>
        <v>5.8597999999999999</v>
      </c>
      <c r="H354" s="9">
        <f>7.3338 * CHOOSE(CONTROL!$C$32, $C$9, 100%, $E$9)</f>
        <v>7.3338000000000001</v>
      </c>
      <c r="I354" s="9">
        <f>7.3382 * CHOOSE(CONTROL!$C$32, $C$9, 100%, $E$9)</f>
        <v>7.3381999999999996</v>
      </c>
      <c r="J354" s="9">
        <f>7.3338 * CHOOSE(CONTROL!$C$32, $C$9, 100%, $E$9)</f>
        <v>7.3338000000000001</v>
      </c>
      <c r="K354" s="9">
        <f>7.3382 * CHOOSE(CONTROL!$C$32, $C$9, 100%, $E$9)</f>
        <v>7.3381999999999996</v>
      </c>
      <c r="L354" s="9">
        <f>5.8555 * CHOOSE(CONTROL!$C$32, $C$9, 100%, $E$9)</f>
        <v>5.8555000000000001</v>
      </c>
      <c r="M354" s="9">
        <f>5.8598 * CHOOSE(CONTROL!$C$32, $C$9, 100%, $E$9)</f>
        <v>5.8597999999999999</v>
      </c>
      <c r="N354" s="9">
        <f>5.8555 * CHOOSE(CONTROL!$C$32, $C$9, 100%, $E$9)</f>
        <v>5.8555000000000001</v>
      </c>
      <c r="O354" s="9">
        <f>5.8598 * CHOOSE(CONTROL!$C$32, $C$9, 100%, $E$9)</f>
        <v>5.8597999999999999</v>
      </c>
    </row>
    <row r="355" spans="1:15" ht="15.75" x14ac:dyDescent="0.25">
      <c r="A355" s="14">
        <v>51317</v>
      </c>
      <c r="B355" s="10">
        <f>5.969 * CHOOSE(CONTROL!$C$32, $C$9, 100%, $E$9)</f>
        <v>5.9690000000000003</v>
      </c>
      <c r="C355" s="10">
        <f>5.969 * CHOOSE(CONTROL!$C$32, $C$9, 100%, $E$9)</f>
        <v>5.9690000000000003</v>
      </c>
      <c r="D355" s="10">
        <f>5.9703 * CHOOSE(CONTROL!$C$32, $C$9, 100%, $E$9)</f>
        <v>5.9702999999999999</v>
      </c>
      <c r="E355" s="9">
        <f>5.8254 * CHOOSE(CONTROL!$C$32, $C$9, 100%, $E$9)</f>
        <v>5.8254000000000001</v>
      </c>
      <c r="F355" s="9">
        <f>5.8254 * CHOOSE(CONTROL!$C$32, $C$9, 100%, $E$9)</f>
        <v>5.8254000000000001</v>
      </c>
      <c r="G355" s="9">
        <f>5.8297 * CHOOSE(CONTROL!$C$32, $C$9, 100%, $E$9)</f>
        <v>5.8296999999999999</v>
      </c>
      <c r="H355" s="9">
        <f>7.3378 * CHOOSE(CONTROL!$C$32, $C$9, 100%, $E$9)</f>
        <v>7.3377999999999997</v>
      </c>
      <c r="I355" s="9">
        <f>7.3422 * CHOOSE(CONTROL!$C$32, $C$9, 100%, $E$9)</f>
        <v>7.3422000000000001</v>
      </c>
      <c r="J355" s="9">
        <f>7.3378 * CHOOSE(CONTROL!$C$32, $C$9, 100%, $E$9)</f>
        <v>7.3377999999999997</v>
      </c>
      <c r="K355" s="9">
        <f>7.3422 * CHOOSE(CONTROL!$C$32, $C$9, 100%, $E$9)</f>
        <v>7.3422000000000001</v>
      </c>
      <c r="L355" s="9">
        <f>5.8254 * CHOOSE(CONTROL!$C$32, $C$9, 100%, $E$9)</f>
        <v>5.8254000000000001</v>
      </c>
      <c r="M355" s="9">
        <f>5.8297 * CHOOSE(CONTROL!$C$32, $C$9, 100%, $E$9)</f>
        <v>5.8296999999999999</v>
      </c>
      <c r="N355" s="9">
        <f>5.8254 * CHOOSE(CONTROL!$C$32, $C$9, 100%, $E$9)</f>
        <v>5.8254000000000001</v>
      </c>
      <c r="O355" s="9">
        <f>5.8297 * CHOOSE(CONTROL!$C$32, $C$9, 100%, $E$9)</f>
        <v>5.8296999999999999</v>
      </c>
    </row>
    <row r="356" spans="1:15" ht="15.75" x14ac:dyDescent="0.25">
      <c r="A356" s="14">
        <v>51348</v>
      </c>
      <c r="B356" s="10">
        <f>6.0583 * CHOOSE(CONTROL!$C$32, $C$9, 100%, $E$9)</f>
        <v>6.0583</v>
      </c>
      <c r="C356" s="10">
        <f>6.0583 * CHOOSE(CONTROL!$C$32, $C$9, 100%, $E$9)</f>
        <v>6.0583</v>
      </c>
      <c r="D356" s="10">
        <f>6.0596 * CHOOSE(CONTROL!$C$32, $C$9, 100%, $E$9)</f>
        <v>6.0595999999999997</v>
      </c>
      <c r="E356" s="9">
        <f>5.8967 * CHOOSE(CONTROL!$C$32, $C$9, 100%, $E$9)</f>
        <v>5.8967000000000001</v>
      </c>
      <c r="F356" s="9">
        <f>5.8967 * CHOOSE(CONTROL!$C$32, $C$9, 100%, $E$9)</f>
        <v>5.8967000000000001</v>
      </c>
      <c r="G356" s="9">
        <f>5.9011 * CHOOSE(CONTROL!$C$32, $C$9, 100%, $E$9)</f>
        <v>5.9010999999999996</v>
      </c>
      <c r="H356" s="9">
        <f>7.451 * CHOOSE(CONTROL!$C$32, $C$9, 100%, $E$9)</f>
        <v>7.4509999999999996</v>
      </c>
      <c r="I356" s="9">
        <f>7.4553 * CHOOSE(CONTROL!$C$32, $C$9, 100%, $E$9)</f>
        <v>7.4553000000000003</v>
      </c>
      <c r="J356" s="9">
        <f>7.451 * CHOOSE(CONTROL!$C$32, $C$9, 100%, $E$9)</f>
        <v>7.4509999999999996</v>
      </c>
      <c r="K356" s="9">
        <f>7.4553 * CHOOSE(CONTROL!$C$32, $C$9, 100%, $E$9)</f>
        <v>7.4553000000000003</v>
      </c>
      <c r="L356" s="9">
        <f>5.8967 * CHOOSE(CONTROL!$C$32, $C$9, 100%, $E$9)</f>
        <v>5.8967000000000001</v>
      </c>
      <c r="M356" s="9">
        <f>5.9011 * CHOOSE(CONTROL!$C$32, $C$9, 100%, $E$9)</f>
        <v>5.9010999999999996</v>
      </c>
      <c r="N356" s="9">
        <f>5.8967 * CHOOSE(CONTROL!$C$32, $C$9, 100%, $E$9)</f>
        <v>5.8967000000000001</v>
      </c>
      <c r="O356" s="9">
        <f>5.9011 * CHOOSE(CONTROL!$C$32, $C$9, 100%, $E$9)</f>
        <v>5.9010999999999996</v>
      </c>
    </row>
    <row r="357" spans="1:15" ht="15.75" x14ac:dyDescent="0.25">
      <c r="A357" s="14">
        <v>51379</v>
      </c>
      <c r="B357" s="10">
        <f>6.065 * CHOOSE(CONTROL!$C$32, $C$9, 100%, $E$9)</f>
        <v>6.0650000000000004</v>
      </c>
      <c r="C357" s="10">
        <f>6.065 * CHOOSE(CONTROL!$C$32, $C$9, 100%, $E$9)</f>
        <v>6.0650000000000004</v>
      </c>
      <c r="D357" s="10">
        <f>6.0663 * CHOOSE(CONTROL!$C$32, $C$9, 100%, $E$9)</f>
        <v>6.0663</v>
      </c>
      <c r="E357" s="9">
        <f>5.7985 * CHOOSE(CONTROL!$C$32, $C$9, 100%, $E$9)</f>
        <v>5.7984999999999998</v>
      </c>
      <c r="F357" s="9">
        <f>5.7985 * CHOOSE(CONTROL!$C$32, $C$9, 100%, $E$9)</f>
        <v>5.7984999999999998</v>
      </c>
      <c r="G357" s="9">
        <f>5.8028 * CHOOSE(CONTROL!$C$32, $C$9, 100%, $E$9)</f>
        <v>5.8028000000000004</v>
      </c>
      <c r="H357" s="9">
        <f>7.4554 * CHOOSE(CONTROL!$C$32, $C$9, 100%, $E$9)</f>
        <v>7.4554</v>
      </c>
      <c r="I357" s="9">
        <f>7.4597 * CHOOSE(CONTROL!$C$32, $C$9, 100%, $E$9)</f>
        <v>7.4596999999999998</v>
      </c>
      <c r="J357" s="9">
        <f>7.4554 * CHOOSE(CONTROL!$C$32, $C$9, 100%, $E$9)</f>
        <v>7.4554</v>
      </c>
      <c r="K357" s="9">
        <f>7.4597 * CHOOSE(CONTROL!$C$32, $C$9, 100%, $E$9)</f>
        <v>7.4596999999999998</v>
      </c>
      <c r="L357" s="9">
        <f>5.7985 * CHOOSE(CONTROL!$C$32, $C$9, 100%, $E$9)</f>
        <v>5.7984999999999998</v>
      </c>
      <c r="M357" s="9">
        <f>5.8028 * CHOOSE(CONTROL!$C$32, $C$9, 100%, $E$9)</f>
        <v>5.8028000000000004</v>
      </c>
      <c r="N357" s="9">
        <f>5.7985 * CHOOSE(CONTROL!$C$32, $C$9, 100%, $E$9)</f>
        <v>5.7984999999999998</v>
      </c>
      <c r="O357" s="9">
        <f>5.8028 * CHOOSE(CONTROL!$C$32, $C$9, 100%, $E$9)</f>
        <v>5.8028000000000004</v>
      </c>
    </row>
    <row r="358" spans="1:15" ht="15.75" x14ac:dyDescent="0.25">
      <c r="A358" s="14">
        <v>51409</v>
      </c>
      <c r="B358" s="10">
        <f>6.062 * CHOOSE(CONTROL!$C$32, $C$9, 100%, $E$9)</f>
        <v>6.0620000000000003</v>
      </c>
      <c r="C358" s="10">
        <f>6.062 * CHOOSE(CONTROL!$C$32, $C$9, 100%, $E$9)</f>
        <v>6.0620000000000003</v>
      </c>
      <c r="D358" s="10">
        <f>6.0633 * CHOOSE(CONTROL!$C$32, $C$9, 100%, $E$9)</f>
        <v>6.0632999999999999</v>
      </c>
      <c r="E358" s="9">
        <f>5.7849 * CHOOSE(CONTROL!$C$32, $C$9, 100%, $E$9)</f>
        <v>5.7849000000000004</v>
      </c>
      <c r="F358" s="9">
        <f>5.7849 * CHOOSE(CONTROL!$C$32, $C$9, 100%, $E$9)</f>
        <v>5.7849000000000004</v>
      </c>
      <c r="G358" s="9">
        <f>5.7893 * CHOOSE(CONTROL!$C$32, $C$9, 100%, $E$9)</f>
        <v>5.7892999999999999</v>
      </c>
      <c r="H358" s="9">
        <f>7.4534 * CHOOSE(CONTROL!$C$32, $C$9, 100%, $E$9)</f>
        <v>7.4534000000000002</v>
      </c>
      <c r="I358" s="9">
        <f>7.4577 * CHOOSE(CONTROL!$C$32, $C$9, 100%, $E$9)</f>
        <v>7.4577</v>
      </c>
      <c r="J358" s="9">
        <f>7.4534 * CHOOSE(CONTROL!$C$32, $C$9, 100%, $E$9)</f>
        <v>7.4534000000000002</v>
      </c>
      <c r="K358" s="9">
        <f>7.4577 * CHOOSE(CONTROL!$C$32, $C$9, 100%, $E$9)</f>
        <v>7.4577</v>
      </c>
      <c r="L358" s="9">
        <f>5.7849 * CHOOSE(CONTROL!$C$32, $C$9, 100%, $E$9)</f>
        <v>5.7849000000000004</v>
      </c>
      <c r="M358" s="9">
        <f>5.7893 * CHOOSE(CONTROL!$C$32, $C$9, 100%, $E$9)</f>
        <v>5.7892999999999999</v>
      </c>
      <c r="N358" s="9">
        <f>5.7849 * CHOOSE(CONTROL!$C$32, $C$9, 100%, $E$9)</f>
        <v>5.7849000000000004</v>
      </c>
      <c r="O358" s="9">
        <f>5.7893 * CHOOSE(CONTROL!$C$32, $C$9, 100%, $E$9)</f>
        <v>5.7892999999999999</v>
      </c>
    </row>
    <row r="359" spans="1:15" ht="15.75" x14ac:dyDescent="0.25">
      <c r="A359" s="14">
        <v>51440</v>
      </c>
      <c r="B359" s="10">
        <f>6.0654 * CHOOSE(CONTROL!$C$32, $C$9, 100%, $E$9)</f>
        <v>6.0654000000000003</v>
      </c>
      <c r="C359" s="10">
        <f>6.0654 * CHOOSE(CONTROL!$C$32, $C$9, 100%, $E$9)</f>
        <v>6.0654000000000003</v>
      </c>
      <c r="D359" s="10">
        <f>6.0664 * CHOOSE(CONTROL!$C$32, $C$9, 100%, $E$9)</f>
        <v>6.0663999999999998</v>
      </c>
      <c r="E359" s="9">
        <f>5.8172 * CHOOSE(CONTROL!$C$32, $C$9, 100%, $E$9)</f>
        <v>5.8171999999999997</v>
      </c>
      <c r="F359" s="9">
        <f>5.8172 * CHOOSE(CONTROL!$C$32, $C$9, 100%, $E$9)</f>
        <v>5.8171999999999997</v>
      </c>
      <c r="G359" s="9">
        <f>5.8204 * CHOOSE(CONTROL!$C$32, $C$9, 100%, $E$9)</f>
        <v>5.8204000000000002</v>
      </c>
      <c r="H359" s="9">
        <f>7.4548 * CHOOSE(CONTROL!$C$32, $C$9, 100%, $E$9)</f>
        <v>7.4547999999999996</v>
      </c>
      <c r="I359" s="9">
        <f>7.458 * CHOOSE(CONTROL!$C$32, $C$9, 100%, $E$9)</f>
        <v>7.4580000000000002</v>
      </c>
      <c r="J359" s="9">
        <f>7.4548 * CHOOSE(CONTROL!$C$32, $C$9, 100%, $E$9)</f>
        <v>7.4547999999999996</v>
      </c>
      <c r="K359" s="9">
        <f>7.458 * CHOOSE(CONTROL!$C$32, $C$9, 100%, $E$9)</f>
        <v>7.4580000000000002</v>
      </c>
      <c r="L359" s="9">
        <f>5.8172 * CHOOSE(CONTROL!$C$32, $C$9, 100%, $E$9)</f>
        <v>5.8171999999999997</v>
      </c>
      <c r="M359" s="9">
        <f>5.8204 * CHOOSE(CONTROL!$C$32, $C$9, 100%, $E$9)</f>
        <v>5.8204000000000002</v>
      </c>
      <c r="N359" s="9">
        <f>5.8172 * CHOOSE(CONTROL!$C$32, $C$9, 100%, $E$9)</f>
        <v>5.8171999999999997</v>
      </c>
      <c r="O359" s="9">
        <f>5.8204 * CHOOSE(CONTROL!$C$32, $C$9, 100%, $E$9)</f>
        <v>5.8204000000000002</v>
      </c>
    </row>
    <row r="360" spans="1:15" ht="15.75" x14ac:dyDescent="0.25">
      <c r="A360" s="14">
        <v>51470</v>
      </c>
      <c r="B360" s="10">
        <f>6.0685 * CHOOSE(CONTROL!$C$32, $C$9, 100%, $E$9)</f>
        <v>6.0685000000000002</v>
      </c>
      <c r="C360" s="10">
        <f>6.0685 * CHOOSE(CONTROL!$C$32, $C$9, 100%, $E$9)</f>
        <v>6.0685000000000002</v>
      </c>
      <c r="D360" s="10">
        <f>6.0694 * CHOOSE(CONTROL!$C$32, $C$9, 100%, $E$9)</f>
        <v>6.0693999999999999</v>
      </c>
      <c r="E360" s="9">
        <f>5.8422 * CHOOSE(CONTROL!$C$32, $C$9, 100%, $E$9)</f>
        <v>5.8422000000000001</v>
      </c>
      <c r="F360" s="9">
        <f>5.8422 * CHOOSE(CONTROL!$C$32, $C$9, 100%, $E$9)</f>
        <v>5.8422000000000001</v>
      </c>
      <c r="G360" s="9">
        <f>5.8454 * CHOOSE(CONTROL!$C$32, $C$9, 100%, $E$9)</f>
        <v>5.8453999999999997</v>
      </c>
      <c r="H360" s="9">
        <f>7.4568 * CHOOSE(CONTROL!$C$32, $C$9, 100%, $E$9)</f>
        <v>7.4568000000000003</v>
      </c>
      <c r="I360" s="9">
        <f>7.46 * CHOOSE(CONTROL!$C$32, $C$9, 100%, $E$9)</f>
        <v>7.46</v>
      </c>
      <c r="J360" s="9">
        <f>7.4568 * CHOOSE(CONTROL!$C$32, $C$9, 100%, $E$9)</f>
        <v>7.4568000000000003</v>
      </c>
      <c r="K360" s="9">
        <f>7.46 * CHOOSE(CONTROL!$C$32, $C$9, 100%, $E$9)</f>
        <v>7.46</v>
      </c>
      <c r="L360" s="9">
        <f>5.8422 * CHOOSE(CONTROL!$C$32, $C$9, 100%, $E$9)</f>
        <v>5.8422000000000001</v>
      </c>
      <c r="M360" s="9">
        <f>5.8454 * CHOOSE(CONTROL!$C$32, $C$9, 100%, $E$9)</f>
        <v>5.8453999999999997</v>
      </c>
      <c r="N360" s="9">
        <f>5.8422 * CHOOSE(CONTROL!$C$32, $C$9, 100%, $E$9)</f>
        <v>5.8422000000000001</v>
      </c>
      <c r="O360" s="9">
        <f>5.8454 * CHOOSE(CONTROL!$C$32, $C$9, 100%, $E$9)</f>
        <v>5.8453999999999997</v>
      </c>
    </row>
    <row r="361" spans="1:15" ht="15.75" x14ac:dyDescent="0.25">
      <c r="A361" s="14">
        <v>51501</v>
      </c>
      <c r="B361" s="10">
        <f>6.0685 * CHOOSE(CONTROL!$C$32, $C$9, 100%, $E$9)</f>
        <v>6.0685000000000002</v>
      </c>
      <c r="C361" s="10">
        <f>6.0685 * CHOOSE(CONTROL!$C$32, $C$9, 100%, $E$9)</f>
        <v>6.0685000000000002</v>
      </c>
      <c r="D361" s="10">
        <f>6.0694 * CHOOSE(CONTROL!$C$32, $C$9, 100%, $E$9)</f>
        <v>6.0693999999999999</v>
      </c>
      <c r="E361" s="9">
        <f>5.7851 * CHOOSE(CONTROL!$C$32, $C$9, 100%, $E$9)</f>
        <v>5.7850999999999999</v>
      </c>
      <c r="F361" s="9">
        <f>5.7851 * CHOOSE(CONTROL!$C$32, $C$9, 100%, $E$9)</f>
        <v>5.7850999999999999</v>
      </c>
      <c r="G361" s="9">
        <f>5.7883 * CHOOSE(CONTROL!$C$32, $C$9, 100%, $E$9)</f>
        <v>5.7882999999999996</v>
      </c>
      <c r="H361" s="9">
        <f>7.4568 * CHOOSE(CONTROL!$C$32, $C$9, 100%, $E$9)</f>
        <v>7.4568000000000003</v>
      </c>
      <c r="I361" s="9">
        <f>7.46 * CHOOSE(CONTROL!$C$32, $C$9, 100%, $E$9)</f>
        <v>7.46</v>
      </c>
      <c r="J361" s="9">
        <f>7.4568 * CHOOSE(CONTROL!$C$32, $C$9, 100%, $E$9)</f>
        <v>7.4568000000000003</v>
      </c>
      <c r="K361" s="9">
        <f>7.46 * CHOOSE(CONTROL!$C$32, $C$9, 100%, $E$9)</f>
        <v>7.46</v>
      </c>
      <c r="L361" s="9">
        <f>5.7851 * CHOOSE(CONTROL!$C$32, $C$9, 100%, $E$9)</f>
        <v>5.7850999999999999</v>
      </c>
      <c r="M361" s="9">
        <f>5.7883 * CHOOSE(CONTROL!$C$32, $C$9, 100%, $E$9)</f>
        <v>5.7882999999999996</v>
      </c>
      <c r="N361" s="9">
        <f>5.7851 * CHOOSE(CONTROL!$C$32, $C$9, 100%, $E$9)</f>
        <v>5.7850999999999999</v>
      </c>
      <c r="O361" s="9">
        <f>5.7883 * CHOOSE(CONTROL!$C$32, $C$9, 100%, $E$9)</f>
        <v>5.7882999999999996</v>
      </c>
    </row>
    <row r="362" spans="1:15" ht="15.75" x14ac:dyDescent="0.25">
      <c r="A362" s="14">
        <v>51532</v>
      </c>
      <c r="B362" s="10">
        <f>6.12 * CHOOSE(CONTROL!$C$32, $C$9, 100%, $E$9)</f>
        <v>6.12</v>
      </c>
      <c r="C362" s="10">
        <f>6.12 * CHOOSE(CONTROL!$C$32, $C$9, 100%, $E$9)</f>
        <v>6.12</v>
      </c>
      <c r="D362" s="10">
        <f>6.121 * CHOOSE(CONTROL!$C$32, $C$9, 100%, $E$9)</f>
        <v>6.1210000000000004</v>
      </c>
      <c r="E362" s="9">
        <f>5.8655 * CHOOSE(CONTROL!$C$32, $C$9, 100%, $E$9)</f>
        <v>5.8654999999999999</v>
      </c>
      <c r="F362" s="9">
        <f>5.8655 * CHOOSE(CONTROL!$C$32, $C$9, 100%, $E$9)</f>
        <v>5.8654999999999999</v>
      </c>
      <c r="G362" s="9">
        <f>5.8687 * CHOOSE(CONTROL!$C$32, $C$9, 100%, $E$9)</f>
        <v>5.8686999999999996</v>
      </c>
      <c r="H362" s="9">
        <f>7.5129 * CHOOSE(CONTROL!$C$32, $C$9, 100%, $E$9)</f>
        <v>7.5129000000000001</v>
      </c>
      <c r="I362" s="9">
        <f>7.5161 * CHOOSE(CONTROL!$C$32, $C$9, 100%, $E$9)</f>
        <v>7.5160999999999998</v>
      </c>
      <c r="J362" s="9">
        <f>7.5129 * CHOOSE(CONTROL!$C$32, $C$9, 100%, $E$9)</f>
        <v>7.5129000000000001</v>
      </c>
      <c r="K362" s="9">
        <f>7.5161 * CHOOSE(CONTROL!$C$32, $C$9, 100%, $E$9)</f>
        <v>7.5160999999999998</v>
      </c>
      <c r="L362" s="9">
        <f>5.8655 * CHOOSE(CONTROL!$C$32, $C$9, 100%, $E$9)</f>
        <v>5.8654999999999999</v>
      </c>
      <c r="M362" s="9">
        <f>5.8687 * CHOOSE(CONTROL!$C$32, $C$9, 100%, $E$9)</f>
        <v>5.8686999999999996</v>
      </c>
      <c r="N362" s="9">
        <f>5.8655 * CHOOSE(CONTROL!$C$32, $C$9, 100%, $E$9)</f>
        <v>5.8654999999999999</v>
      </c>
      <c r="O362" s="9">
        <f>5.8687 * CHOOSE(CONTROL!$C$32, $C$9, 100%, $E$9)</f>
        <v>5.8686999999999996</v>
      </c>
    </row>
    <row r="363" spans="1:15" ht="15.75" x14ac:dyDescent="0.25">
      <c r="A363" s="14">
        <v>51560</v>
      </c>
      <c r="B363" s="10">
        <f>6.117 * CHOOSE(CONTROL!$C$32, $C$9, 100%, $E$9)</f>
        <v>6.117</v>
      </c>
      <c r="C363" s="10">
        <f>6.117 * CHOOSE(CONTROL!$C$32, $C$9, 100%, $E$9)</f>
        <v>6.117</v>
      </c>
      <c r="D363" s="10">
        <f>6.118 * CHOOSE(CONTROL!$C$32, $C$9, 100%, $E$9)</f>
        <v>6.1180000000000003</v>
      </c>
      <c r="E363" s="9">
        <f>5.7521 * CHOOSE(CONTROL!$C$32, $C$9, 100%, $E$9)</f>
        <v>5.7521000000000004</v>
      </c>
      <c r="F363" s="9">
        <f>5.7521 * CHOOSE(CONTROL!$C$32, $C$9, 100%, $E$9)</f>
        <v>5.7521000000000004</v>
      </c>
      <c r="G363" s="9">
        <f>5.7553 * CHOOSE(CONTROL!$C$32, $C$9, 100%, $E$9)</f>
        <v>5.7553000000000001</v>
      </c>
      <c r="H363" s="9">
        <f>7.5109 * CHOOSE(CONTROL!$C$32, $C$9, 100%, $E$9)</f>
        <v>7.5109000000000004</v>
      </c>
      <c r="I363" s="9">
        <f>7.5141 * CHOOSE(CONTROL!$C$32, $C$9, 100%, $E$9)</f>
        <v>7.5141</v>
      </c>
      <c r="J363" s="9">
        <f>7.5109 * CHOOSE(CONTROL!$C$32, $C$9, 100%, $E$9)</f>
        <v>7.5109000000000004</v>
      </c>
      <c r="K363" s="9">
        <f>7.5141 * CHOOSE(CONTROL!$C$32, $C$9, 100%, $E$9)</f>
        <v>7.5141</v>
      </c>
      <c r="L363" s="9">
        <f>5.7521 * CHOOSE(CONTROL!$C$32, $C$9, 100%, $E$9)</f>
        <v>5.7521000000000004</v>
      </c>
      <c r="M363" s="9">
        <f>5.7553 * CHOOSE(CONTROL!$C$32, $C$9, 100%, $E$9)</f>
        <v>5.7553000000000001</v>
      </c>
      <c r="N363" s="9">
        <f>5.7521 * CHOOSE(CONTROL!$C$32, $C$9, 100%, $E$9)</f>
        <v>5.7521000000000004</v>
      </c>
      <c r="O363" s="9">
        <f>5.7553 * CHOOSE(CONTROL!$C$32, $C$9, 100%, $E$9)</f>
        <v>5.7553000000000001</v>
      </c>
    </row>
    <row r="364" spans="1:15" ht="15.75" x14ac:dyDescent="0.25">
      <c r="A364" s="14">
        <v>51591</v>
      </c>
      <c r="B364" s="10">
        <f>6.114 * CHOOSE(CONTROL!$C$32, $C$9, 100%, $E$9)</f>
        <v>6.1139999999999999</v>
      </c>
      <c r="C364" s="10">
        <f>6.114 * CHOOSE(CONTROL!$C$32, $C$9, 100%, $E$9)</f>
        <v>6.1139999999999999</v>
      </c>
      <c r="D364" s="10">
        <f>6.1149 * CHOOSE(CONTROL!$C$32, $C$9, 100%, $E$9)</f>
        <v>6.1148999999999996</v>
      </c>
      <c r="E364" s="9">
        <f>5.8377 * CHOOSE(CONTROL!$C$32, $C$9, 100%, $E$9)</f>
        <v>5.8376999999999999</v>
      </c>
      <c r="F364" s="9">
        <f>5.8377 * CHOOSE(CONTROL!$C$32, $C$9, 100%, $E$9)</f>
        <v>5.8376999999999999</v>
      </c>
      <c r="G364" s="9">
        <f>5.8409 * CHOOSE(CONTROL!$C$32, $C$9, 100%, $E$9)</f>
        <v>5.8409000000000004</v>
      </c>
      <c r="H364" s="9">
        <f>7.5089 * CHOOSE(CONTROL!$C$32, $C$9, 100%, $E$9)</f>
        <v>7.5088999999999997</v>
      </c>
      <c r="I364" s="9">
        <f>7.5121 * CHOOSE(CONTROL!$C$32, $C$9, 100%, $E$9)</f>
        <v>7.5121000000000002</v>
      </c>
      <c r="J364" s="9">
        <f>7.5089 * CHOOSE(CONTROL!$C$32, $C$9, 100%, $E$9)</f>
        <v>7.5088999999999997</v>
      </c>
      <c r="K364" s="9">
        <f>7.5121 * CHOOSE(CONTROL!$C$32, $C$9, 100%, $E$9)</f>
        <v>7.5121000000000002</v>
      </c>
      <c r="L364" s="9">
        <f>5.8377 * CHOOSE(CONTROL!$C$32, $C$9, 100%, $E$9)</f>
        <v>5.8376999999999999</v>
      </c>
      <c r="M364" s="9">
        <f>5.8409 * CHOOSE(CONTROL!$C$32, $C$9, 100%, $E$9)</f>
        <v>5.8409000000000004</v>
      </c>
      <c r="N364" s="9">
        <f>5.8377 * CHOOSE(CONTROL!$C$32, $C$9, 100%, $E$9)</f>
        <v>5.8376999999999999</v>
      </c>
      <c r="O364" s="9">
        <f>5.8409 * CHOOSE(CONTROL!$C$32, $C$9, 100%, $E$9)</f>
        <v>5.8409000000000004</v>
      </c>
    </row>
    <row r="365" spans="1:15" ht="15.75" x14ac:dyDescent="0.25">
      <c r="A365" s="14">
        <v>51621</v>
      </c>
      <c r="B365" s="10">
        <f>6.1139 * CHOOSE(CONTROL!$C$32, $C$9, 100%, $E$9)</f>
        <v>6.1139000000000001</v>
      </c>
      <c r="C365" s="10">
        <f>6.1139 * CHOOSE(CONTROL!$C$32, $C$9, 100%, $E$9)</f>
        <v>6.1139000000000001</v>
      </c>
      <c r="D365" s="10">
        <f>6.1148 * CHOOSE(CONTROL!$C$32, $C$9, 100%, $E$9)</f>
        <v>6.1147999999999998</v>
      </c>
      <c r="E365" s="9">
        <f>5.9277 * CHOOSE(CONTROL!$C$32, $C$9, 100%, $E$9)</f>
        <v>5.9276999999999997</v>
      </c>
      <c r="F365" s="9">
        <f>5.9277 * CHOOSE(CONTROL!$C$32, $C$9, 100%, $E$9)</f>
        <v>5.9276999999999997</v>
      </c>
      <c r="G365" s="9">
        <f>5.9309 * CHOOSE(CONTROL!$C$32, $C$9, 100%, $E$9)</f>
        <v>5.9309000000000003</v>
      </c>
      <c r="H365" s="9">
        <f>7.5086 * CHOOSE(CONTROL!$C$32, $C$9, 100%, $E$9)</f>
        <v>7.5086000000000004</v>
      </c>
      <c r="I365" s="9">
        <f>7.5118 * CHOOSE(CONTROL!$C$32, $C$9, 100%, $E$9)</f>
        <v>7.5118</v>
      </c>
      <c r="J365" s="9">
        <f>7.5086 * CHOOSE(CONTROL!$C$32, $C$9, 100%, $E$9)</f>
        <v>7.5086000000000004</v>
      </c>
      <c r="K365" s="9">
        <f>7.5118 * CHOOSE(CONTROL!$C$32, $C$9, 100%, $E$9)</f>
        <v>7.5118</v>
      </c>
      <c r="L365" s="9">
        <f>5.9277 * CHOOSE(CONTROL!$C$32, $C$9, 100%, $E$9)</f>
        <v>5.9276999999999997</v>
      </c>
      <c r="M365" s="9">
        <f>5.9309 * CHOOSE(CONTROL!$C$32, $C$9, 100%, $E$9)</f>
        <v>5.9309000000000003</v>
      </c>
      <c r="N365" s="9">
        <f>5.9277 * CHOOSE(CONTROL!$C$32, $C$9, 100%, $E$9)</f>
        <v>5.9276999999999997</v>
      </c>
      <c r="O365" s="9">
        <f>5.9309 * CHOOSE(CONTROL!$C$32, $C$9, 100%, $E$9)</f>
        <v>5.9309000000000003</v>
      </c>
    </row>
    <row r="366" spans="1:15" ht="15.75" x14ac:dyDescent="0.25">
      <c r="A366" s="14">
        <v>51652</v>
      </c>
      <c r="B366" s="10">
        <f>6.1139 * CHOOSE(CONTROL!$C$32, $C$9, 100%, $E$9)</f>
        <v>6.1139000000000001</v>
      </c>
      <c r="C366" s="10">
        <f>6.1139 * CHOOSE(CONTROL!$C$32, $C$9, 100%, $E$9)</f>
        <v>6.1139000000000001</v>
      </c>
      <c r="D366" s="10">
        <f>6.1152 * CHOOSE(CONTROL!$C$32, $C$9, 100%, $E$9)</f>
        <v>6.1151999999999997</v>
      </c>
      <c r="E366" s="9">
        <f>5.9631 * CHOOSE(CONTROL!$C$32, $C$9, 100%, $E$9)</f>
        <v>5.9630999999999998</v>
      </c>
      <c r="F366" s="9">
        <f>5.9631 * CHOOSE(CONTROL!$C$32, $C$9, 100%, $E$9)</f>
        <v>5.9630999999999998</v>
      </c>
      <c r="G366" s="9">
        <f>5.9674 * CHOOSE(CONTROL!$C$32, $C$9, 100%, $E$9)</f>
        <v>5.9673999999999996</v>
      </c>
      <c r="H366" s="9">
        <f>7.5086 * CHOOSE(CONTROL!$C$32, $C$9, 100%, $E$9)</f>
        <v>7.5086000000000004</v>
      </c>
      <c r="I366" s="9">
        <f>7.513 * CHOOSE(CONTROL!$C$32, $C$9, 100%, $E$9)</f>
        <v>7.5129999999999999</v>
      </c>
      <c r="J366" s="9">
        <f>7.5086 * CHOOSE(CONTROL!$C$32, $C$9, 100%, $E$9)</f>
        <v>7.5086000000000004</v>
      </c>
      <c r="K366" s="9">
        <f>7.513 * CHOOSE(CONTROL!$C$32, $C$9, 100%, $E$9)</f>
        <v>7.5129999999999999</v>
      </c>
      <c r="L366" s="9">
        <f>5.9631 * CHOOSE(CONTROL!$C$32, $C$9, 100%, $E$9)</f>
        <v>5.9630999999999998</v>
      </c>
      <c r="M366" s="9">
        <f>5.9674 * CHOOSE(CONTROL!$C$32, $C$9, 100%, $E$9)</f>
        <v>5.9673999999999996</v>
      </c>
      <c r="N366" s="9">
        <f>5.9631 * CHOOSE(CONTROL!$C$32, $C$9, 100%, $E$9)</f>
        <v>5.9630999999999998</v>
      </c>
      <c r="O366" s="9">
        <f>5.9674 * CHOOSE(CONTROL!$C$32, $C$9, 100%, $E$9)</f>
        <v>5.9673999999999996</v>
      </c>
    </row>
    <row r="367" spans="1:15" ht="15.75" x14ac:dyDescent="0.25">
      <c r="A367" s="14">
        <v>51682</v>
      </c>
      <c r="B367" s="10">
        <f>6.1199 * CHOOSE(CONTROL!$C$32, $C$9, 100%, $E$9)</f>
        <v>6.1199000000000003</v>
      </c>
      <c r="C367" s="10">
        <f>6.1199 * CHOOSE(CONTROL!$C$32, $C$9, 100%, $E$9)</f>
        <v>6.1199000000000003</v>
      </c>
      <c r="D367" s="10">
        <f>6.1212 * CHOOSE(CONTROL!$C$32, $C$9, 100%, $E$9)</f>
        <v>6.1212</v>
      </c>
      <c r="E367" s="9">
        <f>5.932 * CHOOSE(CONTROL!$C$32, $C$9, 100%, $E$9)</f>
        <v>5.9320000000000004</v>
      </c>
      <c r="F367" s="9">
        <f>5.932 * CHOOSE(CONTROL!$C$32, $C$9, 100%, $E$9)</f>
        <v>5.9320000000000004</v>
      </c>
      <c r="G367" s="9">
        <f>5.9363 * CHOOSE(CONTROL!$C$32, $C$9, 100%, $E$9)</f>
        <v>5.9363000000000001</v>
      </c>
      <c r="H367" s="9">
        <f>7.5126 * CHOOSE(CONTROL!$C$32, $C$9, 100%, $E$9)</f>
        <v>7.5125999999999999</v>
      </c>
      <c r="I367" s="9">
        <f>7.517 * CHOOSE(CONTROL!$C$32, $C$9, 100%, $E$9)</f>
        <v>7.5170000000000003</v>
      </c>
      <c r="J367" s="9">
        <f>7.5126 * CHOOSE(CONTROL!$C$32, $C$9, 100%, $E$9)</f>
        <v>7.5125999999999999</v>
      </c>
      <c r="K367" s="9">
        <f>7.517 * CHOOSE(CONTROL!$C$32, $C$9, 100%, $E$9)</f>
        <v>7.5170000000000003</v>
      </c>
      <c r="L367" s="9">
        <f>5.932 * CHOOSE(CONTROL!$C$32, $C$9, 100%, $E$9)</f>
        <v>5.9320000000000004</v>
      </c>
      <c r="M367" s="9">
        <f>5.9363 * CHOOSE(CONTROL!$C$32, $C$9, 100%, $E$9)</f>
        <v>5.9363000000000001</v>
      </c>
      <c r="N367" s="9">
        <f>5.932 * CHOOSE(CONTROL!$C$32, $C$9, 100%, $E$9)</f>
        <v>5.9320000000000004</v>
      </c>
      <c r="O367" s="9">
        <f>5.9363 * CHOOSE(CONTROL!$C$32, $C$9, 100%, $E$9)</f>
        <v>5.9363000000000001</v>
      </c>
    </row>
    <row r="368" spans="1:15" ht="15.75" x14ac:dyDescent="0.25">
      <c r="A368" s="14">
        <v>51713</v>
      </c>
      <c r="B368" s="10">
        <f>6.2113 * CHOOSE(CONTROL!$C$32, $C$9, 100%, $E$9)</f>
        <v>6.2112999999999996</v>
      </c>
      <c r="C368" s="10">
        <f>6.2113 * CHOOSE(CONTROL!$C$32, $C$9, 100%, $E$9)</f>
        <v>6.2112999999999996</v>
      </c>
      <c r="D368" s="10">
        <f>6.2126 * CHOOSE(CONTROL!$C$32, $C$9, 100%, $E$9)</f>
        <v>6.2126000000000001</v>
      </c>
      <c r="E368" s="9">
        <f>6.0031 * CHOOSE(CONTROL!$C$32, $C$9, 100%, $E$9)</f>
        <v>6.0030999999999999</v>
      </c>
      <c r="F368" s="9">
        <f>6.0031 * CHOOSE(CONTROL!$C$32, $C$9, 100%, $E$9)</f>
        <v>6.0030999999999999</v>
      </c>
      <c r="G368" s="9">
        <f>6.0074 * CHOOSE(CONTROL!$C$32, $C$9, 100%, $E$9)</f>
        <v>6.0073999999999996</v>
      </c>
      <c r="H368" s="9">
        <f>7.6283 * CHOOSE(CONTROL!$C$32, $C$9, 100%, $E$9)</f>
        <v>7.6283000000000003</v>
      </c>
      <c r="I368" s="9">
        <f>7.6327 * CHOOSE(CONTROL!$C$32, $C$9, 100%, $E$9)</f>
        <v>7.6326999999999998</v>
      </c>
      <c r="J368" s="9">
        <f>7.6283 * CHOOSE(CONTROL!$C$32, $C$9, 100%, $E$9)</f>
        <v>7.6283000000000003</v>
      </c>
      <c r="K368" s="9">
        <f>7.6327 * CHOOSE(CONTROL!$C$32, $C$9, 100%, $E$9)</f>
        <v>7.6326999999999998</v>
      </c>
      <c r="L368" s="9">
        <f>6.0031 * CHOOSE(CONTROL!$C$32, $C$9, 100%, $E$9)</f>
        <v>6.0030999999999999</v>
      </c>
      <c r="M368" s="9">
        <f>6.0074 * CHOOSE(CONTROL!$C$32, $C$9, 100%, $E$9)</f>
        <v>6.0073999999999996</v>
      </c>
      <c r="N368" s="9">
        <f>6.0031 * CHOOSE(CONTROL!$C$32, $C$9, 100%, $E$9)</f>
        <v>6.0030999999999999</v>
      </c>
      <c r="O368" s="9">
        <f>6.0074 * CHOOSE(CONTROL!$C$32, $C$9, 100%, $E$9)</f>
        <v>6.0073999999999996</v>
      </c>
    </row>
    <row r="369" spans="1:15" ht="15.75" x14ac:dyDescent="0.25">
      <c r="A369" s="14">
        <v>51744</v>
      </c>
      <c r="B369" s="10">
        <f>6.218 * CHOOSE(CONTROL!$C$32, $C$9, 100%, $E$9)</f>
        <v>6.218</v>
      </c>
      <c r="C369" s="10">
        <f>6.218 * CHOOSE(CONTROL!$C$32, $C$9, 100%, $E$9)</f>
        <v>6.218</v>
      </c>
      <c r="D369" s="10">
        <f>6.2193 * CHOOSE(CONTROL!$C$32, $C$9, 100%, $E$9)</f>
        <v>6.2192999999999996</v>
      </c>
      <c r="E369" s="9">
        <f>5.9017 * CHOOSE(CONTROL!$C$32, $C$9, 100%, $E$9)</f>
        <v>5.9016999999999999</v>
      </c>
      <c r="F369" s="9">
        <f>5.9017 * CHOOSE(CONTROL!$C$32, $C$9, 100%, $E$9)</f>
        <v>5.9016999999999999</v>
      </c>
      <c r="G369" s="9">
        <f>5.9061 * CHOOSE(CONTROL!$C$32, $C$9, 100%, $E$9)</f>
        <v>5.9061000000000003</v>
      </c>
      <c r="H369" s="9">
        <f>7.6327 * CHOOSE(CONTROL!$C$32, $C$9, 100%, $E$9)</f>
        <v>7.6326999999999998</v>
      </c>
      <c r="I369" s="9">
        <f>7.6371 * CHOOSE(CONTROL!$C$32, $C$9, 100%, $E$9)</f>
        <v>7.6371000000000002</v>
      </c>
      <c r="J369" s="9">
        <f>7.6327 * CHOOSE(CONTROL!$C$32, $C$9, 100%, $E$9)</f>
        <v>7.6326999999999998</v>
      </c>
      <c r="K369" s="9">
        <f>7.6371 * CHOOSE(CONTROL!$C$32, $C$9, 100%, $E$9)</f>
        <v>7.6371000000000002</v>
      </c>
      <c r="L369" s="9">
        <f>5.9017 * CHOOSE(CONTROL!$C$32, $C$9, 100%, $E$9)</f>
        <v>5.9016999999999999</v>
      </c>
      <c r="M369" s="9">
        <f>5.9061 * CHOOSE(CONTROL!$C$32, $C$9, 100%, $E$9)</f>
        <v>5.9061000000000003</v>
      </c>
      <c r="N369" s="9">
        <f>5.9017 * CHOOSE(CONTROL!$C$32, $C$9, 100%, $E$9)</f>
        <v>5.9016999999999999</v>
      </c>
      <c r="O369" s="9">
        <f>5.9061 * CHOOSE(CONTROL!$C$32, $C$9, 100%, $E$9)</f>
        <v>5.9061000000000003</v>
      </c>
    </row>
    <row r="370" spans="1:15" ht="15.75" x14ac:dyDescent="0.25">
      <c r="A370" s="14">
        <v>51774</v>
      </c>
      <c r="B370" s="10">
        <f>6.2149 * CHOOSE(CONTROL!$C$32, $C$9, 100%, $E$9)</f>
        <v>6.2149000000000001</v>
      </c>
      <c r="C370" s="10">
        <f>6.2149 * CHOOSE(CONTROL!$C$32, $C$9, 100%, $E$9)</f>
        <v>6.2149000000000001</v>
      </c>
      <c r="D370" s="10">
        <f>6.2162 * CHOOSE(CONTROL!$C$32, $C$9, 100%, $E$9)</f>
        <v>6.2161999999999997</v>
      </c>
      <c r="E370" s="9">
        <f>5.8878 * CHOOSE(CONTROL!$C$32, $C$9, 100%, $E$9)</f>
        <v>5.8878000000000004</v>
      </c>
      <c r="F370" s="9">
        <f>5.8878 * CHOOSE(CONTROL!$C$32, $C$9, 100%, $E$9)</f>
        <v>5.8878000000000004</v>
      </c>
      <c r="G370" s="9">
        <f>5.8922 * CHOOSE(CONTROL!$C$32, $C$9, 100%, $E$9)</f>
        <v>5.8921999999999999</v>
      </c>
      <c r="H370" s="9">
        <f>7.6307 * CHOOSE(CONTROL!$C$32, $C$9, 100%, $E$9)</f>
        <v>7.6307</v>
      </c>
      <c r="I370" s="9">
        <f>7.6351 * CHOOSE(CONTROL!$C$32, $C$9, 100%, $E$9)</f>
        <v>7.6351000000000004</v>
      </c>
      <c r="J370" s="9">
        <f>7.6307 * CHOOSE(CONTROL!$C$32, $C$9, 100%, $E$9)</f>
        <v>7.6307</v>
      </c>
      <c r="K370" s="9">
        <f>7.6351 * CHOOSE(CONTROL!$C$32, $C$9, 100%, $E$9)</f>
        <v>7.6351000000000004</v>
      </c>
      <c r="L370" s="9">
        <f>5.8878 * CHOOSE(CONTROL!$C$32, $C$9, 100%, $E$9)</f>
        <v>5.8878000000000004</v>
      </c>
      <c r="M370" s="9">
        <f>5.8922 * CHOOSE(CONTROL!$C$32, $C$9, 100%, $E$9)</f>
        <v>5.8921999999999999</v>
      </c>
      <c r="N370" s="9">
        <f>5.8878 * CHOOSE(CONTROL!$C$32, $C$9, 100%, $E$9)</f>
        <v>5.8878000000000004</v>
      </c>
      <c r="O370" s="9">
        <f>5.8922 * CHOOSE(CONTROL!$C$32, $C$9, 100%, $E$9)</f>
        <v>5.8921999999999999</v>
      </c>
    </row>
    <row r="371" spans="1:15" ht="15.75" x14ac:dyDescent="0.25">
      <c r="A371" s="14">
        <v>51805</v>
      </c>
      <c r="B371" s="10">
        <f>6.219 * CHOOSE(CONTROL!$C$32, $C$9, 100%, $E$9)</f>
        <v>6.2190000000000003</v>
      </c>
      <c r="C371" s="10">
        <f>6.219 * CHOOSE(CONTROL!$C$32, $C$9, 100%, $E$9)</f>
        <v>6.2190000000000003</v>
      </c>
      <c r="D371" s="10">
        <f>6.22 * CHOOSE(CONTROL!$C$32, $C$9, 100%, $E$9)</f>
        <v>6.22</v>
      </c>
      <c r="E371" s="9">
        <f>5.9215 * CHOOSE(CONTROL!$C$32, $C$9, 100%, $E$9)</f>
        <v>5.9215</v>
      </c>
      <c r="F371" s="9">
        <f>5.9215 * CHOOSE(CONTROL!$C$32, $C$9, 100%, $E$9)</f>
        <v>5.9215</v>
      </c>
      <c r="G371" s="9">
        <f>5.9247 * CHOOSE(CONTROL!$C$32, $C$9, 100%, $E$9)</f>
        <v>5.9246999999999996</v>
      </c>
      <c r="H371" s="9">
        <f>7.6325 * CHOOSE(CONTROL!$C$32, $C$9, 100%, $E$9)</f>
        <v>7.6325000000000003</v>
      </c>
      <c r="I371" s="9">
        <f>7.6357 * CHOOSE(CONTROL!$C$32, $C$9, 100%, $E$9)</f>
        <v>7.6356999999999999</v>
      </c>
      <c r="J371" s="9">
        <f>7.6325 * CHOOSE(CONTROL!$C$32, $C$9, 100%, $E$9)</f>
        <v>7.6325000000000003</v>
      </c>
      <c r="K371" s="9">
        <f>7.6357 * CHOOSE(CONTROL!$C$32, $C$9, 100%, $E$9)</f>
        <v>7.6356999999999999</v>
      </c>
      <c r="L371" s="9">
        <f>5.9215 * CHOOSE(CONTROL!$C$32, $C$9, 100%, $E$9)</f>
        <v>5.9215</v>
      </c>
      <c r="M371" s="9">
        <f>5.9247 * CHOOSE(CONTROL!$C$32, $C$9, 100%, $E$9)</f>
        <v>5.9246999999999996</v>
      </c>
      <c r="N371" s="9">
        <f>5.9215 * CHOOSE(CONTROL!$C$32, $C$9, 100%, $E$9)</f>
        <v>5.9215</v>
      </c>
      <c r="O371" s="9">
        <f>5.9247 * CHOOSE(CONTROL!$C$32, $C$9, 100%, $E$9)</f>
        <v>5.9246999999999996</v>
      </c>
    </row>
    <row r="372" spans="1:15" ht="15.75" x14ac:dyDescent="0.25">
      <c r="A372" s="14">
        <v>51835</v>
      </c>
      <c r="B372" s="10">
        <f>6.222 * CHOOSE(CONTROL!$C$32, $C$9, 100%, $E$9)</f>
        <v>6.2220000000000004</v>
      </c>
      <c r="C372" s="10">
        <f>6.222 * CHOOSE(CONTROL!$C$32, $C$9, 100%, $E$9)</f>
        <v>6.2220000000000004</v>
      </c>
      <c r="D372" s="10">
        <f>6.223 * CHOOSE(CONTROL!$C$32, $C$9, 100%, $E$9)</f>
        <v>6.2229999999999999</v>
      </c>
      <c r="E372" s="9">
        <f>5.9472 * CHOOSE(CONTROL!$C$32, $C$9, 100%, $E$9)</f>
        <v>5.9471999999999996</v>
      </c>
      <c r="F372" s="9">
        <f>5.9472 * CHOOSE(CONTROL!$C$32, $C$9, 100%, $E$9)</f>
        <v>5.9471999999999996</v>
      </c>
      <c r="G372" s="9">
        <f>5.9504 * CHOOSE(CONTROL!$C$32, $C$9, 100%, $E$9)</f>
        <v>5.9504000000000001</v>
      </c>
      <c r="H372" s="9">
        <f>7.6345 * CHOOSE(CONTROL!$C$32, $C$9, 100%, $E$9)</f>
        <v>7.6345000000000001</v>
      </c>
      <c r="I372" s="9">
        <f>7.6377 * CHOOSE(CONTROL!$C$32, $C$9, 100%, $E$9)</f>
        <v>7.6376999999999997</v>
      </c>
      <c r="J372" s="9">
        <f>7.6345 * CHOOSE(CONTROL!$C$32, $C$9, 100%, $E$9)</f>
        <v>7.6345000000000001</v>
      </c>
      <c r="K372" s="9">
        <f>7.6377 * CHOOSE(CONTROL!$C$32, $C$9, 100%, $E$9)</f>
        <v>7.6376999999999997</v>
      </c>
      <c r="L372" s="9">
        <f>5.9472 * CHOOSE(CONTROL!$C$32, $C$9, 100%, $E$9)</f>
        <v>5.9471999999999996</v>
      </c>
      <c r="M372" s="9">
        <f>5.9504 * CHOOSE(CONTROL!$C$32, $C$9, 100%, $E$9)</f>
        <v>5.9504000000000001</v>
      </c>
      <c r="N372" s="9">
        <f>5.9472 * CHOOSE(CONTROL!$C$32, $C$9, 100%, $E$9)</f>
        <v>5.9471999999999996</v>
      </c>
      <c r="O372" s="9">
        <f>5.9504 * CHOOSE(CONTROL!$C$32, $C$9, 100%, $E$9)</f>
        <v>5.9504000000000001</v>
      </c>
    </row>
    <row r="373" spans="1:15" ht="15.75" x14ac:dyDescent="0.25">
      <c r="A373" s="14">
        <v>51866</v>
      </c>
      <c r="B373" s="10">
        <f>6.222 * CHOOSE(CONTROL!$C$32, $C$9, 100%, $E$9)</f>
        <v>6.2220000000000004</v>
      </c>
      <c r="C373" s="10">
        <f>6.222 * CHOOSE(CONTROL!$C$32, $C$9, 100%, $E$9)</f>
        <v>6.2220000000000004</v>
      </c>
      <c r="D373" s="10">
        <f>6.223 * CHOOSE(CONTROL!$C$32, $C$9, 100%, $E$9)</f>
        <v>6.2229999999999999</v>
      </c>
      <c r="E373" s="9">
        <f>5.8883 * CHOOSE(CONTROL!$C$32, $C$9, 100%, $E$9)</f>
        <v>5.8883000000000001</v>
      </c>
      <c r="F373" s="9">
        <f>5.8883 * CHOOSE(CONTROL!$C$32, $C$9, 100%, $E$9)</f>
        <v>5.8883000000000001</v>
      </c>
      <c r="G373" s="9">
        <f>5.8915 * CHOOSE(CONTROL!$C$32, $C$9, 100%, $E$9)</f>
        <v>5.8914999999999997</v>
      </c>
      <c r="H373" s="9">
        <f>7.6345 * CHOOSE(CONTROL!$C$32, $C$9, 100%, $E$9)</f>
        <v>7.6345000000000001</v>
      </c>
      <c r="I373" s="9">
        <f>7.6377 * CHOOSE(CONTROL!$C$32, $C$9, 100%, $E$9)</f>
        <v>7.6376999999999997</v>
      </c>
      <c r="J373" s="9">
        <f>7.6345 * CHOOSE(CONTROL!$C$32, $C$9, 100%, $E$9)</f>
        <v>7.6345000000000001</v>
      </c>
      <c r="K373" s="9">
        <f>7.6377 * CHOOSE(CONTROL!$C$32, $C$9, 100%, $E$9)</f>
        <v>7.6376999999999997</v>
      </c>
      <c r="L373" s="9">
        <f>5.8883 * CHOOSE(CONTROL!$C$32, $C$9, 100%, $E$9)</f>
        <v>5.8883000000000001</v>
      </c>
      <c r="M373" s="9">
        <f>5.8915 * CHOOSE(CONTROL!$C$32, $C$9, 100%, $E$9)</f>
        <v>5.8914999999999997</v>
      </c>
      <c r="N373" s="9">
        <f>5.8883 * CHOOSE(CONTROL!$C$32, $C$9, 100%, $E$9)</f>
        <v>5.8883000000000001</v>
      </c>
      <c r="O373" s="9">
        <f>5.8915 * CHOOSE(CONTROL!$C$32, $C$9, 100%, $E$9)</f>
        <v>5.8914999999999997</v>
      </c>
    </row>
    <row r="374" spans="1:15" ht="15.75" x14ac:dyDescent="0.25">
      <c r="A374" s="14">
        <v>51897</v>
      </c>
      <c r="B374" s="10">
        <f>6.2748 * CHOOSE(CONTROL!$C$32, $C$9, 100%, $E$9)</f>
        <v>6.2747999999999999</v>
      </c>
      <c r="C374" s="10">
        <f>6.2748 * CHOOSE(CONTROL!$C$32, $C$9, 100%, $E$9)</f>
        <v>6.2747999999999999</v>
      </c>
      <c r="D374" s="10">
        <f>6.2757 * CHOOSE(CONTROL!$C$32, $C$9, 100%, $E$9)</f>
        <v>6.2756999999999996</v>
      </c>
      <c r="E374" s="9">
        <f>5.9711 * CHOOSE(CONTROL!$C$32, $C$9, 100%, $E$9)</f>
        <v>5.9710999999999999</v>
      </c>
      <c r="F374" s="9">
        <f>5.9711 * CHOOSE(CONTROL!$C$32, $C$9, 100%, $E$9)</f>
        <v>5.9710999999999999</v>
      </c>
      <c r="G374" s="9">
        <f>5.9743 * CHOOSE(CONTROL!$C$32, $C$9, 100%, $E$9)</f>
        <v>5.9743000000000004</v>
      </c>
      <c r="H374" s="9">
        <f>7.6918 * CHOOSE(CONTROL!$C$32, $C$9, 100%, $E$9)</f>
        <v>7.6917999999999997</v>
      </c>
      <c r="I374" s="9">
        <f>7.695 * CHOOSE(CONTROL!$C$32, $C$9, 100%, $E$9)</f>
        <v>7.6950000000000003</v>
      </c>
      <c r="J374" s="9">
        <f>7.6918 * CHOOSE(CONTROL!$C$32, $C$9, 100%, $E$9)</f>
        <v>7.6917999999999997</v>
      </c>
      <c r="K374" s="9">
        <f>7.695 * CHOOSE(CONTROL!$C$32, $C$9, 100%, $E$9)</f>
        <v>7.6950000000000003</v>
      </c>
      <c r="L374" s="9">
        <f>5.9711 * CHOOSE(CONTROL!$C$32, $C$9, 100%, $E$9)</f>
        <v>5.9710999999999999</v>
      </c>
      <c r="M374" s="9">
        <f>5.9743 * CHOOSE(CONTROL!$C$32, $C$9, 100%, $E$9)</f>
        <v>5.9743000000000004</v>
      </c>
      <c r="N374" s="9">
        <f>5.9711 * CHOOSE(CONTROL!$C$32, $C$9, 100%, $E$9)</f>
        <v>5.9710999999999999</v>
      </c>
      <c r="O374" s="9">
        <f>5.9743 * CHOOSE(CONTROL!$C$32, $C$9, 100%, $E$9)</f>
        <v>5.9743000000000004</v>
      </c>
    </row>
    <row r="375" spans="1:15" ht="15.75" x14ac:dyDescent="0.25">
      <c r="A375" s="14">
        <v>51925</v>
      </c>
      <c r="B375" s="10">
        <f>6.2717 * CHOOSE(CONTROL!$C$32, $C$9, 100%, $E$9)</f>
        <v>6.2717000000000001</v>
      </c>
      <c r="C375" s="10">
        <f>6.2717 * CHOOSE(CONTROL!$C$32, $C$9, 100%, $E$9)</f>
        <v>6.2717000000000001</v>
      </c>
      <c r="D375" s="10">
        <f>6.2727 * CHOOSE(CONTROL!$C$32, $C$9, 100%, $E$9)</f>
        <v>6.2727000000000004</v>
      </c>
      <c r="E375" s="9">
        <f>5.8544 * CHOOSE(CONTROL!$C$32, $C$9, 100%, $E$9)</f>
        <v>5.8544</v>
      </c>
      <c r="F375" s="9">
        <f>5.8544 * CHOOSE(CONTROL!$C$32, $C$9, 100%, $E$9)</f>
        <v>5.8544</v>
      </c>
      <c r="G375" s="9">
        <f>5.8575 * CHOOSE(CONTROL!$C$32, $C$9, 100%, $E$9)</f>
        <v>5.8574999999999999</v>
      </c>
      <c r="H375" s="9">
        <f>7.6898 * CHOOSE(CONTROL!$C$32, $C$9, 100%, $E$9)</f>
        <v>7.6898</v>
      </c>
      <c r="I375" s="9">
        <f>7.693 * CHOOSE(CONTROL!$C$32, $C$9, 100%, $E$9)</f>
        <v>7.6929999999999996</v>
      </c>
      <c r="J375" s="9">
        <f>7.6898 * CHOOSE(CONTROL!$C$32, $C$9, 100%, $E$9)</f>
        <v>7.6898</v>
      </c>
      <c r="K375" s="9">
        <f>7.693 * CHOOSE(CONTROL!$C$32, $C$9, 100%, $E$9)</f>
        <v>7.6929999999999996</v>
      </c>
      <c r="L375" s="9">
        <f>5.8544 * CHOOSE(CONTROL!$C$32, $C$9, 100%, $E$9)</f>
        <v>5.8544</v>
      </c>
      <c r="M375" s="9">
        <f>5.8575 * CHOOSE(CONTROL!$C$32, $C$9, 100%, $E$9)</f>
        <v>5.8574999999999999</v>
      </c>
      <c r="N375" s="9">
        <f>5.8544 * CHOOSE(CONTROL!$C$32, $C$9, 100%, $E$9)</f>
        <v>5.8544</v>
      </c>
      <c r="O375" s="9">
        <f>5.8575 * CHOOSE(CONTROL!$C$32, $C$9, 100%, $E$9)</f>
        <v>5.8574999999999999</v>
      </c>
    </row>
    <row r="376" spans="1:15" ht="15.75" x14ac:dyDescent="0.25">
      <c r="A376" s="14">
        <v>51956</v>
      </c>
      <c r="B376" s="10">
        <f>6.2687 * CHOOSE(CONTROL!$C$32, $C$9, 100%, $E$9)</f>
        <v>6.2686999999999999</v>
      </c>
      <c r="C376" s="10">
        <f>6.2687 * CHOOSE(CONTROL!$C$32, $C$9, 100%, $E$9)</f>
        <v>6.2686999999999999</v>
      </c>
      <c r="D376" s="10">
        <f>6.2696 * CHOOSE(CONTROL!$C$32, $C$9, 100%, $E$9)</f>
        <v>6.2695999999999996</v>
      </c>
      <c r="E376" s="9">
        <f>5.9426 * CHOOSE(CONTROL!$C$32, $C$9, 100%, $E$9)</f>
        <v>5.9425999999999997</v>
      </c>
      <c r="F376" s="9">
        <f>5.9426 * CHOOSE(CONTROL!$C$32, $C$9, 100%, $E$9)</f>
        <v>5.9425999999999997</v>
      </c>
      <c r="G376" s="9">
        <f>5.9458 * CHOOSE(CONTROL!$C$32, $C$9, 100%, $E$9)</f>
        <v>5.9458000000000002</v>
      </c>
      <c r="H376" s="9">
        <f>7.6878 * CHOOSE(CONTROL!$C$32, $C$9, 100%, $E$9)</f>
        <v>7.6878000000000002</v>
      </c>
      <c r="I376" s="9">
        <f>7.691 * CHOOSE(CONTROL!$C$32, $C$9, 100%, $E$9)</f>
        <v>7.6909999999999998</v>
      </c>
      <c r="J376" s="9">
        <f>7.6878 * CHOOSE(CONTROL!$C$32, $C$9, 100%, $E$9)</f>
        <v>7.6878000000000002</v>
      </c>
      <c r="K376" s="9">
        <f>7.691 * CHOOSE(CONTROL!$C$32, $C$9, 100%, $E$9)</f>
        <v>7.6909999999999998</v>
      </c>
      <c r="L376" s="9">
        <f>5.9426 * CHOOSE(CONTROL!$C$32, $C$9, 100%, $E$9)</f>
        <v>5.9425999999999997</v>
      </c>
      <c r="M376" s="9">
        <f>5.9458 * CHOOSE(CONTROL!$C$32, $C$9, 100%, $E$9)</f>
        <v>5.9458000000000002</v>
      </c>
      <c r="N376" s="9">
        <f>5.9426 * CHOOSE(CONTROL!$C$32, $C$9, 100%, $E$9)</f>
        <v>5.9425999999999997</v>
      </c>
      <c r="O376" s="9">
        <f>5.9458 * CHOOSE(CONTROL!$C$32, $C$9, 100%, $E$9)</f>
        <v>5.9458000000000002</v>
      </c>
    </row>
    <row r="377" spans="1:15" ht="15.75" x14ac:dyDescent="0.25">
      <c r="A377" s="14">
        <v>51986</v>
      </c>
      <c r="B377" s="10">
        <f>6.2687 * CHOOSE(CONTROL!$C$32, $C$9, 100%, $E$9)</f>
        <v>6.2686999999999999</v>
      </c>
      <c r="C377" s="10">
        <f>6.2687 * CHOOSE(CONTROL!$C$32, $C$9, 100%, $E$9)</f>
        <v>6.2686999999999999</v>
      </c>
      <c r="D377" s="10">
        <f>6.2697 * CHOOSE(CONTROL!$C$32, $C$9, 100%, $E$9)</f>
        <v>6.2697000000000003</v>
      </c>
      <c r="E377" s="9">
        <f>6.0354 * CHOOSE(CONTROL!$C$32, $C$9, 100%, $E$9)</f>
        <v>6.0354000000000001</v>
      </c>
      <c r="F377" s="9">
        <f>6.0354 * CHOOSE(CONTROL!$C$32, $C$9, 100%, $E$9)</f>
        <v>6.0354000000000001</v>
      </c>
      <c r="G377" s="9">
        <f>6.0386 * CHOOSE(CONTROL!$C$32, $C$9, 100%, $E$9)</f>
        <v>6.0385999999999997</v>
      </c>
      <c r="H377" s="9">
        <f>7.6876 * CHOOSE(CONTROL!$C$32, $C$9, 100%, $E$9)</f>
        <v>7.6875999999999998</v>
      </c>
      <c r="I377" s="9">
        <f>7.6908 * CHOOSE(CONTROL!$C$32, $C$9, 100%, $E$9)</f>
        <v>7.6908000000000003</v>
      </c>
      <c r="J377" s="9">
        <f>7.6876 * CHOOSE(CONTROL!$C$32, $C$9, 100%, $E$9)</f>
        <v>7.6875999999999998</v>
      </c>
      <c r="K377" s="9">
        <f>7.6908 * CHOOSE(CONTROL!$C$32, $C$9, 100%, $E$9)</f>
        <v>7.6908000000000003</v>
      </c>
      <c r="L377" s="9">
        <f>6.0354 * CHOOSE(CONTROL!$C$32, $C$9, 100%, $E$9)</f>
        <v>6.0354000000000001</v>
      </c>
      <c r="M377" s="9">
        <f>6.0386 * CHOOSE(CONTROL!$C$32, $C$9, 100%, $E$9)</f>
        <v>6.0385999999999997</v>
      </c>
      <c r="N377" s="9">
        <f>6.0354 * CHOOSE(CONTROL!$C$32, $C$9, 100%, $E$9)</f>
        <v>6.0354000000000001</v>
      </c>
      <c r="O377" s="9">
        <f>6.0386 * CHOOSE(CONTROL!$C$32, $C$9, 100%, $E$9)</f>
        <v>6.0385999999999997</v>
      </c>
    </row>
    <row r="378" spans="1:15" ht="15.75" x14ac:dyDescent="0.25">
      <c r="A378" s="14">
        <v>52017</v>
      </c>
      <c r="B378" s="10">
        <f>6.2687 * CHOOSE(CONTROL!$C$32, $C$9, 100%, $E$9)</f>
        <v>6.2686999999999999</v>
      </c>
      <c r="C378" s="10">
        <f>6.2687 * CHOOSE(CONTROL!$C$32, $C$9, 100%, $E$9)</f>
        <v>6.2686999999999999</v>
      </c>
      <c r="D378" s="10">
        <f>6.27 * CHOOSE(CONTROL!$C$32, $C$9, 100%, $E$9)</f>
        <v>6.27</v>
      </c>
      <c r="E378" s="9">
        <f>6.0718 * CHOOSE(CONTROL!$C$32, $C$9, 100%, $E$9)</f>
        <v>6.0717999999999996</v>
      </c>
      <c r="F378" s="9">
        <f>6.0718 * CHOOSE(CONTROL!$C$32, $C$9, 100%, $E$9)</f>
        <v>6.0717999999999996</v>
      </c>
      <c r="G378" s="9">
        <f>6.0762 * CHOOSE(CONTROL!$C$32, $C$9, 100%, $E$9)</f>
        <v>6.0762</v>
      </c>
      <c r="H378" s="9">
        <f>7.6876 * CHOOSE(CONTROL!$C$32, $C$9, 100%, $E$9)</f>
        <v>7.6875999999999998</v>
      </c>
      <c r="I378" s="9">
        <f>7.692 * CHOOSE(CONTROL!$C$32, $C$9, 100%, $E$9)</f>
        <v>7.6920000000000002</v>
      </c>
      <c r="J378" s="9">
        <f>7.6876 * CHOOSE(CONTROL!$C$32, $C$9, 100%, $E$9)</f>
        <v>7.6875999999999998</v>
      </c>
      <c r="K378" s="9">
        <f>7.692 * CHOOSE(CONTROL!$C$32, $C$9, 100%, $E$9)</f>
        <v>7.6920000000000002</v>
      </c>
      <c r="L378" s="9">
        <f>6.0718 * CHOOSE(CONTROL!$C$32, $C$9, 100%, $E$9)</f>
        <v>6.0717999999999996</v>
      </c>
      <c r="M378" s="9">
        <f>6.0762 * CHOOSE(CONTROL!$C$32, $C$9, 100%, $E$9)</f>
        <v>6.0762</v>
      </c>
      <c r="N378" s="9">
        <f>6.0718 * CHOOSE(CONTROL!$C$32, $C$9, 100%, $E$9)</f>
        <v>6.0717999999999996</v>
      </c>
      <c r="O378" s="9">
        <f>6.0762 * CHOOSE(CONTROL!$C$32, $C$9, 100%, $E$9)</f>
        <v>6.0762</v>
      </c>
    </row>
    <row r="379" spans="1:15" ht="15.75" x14ac:dyDescent="0.25">
      <c r="A379" s="14">
        <v>52047</v>
      </c>
      <c r="B379" s="10">
        <f>6.2748 * CHOOSE(CONTROL!$C$32, $C$9, 100%, $E$9)</f>
        <v>6.2747999999999999</v>
      </c>
      <c r="C379" s="10">
        <f>6.2748 * CHOOSE(CONTROL!$C$32, $C$9, 100%, $E$9)</f>
        <v>6.2747999999999999</v>
      </c>
      <c r="D379" s="10">
        <f>6.2761 * CHOOSE(CONTROL!$C$32, $C$9, 100%, $E$9)</f>
        <v>6.2760999999999996</v>
      </c>
      <c r="E379" s="9">
        <f>6.0396 * CHOOSE(CONTROL!$C$32, $C$9, 100%, $E$9)</f>
        <v>6.0396000000000001</v>
      </c>
      <c r="F379" s="9">
        <f>6.0396 * CHOOSE(CONTROL!$C$32, $C$9, 100%, $E$9)</f>
        <v>6.0396000000000001</v>
      </c>
      <c r="G379" s="9">
        <f>6.044 * CHOOSE(CONTROL!$C$32, $C$9, 100%, $E$9)</f>
        <v>6.0439999999999996</v>
      </c>
      <c r="H379" s="9">
        <f>7.6916 * CHOOSE(CONTROL!$C$32, $C$9, 100%, $E$9)</f>
        <v>7.6916000000000002</v>
      </c>
      <c r="I379" s="9">
        <f>7.696 * CHOOSE(CONTROL!$C$32, $C$9, 100%, $E$9)</f>
        <v>7.6959999999999997</v>
      </c>
      <c r="J379" s="9">
        <f>7.6916 * CHOOSE(CONTROL!$C$32, $C$9, 100%, $E$9)</f>
        <v>7.6916000000000002</v>
      </c>
      <c r="K379" s="9">
        <f>7.696 * CHOOSE(CONTROL!$C$32, $C$9, 100%, $E$9)</f>
        <v>7.6959999999999997</v>
      </c>
      <c r="L379" s="9">
        <f>6.0396 * CHOOSE(CONTROL!$C$32, $C$9, 100%, $E$9)</f>
        <v>6.0396000000000001</v>
      </c>
      <c r="M379" s="9">
        <f>6.044 * CHOOSE(CONTROL!$C$32, $C$9, 100%, $E$9)</f>
        <v>6.0439999999999996</v>
      </c>
      <c r="N379" s="9">
        <f>6.0396 * CHOOSE(CONTROL!$C$32, $C$9, 100%, $E$9)</f>
        <v>6.0396000000000001</v>
      </c>
      <c r="O379" s="9">
        <f>6.044 * CHOOSE(CONTROL!$C$32, $C$9, 100%, $E$9)</f>
        <v>6.0439999999999996</v>
      </c>
    </row>
    <row r="380" spans="1:15" ht="15.75" x14ac:dyDescent="0.25">
      <c r="A380" s="14">
        <v>52078</v>
      </c>
      <c r="B380" s="10">
        <f>6.3681 * CHOOSE(CONTROL!$C$32, $C$9, 100%, $E$9)</f>
        <v>6.3681000000000001</v>
      </c>
      <c r="C380" s="10">
        <f>6.3681 * CHOOSE(CONTROL!$C$32, $C$9, 100%, $E$9)</f>
        <v>6.3681000000000001</v>
      </c>
      <c r="D380" s="10">
        <f>6.3694 * CHOOSE(CONTROL!$C$32, $C$9, 100%, $E$9)</f>
        <v>6.3693999999999997</v>
      </c>
      <c r="E380" s="9">
        <f>6.1126 * CHOOSE(CONTROL!$C$32, $C$9, 100%, $E$9)</f>
        <v>6.1125999999999996</v>
      </c>
      <c r="F380" s="9">
        <f>6.1126 * CHOOSE(CONTROL!$C$32, $C$9, 100%, $E$9)</f>
        <v>6.1125999999999996</v>
      </c>
      <c r="G380" s="9">
        <f>6.117 * CHOOSE(CONTROL!$C$32, $C$9, 100%, $E$9)</f>
        <v>6.117</v>
      </c>
      <c r="H380" s="9">
        <f>7.8098 * CHOOSE(CONTROL!$C$32, $C$9, 100%, $E$9)</f>
        <v>7.8098000000000001</v>
      </c>
      <c r="I380" s="9">
        <f>7.8142 * CHOOSE(CONTROL!$C$32, $C$9, 100%, $E$9)</f>
        <v>7.8141999999999996</v>
      </c>
      <c r="J380" s="9">
        <f>7.8098 * CHOOSE(CONTROL!$C$32, $C$9, 100%, $E$9)</f>
        <v>7.8098000000000001</v>
      </c>
      <c r="K380" s="9">
        <f>7.8142 * CHOOSE(CONTROL!$C$32, $C$9, 100%, $E$9)</f>
        <v>7.8141999999999996</v>
      </c>
      <c r="L380" s="9">
        <f>6.1126 * CHOOSE(CONTROL!$C$32, $C$9, 100%, $E$9)</f>
        <v>6.1125999999999996</v>
      </c>
      <c r="M380" s="9">
        <f>6.117 * CHOOSE(CONTROL!$C$32, $C$9, 100%, $E$9)</f>
        <v>6.117</v>
      </c>
      <c r="N380" s="9">
        <f>6.1126 * CHOOSE(CONTROL!$C$32, $C$9, 100%, $E$9)</f>
        <v>6.1125999999999996</v>
      </c>
      <c r="O380" s="9">
        <f>6.117 * CHOOSE(CONTROL!$C$32, $C$9, 100%, $E$9)</f>
        <v>6.117</v>
      </c>
    </row>
    <row r="381" spans="1:15" ht="15.75" x14ac:dyDescent="0.25">
      <c r="A381" s="14">
        <v>52109</v>
      </c>
      <c r="B381" s="10">
        <f>6.3747 * CHOOSE(CONTROL!$C$32, $C$9, 100%, $E$9)</f>
        <v>6.3746999999999998</v>
      </c>
      <c r="C381" s="10">
        <f>6.3747 * CHOOSE(CONTROL!$C$32, $C$9, 100%, $E$9)</f>
        <v>6.3746999999999998</v>
      </c>
      <c r="D381" s="10">
        <f>6.376 * CHOOSE(CONTROL!$C$32, $C$9, 100%, $E$9)</f>
        <v>6.3760000000000003</v>
      </c>
      <c r="E381" s="9">
        <f>6.0081 * CHOOSE(CONTROL!$C$32, $C$9, 100%, $E$9)</f>
        <v>6.0080999999999998</v>
      </c>
      <c r="F381" s="9">
        <f>6.0081 * CHOOSE(CONTROL!$C$32, $C$9, 100%, $E$9)</f>
        <v>6.0080999999999998</v>
      </c>
      <c r="G381" s="9">
        <f>6.0124 * CHOOSE(CONTROL!$C$32, $C$9, 100%, $E$9)</f>
        <v>6.0124000000000004</v>
      </c>
      <c r="H381" s="9">
        <f>7.8142 * CHOOSE(CONTROL!$C$32, $C$9, 100%, $E$9)</f>
        <v>7.8141999999999996</v>
      </c>
      <c r="I381" s="9">
        <f>7.8186 * CHOOSE(CONTROL!$C$32, $C$9, 100%, $E$9)</f>
        <v>7.8186</v>
      </c>
      <c r="J381" s="9">
        <f>7.8142 * CHOOSE(CONTROL!$C$32, $C$9, 100%, $E$9)</f>
        <v>7.8141999999999996</v>
      </c>
      <c r="K381" s="9">
        <f>7.8186 * CHOOSE(CONTROL!$C$32, $C$9, 100%, $E$9)</f>
        <v>7.8186</v>
      </c>
      <c r="L381" s="9">
        <f>6.0081 * CHOOSE(CONTROL!$C$32, $C$9, 100%, $E$9)</f>
        <v>6.0080999999999998</v>
      </c>
      <c r="M381" s="9">
        <f>6.0124 * CHOOSE(CONTROL!$C$32, $C$9, 100%, $E$9)</f>
        <v>6.0124000000000004</v>
      </c>
      <c r="N381" s="9">
        <f>6.0081 * CHOOSE(CONTROL!$C$32, $C$9, 100%, $E$9)</f>
        <v>6.0080999999999998</v>
      </c>
      <c r="O381" s="9">
        <f>6.0124 * CHOOSE(CONTROL!$C$32, $C$9, 100%, $E$9)</f>
        <v>6.0124000000000004</v>
      </c>
    </row>
    <row r="382" spans="1:15" ht="15.75" x14ac:dyDescent="0.25">
      <c r="A382" s="14">
        <v>52139</v>
      </c>
      <c r="B382" s="10">
        <f>6.3717 * CHOOSE(CONTROL!$C$32, $C$9, 100%, $E$9)</f>
        <v>6.3716999999999997</v>
      </c>
      <c r="C382" s="10">
        <f>6.3717 * CHOOSE(CONTROL!$C$32, $C$9, 100%, $E$9)</f>
        <v>6.3716999999999997</v>
      </c>
      <c r="D382" s="10">
        <f>6.373 * CHOOSE(CONTROL!$C$32, $C$9, 100%, $E$9)</f>
        <v>6.3730000000000002</v>
      </c>
      <c r="E382" s="9">
        <f>5.9938 * CHOOSE(CONTROL!$C$32, $C$9, 100%, $E$9)</f>
        <v>5.9938000000000002</v>
      </c>
      <c r="F382" s="9">
        <f>5.9938 * CHOOSE(CONTROL!$C$32, $C$9, 100%, $E$9)</f>
        <v>5.9938000000000002</v>
      </c>
      <c r="G382" s="9">
        <f>5.9982 * CHOOSE(CONTROL!$C$32, $C$9, 100%, $E$9)</f>
        <v>5.9981999999999998</v>
      </c>
      <c r="H382" s="9">
        <f>7.8122 * CHOOSE(CONTROL!$C$32, $C$9, 100%, $E$9)</f>
        <v>7.8121999999999998</v>
      </c>
      <c r="I382" s="9">
        <f>7.8166 * CHOOSE(CONTROL!$C$32, $C$9, 100%, $E$9)</f>
        <v>7.8166000000000002</v>
      </c>
      <c r="J382" s="9">
        <f>7.8122 * CHOOSE(CONTROL!$C$32, $C$9, 100%, $E$9)</f>
        <v>7.8121999999999998</v>
      </c>
      <c r="K382" s="9">
        <f>7.8166 * CHOOSE(CONTROL!$C$32, $C$9, 100%, $E$9)</f>
        <v>7.8166000000000002</v>
      </c>
      <c r="L382" s="9">
        <f>5.9938 * CHOOSE(CONTROL!$C$32, $C$9, 100%, $E$9)</f>
        <v>5.9938000000000002</v>
      </c>
      <c r="M382" s="9">
        <f>5.9982 * CHOOSE(CONTROL!$C$32, $C$9, 100%, $E$9)</f>
        <v>5.9981999999999998</v>
      </c>
      <c r="N382" s="9">
        <f>5.9938 * CHOOSE(CONTROL!$C$32, $C$9, 100%, $E$9)</f>
        <v>5.9938000000000002</v>
      </c>
      <c r="O382" s="9">
        <f>5.9982 * CHOOSE(CONTROL!$C$32, $C$9, 100%, $E$9)</f>
        <v>5.9981999999999998</v>
      </c>
    </row>
    <row r="383" spans="1:15" ht="15.75" x14ac:dyDescent="0.25">
      <c r="A383" s="14">
        <v>52170</v>
      </c>
      <c r="B383" s="10">
        <f>6.3764 * CHOOSE(CONTROL!$C$32, $C$9, 100%, $E$9)</f>
        <v>6.3764000000000003</v>
      </c>
      <c r="C383" s="10">
        <f>6.3764 * CHOOSE(CONTROL!$C$32, $C$9, 100%, $E$9)</f>
        <v>6.3764000000000003</v>
      </c>
      <c r="D383" s="10">
        <f>6.3773 * CHOOSE(CONTROL!$C$32, $C$9, 100%, $E$9)</f>
        <v>6.3773</v>
      </c>
      <c r="E383" s="9">
        <f>6.0289 * CHOOSE(CONTROL!$C$32, $C$9, 100%, $E$9)</f>
        <v>6.0289000000000001</v>
      </c>
      <c r="F383" s="9">
        <f>6.0289 * CHOOSE(CONTROL!$C$32, $C$9, 100%, $E$9)</f>
        <v>6.0289000000000001</v>
      </c>
      <c r="G383" s="9">
        <f>6.0321 * CHOOSE(CONTROL!$C$32, $C$9, 100%, $E$9)</f>
        <v>6.0320999999999998</v>
      </c>
      <c r="H383" s="9">
        <f>7.8144 * CHOOSE(CONTROL!$C$32, $C$9, 100%, $E$9)</f>
        <v>7.8144</v>
      </c>
      <c r="I383" s="9">
        <f>7.8176 * CHOOSE(CONTROL!$C$32, $C$9, 100%, $E$9)</f>
        <v>7.8175999999999997</v>
      </c>
      <c r="J383" s="9">
        <f>7.8144 * CHOOSE(CONTROL!$C$32, $C$9, 100%, $E$9)</f>
        <v>7.8144</v>
      </c>
      <c r="K383" s="9">
        <f>7.8176 * CHOOSE(CONTROL!$C$32, $C$9, 100%, $E$9)</f>
        <v>7.8175999999999997</v>
      </c>
      <c r="L383" s="9">
        <f>6.0289 * CHOOSE(CONTROL!$C$32, $C$9, 100%, $E$9)</f>
        <v>6.0289000000000001</v>
      </c>
      <c r="M383" s="9">
        <f>6.0321 * CHOOSE(CONTROL!$C$32, $C$9, 100%, $E$9)</f>
        <v>6.0320999999999998</v>
      </c>
      <c r="N383" s="9">
        <f>6.0289 * CHOOSE(CONTROL!$C$32, $C$9, 100%, $E$9)</f>
        <v>6.0289000000000001</v>
      </c>
      <c r="O383" s="9">
        <f>6.0321 * CHOOSE(CONTROL!$C$32, $C$9, 100%, $E$9)</f>
        <v>6.0320999999999998</v>
      </c>
    </row>
    <row r="384" spans="1:15" ht="15.75" x14ac:dyDescent="0.25">
      <c r="A384" s="14">
        <v>52200</v>
      </c>
      <c r="B384" s="10">
        <f>6.3794 * CHOOSE(CONTROL!$C$32, $C$9, 100%, $E$9)</f>
        <v>6.3794000000000004</v>
      </c>
      <c r="C384" s="10">
        <f>6.3794 * CHOOSE(CONTROL!$C$32, $C$9, 100%, $E$9)</f>
        <v>6.3794000000000004</v>
      </c>
      <c r="D384" s="10">
        <f>6.3804 * CHOOSE(CONTROL!$C$32, $C$9, 100%, $E$9)</f>
        <v>6.3803999999999998</v>
      </c>
      <c r="E384" s="9">
        <f>6.0553 * CHOOSE(CONTROL!$C$32, $C$9, 100%, $E$9)</f>
        <v>6.0552999999999999</v>
      </c>
      <c r="F384" s="9">
        <f>6.0553 * CHOOSE(CONTROL!$C$32, $C$9, 100%, $E$9)</f>
        <v>6.0552999999999999</v>
      </c>
      <c r="G384" s="9">
        <f>6.0585 * CHOOSE(CONTROL!$C$32, $C$9, 100%, $E$9)</f>
        <v>6.0585000000000004</v>
      </c>
      <c r="H384" s="9">
        <f>7.8164 * CHOOSE(CONTROL!$C$32, $C$9, 100%, $E$9)</f>
        <v>7.8163999999999998</v>
      </c>
      <c r="I384" s="9">
        <f>7.8196 * CHOOSE(CONTROL!$C$32, $C$9, 100%, $E$9)</f>
        <v>7.8196000000000003</v>
      </c>
      <c r="J384" s="9">
        <f>7.8164 * CHOOSE(CONTROL!$C$32, $C$9, 100%, $E$9)</f>
        <v>7.8163999999999998</v>
      </c>
      <c r="K384" s="9">
        <f>7.8196 * CHOOSE(CONTROL!$C$32, $C$9, 100%, $E$9)</f>
        <v>7.8196000000000003</v>
      </c>
      <c r="L384" s="9">
        <f>6.0553 * CHOOSE(CONTROL!$C$32, $C$9, 100%, $E$9)</f>
        <v>6.0552999999999999</v>
      </c>
      <c r="M384" s="9">
        <f>6.0585 * CHOOSE(CONTROL!$C$32, $C$9, 100%, $E$9)</f>
        <v>6.0585000000000004</v>
      </c>
      <c r="N384" s="9">
        <f>6.0553 * CHOOSE(CONTROL!$C$32, $C$9, 100%, $E$9)</f>
        <v>6.0552999999999999</v>
      </c>
      <c r="O384" s="9">
        <f>6.0585 * CHOOSE(CONTROL!$C$32, $C$9, 100%, $E$9)</f>
        <v>6.0585000000000004</v>
      </c>
    </row>
    <row r="385" spans="1:15" ht="15.75" x14ac:dyDescent="0.25">
      <c r="A385" s="14">
        <v>52231</v>
      </c>
      <c r="B385" s="10">
        <f>6.3794 * CHOOSE(CONTROL!$C$32, $C$9, 100%, $E$9)</f>
        <v>6.3794000000000004</v>
      </c>
      <c r="C385" s="10">
        <f>6.3794 * CHOOSE(CONTROL!$C$32, $C$9, 100%, $E$9)</f>
        <v>6.3794000000000004</v>
      </c>
      <c r="D385" s="10">
        <f>6.3804 * CHOOSE(CONTROL!$C$32, $C$9, 100%, $E$9)</f>
        <v>6.3803999999999998</v>
      </c>
      <c r="E385" s="9">
        <f>5.9947 * CHOOSE(CONTROL!$C$32, $C$9, 100%, $E$9)</f>
        <v>5.9946999999999999</v>
      </c>
      <c r="F385" s="9">
        <f>5.9947 * CHOOSE(CONTROL!$C$32, $C$9, 100%, $E$9)</f>
        <v>5.9946999999999999</v>
      </c>
      <c r="G385" s="9">
        <f>5.9978 * CHOOSE(CONTROL!$C$32, $C$9, 100%, $E$9)</f>
        <v>5.9977999999999998</v>
      </c>
      <c r="H385" s="9">
        <f>7.8164 * CHOOSE(CONTROL!$C$32, $C$9, 100%, $E$9)</f>
        <v>7.8163999999999998</v>
      </c>
      <c r="I385" s="9">
        <f>7.8196 * CHOOSE(CONTROL!$C$32, $C$9, 100%, $E$9)</f>
        <v>7.8196000000000003</v>
      </c>
      <c r="J385" s="9">
        <f>7.8164 * CHOOSE(CONTROL!$C$32, $C$9, 100%, $E$9)</f>
        <v>7.8163999999999998</v>
      </c>
      <c r="K385" s="9">
        <f>7.8196 * CHOOSE(CONTROL!$C$32, $C$9, 100%, $E$9)</f>
        <v>7.8196000000000003</v>
      </c>
      <c r="L385" s="9">
        <f>5.9947 * CHOOSE(CONTROL!$C$32, $C$9, 100%, $E$9)</f>
        <v>5.9946999999999999</v>
      </c>
      <c r="M385" s="9">
        <f>5.9978 * CHOOSE(CONTROL!$C$32, $C$9, 100%, $E$9)</f>
        <v>5.9977999999999998</v>
      </c>
      <c r="N385" s="9">
        <f>5.9947 * CHOOSE(CONTROL!$C$32, $C$9, 100%, $E$9)</f>
        <v>5.9946999999999999</v>
      </c>
      <c r="O385" s="9">
        <f>5.9978 * CHOOSE(CONTROL!$C$32, $C$9, 100%, $E$9)</f>
        <v>5.9977999999999998</v>
      </c>
    </row>
    <row r="386" spans="1:15" ht="15.75" x14ac:dyDescent="0.25">
      <c r="A386" s="14">
        <v>52262</v>
      </c>
      <c r="B386" s="10">
        <f>6.4334 * CHOOSE(CONTROL!$C$32, $C$9, 100%, $E$9)</f>
        <v>6.4333999999999998</v>
      </c>
      <c r="C386" s="10">
        <f>6.4334 * CHOOSE(CONTROL!$C$32, $C$9, 100%, $E$9)</f>
        <v>6.4333999999999998</v>
      </c>
      <c r="D386" s="10">
        <f>6.4343 * CHOOSE(CONTROL!$C$32, $C$9, 100%, $E$9)</f>
        <v>6.4343000000000004</v>
      </c>
      <c r="E386" s="9">
        <f>6.0794 * CHOOSE(CONTROL!$C$32, $C$9, 100%, $E$9)</f>
        <v>6.0793999999999997</v>
      </c>
      <c r="F386" s="9">
        <f>6.0794 * CHOOSE(CONTROL!$C$32, $C$9, 100%, $E$9)</f>
        <v>6.0793999999999997</v>
      </c>
      <c r="G386" s="9">
        <f>6.0825 * CHOOSE(CONTROL!$C$32, $C$9, 100%, $E$9)</f>
        <v>6.0824999999999996</v>
      </c>
      <c r="H386" s="9">
        <f>7.875 * CHOOSE(CONTROL!$C$32, $C$9, 100%, $E$9)</f>
        <v>7.875</v>
      </c>
      <c r="I386" s="9">
        <f>7.8782 * CHOOSE(CONTROL!$C$32, $C$9, 100%, $E$9)</f>
        <v>7.8781999999999996</v>
      </c>
      <c r="J386" s="9">
        <f>7.875 * CHOOSE(CONTROL!$C$32, $C$9, 100%, $E$9)</f>
        <v>7.875</v>
      </c>
      <c r="K386" s="9">
        <f>7.8782 * CHOOSE(CONTROL!$C$32, $C$9, 100%, $E$9)</f>
        <v>7.8781999999999996</v>
      </c>
      <c r="L386" s="9">
        <f>6.0794 * CHOOSE(CONTROL!$C$32, $C$9, 100%, $E$9)</f>
        <v>6.0793999999999997</v>
      </c>
      <c r="M386" s="9">
        <f>6.0825 * CHOOSE(CONTROL!$C$32, $C$9, 100%, $E$9)</f>
        <v>6.0824999999999996</v>
      </c>
      <c r="N386" s="9">
        <f>6.0794 * CHOOSE(CONTROL!$C$32, $C$9, 100%, $E$9)</f>
        <v>6.0793999999999997</v>
      </c>
      <c r="O386" s="9">
        <f>6.0825 * CHOOSE(CONTROL!$C$32, $C$9, 100%, $E$9)</f>
        <v>6.0824999999999996</v>
      </c>
    </row>
    <row r="387" spans="1:15" ht="15.75" x14ac:dyDescent="0.25">
      <c r="A387" s="14">
        <v>52290</v>
      </c>
      <c r="B387" s="10">
        <f>6.4303 * CHOOSE(CONTROL!$C$32, $C$9, 100%, $E$9)</f>
        <v>6.4302999999999999</v>
      </c>
      <c r="C387" s="10">
        <f>6.4303 * CHOOSE(CONTROL!$C$32, $C$9, 100%, $E$9)</f>
        <v>6.4302999999999999</v>
      </c>
      <c r="D387" s="10">
        <f>6.4313 * CHOOSE(CONTROL!$C$32, $C$9, 100%, $E$9)</f>
        <v>6.4313000000000002</v>
      </c>
      <c r="E387" s="9">
        <f>5.9592 * CHOOSE(CONTROL!$C$32, $C$9, 100%, $E$9)</f>
        <v>5.9592000000000001</v>
      </c>
      <c r="F387" s="9">
        <f>5.9592 * CHOOSE(CONTROL!$C$32, $C$9, 100%, $E$9)</f>
        <v>5.9592000000000001</v>
      </c>
      <c r="G387" s="9">
        <f>5.9624 * CHOOSE(CONTROL!$C$32, $C$9, 100%, $E$9)</f>
        <v>5.9623999999999997</v>
      </c>
      <c r="H387" s="9">
        <f>7.873 * CHOOSE(CONTROL!$C$32, $C$9, 100%, $E$9)</f>
        <v>7.8730000000000002</v>
      </c>
      <c r="I387" s="9">
        <f>7.8762 * CHOOSE(CONTROL!$C$32, $C$9, 100%, $E$9)</f>
        <v>7.8761999999999999</v>
      </c>
      <c r="J387" s="9">
        <f>7.873 * CHOOSE(CONTROL!$C$32, $C$9, 100%, $E$9)</f>
        <v>7.8730000000000002</v>
      </c>
      <c r="K387" s="9">
        <f>7.8762 * CHOOSE(CONTROL!$C$32, $C$9, 100%, $E$9)</f>
        <v>7.8761999999999999</v>
      </c>
      <c r="L387" s="9">
        <f>5.9592 * CHOOSE(CONTROL!$C$32, $C$9, 100%, $E$9)</f>
        <v>5.9592000000000001</v>
      </c>
      <c r="M387" s="9">
        <f>5.9624 * CHOOSE(CONTROL!$C$32, $C$9, 100%, $E$9)</f>
        <v>5.9623999999999997</v>
      </c>
      <c r="N387" s="9">
        <f>5.9592 * CHOOSE(CONTROL!$C$32, $C$9, 100%, $E$9)</f>
        <v>5.9592000000000001</v>
      </c>
      <c r="O387" s="9">
        <f>5.9624 * CHOOSE(CONTROL!$C$32, $C$9, 100%, $E$9)</f>
        <v>5.9623999999999997</v>
      </c>
    </row>
    <row r="388" spans="1:15" ht="15.75" x14ac:dyDescent="0.25">
      <c r="A388" s="14">
        <v>52321</v>
      </c>
      <c r="B388" s="10">
        <f>6.4273 * CHOOSE(CONTROL!$C$32, $C$9, 100%, $E$9)</f>
        <v>6.4272999999999998</v>
      </c>
      <c r="C388" s="10">
        <f>6.4273 * CHOOSE(CONTROL!$C$32, $C$9, 100%, $E$9)</f>
        <v>6.4272999999999998</v>
      </c>
      <c r="D388" s="10">
        <f>6.4282 * CHOOSE(CONTROL!$C$32, $C$9, 100%, $E$9)</f>
        <v>6.4282000000000004</v>
      </c>
      <c r="E388" s="9">
        <f>6.0501 * CHOOSE(CONTROL!$C$32, $C$9, 100%, $E$9)</f>
        <v>6.0500999999999996</v>
      </c>
      <c r="F388" s="9">
        <f>6.0501 * CHOOSE(CONTROL!$C$32, $C$9, 100%, $E$9)</f>
        <v>6.0500999999999996</v>
      </c>
      <c r="G388" s="9">
        <f>6.0533 * CHOOSE(CONTROL!$C$32, $C$9, 100%, $E$9)</f>
        <v>6.0533000000000001</v>
      </c>
      <c r="H388" s="9">
        <f>7.871 * CHOOSE(CONTROL!$C$32, $C$9, 100%, $E$9)</f>
        <v>7.8710000000000004</v>
      </c>
      <c r="I388" s="9">
        <f>7.8742 * CHOOSE(CONTROL!$C$32, $C$9, 100%, $E$9)</f>
        <v>7.8742000000000001</v>
      </c>
      <c r="J388" s="9">
        <f>7.871 * CHOOSE(CONTROL!$C$32, $C$9, 100%, $E$9)</f>
        <v>7.8710000000000004</v>
      </c>
      <c r="K388" s="9">
        <f>7.8742 * CHOOSE(CONTROL!$C$32, $C$9, 100%, $E$9)</f>
        <v>7.8742000000000001</v>
      </c>
      <c r="L388" s="9">
        <f>6.0501 * CHOOSE(CONTROL!$C$32, $C$9, 100%, $E$9)</f>
        <v>6.0500999999999996</v>
      </c>
      <c r="M388" s="9">
        <f>6.0533 * CHOOSE(CONTROL!$C$32, $C$9, 100%, $E$9)</f>
        <v>6.0533000000000001</v>
      </c>
      <c r="N388" s="9">
        <f>6.0501 * CHOOSE(CONTROL!$C$32, $C$9, 100%, $E$9)</f>
        <v>6.0500999999999996</v>
      </c>
      <c r="O388" s="9">
        <f>6.0533 * CHOOSE(CONTROL!$C$32, $C$9, 100%, $E$9)</f>
        <v>6.0533000000000001</v>
      </c>
    </row>
    <row r="389" spans="1:15" ht="15.75" x14ac:dyDescent="0.25">
      <c r="A389" s="14">
        <v>52351</v>
      </c>
      <c r="B389" s="10">
        <f>6.4275 * CHOOSE(CONTROL!$C$32, $C$9, 100%, $E$9)</f>
        <v>6.4275000000000002</v>
      </c>
      <c r="C389" s="10">
        <f>6.4275 * CHOOSE(CONTROL!$C$32, $C$9, 100%, $E$9)</f>
        <v>6.4275000000000002</v>
      </c>
      <c r="D389" s="10">
        <f>6.4284 * CHOOSE(CONTROL!$C$32, $C$9, 100%, $E$9)</f>
        <v>6.4283999999999999</v>
      </c>
      <c r="E389" s="9">
        <f>6.1458 * CHOOSE(CONTROL!$C$32, $C$9, 100%, $E$9)</f>
        <v>6.1458000000000004</v>
      </c>
      <c r="F389" s="9">
        <f>6.1458 * CHOOSE(CONTROL!$C$32, $C$9, 100%, $E$9)</f>
        <v>6.1458000000000004</v>
      </c>
      <c r="G389" s="9">
        <f>6.149 * CHOOSE(CONTROL!$C$32, $C$9, 100%, $E$9)</f>
        <v>6.149</v>
      </c>
      <c r="H389" s="9">
        <f>7.8709 * CHOOSE(CONTROL!$C$32, $C$9, 100%, $E$9)</f>
        <v>7.8708999999999998</v>
      </c>
      <c r="I389" s="9">
        <f>7.8741 * CHOOSE(CONTROL!$C$32, $C$9, 100%, $E$9)</f>
        <v>7.8741000000000003</v>
      </c>
      <c r="J389" s="9">
        <f>7.8709 * CHOOSE(CONTROL!$C$32, $C$9, 100%, $E$9)</f>
        <v>7.8708999999999998</v>
      </c>
      <c r="K389" s="9">
        <f>7.8741 * CHOOSE(CONTROL!$C$32, $C$9, 100%, $E$9)</f>
        <v>7.8741000000000003</v>
      </c>
      <c r="L389" s="9">
        <f>6.1458 * CHOOSE(CONTROL!$C$32, $C$9, 100%, $E$9)</f>
        <v>6.1458000000000004</v>
      </c>
      <c r="M389" s="9">
        <f>6.149 * CHOOSE(CONTROL!$C$32, $C$9, 100%, $E$9)</f>
        <v>6.149</v>
      </c>
      <c r="N389" s="9">
        <f>6.1458 * CHOOSE(CONTROL!$C$32, $C$9, 100%, $E$9)</f>
        <v>6.1458000000000004</v>
      </c>
      <c r="O389" s="9">
        <f>6.149 * CHOOSE(CONTROL!$C$32, $C$9, 100%, $E$9)</f>
        <v>6.149</v>
      </c>
    </row>
    <row r="390" spans="1:15" ht="15.75" x14ac:dyDescent="0.25">
      <c r="A390" s="14">
        <v>52382</v>
      </c>
      <c r="B390" s="10">
        <f>6.4275 * CHOOSE(CONTROL!$C$32, $C$9, 100%, $E$9)</f>
        <v>6.4275000000000002</v>
      </c>
      <c r="C390" s="10">
        <f>6.4275 * CHOOSE(CONTROL!$C$32, $C$9, 100%, $E$9)</f>
        <v>6.4275000000000002</v>
      </c>
      <c r="D390" s="10">
        <f>6.4288 * CHOOSE(CONTROL!$C$32, $C$9, 100%, $E$9)</f>
        <v>6.4287999999999998</v>
      </c>
      <c r="E390" s="9">
        <f>6.1833 * CHOOSE(CONTROL!$C$32, $C$9, 100%, $E$9)</f>
        <v>6.1833</v>
      </c>
      <c r="F390" s="9">
        <f>6.1833 * CHOOSE(CONTROL!$C$32, $C$9, 100%, $E$9)</f>
        <v>6.1833</v>
      </c>
      <c r="G390" s="9">
        <f>6.1877 * CHOOSE(CONTROL!$C$32, $C$9, 100%, $E$9)</f>
        <v>6.1877000000000004</v>
      </c>
      <c r="H390" s="9">
        <f>7.8709 * CHOOSE(CONTROL!$C$32, $C$9, 100%, $E$9)</f>
        <v>7.8708999999999998</v>
      </c>
      <c r="I390" s="9">
        <f>7.8753 * CHOOSE(CONTROL!$C$32, $C$9, 100%, $E$9)</f>
        <v>7.8753000000000002</v>
      </c>
      <c r="J390" s="9">
        <f>7.8709 * CHOOSE(CONTROL!$C$32, $C$9, 100%, $E$9)</f>
        <v>7.8708999999999998</v>
      </c>
      <c r="K390" s="9">
        <f>7.8753 * CHOOSE(CONTROL!$C$32, $C$9, 100%, $E$9)</f>
        <v>7.8753000000000002</v>
      </c>
      <c r="L390" s="9">
        <f>6.1833 * CHOOSE(CONTROL!$C$32, $C$9, 100%, $E$9)</f>
        <v>6.1833</v>
      </c>
      <c r="M390" s="9">
        <f>6.1877 * CHOOSE(CONTROL!$C$32, $C$9, 100%, $E$9)</f>
        <v>6.1877000000000004</v>
      </c>
      <c r="N390" s="9">
        <f>6.1833 * CHOOSE(CONTROL!$C$32, $C$9, 100%, $E$9)</f>
        <v>6.1833</v>
      </c>
      <c r="O390" s="9">
        <f>6.1877 * CHOOSE(CONTROL!$C$32, $C$9, 100%, $E$9)</f>
        <v>6.1877000000000004</v>
      </c>
    </row>
    <row r="391" spans="1:15" ht="15.75" x14ac:dyDescent="0.25">
      <c r="A391" s="14">
        <v>52412</v>
      </c>
      <c r="B391" s="10">
        <f>6.4336 * CHOOSE(CONTROL!$C$32, $C$9, 100%, $E$9)</f>
        <v>6.4336000000000002</v>
      </c>
      <c r="C391" s="10">
        <f>6.4336 * CHOOSE(CONTROL!$C$32, $C$9, 100%, $E$9)</f>
        <v>6.4336000000000002</v>
      </c>
      <c r="D391" s="10">
        <f>6.4349 * CHOOSE(CONTROL!$C$32, $C$9, 100%, $E$9)</f>
        <v>6.4348999999999998</v>
      </c>
      <c r="E391" s="9">
        <f>6.1501 * CHOOSE(CONTROL!$C$32, $C$9, 100%, $E$9)</f>
        <v>6.1501000000000001</v>
      </c>
      <c r="F391" s="9">
        <f>6.1501 * CHOOSE(CONTROL!$C$32, $C$9, 100%, $E$9)</f>
        <v>6.1501000000000001</v>
      </c>
      <c r="G391" s="9">
        <f>6.1544 * CHOOSE(CONTROL!$C$32, $C$9, 100%, $E$9)</f>
        <v>6.1543999999999999</v>
      </c>
      <c r="H391" s="9">
        <f>7.8749 * CHOOSE(CONTROL!$C$32, $C$9, 100%, $E$9)</f>
        <v>7.8749000000000002</v>
      </c>
      <c r="I391" s="9">
        <f>7.8793 * CHOOSE(CONTROL!$C$32, $C$9, 100%, $E$9)</f>
        <v>7.8792999999999997</v>
      </c>
      <c r="J391" s="9">
        <f>7.8749 * CHOOSE(CONTROL!$C$32, $C$9, 100%, $E$9)</f>
        <v>7.8749000000000002</v>
      </c>
      <c r="K391" s="9">
        <f>7.8793 * CHOOSE(CONTROL!$C$32, $C$9, 100%, $E$9)</f>
        <v>7.8792999999999997</v>
      </c>
      <c r="L391" s="9">
        <f>6.1501 * CHOOSE(CONTROL!$C$32, $C$9, 100%, $E$9)</f>
        <v>6.1501000000000001</v>
      </c>
      <c r="M391" s="9">
        <f>6.1544 * CHOOSE(CONTROL!$C$32, $C$9, 100%, $E$9)</f>
        <v>6.1543999999999999</v>
      </c>
      <c r="N391" s="9">
        <f>6.1501 * CHOOSE(CONTROL!$C$32, $C$9, 100%, $E$9)</f>
        <v>6.1501000000000001</v>
      </c>
      <c r="O391" s="9">
        <f>6.1544 * CHOOSE(CONTROL!$C$32, $C$9, 100%, $E$9)</f>
        <v>6.1543999999999999</v>
      </c>
    </row>
    <row r="392" spans="1:15" ht="15.75" x14ac:dyDescent="0.25">
      <c r="A392" s="14">
        <v>52443</v>
      </c>
      <c r="B392" s="10">
        <f>6.5288 * CHOOSE(CONTROL!$C$32, $C$9, 100%, $E$9)</f>
        <v>6.5288000000000004</v>
      </c>
      <c r="C392" s="10">
        <f>6.5288 * CHOOSE(CONTROL!$C$32, $C$9, 100%, $E$9)</f>
        <v>6.5288000000000004</v>
      </c>
      <c r="D392" s="10">
        <f>6.5301 * CHOOSE(CONTROL!$C$32, $C$9, 100%, $E$9)</f>
        <v>6.5301</v>
      </c>
      <c r="E392" s="9">
        <f>6.2238 * CHOOSE(CONTROL!$C$32, $C$9, 100%, $E$9)</f>
        <v>6.2237999999999998</v>
      </c>
      <c r="F392" s="9">
        <f>6.2238 * CHOOSE(CONTROL!$C$32, $C$9, 100%, $E$9)</f>
        <v>6.2237999999999998</v>
      </c>
      <c r="G392" s="9">
        <f>6.2281 * CHOOSE(CONTROL!$C$32, $C$9, 100%, $E$9)</f>
        <v>6.2281000000000004</v>
      </c>
      <c r="H392" s="9">
        <f>7.9957 * CHOOSE(CONTROL!$C$32, $C$9, 100%, $E$9)</f>
        <v>7.9957000000000003</v>
      </c>
      <c r="I392" s="9">
        <f>8 * CHOOSE(CONTROL!$C$32, $C$9, 100%, $E$9)</f>
        <v>8</v>
      </c>
      <c r="J392" s="9">
        <f>7.9957 * CHOOSE(CONTROL!$C$32, $C$9, 100%, $E$9)</f>
        <v>7.9957000000000003</v>
      </c>
      <c r="K392" s="9">
        <f>8 * CHOOSE(CONTROL!$C$32, $C$9, 100%, $E$9)</f>
        <v>8</v>
      </c>
      <c r="L392" s="9">
        <f>6.2238 * CHOOSE(CONTROL!$C$32, $C$9, 100%, $E$9)</f>
        <v>6.2237999999999998</v>
      </c>
      <c r="M392" s="9">
        <f>6.2281 * CHOOSE(CONTROL!$C$32, $C$9, 100%, $E$9)</f>
        <v>6.2281000000000004</v>
      </c>
      <c r="N392" s="9">
        <f>6.2238 * CHOOSE(CONTROL!$C$32, $C$9, 100%, $E$9)</f>
        <v>6.2237999999999998</v>
      </c>
      <c r="O392" s="9">
        <f>6.2281 * CHOOSE(CONTROL!$C$32, $C$9, 100%, $E$9)</f>
        <v>6.2281000000000004</v>
      </c>
    </row>
    <row r="393" spans="1:15" ht="15.75" x14ac:dyDescent="0.25">
      <c r="A393" s="14">
        <v>52474</v>
      </c>
      <c r="B393" s="10">
        <f>6.5355 * CHOOSE(CONTROL!$C$32, $C$9, 100%, $E$9)</f>
        <v>6.5354999999999999</v>
      </c>
      <c r="C393" s="10">
        <f>6.5355 * CHOOSE(CONTROL!$C$32, $C$9, 100%, $E$9)</f>
        <v>6.5354999999999999</v>
      </c>
      <c r="D393" s="10">
        <f>6.5368 * CHOOSE(CONTROL!$C$32, $C$9, 100%, $E$9)</f>
        <v>6.5368000000000004</v>
      </c>
      <c r="E393" s="9">
        <f>6.116 * CHOOSE(CONTROL!$C$32, $C$9, 100%, $E$9)</f>
        <v>6.1159999999999997</v>
      </c>
      <c r="F393" s="9">
        <f>6.116 * CHOOSE(CONTROL!$C$32, $C$9, 100%, $E$9)</f>
        <v>6.1159999999999997</v>
      </c>
      <c r="G393" s="9">
        <f>6.1203 * CHOOSE(CONTROL!$C$32, $C$9, 100%, $E$9)</f>
        <v>6.1203000000000003</v>
      </c>
      <c r="H393" s="9">
        <f>8.0001 * CHOOSE(CONTROL!$C$32, $C$9, 100%, $E$9)</f>
        <v>8.0000999999999998</v>
      </c>
      <c r="I393" s="9">
        <f>8.0044 * CHOOSE(CONTROL!$C$32, $C$9, 100%, $E$9)</f>
        <v>8.0044000000000004</v>
      </c>
      <c r="J393" s="9">
        <f>8.0001 * CHOOSE(CONTROL!$C$32, $C$9, 100%, $E$9)</f>
        <v>8.0000999999999998</v>
      </c>
      <c r="K393" s="9">
        <f>8.0044 * CHOOSE(CONTROL!$C$32, $C$9, 100%, $E$9)</f>
        <v>8.0044000000000004</v>
      </c>
      <c r="L393" s="9">
        <f>6.116 * CHOOSE(CONTROL!$C$32, $C$9, 100%, $E$9)</f>
        <v>6.1159999999999997</v>
      </c>
      <c r="M393" s="9">
        <f>6.1203 * CHOOSE(CONTROL!$C$32, $C$9, 100%, $E$9)</f>
        <v>6.1203000000000003</v>
      </c>
      <c r="N393" s="9">
        <f>6.116 * CHOOSE(CONTROL!$C$32, $C$9, 100%, $E$9)</f>
        <v>6.1159999999999997</v>
      </c>
      <c r="O393" s="9">
        <f>6.1203 * CHOOSE(CONTROL!$C$32, $C$9, 100%, $E$9)</f>
        <v>6.1203000000000003</v>
      </c>
    </row>
    <row r="394" spans="1:15" ht="15.75" x14ac:dyDescent="0.25">
      <c r="A394" s="14">
        <v>52504</v>
      </c>
      <c r="B394" s="10">
        <f>6.5325 * CHOOSE(CONTROL!$C$32, $C$9, 100%, $E$9)</f>
        <v>6.5324999999999998</v>
      </c>
      <c r="C394" s="10">
        <f>6.5325 * CHOOSE(CONTROL!$C$32, $C$9, 100%, $E$9)</f>
        <v>6.5324999999999998</v>
      </c>
      <c r="D394" s="10">
        <f>6.5338 * CHOOSE(CONTROL!$C$32, $C$9, 100%, $E$9)</f>
        <v>6.5338000000000003</v>
      </c>
      <c r="E394" s="9">
        <f>6.1014 * CHOOSE(CONTROL!$C$32, $C$9, 100%, $E$9)</f>
        <v>6.1013999999999999</v>
      </c>
      <c r="F394" s="9">
        <f>6.1014 * CHOOSE(CONTROL!$C$32, $C$9, 100%, $E$9)</f>
        <v>6.1013999999999999</v>
      </c>
      <c r="G394" s="9">
        <f>6.1057 * CHOOSE(CONTROL!$C$32, $C$9, 100%, $E$9)</f>
        <v>6.1056999999999997</v>
      </c>
      <c r="H394" s="9">
        <f>7.9981 * CHOOSE(CONTROL!$C$32, $C$9, 100%, $E$9)</f>
        <v>7.9981</v>
      </c>
      <c r="I394" s="9">
        <f>8.0024 * CHOOSE(CONTROL!$C$32, $C$9, 100%, $E$9)</f>
        <v>8.0023999999999997</v>
      </c>
      <c r="J394" s="9">
        <f>7.9981 * CHOOSE(CONTROL!$C$32, $C$9, 100%, $E$9)</f>
        <v>7.9981</v>
      </c>
      <c r="K394" s="9">
        <f>8.0024 * CHOOSE(CONTROL!$C$32, $C$9, 100%, $E$9)</f>
        <v>8.0023999999999997</v>
      </c>
      <c r="L394" s="9">
        <f>6.1014 * CHOOSE(CONTROL!$C$32, $C$9, 100%, $E$9)</f>
        <v>6.1013999999999999</v>
      </c>
      <c r="M394" s="9">
        <f>6.1057 * CHOOSE(CONTROL!$C$32, $C$9, 100%, $E$9)</f>
        <v>6.1056999999999997</v>
      </c>
      <c r="N394" s="9">
        <f>6.1014 * CHOOSE(CONTROL!$C$32, $C$9, 100%, $E$9)</f>
        <v>6.1013999999999999</v>
      </c>
      <c r="O394" s="9">
        <f>6.1057 * CHOOSE(CONTROL!$C$32, $C$9, 100%, $E$9)</f>
        <v>6.1056999999999997</v>
      </c>
    </row>
    <row r="395" spans="1:15" ht="15.75" x14ac:dyDescent="0.25">
      <c r="A395" s="14">
        <v>52535</v>
      </c>
      <c r="B395" s="10">
        <f>6.5378 * CHOOSE(CONTROL!$C$32, $C$9, 100%, $E$9)</f>
        <v>6.5377999999999998</v>
      </c>
      <c r="C395" s="10">
        <f>6.5378 * CHOOSE(CONTROL!$C$32, $C$9, 100%, $E$9)</f>
        <v>6.5377999999999998</v>
      </c>
      <c r="D395" s="10">
        <f>6.5387 * CHOOSE(CONTROL!$C$32, $C$9, 100%, $E$9)</f>
        <v>6.5387000000000004</v>
      </c>
      <c r="E395" s="9">
        <f>6.1379 * CHOOSE(CONTROL!$C$32, $C$9, 100%, $E$9)</f>
        <v>6.1379000000000001</v>
      </c>
      <c r="F395" s="9">
        <f>6.1379 * CHOOSE(CONTROL!$C$32, $C$9, 100%, $E$9)</f>
        <v>6.1379000000000001</v>
      </c>
      <c r="G395" s="9">
        <f>6.1411 * CHOOSE(CONTROL!$C$32, $C$9, 100%, $E$9)</f>
        <v>6.1410999999999998</v>
      </c>
      <c r="H395" s="9">
        <f>8.0006 * CHOOSE(CONTROL!$C$32, $C$9, 100%, $E$9)</f>
        <v>8.0006000000000004</v>
      </c>
      <c r="I395" s="9">
        <f>8.0038 * CHOOSE(CONTROL!$C$32, $C$9, 100%, $E$9)</f>
        <v>8.0038</v>
      </c>
      <c r="J395" s="9">
        <f>8.0006 * CHOOSE(CONTROL!$C$32, $C$9, 100%, $E$9)</f>
        <v>8.0006000000000004</v>
      </c>
      <c r="K395" s="9">
        <f>8.0038 * CHOOSE(CONTROL!$C$32, $C$9, 100%, $E$9)</f>
        <v>8.0038</v>
      </c>
      <c r="L395" s="9">
        <f>6.1379 * CHOOSE(CONTROL!$C$32, $C$9, 100%, $E$9)</f>
        <v>6.1379000000000001</v>
      </c>
      <c r="M395" s="9">
        <f>6.1411 * CHOOSE(CONTROL!$C$32, $C$9, 100%, $E$9)</f>
        <v>6.1410999999999998</v>
      </c>
      <c r="N395" s="9">
        <f>6.1379 * CHOOSE(CONTROL!$C$32, $C$9, 100%, $E$9)</f>
        <v>6.1379000000000001</v>
      </c>
      <c r="O395" s="9">
        <f>6.1411 * CHOOSE(CONTROL!$C$32, $C$9, 100%, $E$9)</f>
        <v>6.1410999999999998</v>
      </c>
    </row>
    <row r="396" spans="1:15" ht="15.75" x14ac:dyDescent="0.25">
      <c r="A396" s="14">
        <v>52565</v>
      </c>
      <c r="B396" s="10">
        <f>6.5408 * CHOOSE(CONTROL!$C$32, $C$9, 100%, $E$9)</f>
        <v>6.5407999999999999</v>
      </c>
      <c r="C396" s="10">
        <f>6.5408 * CHOOSE(CONTROL!$C$32, $C$9, 100%, $E$9)</f>
        <v>6.5407999999999999</v>
      </c>
      <c r="D396" s="10">
        <f>6.5417 * CHOOSE(CONTROL!$C$32, $C$9, 100%, $E$9)</f>
        <v>6.5416999999999996</v>
      </c>
      <c r="E396" s="9">
        <f>6.165 * CHOOSE(CONTROL!$C$32, $C$9, 100%, $E$9)</f>
        <v>6.165</v>
      </c>
      <c r="F396" s="9">
        <f>6.165 * CHOOSE(CONTROL!$C$32, $C$9, 100%, $E$9)</f>
        <v>6.165</v>
      </c>
      <c r="G396" s="9">
        <f>6.1682 * CHOOSE(CONTROL!$C$32, $C$9, 100%, $E$9)</f>
        <v>6.1681999999999997</v>
      </c>
      <c r="H396" s="9">
        <f>8.0026 * CHOOSE(CONTROL!$C$32, $C$9, 100%, $E$9)</f>
        <v>8.0025999999999993</v>
      </c>
      <c r="I396" s="9">
        <f>8.0058 * CHOOSE(CONTROL!$C$32, $C$9, 100%, $E$9)</f>
        <v>8.0058000000000007</v>
      </c>
      <c r="J396" s="9">
        <f>8.0026 * CHOOSE(CONTROL!$C$32, $C$9, 100%, $E$9)</f>
        <v>8.0025999999999993</v>
      </c>
      <c r="K396" s="9">
        <f>8.0058 * CHOOSE(CONTROL!$C$32, $C$9, 100%, $E$9)</f>
        <v>8.0058000000000007</v>
      </c>
      <c r="L396" s="9">
        <f>6.165 * CHOOSE(CONTROL!$C$32, $C$9, 100%, $E$9)</f>
        <v>6.165</v>
      </c>
      <c r="M396" s="9">
        <f>6.1682 * CHOOSE(CONTROL!$C$32, $C$9, 100%, $E$9)</f>
        <v>6.1681999999999997</v>
      </c>
      <c r="N396" s="9">
        <f>6.165 * CHOOSE(CONTROL!$C$32, $C$9, 100%, $E$9)</f>
        <v>6.165</v>
      </c>
      <c r="O396" s="9">
        <f>6.1682 * CHOOSE(CONTROL!$C$32, $C$9, 100%, $E$9)</f>
        <v>6.1681999999999997</v>
      </c>
    </row>
    <row r="397" spans="1:15" ht="15.75" x14ac:dyDescent="0.25">
      <c r="A397" s="14">
        <v>52596</v>
      </c>
      <c r="B397" s="10">
        <f>6.5408 * CHOOSE(CONTROL!$C$32, $C$9, 100%, $E$9)</f>
        <v>6.5407999999999999</v>
      </c>
      <c r="C397" s="10">
        <f>6.5408 * CHOOSE(CONTROL!$C$32, $C$9, 100%, $E$9)</f>
        <v>6.5407999999999999</v>
      </c>
      <c r="D397" s="10">
        <f>6.5417 * CHOOSE(CONTROL!$C$32, $C$9, 100%, $E$9)</f>
        <v>6.5416999999999996</v>
      </c>
      <c r="E397" s="9">
        <f>6.1025 * CHOOSE(CONTROL!$C$32, $C$9, 100%, $E$9)</f>
        <v>6.1025</v>
      </c>
      <c r="F397" s="9">
        <f>6.1025 * CHOOSE(CONTROL!$C$32, $C$9, 100%, $E$9)</f>
        <v>6.1025</v>
      </c>
      <c r="G397" s="9">
        <f>6.1057 * CHOOSE(CONTROL!$C$32, $C$9, 100%, $E$9)</f>
        <v>6.1056999999999997</v>
      </c>
      <c r="H397" s="9">
        <f>8.0026 * CHOOSE(CONTROL!$C$32, $C$9, 100%, $E$9)</f>
        <v>8.0025999999999993</v>
      </c>
      <c r="I397" s="9">
        <f>8.0058 * CHOOSE(CONTROL!$C$32, $C$9, 100%, $E$9)</f>
        <v>8.0058000000000007</v>
      </c>
      <c r="J397" s="9">
        <f>8.0026 * CHOOSE(CONTROL!$C$32, $C$9, 100%, $E$9)</f>
        <v>8.0025999999999993</v>
      </c>
      <c r="K397" s="9">
        <f>8.0058 * CHOOSE(CONTROL!$C$32, $C$9, 100%, $E$9)</f>
        <v>8.0058000000000007</v>
      </c>
      <c r="L397" s="9">
        <f>6.1025 * CHOOSE(CONTROL!$C$32, $C$9, 100%, $E$9)</f>
        <v>6.1025</v>
      </c>
      <c r="M397" s="9">
        <f>6.1057 * CHOOSE(CONTROL!$C$32, $C$9, 100%, $E$9)</f>
        <v>6.1056999999999997</v>
      </c>
      <c r="N397" s="9">
        <f>6.1025 * CHOOSE(CONTROL!$C$32, $C$9, 100%, $E$9)</f>
        <v>6.1025</v>
      </c>
      <c r="O397" s="9">
        <f>6.1057 * CHOOSE(CONTROL!$C$32, $C$9, 100%, $E$9)</f>
        <v>6.1056999999999997</v>
      </c>
    </row>
    <row r="398" spans="1:15" ht="15.75" x14ac:dyDescent="0.25">
      <c r="A398" s="14">
        <v>52627</v>
      </c>
      <c r="B398" s="10">
        <f>6.596 * CHOOSE(CONTROL!$C$32, $C$9, 100%, $E$9)</f>
        <v>6.5960000000000001</v>
      </c>
      <c r="C398" s="10">
        <f>6.596 * CHOOSE(CONTROL!$C$32, $C$9, 100%, $E$9)</f>
        <v>6.5960000000000001</v>
      </c>
      <c r="D398" s="10">
        <f>6.5969 * CHOOSE(CONTROL!$C$32, $C$9, 100%, $E$9)</f>
        <v>6.5968999999999998</v>
      </c>
      <c r="E398" s="9">
        <f>6.1895 * CHOOSE(CONTROL!$C$32, $C$9, 100%, $E$9)</f>
        <v>6.1894999999999998</v>
      </c>
      <c r="F398" s="9">
        <f>6.1895 * CHOOSE(CONTROL!$C$32, $C$9, 100%, $E$9)</f>
        <v>6.1894999999999998</v>
      </c>
      <c r="G398" s="9">
        <f>6.1926 * CHOOSE(CONTROL!$C$32, $C$9, 100%, $E$9)</f>
        <v>6.1925999999999997</v>
      </c>
      <c r="H398" s="9">
        <f>8.0626 * CHOOSE(CONTROL!$C$32, $C$9, 100%, $E$9)</f>
        <v>8.0625999999999998</v>
      </c>
      <c r="I398" s="9">
        <f>8.0658 * CHOOSE(CONTROL!$C$32, $C$9, 100%, $E$9)</f>
        <v>8.0657999999999994</v>
      </c>
      <c r="J398" s="9">
        <f>8.0626 * CHOOSE(CONTROL!$C$32, $C$9, 100%, $E$9)</f>
        <v>8.0625999999999998</v>
      </c>
      <c r="K398" s="9">
        <f>8.0658 * CHOOSE(CONTROL!$C$32, $C$9, 100%, $E$9)</f>
        <v>8.0657999999999994</v>
      </c>
      <c r="L398" s="9">
        <f>6.1895 * CHOOSE(CONTROL!$C$32, $C$9, 100%, $E$9)</f>
        <v>6.1894999999999998</v>
      </c>
      <c r="M398" s="9">
        <f>6.1926 * CHOOSE(CONTROL!$C$32, $C$9, 100%, $E$9)</f>
        <v>6.1925999999999997</v>
      </c>
      <c r="N398" s="9">
        <f>6.1895 * CHOOSE(CONTROL!$C$32, $C$9, 100%, $E$9)</f>
        <v>6.1894999999999998</v>
      </c>
      <c r="O398" s="9">
        <f>6.1926 * CHOOSE(CONTROL!$C$32, $C$9, 100%, $E$9)</f>
        <v>6.1925999999999997</v>
      </c>
    </row>
    <row r="399" spans="1:15" ht="15.75" x14ac:dyDescent="0.25">
      <c r="A399" s="14">
        <v>52655</v>
      </c>
      <c r="B399" s="10">
        <f>6.5929 * CHOOSE(CONTROL!$C$32, $C$9, 100%, $E$9)</f>
        <v>6.5929000000000002</v>
      </c>
      <c r="C399" s="10">
        <f>6.5929 * CHOOSE(CONTROL!$C$32, $C$9, 100%, $E$9)</f>
        <v>6.5929000000000002</v>
      </c>
      <c r="D399" s="10">
        <f>6.5939 * CHOOSE(CONTROL!$C$32, $C$9, 100%, $E$9)</f>
        <v>6.5938999999999997</v>
      </c>
      <c r="E399" s="9">
        <f>6.0657 * CHOOSE(CONTROL!$C$32, $C$9, 100%, $E$9)</f>
        <v>6.0656999999999996</v>
      </c>
      <c r="F399" s="9">
        <f>6.0657 * CHOOSE(CONTROL!$C$32, $C$9, 100%, $E$9)</f>
        <v>6.0656999999999996</v>
      </c>
      <c r="G399" s="9">
        <f>6.0689 * CHOOSE(CONTROL!$C$32, $C$9, 100%, $E$9)</f>
        <v>6.0689000000000002</v>
      </c>
      <c r="H399" s="9">
        <f>8.0606 * CHOOSE(CONTROL!$C$32, $C$9, 100%, $E$9)</f>
        <v>8.0606000000000009</v>
      </c>
      <c r="I399" s="9">
        <f>8.0638 * CHOOSE(CONTROL!$C$32, $C$9, 100%, $E$9)</f>
        <v>8.0638000000000005</v>
      </c>
      <c r="J399" s="9">
        <f>8.0606 * CHOOSE(CONTROL!$C$32, $C$9, 100%, $E$9)</f>
        <v>8.0606000000000009</v>
      </c>
      <c r="K399" s="9">
        <f>8.0638 * CHOOSE(CONTROL!$C$32, $C$9, 100%, $E$9)</f>
        <v>8.0638000000000005</v>
      </c>
      <c r="L399" s="9">
        <f>6.0657 * CHOOSE(CONTROL!$C$32, $C$9, 100%, $E$9)</f>
        <v>6.0656999999999996</v>
      </c>
      <c r="M399" s="9">
        <f>6.0689 * CHOOSE(CONTROL!$C$32, $C$9, 100%, $E$9)</f>
        <v>6.0689000000000002</v>
      </c>
      <c r="N399" s="9">
        <f>6.0657 * CHOOSE(CONTROL!$C$32, $C$9, 100%, $E$9)</f>
        <v>6.0656999999999996</v>
      </c>
      <c r="O399" s="9">
        <f>6.0689 * CHOOSE(CONTROL!$C$32, $C$9, 100%, $E$9)</f>
        <v>6.0689000000000002</v>
      </c>
    </row>
    <row r="400" spans="1:15" ht="15.75" x14ac:dyDescent="0.25">
      <c r="A400" s="14">
        <v>52687</v>
      </c>
      <c r="B400" s="10">
        <f>6.5899 * CHOOSE(CONTROL!$C$32, $C$9, 100%, $E$9)</f>
        <v>6.5899000000000001</v>
      </c>
      <c r="C400" s="10">
        <f>6.5899 * CHOOSE(CONTROL!$C$32, $C$9, 100%, $E$9)</f>
        <v>6.5899000000000001</v>
      </c>
      <c r="D400" s="10">
        <f>6.5908 * CHOOSE(CONTROL!$C$32, $C$9, 100%, $E$9)</f>
        <v>6.5907999999999998</v>
      </c>
      <c r="E400" s="9">
        <f>6.1595 * CHOOSE(CONTROL!$C$32, $C$9, 100%, $E$9)</f>
        <v>6.1595000000000004</v>
      </c>
      <c r="F400" s="9">
        <f>6.1595 * CHOOSE(CONTROL!$C$32, $C$9, 100%, $E$9)</f>
        <v>6.1595000000000004</v>
      </c>
      <c r="G400" s="9">
        <f>6.1627 * CHOOSE(CONTROL!$C$32, $C$9, 100%, $E$9)</f>
        <v>6.1627000000000001</v>
      </c>
      <c r="H400" s="9">
        <f>8.0586 * CHOOSE(CONTROL!$C$32, $C$9, 100%, $E$9)</f>
        <v>8.0586000000000002</v>
      </c>
      <c r="I400" s="9">
        <f>8.0618 * CHOOSE(CONTROL!$C$32, $C$9, 100%, $E$9)</f>
        <v>8.0617999999999999</v>
      </c>
      <c r="J400" s="9">
        <f>8.0586 * CHOOSE(CONTROL!$C$32, $C$9, 100%, $E$9)</f>
        <v>8.0586000000000002</v>
      </c>
      <c r="K400" s="9">
        <f>8.0618 * CHOOSE(CONTROL!$C$32, $C$9, 100%, $E$9)</f>
        <v>8.0617999999999999</v>
      </c>
      <c r="L400" s="9">
        <f>6.1595 * CHOOSE(CONTROL!$C$32, $C$9, 100%, $E$9)</f>
        <v>6.1595000000000004</v>
      </c>
      <c r="M400" s="9">
        <f>6.1627 * CHOOSE(CONTROL!$C$32, $C$9, 100%, $E$9)</f>
        <v>6.1627000000000001</v>
      </c>
      <c r="N400" s="9">
        <f>6.1595 * CHOOSE(CONTROL!$C$32, $C$9, 100%, $E$9)</f>
        <v>6.1595000000000004</v>
      </c>
      <c r="O400" s="9">
        <f>6.1627 * CHOOSE(CONTROL!$C$32, $C$9, 100%, $E$9)</f>
        <v>6.1627000000000001</v>
      </c>
    </row>
    <row r="401" spans="1:15" ht="15.75" x14ac:dyDescent="0.25">
      <c r="A401" s="14">
        <v>52717</v>
      </c>
      <c r="B401" s="10">
        <f>6.5903 * CHOOSE(CONTROL!$C$32, $C$9, 100%, $E$9)</f>
        <v>6.5903</v>
      </c>
      <c r="C401" s="10">
        <f>6.5903 * CHOOSE(CONTROL!$C$32, $C$9, 100%, $E$9)</f>
        <v>6.5903</v>
      </c>
      <c r="D401" s="10">
        <f>6.5912 * CHOOSE(CONTROL!$C$32, $C$9, 100%, $E$9)</f>
        <v>6.5911999999999997</v>
      </c>
      <c r="E401" s="9">
        <f>6.2582 * CHOOSE(CONTROL!$C$32, $C$9, 100%, $E$9)</f>
        <v>6.2582000000000004</v>
      </c>
      <c r="F401" s="9">
        <f>6.2582 * CHOOSE(CONTROL!$C$32, $C$9, 100%, $E$9)</f>
        <v>6.2582000000000004</v>
      </c>
      <c r="G401" s="9">
        <f>6.2614 * CHOOSE(CONTROL!$C$32, $C$9, 100%, $E$9)</f>
        <v>6.2614000000000001</v>
      </c>
      <c r="H401" s="9">
        <f>8.0586 * CHOOSE(CONTROL!$C$32, $C$9, 100%, $E$9)</f>
        <v>8.0586000000000002</v>
      </c>
      <c r="I401" s="9">
        <f>8.0618 * CHOOSE(CONTROL!$C$32, $C$9, 100%, $E$9)</f>
        <v>8.0617999999999999</v>
      </c>
      <c r="J401" s="9">
        <f>8.0586 * CHOOSE(CONTROL!$C$32, $C$9, 100%, $E$9)</f>
        <v>8.0586000000000002</v>
      </c>
      <c r="K401" s="9">
        <f>8.0618 * CHOOSE(CONTROL!$C$32, $C$9, 100%, $E$9)</f>
        <v>8.0617999999999999</v>
      </c>
      <c r="L401" s="9">
        <f>6.2582 * CHOOSE(CONTROL!$C$32, $C$9, 100%, $E$9)</f>
        <v>6.2582000000000004</v>
      </c>
      <c r="M401" s="9">
        <f>6.2614 * CHOOSE(CONTROL!$C$32, $C$9, 100%, $E$9)</f>
        <v>6.2614000000000001</v>
      </c>
      <c r="N401" s="9">
        <f>6.2582 * CHOOSE(CONTROL!$C$32, $C$9, 100%, $E$9)</f>
        <v>6.2582000000000004</v>
      </c>
      <c r="O401" s="9">
        <f>6.2614 * CHOOSE(CONTROL!$C$32, $C$9, 100%, $E$9)</f>
        <v>6.2614000000000001</v>
      </c>
    </row>
    <row r="402" spans="1:15" ht="15.75" x14ac:dyDescent="0.25">
      <c r="A402" s="14">
        <v>52748</v>
      </c>
      <c r="B402" s="10">
        <f>6.5903 * CHOOSE(CONTROL!$C$32, $C$9, 100%, $E$9)</f>
        <v>6.5903</v>
      </c>
      <c r="C402" s="10">
        <f>6.5903 * CHOOSE(CONTROL!$C$32, $C$9, 100%, $E$9)</f>
        <v>6.5903</v>
      </c>
      <c r="D402" s="10">
        <f>6.5916 * CHOOSE(CONTROL!$C$32, $C$9, 100%, $E$9)</f>
        <v>6.5915999999999997</v>
      </c>
      <c r="E402" s="9">
        <f>6.2968 * CHOOSE(CONTROL!$C$32, $C$9, 100%, $E$9)</f>
        <v>6.2968000000000002</v>
      </c>
      <c r="F402" s="9">
        <f>6.2968 * CHOOSE(CONTROL!$C$32, $C$9, 100%, $E$9)</f>
        <v>6.2968000000000002</v>
      </c>
      <c r="G402" s="9">
        <f>6.3012 * CHOOSE(CONTROL!$C$32, $C$9, 100%, $E$9)</f>
        <v>6.3011999999999997</v>
      </c>
      <c r="H402" s="9">
        <f>8.0586 * CHOOSE(CONTROL!$C$32, $C$9, 100%, $E$9)</f>
        <v>8.0586000000000002</v>
      </c>
      <c r="I402" s="9">
        <f>8.063 * CHOOSE(CONTROL!$C$32, $C$9, 100%, $E$9)</f>
        <v>8.0630000000000006</v>
      </c>
      <c r="J402" s="9">
        <f>8.0586 * CHOOSE(CONTROL!$C$32, $C$9, 100%, $E$9)</f>
        <v>8.0586000000000002</v>
      </c>
      <c r="K402" s="9">
        <f>8.063 * CHOOSE(CONTROL!$C$32, $C$9, 100%, $E$9)</f>
        <v>8.0630000000000006</v>
      </c>
      <c r="L402" s="9">
        <f>6.2968 * CHOOSE(CONTROL!$C$32, $C$9, 100%, $E$9)</f>
        <v>6.2968000000000002</v>
      </c>
      <c r="M402" s="9">
        <f>6.3012 * CHOOSE(CONTROL!$C$32, $C$9, 100%, $E$9)</f>
        <v>6.3011999999999997</v>
      </c>
      <c r="N402" s="9">
        <f>6.2968 * CHOOSE(CONTROL!$C$32, $C$9, 100%, $E$9)</f>
        <v>6.2968000000000002</v>
      </c>
      <c r="O402" s="9">
        <f>6.3012 * CHOOSE(CONTROL!$C$32, $C$9, 100%, $E$9)</f>
        <v>6.3011999999999997</v>
      </c>
    </row>
    <row r="403" spans="1:15" ht="15.75" x14ac:dyDescent="0.25">
      <c r="A403" s="14">
        <v>52778</v>
      </c>
      <c r="B403" s="10">
        <f>6.5963 * CHOOSE(CONTROL!$C$32, $C$9, 100%, $E$9)</f>
        <v>6.5963000000000003</v>
      </c>
      <c r="C403" s="10">
        <f>6.5963 * CHOOSE(CONTROL!$C$32, $C$9, 100%, $E$9)</f>
        <v>6.5963000000000003</v>
      </c>
      <c r="D403" s="10">
        <f>6.5976 * CHOOSE(CONTROL!$C$32, $C$9, 100%, $E$9)</f>
        <v>6.5975999999999999</v>
      </c>
      <c r="E403" s="9">
        <f>6.2624 * CHOOSE(CONTROL!$C$32, $C$9, 100%, $E$9)</f>
        <v>6.2624000000000004</v>
      </c>
      <c r="F403" s="9">
        <f>6.2624 * CHOOSE(CONTROL!$C$32, $C$9, 100%, $E$9)</f>
        <v>6.2624000000000004</v>
      </c>
      <c r="G403" s="9">
        <f>6.2668 * CHOOSE(CONTROL!$C$32, $C$9, 100%, $E$9)</f>
        <v>6.2667999999999999</v>
      </c>
      <c r="H403" s="9">
        <f>8.0626 * CHOOSE(CONTROL!$C$32, $C$9, 100%, $E$9)</f>
        <v>8.0625999999999998</v>
      </c>
      <c r="I403" s="9">
        <f>8.067 * CHOOSE(CONTROL!$C$32, $C$9, 100%, $E$9)</f>
        <v>8.0670000000000002</v>
      </c>
      <c r="J403" s="9">
        <f>8.0626 * CHOOSE(CONTROL!$C$32, $C$9, 100%, $E$9)</f>
        <v>8.0625999999999998</v>
      </c>
      <c r="K403" s="9">
        <f>8.067 * CHOOSE(CONTROL!$C$32, $C$9, 100%, $E$9)</f>
        <v>8.0670000000000002</v>
      </c>
      <c r="L403" s="9">
        <f>6.2624 * CHOOSE(CONTROL!$C$32, $C$9, 100%, $E$9)</f>
        <v>6.2624000000000004</v>
      </c>
      <c r="M403" s="9">
        <f>6.2668 * CHOOSE(CONTROL!$C$32, $C$9, 100%, $E$9)</f>
        <v>6.2667999999999999</v>
      </c>
      <c r="N403" s="9">
        <f>6.2624 * CHOOSE(CONTROL!$C$32, $C$9, 100%, $E$9)</f>
        <v>6.2624000000000004</v>
      </c>
      <c r="O403" s="9">
        <f>6.2668 * CHOOSE(CONTROL!$C$32, $C$9, 100%, $E$9)</f>
        <v>6.2667999999999999</v>
      </c>
    </row>
    <row r="404" spans="1:15" ht="15.75" x14ac:dyDescent="0.25">
      <c r="A404" s="14">
        <v>52809</v>
      </c>
      <c r="B404" s="10">
        <f>6.6936 * CHOOSE(CONTROL!$C$32, $C$9, 100%, $E$9)</f>
        <v>6.6936</v>
      </c>
      <c r="C404" s="10">
        <f>6.6936 * CHOOSE(CONTROL!$C$32, $C$9, 100%, $E$9)</f>
        <v>6.6936</v>
      </c>
      <c r="D404" s="10">
        <f>6.6949 * CHOOSE(CONTROL!$C$32, $C$9, 100%, $E$9)</f>
        <v>6.6948999999999996</v>
      </c>
      <c r="E404" s="9">
        <f>6.3375 * CHOOSE(CONTROL!$C$32, $C$9, 100%, $E$9)</f>
        <v>6.3375000000000004</v>
      </c>
      <c r="F404" s="9">
        <f>6.3375 * CHOOSE(CONTROL!$C$32, $C$9, 100%, $E$9)</f>
        <v>6.3375000000000004</v>
      </c>
      <c r="G404" s="9">
        <f>6.3419 * CHOOSE(CONTROL!$C$32, $C$9, 100%, $E$9)</f>
        <v>6.3418999999999999</v>
      </c>
      <c r="H404" s="9">
        <f>8.186 * CHOOSE(CONTROL!$C$32, $C$9, 100%, $E$9)</f>
        <v>8.1859999999999999</v>
      </c>
      <c r="I404" s="9">
        <f>8.1904 * CHOOSE(CONTROL!$C$32, $C$9, 100%, $E$9)</f>
        <v>8.1904000000000003</v>
      </c>
      <c r="J404" s="9">
        <f>8.186 * CHOOSE(CONTROL!$C$32, $C$9, 100%, $E$9)</f>
        <v>8.1859999999999999</v>
      </c>
      <c r="K404" s="9">
        <f>8.1904 * CHOOSE(CONTROL!$C$32, $C$9, 100%, $E$9)</f>
        <v>8.1904000000000003</v>
      </c>
      <c r="L404" s="9">
        <f>6.3375 * CHOOSE(CONTROL!$C$32, $C$9, 100%, $E$9)</f>
        <v>6.3375000000000004</v>
      </c>
      <c r="M404" s="9">
        <f>6.3419 * CHOOSE(CONTROL!$C$32, $C$9, 100%, $E$9)</f>
        <v>6.3418999999999999</v>
      </c>
      <c r="N404" s="9">
        <f>6.3375 * CHOOSE(CONTROL!$C$32, $C$9, 100%, $E$9)</f>
        <v>6.3375000000000004</v>
      </c>
      <c r="O404" s="9">
        <f>6.3419 * CHOOSE(CONTROL!$C$32, $C$9, 100%, $E$9)</f>
        <v>6.3418999999999999</v>
      </c>
    </row>
    <row r="405" spans="1:15" ht="15.75" x14ac:dyDescent="0.25">
      <c r="A405" s="14">
        <v>52840</v>
      </c>
      <c r="B405" s="10">
        <f>6.7003 * CHOOSE(CONTROL!$C$32, $C$9, 100%, $E$9)</f>
        <v>6.7003000000000004</v>
      </c>
      <c r="C405" s="10">
        <f>6.7003 * CHOOSE(CONTROL!$C$32, $C$9, 100%, $E$9)</f>
        <v>6.7003000000000004</v>
      </c>
      <c r="D405" s="10">
        <f>6.7016 * CHOOSE(CONTROL!$C$32, $C$9, 100%, $E$9)</f>
        <v>6.7016</v>
      </c>
      <c r="E405" s="9">
        <f>6.2263 * CHOOSE(CONTROL!$C$32, $C$9, 100%, $E$9)</f>
        <v>6.2263000000000002</v>
      </c>
      <c r="F405" s="9">
        <f>6.2263 * CHOOSE(CONTROL!$C$32, $C$9, 100%, $E$9)</f>
        <v>6.2263000000000002</v>
      </c>
      <c r="G405" s="9">
        <f>6.2307 * CHOOSE(CONTROL!$C$32, $C$9, 100%, $E$9)</f>
        <v>6.2306999999999997</v>
      </c>
      <c r="H405" s="9">
        <f>8.1904 * CHOOSE(CONTROL!$C$32, $C$9, 100%, $E$9)</f>
        <v>8.1904000000000003</v>
      </c>
      <c r="I405" s="9">
        <f>8.1948 * CHOOSE(CONTROL!$C$32, $C$9, 100%, $E$9)</f>
        <v>8.1948000000000008</v>
      </c>
      <c r="J405" s="9">
        <f>8.1904 * CHOOSE(CONTROL!$C$32, $C$9, 100%, $E$9)</f>
        <v>8.1904000000000003</v>
      </c>
      <c r="K405" s="9">
        <f>8.1948 * CHOOSE(CONTROL!$C$32, $C$9, 100%, $E$9)</f>
        <v>8.1948000000000008</v>
      </c>
      <c r="L405" s="9">
        <f>6.2263 * CHOOSE(CONTROL!$C$32, $C$9, 100%, $E$9)</f>
        <v>6.2263000000000002</v>
      </c>
      <c r="M405" s="9">
        <f>6.2307 * CHOOSE(CONTROL!$C$32, $C$9, 100%, $E$9)</f>
        <v>6.2306999999999997</v>
      </c>
      <c r="N405" s="9">
        <f>6.2263 * CHOOSE(CONTROL!$C$32, $C$9, 100%, $E$9)</f>
        <v>6.2263000000000002</v>
      </c>
      <c r="O405" s="9">
        <f>6.2307 * CHOOSE(CONTROL!$C$32, $C$9, 100%, $E$9)</f>
        <v>6.2306999999999997</v>
      </c>
    </row>
    <row r="406" spans="1:15" ht="15.75" x14ac:dyDescent="0.25">
      <c r="A406" s="14">
        <v>52870</v>
      </c>
      <c r="B406" s="10">
        <f>6.6973 * CHOOSE(CONTROL!$C$32, $C$9, 100%, $E$9)</f>
        <v>6.6973000000000003</v>
      </c>
      <c r="C406" s="10">
        <f>6.6973 * CHOOSE(CONTROL!$C$32, $C$9, 100%, $E$9)</f>
        <v>6.6973000000000003</v>
      </c>
      <c r="D406" s="10">
        <f>6.6986 * CHOOSE(CONTROL!$C$32, $C$9, 100%, $E$9)</f>
        <v>6.6985999999999999</v>
      </c>
      <c r="E406" s="9">
        <f>6.2113 * CHOOSE(CONTROL!$C$32, $C$9, 100%, $E$9)</f>
        <v>6.2112999999999996</v>
      </c>
      <c r="F406" s="9">
        <f>6.2113 * CHOOSE(CONTROL!$C$32, $C$9, 100%, $E$9)</f>
        <v>6.2112999999999996</v>
      </c>
      <c r="G406" s="9">
        <f>6.2157 * CHOOSE(CONTROL!$C$32, $C$9, 100%, $E$9)</f>
        <v>6.2157</v>
      </c>
      <c r="H406" s="9">
        <f>8.1884 * CHOOSE(CONTROL!$C$32, $C$9, 100%, $E$9)</f>
        <v>8.1883999999999997</v>
      </c>
      <c r="I406" s="9">
        <f>8.1928 * CHOOSE(CONTROL!$C$32, $C$9, 100%, $E$9)</f>
        <v>8.1928000000000001</v>
      </c>
      <c r="J406" s="9">
        <f>8.1884 * CHOOSE(CONTROL!$C$32, $C$9, 100%, $E$9)</f>
        <v>8.1883999999999997</v>
      </c>
      <c r="K406" s="9">
        <f>8.1928 * CHOOSE(CONTROL!$C$32, $C$9, 100%, $E$9)</f>
        <v>8.1928000000000001</v>
      </c>
      <c r="L406" s="9">
        <f>6.2113 * CHOOSE(CONTROL!$C$32, $C$9, 100%, $E$9)</f>
        <v>6.2112999999999996</v>
      </c>
      <c r="M406" s="9">
        <f>6.2157 * CHOOSE(CONTROL!$C$32, $C$9, 100%, $E$9)</f>
        <v>6.2157</v>
      </c>
      <c r="N406" s="9">
        <f>6.2113 * CHOOSE(CONTROL!$C$32, $C$9, 100%, $E$9)</f>
        <v>6.2112999999999996</v>
      </c>
      <c r="O406" s="9">
        <f>6.2157 * CHOOSE(CONTROL!$C$32, $C$9, 100%, $E$9)</f>
        <v>6.2157</v>
      </c>
    </row>
    <row r="407" spans="1:15" ht="15.75" x14ac:dyDescent="0.25">
      <c r="A407" s="14">
        <v>52901</v>
      </c>
      <c r="B407" s="10">
        <f>6.7032 * CHOOSE(CONTROL!$C$32, $C$9, 100%, $E$9)</f>
        <v>6.7031999999999998</v>
      </c>
      <c r="C407" s="10">
        <f>6.7032 * CHOOSE(CONTROL!$C$32, $C$9, 100%, $E$9)</f>
        <v>6.7031999999999998</v>
      </c>
      <c r="D407" s="10">
        <f>6.7042 * CHOOSE(CONTROL!$C$32, $C$9, 100%, $E$9)</f>
        <v>6.7042000000000002</v>
      </c>
      <c r="E407" s="9">
        <f>6.2494 * CHOOSE(CONTROL!$C$32, $C$9, 100%, $E$9)</f>
        <v>6.2493999999999996</v>
      </c>
      <c r="F407" s="9">
        <f>6.2494 * CHOOSE(CONTROL!$C$32, $C$9, 100%, $E$9)</f>
        <v>6.2493999999999996</v>
      </c>
      <c r="G407" s="9">
        <f>6.2526 * CHOOSE(CONTROL!$C$32, $C$9, 100%, $E$9)</f>
        <v>6.2526000000000002</v>
      </c>
      <c r="H407" s="9">
        <f>8.1914 * CHOOSE(CONTROL!$C$32, $C$9, 100%, $E$9)</f>
        <v>8.1913999999999998</v>
      </c>
      <c r="I407" s="9">
        <f>8.1945 * CHOOSE(CONTROL!$C$32, $C$9, 100%, $E$9)</f>
        <v>8.1944999999999997</v>
      </c>
      <c r="J407" s="9">
        <f>8.1914 * CHOOSE(CONTROL!$C$32, $C$9, 100%, $E$9)</f>
        <v>8.1913999999999998</v>
      </c>
      <c r="K407" s="9">
        <f>8.1945 * CHOOSE(CONTROL!$C$32, $C$9, 100%, $E$9)</f>
        <v>8.1944999999999997</v>
      </c>
      <c r="L407" s="9">
        <f>6.2494 * CHOOSE(CONTROL!$C$32, $C$9, 100%, $E$9)</f>
        <v>6.2493999999999996</v>
      </c>
      <c r="M407" s="9">
        <f>6.2526 * CHOOSE(CONTROL!$C$32, $C$9, 100%, $E$9)</f>
        <v>6.2526000000000002</v>
      </c>
      <c r="N407" s="9">
        <f>6.2494 * CHOOSE(CONTROL!$C$32, $C$9, 100%, $E$9)</f>
        <v>6.2493999999999996</v>
      </c>
      <c r="O407" s="9">
        <f>6.2526 * CHOOSE(CONTROL!$C$32, $C$9, 100%, $E$9)</f>
        <v>6.2526000000000002</v>
      </c>
    </row>
    <row r="408" spans="1:15" ht="15.75" x14ac:dyDescent="0.25">
      <c r="A408" s="14">
        <v>52931</v>
      </c>
      <c r="B408" s="10">
        <f>6.7063 * CHOOSE(CONTROL!$C$32, $C$9, 100%, $E$9)</f>
        <v>6.7062999999999997</v>
      </c>
      <c r="C408" s="10">
        <f>6.7063 * CHOOSE(CONTROL!$C$32, $C$9, 100%, $E$9)</f>
        <v>6.7062999999999997</v>
      </c>
      <c r="D408" s="10">
        <f>6.7072 * CHOOSE(CONTROL!$C$32, $C$9, 100%, $E$9)</f>
        <v>6.7072000000000003</v>
      </c>
      <c r="E408" s="9">
        <f>6.2773 * CHOOSE(CONTROL!$C$32, $C$9, 100%, $E$9)</f>
        <v>6.2773000000000003</v>
      </c>
      <c r="F408" s="9">
        <f>6.2773 * CHOOSE(CONTROL!$C$32, $C$9, 100%, $E$9)</f>
        <v>6.2773000000000003</v>
      </c>
      <c r="G408" s="9">
        <f>6.2804 * CHOOSE(CONTROL!$C$32, $C$9, 100%, $E$9)</f>
        <v>6.2804000000000002</v>
      </c>
      <c r="H408" s="9">
        <f>8.1934 * CHOOSE(CONTROL!$C$32, $C$9, 100%, $E$9)</f>
        <v>8.1934000000000005</v>
      </c>
      <c r="I408" s="9">
        <f>8.1965 * CHOOSE(CONTROL!$C$32, $C$9, 100%, $E$9)</f>
        <v>8.1965000000000003</v>
      </c>
      <c r="J408" s="9">
        <f>8.1934 * CHOOSE(CONTROL!$C$32, $C$9, 100%, $E$9)</f>
        <v>8.1934000000000005</v>
      </c>
      <c r="K408" s="9">
        <f>8.1965 * CHOOSE(CONTROL!$C$32, $C$9, 100%, $E$9)</f>
        <v>8.1965000000000003</v>
      </c>
      <c r="L408" s="9">
        <f>6.2773 * CHOOSE(CONTROL!$C$32, $C$9, 100%, $E$9)</f>
        <v>6.2773000000000003</v>
      </c>
      <c r="M408" s="9">
        <f>6.2804 * CHOOSE(CONTROL!$C$32, $C$9, 100%, $E$9)</f>
        <v>6.2804000000000002</v>
      </c>
      <c r="N408" s="9">
        <f>6.2773 * CHOOSE(CONTROL!$C$32, $C$9, 100%, $E$9)</f>
        <v>6.2773000000000003</v>
      </c>
      <c r="O408" s="9">
        <f>6.2804 * CHOOSE(CONTROL!$C$32, $C$9, 100%, $E$9)</f>
        <v>6.2804000000000002</v>
      </c>
    </row>
    <row r="409" spans="1:15" ht="15.75" x14ac:dyDescent="0.25">
      <c r="A409" s="14">
        <v>52962</v>
      </c>
      <c r="B409" s="10">
        <f>6.7063 * CHOOSE(CONTROL!$C$32, $C$9, 100%, $E$9)</f>
        <v>6.7062999999999997</v>
      </c>
      <c r="C409" s="10">
        <f>6.7063 * CHOOSE(CONTROL!$C$32, $C$9, 100%, $E$9)</f>
        <v>6.7062999999999997</v>
      </c>
      <c r="D409" s="10">
        <f>6.7072 * CHOOSE(CONTROL!$C$32, $C$9, 100%, $E$9)</f>
        <v>6.7072000000000003</v>
      </c>
      <c r="E409" s="9">
        <f>6.2129 * CHOOSE(CONTROL!$C$32, $C$9, 100%, $E$9)</f>
        <v>6.2129000000000003</v>
      </c>
      <c r="F409" s="9">
        <f>6.2129 * CHOOSE(CONTROL!$C$32, $C$9, 100%, $E$9)</f>
        <v>6.2129000000000003</v>
      </c>
      <c r="G409" s="9">
        <f>6.2161 * CHOOSE(CONTROL!$C$32, $C$9, 100%, $E$9)</f>
        <v>6.2161</v>
      </c>
      <c r="H409" s="9">
        <f>8.1934 * CHOOSE(CONTROL!$C$32, $C$9, 100%, $E$9)</f>
        <v>8.1934000000000005</v>
      </c>
      <c r="I409" s="9">
        <f>8.1965 * CHOOSE(CONTROL!$C$32, $C$9, 100%, $E$9)</f>
        <v>8.1965000000000003</v>
      </c>
      <c r="J409" s="9">
        <f>8.1934 * CHOOSE(CONTROL!$C$32, $C$9, 100%, $E$9)</f>
        <v>8.1934000000000005</v>
      </c>
      <c r="K409" s="9">
        <f>8.1965 * CHOOSE(CONTROL!$C$32, $C$9, 100%, $E$9)</f>
        <v>8.1965000000000003</v>
      </c>
      <c r="L409" s="9">
        <f>6.2129 * CHOOSE(CONTROL!$C$32, $C$9, 100%, $E$9)</f>
        <v>6.2129000000000003</v>
      </c>
      <c r="M409" s="9">
        <f>6.2161 * CHOOSE(CONTROL!$C$32, $C$9, 100%, $E$9)</f>
        <v>6.2161</v>
      </c>
      <c r="N409" s="9">
        <f>6.2129 * CHOOSE(CONTROL!$C$32, $C$9, 100%, $E$9)</f>
        <v>6.2129000000000003</v>
      </c>
      <c r="O409" s="9">
        <f>6.2161 * CHOOSE(CONTROL!$C$32, $C$9, 100%, $E$9)</f>
        <v>6.2161</v>
      </c>
    </row>
    <row r="410" spans="1:15" ht="15.75" x14ac:dyDescent="0.25">
      <c r="A410" s="14">
        <v>52993</v>
      </c>
      <c r="B410" s="10">
        <f>6.7627 * CHOOSE(CONTROL!$C$32, $C$9, 100%, $E$9)</f>
        <v>6.7626999999999997</v>
      </c>
      <c r="C410" s="10">
        <f>6.7627 * CHOOSE(CONTROL!$C$32, $C$9, 100%, $E$9)</f>
        <v>6.7626999999999997</v>
      </c>
      <c r="D410" s="10">
        <f>6.7637 * CHOOSE(CONTROL!$C$32, $C$9, 100%, $E$9)</f>
        <v>6.7637</v>
      </c>
      <c r="E410" s="9">
        <f>6.302 * CHOOSE(CONTROL!$C$32, $C$9, 100%, $E$9)</f>
        <v>6.3019999999999996</v>
      </c>
      <c r="F410" s="9">
        <f>6.302 * CHOOSE(CONTROL!$C$32, $C$9, 100%, $E$9)</f>
        <v>6.3019999999999996</v>
      </c>
      <c r="G410" s="9">
        <f>6.3051 * CHOOSE(CONTROL!$C$32, $C$9, 100%, $E$9)</f>
        <v>6.3051000000000004</v>
      </c>
      <c r="H410" s="9">
        <f>8.2547 * CHOOSE(CONTROL!$C$32, $C$9, 100%, $E$9)</f>
        <v>8.2546999999999997</v>
      </c>
      <c r="I410" s="9">
        <f>8.2579 * CHOOSE(CONTROL!$C$32, $C$9, 100%, $E$9)</f>
        <v>8.2578999999999994</v>
      </c>
      <c r="J410" s="9">
        <f>8.2547 * CHOOSE(CONTROL!$C$32, $C$9, 100%, $E$9)</f>
        <v>8.2546999999999997</v>
      </c>
      <c r="K410" s="9">
        <f>8.2579 * CHOOSE(CONTROL!$C$32, $C$9, 100%, $E$9)</f>
        <v>8.2578999999999994</v>
      </c>
      <c r="L410" s="9">
        <f>6.302 * CHOOSE(CONTROL!$C$32, $C$9, 100%, $E$9)</f>
        <v>6.3019999999999996</v>
      </c>
      <c r="M410" s="9">
        <f>6.3051 * CHOOSE(CONTROL!$C$32, $C$9, 100%, $E$9)</f>
        <v>6.3051000000000004</v>
      </c>
      <c r="N410" s="9">
        <f>6.302 * CHOOSE(CONTROL!$C$32, $C$9, 100%, $E$9)</f>
        <v>6.3019999999999996</v>
      </c>
      <c r="O410" s="9">
        <f>6.3051 * CHOOSE(CONTROL!$C$32, $C$9, 100%, $E$9)</f>
        <v>6.3051000000000004</v>
      </c>
    </row>
    <row r="411" spans="1:15" ht="15.75" x14ac:dyDescent="0.25">
      <c r="A411" s="14">
        <v>53021</v>
      </c>
      <c r="B411" s="10">
        <f>6.7597 * CHOOSE(CONTROL!$C$32, $C$9, 100%, $E$9)</f>
        <v>6.7596999999999996</v>
      </c>
      <c r="C411" s="10">
        <f>6.7597 * CHOOSE(CONTROL!$C$32, $C$9, 100%, $E$9)</f>
        <v>6.7596999999999996</v>
      </c>
      <c r="D411" s="10">
        <f>6.7606 * CHOOSE(CONTROL!$C$32, $C$9, 100%, $E$9)</f>
        <v>6.7606000000000002</v>
      </c>
      <c r="E411" s="9">
        <f>6.1746 * CHOOSE(CONTROL!$C$32, $C$9, 100%, $E$9)</f>
        <v>6.1745999999999999</v>
      </c>
      <c r="F411" s="9">
        <f>6.1746 * CHOOSE(CONTROL!$C$32, $C$9, 100%, $E$9)</f>
        <v>6.1745999999999999</v>
      </c>
      <c r="G411" s="9">
        <f>6.1778 * CHOOSE(CONTROL!$C$32, $C$9, 100%, $E$9)</f>
        <v>6.1778000000000004</v>
      </c>
      <c r="H411" s="9">
        <f>8.2527 * CHOOSE(CONTROL!$C$32, $C$9, 100%, $E$9)</f>
        <v>8.2527000000000008</v>
      </c>
      <c r="I411" s="9">
        <f>8.2559 * CHOOSE(CONTROL!$C$32, $C$9, 100%, $E$9)</f>
        <v>8.2559000000000005</v>
      </c>
      <c r="J411" s="9">
        <f>8.2527 * CHOOSE(CONTROL!$C$32, $C$9, 100%, $E$9)</f>
        <v>8.2527000000000008</v>
      </c>
      <c r="K411" s="9">
        <f>8.2559 * CHOOSE(CONTROL!$C$32, $C$9, 100%, $E$9)</f>
        <v>8.2559000000000005</v>
      </c>
      <c r="L411" s="9">
        <f>6.1746 * CHOOSE(CONTROL!$C$32, $C$9, 100%, $E$9)</f>
        <v>6.1745999999999999</v>
      </c>
      <c r="M411" s="9">
        <f>6.1778 * CHOOSE(CONTROL!$C$32, $C$9, 100%, $E$9)</f>
        <v>6.1778000000000004</v>
      </c>
      <c r="N411" s="9">
        <f>6.1746 * CHOOSE(CONTROL!$C$32, $C$9, 100%, $E$9)</f>
        <v>6.1745999999999999</v>
      </c>
      <c r="O411" s="9">
        <f>6.1778 * CHOOSE(CONTROL!$C$32, $C$9, 100%, $E$9)</f>
        <v>6.1778000000000004</v>
      </c>
    </row>
    <row r="412" spans="1:15" ht="15.75" x14ac:dyDescent="0.25">
      <c r="A412" s="14">
        <v>53052</v>
      </c>
      <c r="B412" s="10">
        <f>6.7566 * CHOOSE(CONTROL!$C$32, $C$9, 100%, $E$9)</f>
        <v>6.7565999999999997</v>
      </c>
      <c r="C412" s="10">
        <f>6.7566 * CHOOSE(CONTROL!$C$32, $C$9, 100%, $E$9)</f>
        <v>6.7565999999999997</v>
      </c>
      <c r="D412" s="10">
        <f>6.7576 * CHOOSE(CONTROL!$C$32, $C$9, 100%, $E$9)</f>
        <v>6.7576000000000001</v>
      </c>
      <c r="E412" s="9">
        <f>6.2712 * CHOOSE(CONTROL!$C$32, $C$9, 100%, $E$9)</f>
        <v>6.2712000000000003</v>
      </c>
      <c r="F412" s="9">
        <f>6.2712 * CHOOSE(CONTROL!$C$32, $C$9, 100%, $E$9)</f>
        <v>6.2712000000000003</v>
      </c>
      <c r="G412" s="9">
        <f>6.2744 * CHOOSE(CONTROL!$C$32, $C$9, 100%, $E$9)</f>
        <v>6.2744</v>
      </c>
      <c r="H412" s="9">
        <f>8.2507 * CHOOSE(CONTROL!$C$32, $C$9, 100%, $E$9)</f>
        <v>8.2507000000000001</v>
      </c>
      <c r="I412" s="9">
        <f>8.2539 * CHOOSE(CONTROL!$C$32, $C$9, 100%, $E$9)</f>
        <v>8.2538999999999998</v>
      </c>
      <c r="J412" s="9">
        <f>8.2507 * CHOOSE(CONTROL!$C$32, $C$9, 100%, $E$9)</f>
        <v>8.2507000000000001</v>
      </c>
      <c r="K412" s="9">
        <f>8.2539 * CHOOSE(CONTROL!$C$32, $C$9, 100%, $E$9)</f>
        <v>8.2538999999999998</v>
      </c>
      <c r="L412" s="9">
        <f>6.2712 * CHOOSE(CONTROL!$C$32, $C$9, 100%, $E$9)</f>
        <v>6.2712000000000003</v>
      </c>
      <c r="M412" s="9">
        <f>6.2744 * CHOOSE(CONTROL!$C$32, $C$9, 100%, $E$9)</f>
        <v>6.2744</v>
      </c>
      <c r="N412" s="9">
        <f>6.2712 * CHOOSE(CONTROL!$C$32, $C$9, 100%, $E$9)</f>
        <v>6.2712000000000003</v>
      </c>
      <c r="O412" s="9">
        <f>6.2744 * CHOOSE(CONTROL!$C$32, $C$9, 100%, $E$9)</f>
        <v>6.2744</v>
      </c>
    </row>
    <row r="413" spans="1:15" ht="15.75" x14ac:dyDescent="0.25">
      <c r="A413" s="14">
        <v>53082</v>
      </c>
      <c r="B413" s="10">
        <f>6.7572 * CHOOSE(CONTROL!$C$32, $C$9, 100%, $E$9)</f>
        <v>6.7572000000000001</v>
      </c>
      <c r="C413" s="10">
        <f>6.7572 * CHOOSE(CONTROL!$C$32, $C$9, 100%, $E$9)</f>
        <v>6.7572000000000001</v>
      </c>
      <c r="D413" s="10">
        <f>6.7581 * CHOOSE(CONTROL!$C$32, $C$9, 100%, $E$9)</f>
        <v>6.7580999999999998</v>
      </c>
      <c r="E413" s="9">
        <f>6.373 * CHOOSE(CONTROL!$C$32, $C$9, 100%, $E$9)</f>
        <v>6.3730000000000002</v>
      </c>
      <c r="F413" s="9">
        <f>6.373 * CHOOSE(CONTROL!$C$32, $C$9, 100%, $E$9)</f>
        <v>6.3730000000000002</v>
      </c>
      <c r="G413" s="9">
        <f>6.3762 * CHOOSE(CONTROL!$C$32, $C$9, 100%, $E$9)</f>
        <v>6.3761999999999999</v>
      </c>
      <c r="H413" s="9">
        <f>8.2508 * CHOOSE(CONTROL!$C$32, $C$9, 100%, $E$9)</f>
        <v>8.2507999999999999</v>
      </c>
      <c r="I413" s="9">
        <f>8.254 * CHOOSE(CONTROL!$C$32, $C$9, 100%, $E$9)</f>
        <v>8.2539999999999996</v>
      </c>
      <c r="J413" s="9">
        <f>8.2508 * CHOOSE(CONTROL!$C$32, $C$9, 100%, $E$9)</f>
        <v>8.2507999999999999</v>
      </c>
      <c r="K413" s="9">
        <f>8.254 * CHOOSE(CONTROL!$C$32, $C$9, 100%, $E$9)</f>
        <v>8.2539999999999996</v>
      </c>
      <c r="L413" s="9">
        <f>6.373 * CHOOSE(CONTROL!$C$32, $C$9, 100%, $E$9)</f>
        <v>6.3730000000000002</v>
      </c>
      <c r="M413" s="9">
        <f>6.3762 * CHOOSE(CONTROL!$C$32, $C$9, 100%, $E$9)</f>
        <v>6.3761999999999999</v>
      </c>
      <c r="N413" s="9">
        <f>6.373 * CHOOSE(CONTROL!$C$32, $C$9, 100%, $E$9)</f>
        <v>6.3730000000000002</v>
      </c>
      <c r="O413" s="9">
        <f>6.3762 * CHOOSE(CONTROL!$C$32, $C$9, 100%, $E$9)</f>
        <v>6.3761999999999999</v>
      </c>
    </row>
    <row r="414" spans="1:15" ht="15.75" x14ac:dyDescent="0.25">
      <c r="A414" s="14">
        <v>53113</v>
      </c>
      <c r="B414" s="10">
        <f>6.7572 * CHOOSE(CONTROL!$C$32, $C$9, 100%, $E$9)</f>
        <v>6.7572000000000001</v>
      </c>
      <c r="C414" s="10">
        <f>6.7572 * CHOOSE(CONTROL!$C$32, $C$9, 100%, $E$9)</f>
        <v>6.7572000000000001</v>
      </c>
      <c r="D414" s="10">
        <f>6.7585 * CHOOSE(CONTROL!$C$32, $C$9, 100%, $E$9)</f>
        <v>6.7584999999999997</v>
      </c>
      <c r="E414" s="9">
        <f>6.4128 * CHOOSE(CONTROL!$C$32, $C$9, 100%, $E$9)</f>
        <v>6.4127999999999998</v>
      </c>
      <c r="F414" s="9">
        <f>6.4128 * CHOOSE(CONTROL!$C$32, $C$9, 100%, $E$9)</f>
        <v>6.4127999999999998</v>
      </c>
      <c r="G414" s="9">
        <f>6.4171 * CHOOSE(CONTROL!$C$32, $C$9, 100%, $E$9)</f>
        <v>6.4170999999999996</v>
      </c>
      <c r="H414" s="9">
        <f>8.2508 * CHOOSE(CONTROL!$C$32, $C$9, 100%, $E$9)</f>
        <v>8.2507999999999999</v>
      </c>
      <c r="I414" s="9">
        <f>8.2552 * CHOOSE(CONTROL!$C$32, $C$9, 100%, $E$9)</f>
        <v>8.2552000000000003</v>
      </c>
      <c r="J414" s="9">
        <f>8.2508 * CHOOSE(CONTROL!$C$32, $C$9, 100%, $E$9)</f>
        <v>8.2507999999999999</v>
      </c>
      <c r="K414" s="9">
        <f>8.2552 * CHOOSE(CONTROL!$C$32, $C$9, 100%, $E$9)</f>
        <v>8.2552000000000003</v>
      </c>
      <c r="L414" s="9">
        <f>6.4128 * CHOOSE(CONTROL!$C$32, $C$9, 100%, $E$9)</f>
        <v>6.4127999999999998</v>
      </c>
      <c r="M414" s="9">
        <f>6.4171 * CHOOSE(CONTROL!$C$32, $C$9, 100%, $E$9)</f>
        <v>6.4170999999999996</v>
      </c>
      <c r="N414" s="9">
        <f>6.4128 * CHOOSE(CONTROL!$C$32, $C$9, 100%, $E$9)</f>
        <v>6.4127999999999998</v>
      </c>
      <c r="O414" s="9">
        <f>6.4171 * CHOOSE(CONTROL!$C$32, $C$9, 100%, $E$9)</f>
        <v>6.4170999999999996</v>
      </c>
    </row>
    <row r="415" spans="1:15" ht="15.75" x14ac:dyDescent="0.25">
      <c r="A415" s="14">
        <v>53143</v>
      </c>
      <c r="B415" s="10">
        <f>6.7633 * CHOOSE(CONTROL!$C$32, $C$9, 100%, $E$9)</f>
        <v>6.7633000000000001</v>
      </c>
      <c r="C415" s="10">
        <f>6.7633 * CHOOSE(CONTROL!$C$32, $C$9, 100%, $E$9)</f>
        <v>6.7633000000000001</v>
      </c>
      <c r="D415" s="10">
        <f>6.7646 * CHOOSE(CONTROL!$C$32, $C$9, 100%, $E$9)</f>
        <v>6.7645999999999997</v>
      </c>
      <c r="E415" s="9">
        <f>6.3773 * CHOOSE(CONTROL!$C$32, $C$9, 100%, $E$9)</f>
        <v>6.3773</v>
      </c>
      <c r="F415" s="9">
        <f>6.3773 * CHOOSE(CONTROL!$C$32, $C$9, 100%, $E$9)</f>
        <v>6.3773</v>
      </c>
      <c r="G415" s="9">
        <f>6.3816 * CHOOSE(CONTROL!$C$32, $C$9, 100%, $E$9)</f>
        <v>6.3815999999999997</v>
      </c>
      <c r="H415" s="9">
        <f>8.2548 * CHOOSE(CONTROL!$C$32, $C$9, 100%, $E$9)</f>
        <v>8.2547999999999995</v>
      </c>
      <c r="I415" s="9">
        <f>8.2592 * CHOOSE(CONTROL!$C$32, $C$9, 100%, $E$9)</f>
        <v>8.2591999999999999</v>
      </c>
      <c r="J415" s="9">
        <f>8.2548 * CHOOSE(CONTROL!$C$32, $C$9, 100%, $E$9)</f>
        <v>8.2547999999999995</v>
      </c>
      <c r="K415" s="9">
        <f>8.2592 * CHOOSE(CONTROL!$C$32, $C$9, 100%, $E$9)</f>
        <v>8.2591999999999999</v>
      </c>
      <c r="L415" s="9">
        <f>6.3773 * CHOOSE(CONTROL!$C$32, $C$9, 100%, $E$9)</f>
        <v>6.3773</v>
      </c>
      <c r="M415" s="9">
        <f>6.3816 * CHOOSE(CONTROL!$C$32, $C$9, 100%, $E$9)</f>
        <v>6.3815999999999997</v>
      </c>
      <c r="N415" s="9">
        <f>6.3773 * CHOOSE(CONTROL!$C$32, $C$9, 100%, $E$9)</f>
        <v>6.3773</v>
      </c>
      <c r="O415" s="9">
        <f>6.3816 * CHOOSE(CONTROL!$C$32, $C$9, 100%, $E$9)</f>
        <v>6.3815999999999997</v>
      </c>
    </row>
    <row r="416" spans="1:15" ht="15.75" x14ac:dyDescent="0.25">
      <c r="A416" s="14">
        <v>53174</v>
      </c>
      <c r="B416" s="10">
        <f>6.8626 * CHOOSE(CONTROL!$C$32, $C$9, 100%, $E$9)</f>
        <v>6.8625999999999996</v>
      </c>
      <c r="C416" s="10">
        <f>6.8626 * CHOOSE(CONTROL!$C$32, $C$9, 100%, $E$9)</f>
        <v>6.8625999999999996</v>
      </c>
      <c r="D416" s="10">
        <f>6.8639 * CHOOSE(CONTROL!$C$32, $C$9, 100%, $E$9)</f>
        <v>6.8639000000000001</v>
      </c>
      <c r="E416" s="9">
        <f>6.4534 * CHOOSE(CONTROL!$C$32, $C$9, 100%, $E$9)</f>
        <v>6.4534000000000002</v>
      </c>
      <c r="F416" s="9">
        <f>6.4534 * CHOOSE(CONTROL!$C$32, $C$9, 100%, $E$9)</f>
        <v>6.4534000000000002</v>
      </c>
      <c r="G416" s="9">
        <f>6.4577 * CHOOSE(CONTROL!$C$32, $C$9, 100%, $E$9)</f>
        <v>6.4577</v>
      </c>
      <c r="H416" s="9">
        <f>8.3809 * CHOOSE(CONTROL!$C$32, $C$9, 100%, $E$9)</f>
        <v>8.3809000000000005</v>
      </c>
      <c r="I416" s="9">
        <f>8.3852 * CHOOSE(CONTROL!$C$32, $C$9, 100%, $E$9)</f>
        <v>8.3851999999999993</v>
      </c>
      <c r="J416" s="9">
        <f>8.3809 * CHOOSE(CONTROL!$C$32, $C$9, 100%, $E$9)</f>
        <v>8.3809000000000005</v>
      </c>
      <c r="K416" s="9">
        <f>8.3852 * CHOOSE(CONTROL!$C$32, $C$9, 100%, $E$9)</f>
        <v>8.3851999999999993</v>
      </c>
      <c r="L416" s="9">
        <f>6.4534 * CHOOSE(CONTROL!$C$32, $C$9, 100%, $E$9)</f>
        <v>6.4534000000000002</v>
      </c>
      <c r="M416" s="9">
        <f>6.4577 * CHOOSE(CONTROL!$C$32, $C$9, 100%, $E$9)</f>
        <v>6.4577</v>
      </c>
      <c r="N416" s="9">
        <f>6.4534 * CHOOSE(CONTROL!$C$32, $C$9, 100%, $E$9)</f>
        <v>6.4534000000000002</v>
      </c>
      <c r="O416" s="9">
        <f>6.4577 * CHOOSE(CONTROL!$C$32, $C$9, 100%, $E$9)</f>
        <v>6.4577</v>
      </c>
    </row>
    <row r="417" spans="1:15" ht="15.75" x14ac:dyDescent="0.25">
      <c r="A417" s="14">
        <v>53205</v>
      </c>
      <c r="B417" s="10">
        <f>6.8693 * CHOOSE(CONTROL!$C$32, $C$9, 100%, $E$9)</f>
        <v>6.8693</v>
      </c>
      <c r="C417" s="10">
        <f>6.8693 * CHOOSE(CONTROL!$C$32, $C$9, 100%, $E$9)</f>
        <v>6.8693</v>
      </c>
      <c r="D417" s="10">
        <f>6.8706 * CHOOSE(CONTROL!$C$32, $C$9, 100%, $E$9)</f>
        <v>6.8705999999999996</v>
      </c>
      <c r="E417" s="9">
        <f>6.3387 * CHOOSE(CONTROL!$C$32, $C$9, 100%, $E$9)</f>
        <v>6.3387000000000002</v>
      </c>
      <c r="F417" s="9">
        <f>6.3387 * CHOOSE(CONTROL!$C$32, $C$9, 100%, $E$9)</f>
        <v>6.3387000000000002</v>
      </c>
      <c r="G417" s="9">
        <f>6.3431 * CHOOSE(CONTROL!$C$32, $C$9, 100%, $E$9)</f>
        <v>6.3430999999999997</v>
      </c>
      <c r="H417" s="9">
        <f>8.3853 * CHOOSE(CONTROL!$C$32, $C$9, 100%, $E$9)</f>
        <v>8.3853000000000009</v>
      </c>
      <c r="I417" s="9">
        <f>8.3896 * CHOOSE(CONTROL!$C$32, $C$9, 100%, $E$9)</f>
        <v>8.3895999999999997</v>
      </c>
      <c r="J417" s="9">
        <f>8.3853 * CHOOSE(CONTROL!$C$32, $C$9, 100%, $E$9)</f>
        <v>8.3853000000000009</v>
      </c>
      <c r="K417" s="9">
        <f>8.3896 * CHOOSE(CONTROL!$C$32, $C$9, 100%, $E$9)</f>
        <v>8.3895999999999997</v>
      </c>
      <c r="L417" s="9">
        <f>6.3387 * CHOOSE(CONTROL!$C$32, $C$9, 100%, $E$9)</f>
        <v>6.3387000000000002</v>
      </c>
      <c r="M417" s="9">
        <f>6.3431 * CHOOSE(CONTROL!$C$32, $C$9, 100%, $E$9)</f>
        <v>6.3430999999999997</v>
      </c>
      <c r="N417" s="9">
        <f>6.3387 * CHOOSE(CONTROL!$C$32, $C$9, 100%, $E$9)</f>
        <v>6.3387000000000002</v>
      </c>
      <c r="O417" s="9">
        <f>6.3431 * CHOOSE(CONTROL!$C$32, $C$9, 100%, $E$9)</f>
        <v>6.3430999999999997</v>
      </c>
    </row>
    <row r="418" spans="1:15" ht="15.75" x14ac:dyDescent="0.25">
      <c r="A418" s="14">
        <v>53235</v>
      </c>
      <c r="B418" s="10">
        <f>6.8663 * CHOOSE(CONTROL!$C$32, $C$9, 100%, $E$9)</f>
        <v>6.8662999999999998</v>
      </c>
      <c r="C418" s="10">
        <f>6.8663 * CHOOSE(CONTROL!$C$32, $C$9, 100%, $E$9)</f>
        <v>6.8662999999999998</v>
      </c>
      <c r="D418" s="10">
        <f>6.8676 * CHOOSE(CONTROL!$C$32, $C$9, 100%, $E$9)</f>
        <v>6.8676000000000004</v>
      </c>
      <c r="E418" s="9">
        <f>6.3233 * CHOOSE(CONTROL!$C$32, $C$9, 100%, $E$9)</f>
        <v>6.3232999999999997</v>
      </c>
      <c r="F418" s="9">
        <f>6.3233 * CHOOSE(CONTROL!$C$32, $C$9, 100%, $E$9)</f>
        <v>6.3232999999999997</v>
      </c>
      <c r="G418" s="9">
        <f>6.3277 * CHOOSE(CONTROL!$C$32, $C$9, 100%, $E$9)</f>
        <v>6.3277000000000001</v>
      </c>
      <c r="H418" s="9">
        <f>8.3833 * CHOOSE(CONTROL!$C$32, $C$9, 100%, $E$9)</f>
        <v>8.3833000000000002</v>
      </c>
      <c r="I418" s="9">
        <f>8.3876 * CHOOSE(CONTROL!$C$32, $C$9, 100%, $E$9)</f>
        <v>8.3876000000000008</v>
      </c>
      <c r="J418" s="9">
        <f>8.3833 * CHOOSE(CONTROL!$C$32, $C$9, 100%, $E$9)</f>
        <v>8.3833000000000002</v>
      </c>
      <c r="K418" s="9">
        <f>8.3876 * CHOOSE(CONTROL!$C$32, $C$9, 100%, $E$9)</f>
        <v>8.3876000000000008</v>
      </c>
      <c r="L418" s="9">
        <f>6.3233 * CHOOSE(CONTROL!$C$32, $C$9, 100%, $E$9)</f>
        <v>6.3232999999999997</v>
      </c>
      <c r="M418" s="9">
        <f>6.3277 * CHOOSE(CONTROL!$C$32, $C$9, 100%, $E$9)</f>
        <v>6.3277000000000001</v>
      </c>
      <c r="N418" s="9">
        <f>6.3233 * CHOOSE(CONTROL!$C$32, $C$9, 100%, $E$9)</f>
        <v>6.3232999999999997</v>
      </c>
      <c r="O418" s="9">
        <f>6.3277 * CHOOSE(CONTROL!$C$32, $C$9, 100%, $E$9)</f>
        <v>6.3277000000000001</v>
      </c>
    </row>
    <row r="419" spans="1:15" ht="15.75" x14ac:dyDescent="0.25">
      <c r="A419" s="14">
        <v>53266</v>
      </c>
      <c r="B419" s="10">
        <f>6.8729 * CHOOSE(CONTROL!$C$32, $C$9, 100%, $E$9)</f>
        <v>6.8728999999999996</v>
      </c>
      <c r="C419" s="10">
        <f>6.8729 * CHOOSE(CONTROL!$C$32, $C$9, 100%, $E$9)</f>
        <v>6.8728999999999996</v>
      </c>
      <c r="D419" s="10">
        <f>6.8738 * CHOOSE(CONTROL!$C$32, $C$9, 100%, $E$9)</f>
        <v>6.8738000000000001</v>
      </c>
      <c r="E419" s="9">
        <f>6.3629 * CHOOSE(CONTROL!$C$32, $C$9, 100%, $E$9)</f>
        <v>6.3628999999999998</v>
      </c>
      <c r="F419" s="9">
        <f>6.3629 * CHOOSE(CONTROL!$C$32, $C$9, 100%, $E$9)</f>
        <v>6.3628999999999998</v>
      </c>
      <c r="G419" s="9">
        <f>6.3661 * CHOOSE(CONTROL!$C$32, $C$9, 100%, $E$9)</f>
        <v>6.3661000000000003</v>
      </c>
      <c r="H419" s="9">
        <f>8.3866 * CHOOSE(CONTROL!$C$32, $C$9, 100%, $E$9)</f>
        <v>8.3865999999999996</v>
      </c>
      <c r="I419" s="9">
        <f>8.3898 * CHOOSE(CONTROL!$C$32, $C$9, 100%, $E$9)</f>
        <v>8.3897999999999993</v>
      </c>
      <c r="J419" s="9">
        <f>8.3866 * CHOOSE(CONTROL!$C$32, $C$9, 100%, $E$9)</f>
        <v>8.3865999999999996</v>
      </c>
      <c r="K419" s="9">
        <f>8.3898 * CHOOSE(CONTROL!$C$32, $C$9, 100%, $E$9)</f>
        <v>8.3897999999999993</v>
      </c>
      <c r="L419" s="9">
        <f>6.3629 * CHOOSE(CONTROL!$C$32, $C$9, 100%, $E$9)</f>
        <v>6.3628999999999998</v>
      </c>
      <c r="M419" s="9">
        <f>6.3661 * CHOOSE(CONTROL!$C$32, $C$9, 100%, $E$9)</f>
        <v>6.3661000000000003</v>
      </c>
      <c r="N419" s="9">
        <f>6.3629 * CHOOSE(CONTROL!$C$32, $C$9, 100%, $E$9)</f>
        <v>6.3628999999999998</v>
      </c>
      <c r="O419" s="9">
        <f>6.3661 * CHOOSE(CONTROL!$C$32, $C$9, 100%, $E$9)</f>
        <v>6.3661000000000003</v>
      </c>
    </row>
    <row r="420" spans="1:15" ht="15.75" x14ac:dyDescent="0.25">
      <c r="A420" s="14">
        <v>53296</v>
      </c>
      <c r="B420" s="10">
        <f>6.8759 * CHOOSE(CONTROL!$C$32, $C$9, 100%, $E$9)</f>
        <v>6.8758999999999997</v>
      </c>
      <c r="C420" s="10">
        <f>6.8759 * CHOOSE(CONTROL!$C$32, $C$9, 100%, $E$9)</f>
        <v>6.8758999999999997</v>
      </c>
      <c r="D420" s="10">
        <f>6.8769 * CHOOSE(CONTROL!$C$32, $C$9, 100%, $E$9)</f>
        <v>6.8769</v>
      </c>
      <c r="E420" s="9">
        <f>6.3916 * CHOOSE(CONTROL!$C$32, $C$9, 100%, $E$9)</f>
        <v>6.3916000000000004</v>
      </c>
      <c r="F420" s="9">
        <f>6.3916 * CHOOSE(CONTROL!$C$32, $C$9, 100%, $E$9)</f>
        <v>6.3916000000000004</v>
      </c>
      <c r="G420" s="9">
        <f>6.3948 * CHOOSE(CONTROL!$C$32, $C$9, 100%, $E$9)</f>
        <v>6.3948</v>
      </c>
      <c r="H420" s="9">
        <f>8.3886 * CHOOSE(CONTROL!$C$32, $C$9, 100%, $E$9)</f>
        <v>8.3886000000000003</v>
      </c>
      <c r="I420" s="9">
        <f>8.3918 * CHOOSE(CONTROL!$C$32, $C$9, 100%, $E$9)</f>
        <v>8.3917999999999999</v>
      </c>
      <c r="J420" s="9">
        <f>8.3886 * CHOOSE(CONTROL!$C$32, $C$9, 100%, $E$9)</f>
        <v>8.3886000000000003</v>
      </c>
      <c r="K420" s="9">
        <f>8.3918 * CHOOSE(CONTROL!$C$32, $C$9, 100%, $E$9)</f>
        <v>8.3917999999999999</v>
      </c>
      <c r="L420" s="9">
        <f>6.3916 * CHOOSE(CONTROL!$C$32, $C$9, 100%, $E$9)</f>
        <v>6.3916000000000004</v>
      </c>
      <c r="M420" s="9">
        <f>6.3948 * CHOOSE(CONTROL!$C$32, $C$9, 100%, $E$9)</f>
        <v>6.3948</v>
      </c>
      <c r="N420" s="9">
        <f>6.3916 * CHOOSE(CONTROL!$C$32, $C$9, 100%, $E$9)</f>
        <v>6.3916000000000004</v>
      </c>
      <c r="O420" s="9">
        <f>6.3948 * CHOOSE(CONTROL!$C$32, $C$9, 100%, $E$9)</f>
        <v>6.3948</v>
      </c>
    </row>
    <row r="421" spans="1:15" ht="15.75" x14ac:dyDescent="0.25">
      <c r="A421" s="14">
        <v>53327</v>
      </c>
      <c r="B421" s="10">
        <f>6.8759 * CHOOSE(CONTROL!$C$32, $C$9, 100%, $E$9)</f>
        <v>6.8758999999999997</v>
      </c>
      <c r="C421" s="10">
        <f>6.8759 * CHOOSE(CONTROL!$C$32, $C$9, 100%, $E$9)</f>
        <v>6.8758999999999997</v>
      </c>
      <c r="D421" s="10">
        <f>6.8769 * CHOOSE(CONTROL!$C$32, $C$9, 100%, $E$9)</f>
        <v>6.8769</v>
      </c>
      <c r="E421" s="9">
        <f>6.3253 * CHOOSE(CONTROL!$C$32, $C$9, 100%, $E$9)</f>
        <v>6.3253000000000004</v>
      </c>
      <c r="F421" s="9">
        <f>6.3253 * CHOOSE(CONTROL!$C$32, $C$9, 100%, $E$9)</f>
        <v>6.3253000000000004</v>
      </c>
      <c r="G421" s="9">
        <f>6.3285 * CHOOSE(CONTROL!$C$32, $C$9, 100%, $E$9)</f>
        <v>6.3285</v>
      </c>
      <c r="H421" s="9">
        <f>8.3886 * CHOOSE(CONTROL!$C$32, $C$9, 100%, $E$9)</f>
        <v>8.3886000000000003</v>
      </c>
      <c r="I421" s="9">
        <f>8.3918 * CHOOSE(CONTROL!$C$32, $C$9, 100%, $E$9)</f>
        <v>8.3917999999999999</v>
      </c>
      <c r="J421" s="9">
        <f>8.3886 * CHOOSE(CONTROL!$C$32, $C$9, 100%, $E$9)</f>
        <v>8.3886000000000003</v>
      </c>
      <c r="K421" s="9">
        <f>8.3918 * CHOOSE(CONTROL!$C$32, $C$9, 100%, $E$9)</f>
        <v>8.3917999999999999</v>
      </c>
      <c r="L421" s="9">
        <f>6.3253 * CHOOSE(CONTROL!$C$32, $C$9, 100%, $E$9)</f>
        <v>6.3253000000000004</v>
      </c>
      <c r="M421" s="9">
        <f>6.3285 * CHOOSE(CONTROL!$C$32, $C$9, 100%, $E$9)</f>
        <v>6.3285</v>
      </c>
      <c r="N421" s="9">
        <f>6.3253 * CHOOSE(CONTROL!$C$32, $C$9, 100%, $E$9)</f>
        <v>6.3253000000000004</v>
      </c>
      <c r="O421" s="9">
        <f>6.3285 * CHOOSE(CONTROL!$C$32, $C$9, 100%, $E$9)</f>
        <v>6.3285</v>
      </c>
    </row>
    <row r="422" spans="1:15" ht="15.75" x14ac:dyDescent="0.25">
      <c r="A422" s="14">
        <v>53358</v>
      </c>
      <c r="B422" s="10">
        <f>6.9337 * CHOOSE(CONTROL!$C$32, $C$9, 100%, $E$9)</f>
        <v>6.9337</v>
      </c>
      <c r="C422" s="10">
        <f>6.9337 * CHOOSE(CONTROL!$C$32, $C$9, 100%, $E$9)</f>
        <v>6.9337</v>
      </c>
      <c r="D422" s="10">
        <f>6.9346 * CHOOSE(CONTROL!$C$32, $C$9, 100%, $E$9)</f>
        <v>6.9345999999999997</v>
      </c>
      <c r="E422" s="9">
        <f>6.4166 * CHOOSE(CONTROL!$C$32, $C$9, 100%, $E$9)</f>
        <v>6.4165999999999999</v>
      </c>
      <c r="F422" s="9">
        <f>6.4166 * CHOOSE(CONTROL!$C$32, $C$9, 100%, $E$9)</f>
        <v>6.4165999999999999</v>
      </c>
      <c r="G422" s="9">
        <f>6.4198 * CHOOSE(CONTROL!$C$32, $C$9, 100%, $E$9)</f>
        <v>6.4198000000000004</v>
      </c>
      <c r="H422" s="9">
        <f>8.4514 * CHOOSE(CONTROL!$C$32, $C$9, 100%, $E$9)</f>
        <v>8.4513999999999996</v>
      </c>
      <c r="I422" s="9">
        <f>8.4546 * CHOOSE(CONTROL!$C$32, $C$9, 100%, $E$9)</f>
        <v>8.4545999999999992</v>
      </c>
      <c r="J422" s="9">
        <f>8.4514 * CHOOSE(CONTROL!$C$32, $C$9, 100%, $E$9)</f>
        <v>8.4513999999999996</v>
      </c>
      <c r="K422" s="9">
        <f>8.4546 * CHOOSE(CONTROL!$C$32, $C$9, 100%, $E$9)</f>
        <v>8.4545999999999992</v>
      </c>
      <c r="L422" s="9">
        <f>6.4166 * CHOOSE(CONTROL!$C$32, $C$9, 100%, $E$9)</f>
        <v>6.4165999999999999</v>
      </c>
      <c r="M422" s="9">
        <f>6.4198 * CHOOSE(CONTROL!$C$32, $C$9, 100%, $E$9)</f>
        <v>6.4198000000000004</v>
      </c>
      <c r="N422" s="9">
        <f>6.4166 * CHOOSE(CONTROL!$C$32, $C$9, 100%, $E$9)</f>
        <v>6.4165999999999999</v>
      </c>
      <c r="O422" s="9">
        <f>6.4198 * CHOOSE(CONTROL!$C$32, $C$9, 100%, $E$9)</f>
        <v>6.4198000000000004</v>
      </c>
    </row>
    <row r="423" spans="1:15" ht="15.75" x14ac:dyDescent="0.25">
      <c r="A423" s="14">
        <v>53386</v>
      </c>
      <c r="B423" s="10">
        <f>6.9307 * CHOOSE(CONTROL!$C$32, $C$9, 100%, $E$9)</f>
        <v>6.9306999999999999</v>
      </c>
      <c r="C423" s="10">
        <f>6.9307 * CHOOSE(CONTROL!$C$32, $C$9, 100%, $E$9)</f>
        <v>6.9306999999999999</v>
      </c>
      <c r="D423" s="10">
        <f>6.9316 * CHOOSE(CONTROL!$C$32, $C$9, 100%, $E$9)</f>
        <v>6.9316000000000004</v>
      </c>
      <c r="E423" s="9">
        <f>6.2855 * CHOOSE(CONTROL!$C$32, $C$9, 100%, $E$9)</f>
        <v>6.2854999999999999</v>
      </c>
      <c r="F423" s="9">
        <f>6.2855 * CHOOSE(CONTROL!$C$32, $C$9, 100%, $E$9)</f>
        <v>6.2854999999999999</v>
      </c>
      <c r="G423" s="9">
        <f>6.2887 * CHOOSE(CONTROL!$C$32, $C$9, 100%, $E$9)</f>
        <v>6.2887000000000004</v>
      </c>
      <c r="H423" s="9">
        <f>8.4494 * CHOOSE(CONTROL!$C$32, $C$9, 100%, $E$9)</f>
        <v>8.4494000000000007</v>
      </c>
      <c r="I423" s="9">
        <f>8.4526 * CHOOSE(CONTROL!$C$32, $C$9, 100%, $E$9)</f>
        <v>8.4526000000000003</v>
      </c>
      <c r="J423" s="9">
        <f>8.4494 * CHOOSE(CONTROL!$C$32, $C$9, 100%, $E$9)</f>
        <v>8.4494000000000007</v>
      </c>
      <c r="K423" s="9">
        <f>8.4526 * CHOOSE(CONTROL!$C$32, $C$9, 100%, $E$9)</f>
        <v>8.4526000000000003</v>
      </c>
      <c r="L423" s="9">
        <f>6.2855 * CHOOSE(CONTROL!$C$32, $C$9, 100%, $E$9)</f>
        <v>6.2854999999999999</v>
      </c>
      <c r="M423" s="9">
        <f>6.2887 * CHOOSE(CONTROL!$C$32, $C$9, 100%, $E$9)</f>
        <v>6.2887000000000004</v>
      </c>
      <c r="N423" s="9">
        <f>6.2855 * CHOOSE(CONTROL!$C$32, $C$9, 100%, $E$9)</f>
        <v>6.2854999999999999</v>
      </c>
      <c r="O423" s="9">
        <f>6.2887 * CHOOSE(CONTROL!$C$32, $C$9, 100%, $E$9)</f>
        <v>6.2887000000000004</v>
      </c>
    </row>
    <row r="424" spans="1:15" ht="15.75" x14ac:dyDescent="0.25">
      <c r="A424" s="14">
        <v>53417</v>
      </c>
      <c r="B424" s="10">
        <f>6.9276 * CHOOSE(CONTROL!$C$32, $C$9, 100%, $E$9)</f>
        <v>6.9276</v>
      </c>
      <c r="C424" s="10">
        <f>6.9276 * CHOOSE(CONTROL!$C$32, $C$9, 100%, $E$9)</f>
        <v>6.9276</v>
      </c>
      <c r="D424" s="10">
        <f>6.9286 * CHOOSE(CONTROL!$C$32, $C$9, 100%, $E$9)</f>
        <v>6.9286000000000003</v>
      </c>
      <c r="E424" s="9">
        <f>6.3851 * CHOOSE(CONTROL!$C$32, $C$9, 100%, $E$9)</f>
        <v>6.3851000000000004</v>
      </c>
      <c r="F424" s="9">
        <f>6.3851 * CHOOSE(CONTROL!$C$32, $C$9, 100%, $E$9)</f>
        <v>6.3851000000000004</v>
      </c>
      <c r="G424" s="9">
        <f>6.3883 * CHOOSE(CONTROL!$C$32, $C$9, 100%, $E$9)</f>
        <v>6.3883000000000001</v>
      </c>
      <c r="H424" s="9">
        <f>8.4474 * CHOOSE(CONTROL!$C$32, $C$9, 100%, $E$9)</f>
        <v>8.4474</v>
      </c>
      <c r="I424" s="9">
        <f>8.4506 * CHOOSE(CONTROL!$C$32, $C$9, 100%, $E$9)</f>
        <v>8.4505999999999997</v>
      </c>
      <c r="J424" s="9">
        <f>8.4474 * CHOOSE(CONTROL!$C$32, $C$9, 100%, $E$9)</f>
        <v>8.4474</v>
      </c>
      <c r="K424" s="9">
        <f>8.4506 * CHOOSE(CONTROL!$C$32, $C$9, 100%, $E$9)</f>
        <v>8.4505999999999997</v>
      </c>
      <c r="L424" s="9">
        <f>6.3851 * CHOOSE(CONTROL!$C$32, $C$9, 100%, $E$9)</f>
        <v>6.3851000000000004</v>
      </c>
      <c r="M424" s="9">
        <f>6.3883 * CHOOSE(CONTROL!$C$32, $C$9, 100%, $E$9)</f>
        <v>6.3883000000000001</v>
      </c>
      <c r="N424" s="9">
        <f>6.3851 * CHOOSE(CONTROL!$C$32, $C$9, 100%, $E$9)</f>
        <v>6.3851000000000004</v>
      </c>
      <c r="O424" s="9">
        <f>6.3883 * CHOOSE(CONTROL!$C$32, $C$9, 100%, $E$9)</f>
        <v>6.3883000000000001</v>
      </c>
    </row>
    <row r="425" spans="1:15" ht="15.75" x14ac:dyDescent="0.25">
      <c r="A425" s="14">
        <v>53447</v>
      </c>
      <c r="B425" s="10">
        <f>6.9283 * CHOOSE(CONTROL!$C$32, $C$9, 100%, $E$9)</f>
        <v>6.9283000000000001</v>
      </c>
      <c r="C425" s="10">
        <f>6.9283 * CHOOSE(CONTROL!$C$32, $C$9, 100%, $E$9)</f>
        <v>6.9283000000000001</v>
      </c>
      <c r="D425" s="10">
        <f>6.9293 * CHOOSE(CONTROL!$C$32, $C$9, 100%, $E$9)</f>
        <v>6.9292999999999996</v>
      </c>
      <c r="E425" s="9">
        <f>6.4901 * CHOOSE(CONTROL!$C$32, $C$9, 100%, $E$9)</f>
        <v>6.4901</v>
      </c>
      <c r="F425" s="9">
        <f>6.4901 * CHOOSE(CONTROL!$C$32, $C$9, 100%, $E$9)</f>
        <v>6.4901</v>
      </c>
      <c r="G425" s="9">
        <f>6.4933 * CHOOSE(CONTROL!$C$32, $C$9, 100%, $E$9)</f>
        <v>6.4932999999999996</v>
      </c>
      <c r="H425" s="9">
        <f>8.4476 * CHOOSE(CONTROL!$C$32, $C$9, 100%, $E$9)</f>
        <v>8.4475999999999996</v>
      </c>
      <c r="I425" s="9">
        <f>8.4508 * CHOOSE(CONTROL!$C$32, $C$9, 100%, $E$9)</f>
        <v>8.4507999999999992</v>
      </c>
      <c r="J425" s="9">
        <f>8.4476 * CHOOSE(CONTROL!$C$32, $C$9, 100%, $E$9)</f>
        <v>8.4475999999999996</v>
      </c>
      <c r="K425" s="9">
        <f>8.4508 * CHOOSE(CONTROL!$C$32, $C$9, 100%, $E$9)</f>
        <v>8.4507999999999992</v>
      </c>
      <c r="L425" s="9">
        <f>6.4901 * CHOOSE(CONTROL!$C$32, $C$9, 100%, $E$9)</f>
        <v>6.4901</v>
      </c>
      <c r="M425" s="9">
        <f>6.4933 * CHOOSE(CONTROL!$C$32, $C$9, 100%, $E$9)</f>
        <v>6.4932999999999996</v>
      </c>
      <c r="N425" s="9">
        <f>6.4901 * CHOOSE(CONTROL!$C$32, $C$9, 100%, $E$9)</f>
        <v>6.4901</v>
      </c>
      <c r="O425" s="9">
        <f>6.4933 * CHOOSE(CONTROL!$C$32, $C$9, 100%, $E$9)</f>
        <v>6.4932999999999996</v>
      </c>
    </row>
    <row r="426" spans="1:15" ht="15.75" x14ac:dyDescent="0.25">
      <c r="A426" s="14">
        <v>53478</v>
      </c>
      <c r="B426" s="10">
        <f>6.9283 * CHOOSE(CONTROL!$C$32, $C$9, 100%, $E$9)</f>
        <v>6.9283000000000001</v>
      </c>
      <c r="C426" s="10">
        <f>6.9283 * CHOOSE(CONTROL!$C$32, $C$9, 100%, $E$9)</f>
        <v>6.9283000000000001</v>
      </c>
      <c r="D426" s="10">
        <f>6.9296 * CHOOSE(CONTROL!$C$32, $C$9, 100%, $E$9)</f>
        <v>6.9295999999999998</v>
      </c>
      <c r="E426" s="9">
        <f>6.531 * CHOOSE(CONTROL!$C$32, $C$9, 100%, $E$9)</f>
        <v>6.5309999999999997</v>
      </c>
      <c r="F426" s="9">
        <f>6.531 * CHOOSE(CONTROL!$C$32, $C$9, 100%, $E$9)</f>
        <v>6.5309999999999997</v>
      </c>
      <c r="G426" s="9">
        <f>6.5354 * CHOOSE(CONTROL!$C$32, $C$9, 100%, $E$9)</f>
        <v>6.5354000000000001</v>
      </c>
      <c r="H426" s="9">
        <f>8.4476 * CHOOSE(CONTROL!$C$32, $C$9, 100%, $E$9)</f>
        <v>8.4475999999999996</v>
      </c>
      <c r="I426" s="9">
        <f>8.452 * CHOOSE(CONTROL!$C$32, $C$9, 100%, $E$9)</f>
        <v>8.452</v>
      </c>
      <c r="J426" s="9">
        <f>8.4476 * CHOOSE(CONTROL!$C$32, $C$9, 100%, $E$9)</f>
        <v>8.4475999999999996</v>
      </c>
      <c r="K426" s="9">
        <f>8.452 * CHOOSE(CONTROL!$C$32, $C$9, 100%, $E$9)</f>
        <v>8.452</v>
      </c>
      <c r="L426" s="9">
        <f>6.531 * CHOOSE(CONTROL!$C$32, $C$9, 100%, $E$9)</f>
        <v>6.5309999999999997</v>
      </c>
      <c r="M426" s="9">
        <f>6.5354 * CHOOSE(CONTROL!$C$32, $C$9, 100%, $E$9)</f>
        <v>6.5354000000000001</v>
      </c>
      <c r="N426" s="9">
        <f>6.531 * CHOOSE(CONTROL!$C$32, $C$9, 100%, $E$9)</f>
        <v>6.5309999999999997</v>
      </c>
      <c r="O426" s="9">
        <f>6.5354 * CHOOSE(CONTROL!$C$32, $C$9, 100%, $E$9)</f>
        <v>6.5354000000000001</v>
      </c>
    </row>
    <row r="427" spans="1:15" ht="15.75" x14ac:dyDescent="0.25">
      <c r="A427" s="14">
        <v>53508</v>
      </c>
      <c r="B427" s="10">
        <f>6.9344 * CHOOSE(CONTROL!$C$32, $C$9, 100%, $E$9)</f>
        <v>6.9344000000000001</v>
      </c>
      <c r="C427" s="10">
        <f>6.9344 * CHOOSE(CONTROL!$C$32, $C$9, 100%, $E$9)</f>
        <v>6.9344000000000001</v>
      </c>
      <c r="D427" s="10">
        <f>6.9357 * CHOOSE(CONTROL!$C$32, $C$9, 100%, $E$9)</f>
        <v>6.9356999999999998</v>
      </c>
      <c r="E427" s="9">
        <f>6.4943 * CHOOSE(CONTROL!$C$32, $C$9, 100%, $E$9)</f>
        <v>6.4943</v>
      </c>
      <c r="F427" s="9">
        <f>6.4943 * CHOOSE(CONTROL!$C$32, $C$9, 100%, $E$9)</f>
        <v>6.4943</v>
      </c>
      <c r="G427" s="9">
        <f>6.4987 * CHOOSE(CONTROL!$C$32, $C$9, 100%, $E$9)</f>
        <v>6.4987000000000004</v>
      </c>
      <c r="H427" s="9">
        <f>8.4516 * CHOOSE(CONTROL!$C$32, $C$9, 100%, $E$9)</f>
        <v>8.4515999999999991</v>
      </c>
      <c r="I427" s="9">
        <f>8.456 * CHOOSE(CONTROL!$C$32, $C$9, 100%, $E$9)</f>
        <v>8.4559999999999995</v>
      </c>
      <c r="J427" s="9">
        <f>8.4516 * CHOOSE(CONTROL!$C$32, $C$9, 100%, $E$9)</f>
        <v>8.4515999999999991</v>
      </c>
      <c r="K427" s="9">
        <f>8.456 * CHOOSE(CONTROL!$C$32, $C$9, 100%, $E$9)</f>
        <v>8.4559999999999995</v>
      </c>
      <c r="L427" s="9">
        <f>6.4943 * CHOOSE(CONTROL!$C$32, $C$9, 100%, $E$9)</f>
        <v>6.4943</v>
      </c>
      <c r="M427" s="9">
        <f>6.4987 * CHOOSE(CONTROL!$C$32, $C$9, 100%, $E$9)</f>
        <v>6.4987000000000004</v>
      </c>
      <c r="N427" s="9">
        <f>6.4943 * CHOOSE(CONTROL!$C$32, $C$9, 100%, $E$9)</f>
        <v>6.4943</v>
      </c>
      <c r="O427" s="9">
        <f>6.4987 * CHOOSE(CONTROL!$C$32, $C$9, 100%, $E$9)</f>
        <v>6.4987000000000004</v>
      </c>
    </row>
    <row r="428" spans="1:15" ht="15.75" x14ac:dyDescent="0.25">
      <c r="A428" s="14">
        <v>53539</v>
      </c>
      <c r="B428" s="10">
        <f>7.0359 * CHOOSE(CONTROL!$C$32, $C$9, 100%, $E$9)</f>
        <v>7.0358999999999998</v>
      </c>
      <c r="C428" s="10">
        <f>7.0359 * CHOOSE(CONTROL!$C$32, $C$9, 100%, $E$9)</f>
        <v>7.0358999999999998</v>
      </c>
      <c r="D428" s="10">
        <f>7.0372 * CHOOSE(CONTROL!$C$32, $C$9, 100%, $E$9)</f>
        <v>7.0372000000000003</v>
      </c>
      <c r="E428" s="9">
        <f>6.5717 * CHOOSE(CONTROL!$C$32, $C$9, 100%, $E$9)</f>
        <v>6.5716999999999999</v>
      </c>
      <c r="F428" s="9">
        <f>6.5717 * CHOOSE(CONTROL!$C$32, $C$9, 100%, $E$9)</f>
        <v>6.5716999999999999</v>
      </c>
      <c r="G428" s="9">
        <f>6.576 * CHOOSE(CONTROL!$C$32, $C$9, 100%, $E$9)</f>
        <v>6.5759999999999996</v>
      </c>
      <c r="H428" s="9">
        <f>8.5804 * CHOOSE(CONTROL!$C$32, $C$9, 100%, $E$9)</f>
        <v>8.5803999999999991</v>
      </c>
      <c r="I428" s="9">
        <f>8.5848 * CHOOSE(CONTROL!$C$32, $C$9, 100%, $E$9)</f>
        <v>8.5847999999999995</v>
      </c>
      <c r="J428" s="9">
        <f>8.5804 * CHOOSE(CONTROL!$C$32, $C$9, 100%, $E$9)</f>
        <v>8.5803999999999991</v>
      </c>
      <c r="K428" s="9">
        <f>8.5848 * CHOOSE(CONTROL!$C$32, $C$9, 100%, $E$9)</f>
        <v>8.5847999999999995</v>
      </c>
      <c r="L428" s="9">
        <f>6.5717 * CHOOSE(CONTROL!$C$32, $C$9, 100%, $E$9)</f>
        <v>6.5716999999999999</v>
      </c>
      <c r="M428" s="9">
        <f>6.576 * CHOOSE(CONTROL!$C$32, $C$9, 100%, $E$9)</f>
        <v>6.5759999999999996</v>
      </c>
      <c r="N428" s="9">
        <f>6.5717 * CHOOSE(CONTROL!$C$32, $C$9, 100%, $E$9)</f>
        <v>6.5716999999999999</v>
      </c>
      <c r="O428" s="9">
        <f>6.576 * CHOOSE(CONTROL!$C$32, $C$9, 100%, $E$9)</f>
        <v>6.5759999999999996</v>
      </c>
    </row>
    <row r="429" spans="1:15" ht="15.75" x14ac:dyDescent="0.25">
      <c r="A429" s="14">
        <v>53570</v>
      </c>
      <c r="B429" s="10">
        <f>7.0426 * CHOOSE(CONTROL!$C$32, $C$9, 100%, $E$9)</f>
        <v>7.0426000000000002</v>
      </c>
      <c r="C429" s="10">
        <f>7.0426 * CHOOSE(CONTROL!$C$32, $C$9, 100%, $E$9)</f>
        <v>7.0426000000000002</v>
      </c>
      <c r="D429" s="10">
        <f>7.0439 * CHOOSE(CONTROL!$C$32, $C$9, 100%, $E$9)</f>
        <v>7.0438999999999998</v>
      </c>
      <c r="E429" s="9">
        <f>6.4535 * CHOOSE(CONTROL!$C$32, $C$9, 100%, $E$9)</f>
        <v>6.4535</v>
      </c>
      <c r="F429" s="9">
        <f>6.4535 * CHOOSE(CONTROL!$C$32, $C$9, 100%, $E$9)</f>
        <v>6.4535</v>
      </c>
      <c r="G429" s="9">
        <f>6.4578 * CHOOSE(CONTROL!$C$32, $C$9, 100%, $E$9)</f>
        <v>6.4577999999999998</v>
      </c>
      <c r="H429" s="9">
        <f>8.5848 * CHOOSE(CONTROL!$C$32, $C$9, 100%, $E$9)</f>
        <v>8.5847999999999995</v>
      </c>
      <c r="I429" s="9">
        <f>8.5892 * CHOOSE(CONTROL!$C$32, $C$9, 100%, $E$9)</f>
        <v>8.5891999999999999</v>
      </c>
      <c r="J429" s="9">
        <f>8.5848 * CHOOSE(CONTROL!$C$32, $C$9, 100%, $E$9)</f>
        <v>8.5847999999999995</v>
      </c>
      <c r="K429" s="9">
        <f>8.5892 * CHOOSE(CONTROL!$C$32, $C$9, 100%, $E$9)</f>
        <v>8.5891999999999999</v>
      </c>
      <c r="L429" s="9">
        <f>6.4535 * CHOOSE(CONTROL!$C$32, $C$9, 100%, $E$9)</f>
        <v>6.4535</v>
      </c>
      <c r="M429" s="9">
        <f>6.4578 * CHOOSE(CONTROL!$C$32, $C$9, 100%, $E$9)</f>
        <v>6.4577999999999998</v>
      </c>
      <c r="N429" s="9">
        <f>6.4535 * CHOOSE(CONTROL!$C$32, $C$9, 100%, $E$9)</f>
        <v>6.4535</v>
      </c>
      <c r="O429" s="9">
        <f>6.4578 * CHOOSE(CONTROL!$C$32, $C$9, 100%, $E$9)</f>
        <v>6.4577999999999998</v>
      </c>
    </row>
    <row r="430" spans="1:15" ht="15.75" x14ac:dyDescent="0.25">
      <c r="A430" s="14">
        <v>53600</v>
      </c>
      <c r="B430" s="10">
        <f>7.0396 * CHOOSE(CONTROL!$C$32, $C$9, 100%, $E$9)</f>
        <v>7.0396000000000001</v>
      </c>
      <c r="C430" s="10">
        <f>7.0396 * CHOOSE(CONTROL!$C$32, $C$9, 100%, $E$9)</f>
        <v>7.0396000000000001</v>
      </c>
      <c r="D430" s="10">
        <f>7.0409 * CHOOSE(CONTROL!$C$32, $C$9, 100%, $E$9)</f>
        <v>7.0408999999999997</v>
      </c>
      <c r="E430" s="9">
        <f>6.4377 * CHOOSE(CONTROL!$C$32, $C$9, 100%, $E$9)</f>
        <v>6.4377000000000004</v>
      </c>
      <c r="F430" s="9">
        <f>6.4377 * CHOOSE(CONTROL!$C$32, $C$9, 100%, $E$9)</f>
        <v>6.4377000000000004</v>
      </c>
      <c r="G430" s="9">
        <f>6.4421 * CHOOSE(CONTROL!$C$32, $C$9, 100%, $E$9)</f>
        <v>6.4420999999999999</v>
      </c>
      <c r="H430" s="9">
        <f>8.5828 * CHOOSE(CONTROL!$C$32, $C$9, 100%, $E$9)</f>
        <v>8.5828000000000007</v>
      </c>
      <c r="I430" s="9">
        <f>8.5872 * CHOOSE(CONTROL!$C$32, $C$9, 100%, $E$9)</f>
        <v>8.5871999999999993</v>
      </c>
      <c r="J430" s="9">
        <f>8.5828 * CHOOSE(CONTROL!$C$32, $C$9, 100%, $E$9)</f>
        <v>8.5828000000000007</v>
      </c>
      <c r="K430" s="9">
        <f>8.5872 * CHOOSE(CONTROL!$C$32, $C$9, 100%, $E$9)</f>
        <v>8.5871999999999993</v>
      </c>
      <c r="L430" s="9">
        <f>6.4377 * CHOOSE(CONTROL!$C$32, $C$9, 100%, $E$9)</f>
        <v>6.4377000000000004</v>
      </c>
      <c r="M430" s="9">
        <f>6.4421 * CHOOSE(CONTROL!$C$32, $C$9, 100%, $E$9)</f>
        <v>6.4420999999999999</v>
      </c>
      <c r="N430" s="9">
        <f>6.4377 * CHOOSE(CONTROL!$C$32, $C$9, 100%, $E$9)</f>
        <v>6.4377000000000004</v>
      </c>
      <c r="O430" s="9">
        <f>6.4421 * CHOOSE(CONTROL!$C$32, $C$9, 100%, $E$9)</f>
        <v>6.4420999999999999</v>
      </c>
    </row>
    <row r="431" spans="1:15" ht="15.75" x14ac:dyDescent="0.25">
      <c r="A431" s="14">
        <v>53631</v>
      </c>
      <c r="B431" s="10">
        <f>7.0468 * CHOOSE(CONTROL!$C$32, $C$9, 100%, $E$9)</f>
        <v>7.0468000000000002</v>
      </c>
      <c r="C431" s="10">
        <f>7.0468 * CHOOSE(CONTROL!$C$32, $C$9, 100%, $E$9)</f>
        <v>7.0468000000000002</v>
      </c>
      <c r="D431" s="10">
        <f>7.0478 * CHOOSE(CONTROL!$C$32, $C$9, 100%, $E$9)</f>
        <v>7.0477999999999996</v>
      </c>
      <c r="E431" s="9">
        <f>6.4789 * CHOOSE(CONTROL!$C$32, $C$9, 100%, $E$9)</f>
        <v>6.4789000000000003</v>
      </c>
      <c r="F431" s="9">
        <f>6.4789 * CHOOSE(CONTROL!$C$32, $C$9, 100%, $E$9)</f>
        <v>6.4789000000000003</v>
      </c>
      <c r="G431" s="9">
        <f>6.4821 * CHOOSE(CONTROL!$C$32, $C$9, 100%, $E$9)</f>
        <v>6.4821</v>
      </c>
      <c r="H431" s="9">
        <f>8.5866 * CHOOSE(CONTROL!$C$32, $C$9, 100%, $E$9)</f>
        <v>8.5866000000000007</v>
      </c>
      <c r="I431" s="9">
        <f>8.5898 * CHOOSE(CONTROL!$C$32, $C$9, 100%, $E$9)</f>
        <v>8.5898000000000003</v>
      </c>
      <c r="J431" s="9">
        <f>8.5866 * CHOOSE(CONTROL!$C$32, $C$9, 100%, $E$9)</f>
        <v>8.5866000000000007</v>
      </c>
      <c r="K431" s="9">
        <f>8.5898 * CHOOSE(CONTROL!$C$32, $C$9, 100%, $E$9)</f>
        <v>8.5898000000000003</v>
      </c>
      <c r="L431" s="9">
        <f>6.4789 * CHOOSE(CONTROL!$C$32, $C$9, 100%, $E$9)</f>
        <v>6.4789000000000003</v>
      </c>
      <c r="M431" s="9">
        <f>6.4821 * CHOOSE(CONTROL!$C$32, $C$9, 100%, $E$9)</f>
        <v>6.4821</v>
      </c>
      <c r="N431" s="9">
        <f>6.4789 * CHOOSE(CONTROL!$C$32, $C$9, 100%, $E$9)</f>
        <v>6.4789000000000003</v>
      </c>
      <c r="O431" s="9">
        <f>6.4821 * CHOOSE(CONTROL!$C$32, $C$9, 100%, $E$9)</f>
        <v>6.4821</v>
      </c>
    </row>
    <row r="432" spans="1:15" ht="15.75" x14ac:dyDescent="0.25">
      <c r="A432" s="14">
        <v>53661</v>
      </c>
      <c r="B432" s="10">
        <f>7.0499 * CHOOSE(CONTROL!$C$32, $C$9, 100%, $E$9)</f>
        <v>7.0499000000000001</v>
      </c>
      <c r="C432" s="10">
        <f>7.0499 * CHOOSE(CONTROL!$C$32, $C$9, 100%, $E$9)</f>
        <v>7.0499000000000001</v>
      </c>
      <c r="D432" s="10">
        <f>7.0508 * CHOOSE(CONTROL!$C$32, $C$9, 100%, $E$9)</f>
        <v>7.0507999999999997</v>
      </c>
      <c r="E432" s="9">
        <f>6.5083 * CHOOSE(CONTROL!$C$32, $C$9, 100%, $E$9)</f>
        <v>6.5083000000000002</v>
      </c>
      <c r="F432" s="9">
        <f>6.5083 * CHOOSE(CONTROL!$C$32, $C$9, 100%, $E$9)</f>
        <v>6.5083000000000002</v>
      </c>
      <c r="G432" s="9">
        <f>6.5115 * CHOOSE(CONTROL!$C$32, $C$9, 100%, $E$9)</f>
        <v>6.5114999999999998</v>
      </c>
      <c r="H432" s="9">
        <f>8.5886 * CHOOSE(CONTROL!$C$32, $C$9, 100%, $E$9)</f>
        <v>8.5885999999999996</v>
      </c>
      <c r="I432" s="9">
        <f>8.5918 * CHOOSE(CONTROL!$C$32, $C$9, 100%, $E$9)</f>
        <v>8.5917999999999992</v>
      </c>
      <c r="J432" s="9">
        <f>8.5886 * CHOOSE(CONTROL!$C$32, $C$9, 100%, $E$9)</f>
        <v>8.5885999999999996</v>
      </c>
      <c r="K432" s="9">
        <f>8.5918 * CHOOSE(CONTROL!$C$32, $C$9, 100%, $E$9)</f>
        <v>8.5917999999999992</v>
      </c>
      <c r="L432" s="9">
        <f>6.5083 * CHOOSE(CONTROL!$C$32, $C$9, 100%, $E$9)</f>
        <v>6.5083000000000002</v>
      </c>
      <c r="M432" s="9">
        <f>6.5115 * CHOOSE(CONTROL!$C$32, $C$9, 100%, $E$9)</f>
        <v>6.5114999999999998</v>
      </c>
      <c r="N432" s="9">
        <f>6.5083 * CHOOSE(CONTROL!$C$32, $C$9, 100%, $E$9)</f>
        <v>6.5083000000000002</v>
      </c>
      <c r="O432" s="9">
        <f>6.5115 * CHOOSE(CONTROL!$C$32, $C$9, 100%, $E$9)</f>
        <v>6.5114999999999998</v>
      </c>
    </row>
    <row r="433" spans="1:15" ht="15.75" x14ac:dyDescent="0.25">
      <c r="A433" s="14">
        <v>53692</v>
      </c>
      <c r="B433" s="10">
        <f>7.0499 * CHOOSE(CONTROL!$C$32, $C$9, 100%, $E$9)</f>
        <v>7.0499000000000001</v>
      </c>
      <c r="C433" s="10">
        <f>7.0499 * CHOOSE(CONTROL!$C$32, $C$9, 100%, $E$9)</f>
        <v>7.0499000000000001</v>
      </c>
      <c r="D433" s="10">
        <f>7.0508 * CHOOSE(CONTROL!$C$32, $C$9, 100%, $E$9)</f>
        <v>7.0507999999999997</v>
      </c>
      <c r="E433" s="9">
        <f>6.44 * CHOOSE(CONTROL!$C$32, $C$9, 100%, $E$9)</f>
        <v>6.44</v>
      </c>
      <c r="F433" s="9">
        <f>6.44 * CHOOSE(CONTROL!$C$32, $C$9, 100%, $E$9)</f>
        <v>6.44</v>
      </c>
      <c r="G433" s="9">
        <f>6.4432 * CHOOSE(CONTROL!$C$32, $C$9, 100%, $E$9)</f>
        <v>6.4432</v>
      </c>
      <c r="H433" s="9">
        <f>8.5886 * CHOOSE(CONTROL!$C$32, $C$9, 100%, $E$9)</f>
        <v>8.5885999999999996</v>
      </c>
      <c r="I433" s="9">
        <f>8.5918 * CHOOSE(CONTROL!$C$32, $C$9, 100%, $E$9)</f>
        <v>8.5917999999999992</v>
      </c>
      <c r="J433" s="9">
        <f>8.5886 * CHOOSE(CONTROL!$C$32, $C$9, 100%, $E$9)</f>
        <v>8.5885999999999996</v>
      </c>
      <c r="K433" s="9">
        <f>8.5918 * CHOOSE(CONTROL!$C$32, $C$9, 100%, $E$9)</f>
        <v>8.5917999999999992</v>
      </c>
      <c r="L433" s="9">
        <f>6.44 * CHOOSE(CONTROL!$C$32, $C$9, 100%, $E$9)</f>
        <v>6.44</v>
      </c>
      <c r="M433" s="9">
        <f>6.4432 * CHOOSE(CONTROL!$C$32, $C$9, 100%, $E$9)</f>
        <v>6.4432</v>
      </c>
      <c r="N433" s="9">
        <f>6.44 * CHOOSE(CONTROL!$C$32, $C$9, 100%, $E$9)</f>
        <v>6.44</v>
      </c>
      <c r="O433" s="9">
        <f>6.4432 * CHOOSE(CONTROL!$C$32, $C$9, 100%, $E$9)</f>
        <v>6.4432</v>
      </c>
    </row>
    <row r="434" spans="1:15" ht="15.75" x14ac:dyDescent="0.25">
      <c r="A434" s="14">
        <v>53723</v>
      </c>
      <c r="B434" s="10">
        <f>7.109 * CHOOSE(CONTROL!$C$32, $C$9, 100%, $E$9)</f>
        <v>7.109</v>
      </c>
      <c r="C434" s="10">
        <f>7.109 * CHOOSE(CONTROL!$C$32, $C$9, 100%, $E$9)</f>
        <v>7.109</v>
      </c>
      <c r="D434" s="10">
        <f>7.1099 * CHOOSE(CONTROL!$C$32, $C$9, 100%, $E$9)</f>
        <v>7.1098999999999997</v>
      </c>
      <c r="E434" s="9">
        <f>6.5337 * CHOOSE(CONTROL!$C$32, $C$9, 100%, $E$9)</f>
        <v>6.5336999999999996</v>
      </c>
      <c r="F434" s="9">
        <f>6.5337 * CHOOSE(CONTROL!$C$32, $C$9, 100%, $E$9)</f>
        <v>6.5336999999999996</v>
      </c>
      <c r="G434" s="9">
        <f>6.5369 * CHOOSE(CONTROL!$C$32, $C$9, 100%, $E$9)</f>
        <v>6.5369000000000002</v>
      </c>
      <c r="H434" s="9">
        <f>8.6528 * CHOOSE(CONTROL!$C$32, $C$9, 100%, $E$9)</f>
        <v>8.6527999999999992</v>
      </c>
      <c r="I434" s="9">
        <f>8.656 * CHOOSE(CONTROL!$C$32, $C$9, 100%, $E$9)</f>
        <v>8.6560000000000006</v>
      </c>
      <c r="J434" s="9">
        <f>8.6528 * CHOOSE(CONTROL!$C$32, $C$9, 100%, $E$9)</f>
        <v>8.6527999999999992</v>
      </c>
      <c r="K434" s="9">
        <f>8.656 * CHOOSE(CONTROL!$C$32, $C$9, 100%, $E$9)</f>
        <v>8.6560000000000006</v>
      </c>
      <c r="L434" s="9">
        <f>6.5337 * CHOOSE(CONTROL!$C$32, $C$9, 100%, $E$9)</f>
        <v>6.5336999999999996</v>
      </c>
      <c r="M434" s="9">
        <f>6.5369 * CHOOSE(CONTROL!$C$32, $C$9, 100%, $E$9)</f>
        <v>6.5369000000000002</v>
      </c>
      <c r="N434" s="9">
        <f>6.5337 * CHOOSE(CONTROL!$C$32, $C$9, 100%, $E$9)</f>
        <v>6.5336999999999996</v>
      </c>
      <c r="O434" s="9">
        <f>6.5369 * CHOOSE(CONTROL!$C$32, $C$9, 100%, $E$9)</f>
        <v>6.5369000000000002</v>
      </c>
    </row>
    <row r="435" spans="1:15" ht="15.75" x14ac:dyDescent="0.25">
      <c r="A435" s="14">
        <v>53751</v>
      </c>
      <c r="B435" s="10">
        <f>7.106 * CHOOSE(CONTROL!$C$32, $C$9, 100%, $E$9)</f>
        <v>7.1059999999999999</v>
      </c>
      <c r="C435" s="10">
        <f>7.106 * CHOOSE(CONTROL!$C$32, $C$9, 100%, $E$9)</f>
        <v>7.1059999999999999</v>
      </c>
      <c r="D435" s="10">
        <f>7.1069 * CHOOSE(CONTROL!$C$32, $C$9, 100%, $E$9)</f>
        <v>7.1069000000000004</v>
      </c>
      <c r="E435" s="9">
        <f>6.3987 * CHOOSE(CONTROL!$C$32, $C$9, 100%, $E$9)</f>
        <v>6.3986999999999998</v>
      </c>
      <c r="F435" s="9">
        <f>6.3987 * CHOOSE(CONTROL!$C$32, $C$9, 100%, $E$9)</f>
        <v>6.3986999999999998</v>
      </c>
      <c r="G435" s="9">
        <f>6.4019 * CHOOSE(CONTROL!$C$32, $C$9, 100%, $E$9)</f>
        <v>6.4019000000000004</v>
      </c>
      <c r="H435" s="9">
        <f>8.6508 * CHOOSE(CONTROL!$C$32, $C$9, 100%, $E$9)</f>
        <v>8.6508000000000003</v>
      </c>
      <c r="I435" s="9">
        <f>8.654 * CHOOSE(CONTROL!$C$32, $C$9, 100%, $E$9)</f>
        <v>8.6539999999999999</v>
      </c>
      <c r="J435" s="9">
        <f>8.6508 * CHOOSE(CONTROL!$C$32, $C$9, 100%, $E$9)</f>
        <v>8.6508000000000003</v>
      </c>
      <c r="K435" s="9">
        <f>8.654 * CHOOSE(CONTROL!$C$32, $C$9, 100%, $E$9)</f>
        <v>8.6539999999999999</v>
      </c>
      <c r="L435" s="9">
        <f>6.3987 * CHOOSE(CONTROL!$C$32, $C$9, 100%, $E$9)</f>
        <v>6.3986999999999998</v>
      </c>
      <c r="M435" s="9">
        <f>6.4019 * CHOOSE(CONTROL!$C$32, $C$9, 100%, $E$9)</f>
        <v>6.4019000000000004</v>
      </c>
      <c r="N435" s="9">
        <f>6.3987 * CHOOSE(CONTROL!$C$32, $C$9, 100%, $E$9)</f>
        <v>6.3986999999999998</v>
      </c>
      <c r="O435" s="9">
        <f>6.4019 * CHOOSE(CONTROL!$C$32, $C$9, 100%, $E$9)</f>
        <v>6.4019000000000004</v>
      </c>
    </row>
    <row r="436" spans="1:15" ht="15.75" x14ac:dyDescent="0.25">
      <c r="A436" s="14">
        <v>53782</v>
      </c>
      <c r="B436" s="10">
        <f>7.1029 * CHOOSE(CONTROL!$C$32, $C$9, 100%, $E$9)</f>
        <v>7.1029</v>
      </c>
      <c r="C436" s="10">
        <f>7.1029 * CHOOSE(CONTROL!$C$32, $C$9, 100%, $E$9)</f>
        <v>7.1029</v>
      </c>
      <c r="D436" s="10">
        <f>7.1039 * CHOOSE(CONTROL!$C$32, $C$9, 100%, $E$9)</f>
        <v>7.1039000000000003</v>
      </c>
      <c r="E436" s="9">
        <f>6.5013 * CHOOSE(CONTROL!$C$32, $C$9, 100%, $E$9)</f>
        <v>6.5012999999999996</v>
      </c>
      <c r="F436" s="9">
        <f>6.5013 * CHOOSE(CONTROL!$C$32, $C$9, 100%, $E$9)</f>
        <v>6.5012999999999996</v>
      </c>
      <c r="G436" s="9">
        <f>6.5045 * CHOOSE(CONTROL!$C$32, $C$9, 100%, $E$9)</f>
        <v>6.5045000000000002</v>
      </c>
      <c r="H436" s="9">
        <f>8.6488 * CHOOSE(CONTROL!$C$32, $C$9, 100%, $E$9)</f>
        <v>8.6487999999999996</v>
      </c>
      <c r="I436" s="9">
        <f>8.652 * CHOOSE(CONTROL!$C$32, $C$9, 100%, $E$9)</f>
        <v>8.6519999999999992</v>
      </c>
      <c r="J436" s="9">
        <f>8.6488 * CHOOSE(CONTROL!$C$32, $C$9, 100%, $E$9)</f>
        <v>8.6487999999999996</v>
      </c>
      <c r="K436" s="9">
        <f>8.652 * CHOOSE(CONTROL!$C$32, $C$9, 100%, $E$9)</f>
        <v>8.6519999999999992</v>
      </c>
      <c r="L436" s="9">
        <f>6.5013 * CHOOSE(CONTROL!$C$32, $C$9, 100%, $E$9)</f>
        <v>6.5012999999999996</v>
      </c>
      <c r="M436" s="9">
        <f>6.5045 * CHOOSE(CONTROL!$C$32, $C$9, 100%, $E$9)</f>
        <v>6.5045000000000002</v>
      </c>
      <c r="N436" s="9">
        <f>6.5013 * CHOOSE(CONTROL!$C$32, $C$9, 100%, $E$9)</f>
        <v>6.5012999999999996</v>
      </c>
      <c r="O436" s="9">
        <f>6.5045 * CHOOSE(CONTROL!$C$32, $C$9, 100%, $E$9)</f>
        <v>6.5045000000000002</v>
      </c>
    </row>
    <row r="437" spans="1:15" ht="15.75" x14ac:dyDescent="0.25">
      <c r="A437" s="14">
        <v>53812</v>
      </c>
      <c r="B437" s="10">
        <f>7.1038 * CHOOSE(CONTROL!$C$32, $C$9, 100%, $E$9)</f>
        <v>7.1037999999999997</v>
      </c>
      <c r="C437" s="10">
        <f>7.1038 * CHOOSE(CONTROL!$C$32, $C$9, 100%, $E$9)</f>
        <v>7.1037999999999997</v>
      </c>
      <c r="D437" s="10">
        <f>7.1047 * CHOOSE(CONTROL!$C$32, $C$9, 100%, $E$9)</f>
        <v>7.1047000000000002</v>
      </c>
      <c r="E437" s="9">
        <f>6.6096 * CHOOSE(CONTROL!$C$32, $C$9, 100%, $E$9)</f>
        <v>6.6096000000000004</v>
      </c>
      <c r="F437" s="9">
        <f>6.6096 * CHOOSE(CONTROL!$C$32, $C$9, 100%, $E$9)</f>
        <v>6.6096000000000004</v>
      </c>
      <c r="G437" s="9">
        <f>6.6128 * CHOOSE(CONTROL!$C$32, $C$9, 100%, $E$9)</f>
        <v>6.6128</v>
      </c>
      <c r="H437" s="9">
        <f>8.6491 * CHOOSE(CONTROL!$C$32, $C$9, 100%, $E$9)</f>
        <v>8.6491000000000007</v>
      </c>
      <c r="I437" s="9">
        <f>8.6523 * CHOOSE(CONTROL!$C$32, $C$9, 100%, $E$9)</f>
        <v>8.6523000000000003</v>
      </c>
      <c r="J437" s="9">
        <f>8.6491 * CHOOSE(CONTROL!$C$32, $C$9, 100%, $E$9)</f>
        <v>8.6491000000000007</v>
      </c>
      <c r="K437" s="9">
        <f>8.6523 * CHOOSE(CONTROL!$C$32, $C$9, 100%, $E$9)</f>
        <v>8.6523000000000003</v>
      </c>
      <c r="L437" s="9">
        <f>6.6096 * CHOOSE(CONTROL!$C$32, $C$9, 100%, $E$9)</f>
        <v>6.6096000000000004</v>
      </c>
      <c r="M437" s="9">
        <f>6.6128 * CHOOSE(CONTROL!$C$32, $C$9, 100%, $E$9)</f>
        <v>6.6128</v>
      </c>
      <c r="N437" s="9">
        <f>6.6096 * CHOOSE(CONTROL!$C$32, $C$9, 100%, $E$9)</f>
        <v>6.6096000000000004</v>
      </c>
      <c r="O437" s="9">
        <f>6.6128 * CHOOSE(CONTROL!$C$32, $C$9, 100%, $E$9)</f>
        <v>6.6128</v>
      </c>
    </row>
    <row r="438" spans="1:15" ht="15.75" x14ac:dyDescent="0.25">
      <c r="A438" s="14">
        <v>53843</v>
      </c>
      <c r="B438" s="10">
        <f>7.1038 * CHOOSE(CONTROL!$C$32, $C$9, 100%, $E$9)</f>
        <v>7.1037999999999997</v>
      </c>
      <c r="C438" s="10">
        <f>7.1038 * CHOOSE(CONTROL!$C$32, $C$9, 100%, $E$9)</f>
        <v>7.1037999999999997</v>
      </c>
      <c r="D438" s="10">
        <f>7.1051 * CHOOSE(CONTROL!$C$32, $C$9, 100%, $E$9)</f>
        <v>7.1051000000000002</v>
      </c>
      <c r="E438" s="9">
        <f>6.6518 * CHOOSE(CONTROL!$C$32, $C$9, 100%, $E$9)</f>
        <v>6.6517999999999997</v>
      </c>
      <c r="F438" s="9">
        <f>6.6518 * CHOOSE(CONTROL!$C$32, $C$9, 100%, $E$9)</f>
        <v>6.6517999999999997</v>
      </c>
      <c r="G438" s="9">
        <f>6.6561 * CHOOSE(CONTROL!$C$32, $C$9, 100%, $E$9)</f>
        <v>6.6561000000000003</v>
      </c>
      <c r="H438" s="9">
        <f>8.6491 * CHOOSE(CONTROL!$C$32, $C$9, 100%, $E$9)</f>
        <v>8.6491000000000007</v>
      </c>
      <c r="I438" s="9">
        <f>8.6535 * CHOOSE(CONTROL!$C$32, $C$9, 100%, $E$9)</f>
        <v>8.6534999999999993</v>
      </c>
      <c r="J438" s="9">
        <f>8.6491 * CHOOSE(CONTROL!$C$32, $C$9, 100%, $E$9)</f>
        <v>8.6491000000000007</v>
      </c>
      <c r="K438" s="9">
        <f>8.6535 * CHOOSE(CONTROL!$C$32, $C$9, 100%, $E$9)</f>
        <v>8.6534999999999993</v>
      </c>
      <c r="L438" s="9">
        <f>6.6518 * CHOOSE(CONTROL!$C$32, $C$9, 100%, $E$9)</f>
        <v>6.6517999999999997</v>
      </c>
      <c r="M438" s="9">
        <f>6.6561 * CHOOSE(CONTROL!$C$32, $C$9, 100%, $E$9)</f>
        <v>6.6561000000000003</v>
      </c>
      <c r="N438" s="9">
        <f>6.6518 * CHOOSE(CONTROL!$C$32, $C$9, 100%, $E$9)</f>
        <v>6.6517999999999997</v>
      </c>
      <c r="O438" s="9">
        <f>6.6561 * CHOOSE(CONTROL!$C$32, $C$9, 100%, $E$9)</f>
        <v>6.6561000000000003</v>
      </c>
    </row>
    <row r="439" spans="1:15" ht="15.75" x14ac:dyDescent="0.25">
      <c r="A439" s="14">
        <v>53873</v>
      </c>
      <c r="B439" s="10">
        <f>7.1099 * CHOOSE(CONTROL!$C$32, $C$9, 100%, $E$9)</f>
        <v>7.1098999999999997</v>
      </c>
      <c r="C439" s="10">
        <f>7.1099 * CHOOSE(CONTROL!$C$32, $C$9, 100%, $E$9)</f>
        <v>7.1098999999999997</v>
      </c>
      <c r="D439" s="10">
        <f>7.1112 * CHOOSE(CONTROL!$C$32, $C$9, 100%, $E$9)</f>
        <v>7.1112000000000002</v>
      </c>
      <c r="E439" s="9">
        <f>6.6138 * CHOOSE(CONTROL!$C$32, $C$9, 100%, $E$9)</f>
        <v>6.6138000000000003</v>
      </c>
      <c r="F439" s="9">
        <f>6.6138 * CHOOSE(CONTROL!$C$32, $C$9, 100%, $E$9)</f>
        <v>6.6138000000000003</v>
      </c>
      <c r="G439" s="9">
        <f>6.6182 * CHOOSE(CONTROL!$C$32, $C$9, 100%, $E$9)</f>
        <v>6.6181999999999999</v>
      </c>
      <c r="H439" s="9">
        <f>8.6531 * CHOOSE(CONTROL!$C$32, $C$9, 100%, $E$9)</f>
        <v>8.6531000000000002</v>
      </c>
      <c r="I439" s="9">
        <f>8.6575 * CHOOSE(CONTROL!$C$32, $C$9, 100%, $E$9)</f>
        <v>8.6575000000000006</v>
      </c>
      <c r="J439" s="9">
        <f>8.6531 * CHOOSE(CONTROL!$C$32, $C$9, 100%, $E$9)</f>
        <v>8.6531000000000002</v>
      </c>
      <c r="K439" s="9">
        <f>8.6575 * CHOOSE(CONTROL!$C$32, $C$9, 100%, $E$9)</f>
        <v>8.6575000000000006</v>
      </c>
      <c r="L439" s="9">
        <f>6.6138 * CHOOSE(CONTROL!$C$32, $C$9, 100%, $E$9)</f>
        <v>6.6138000000000003</v>
      </c>
      <c r="M439" s="9">
        <f>6.6182 * CHOOSE(CONTROL!$C$32, $C$9, 100%, $E$9)</f>
        <v>6.6181999999999999</v>
      </c>
      <c r="N439" s="9">
        <f>6.6138 * CHOOSE(CONTROL!$C$32, $C$9, 100%, $E$9)</f>
        <v>6.6138000000000003</v>
      </c>
      <c r="O439" s="9">
        <f>6.6182 * CHOOSE(CONTROL!$C$32, $C$9, 100%, $E$9)</f>
        <v>6.6181999999999999</v>
      </c>
    </row>
    <row r="440" spans="1:15" ht="15.75" x14ac:dyDescent="0.25">
      <c r="A440" s="14">
        <v>53904</v>
      </c>
      <c r="B440" s="10">
        <f>7.2136 * CHOOSE(CONTROL!$C$32, $C$9, 100%, $E$9)</f>
        <v>7.2135999999999996</v>
      </c>
      <c r="C440" s="10">
        <f>7.2136 * CHOOSE(CONTROL!$C$32, $C$9, 100%, $E$9)</f>
        <v>7.2135999999999996</v>
      </c>
      <c r="D440" s="10">
        <f>7.2149 * CHOOSE(CONTROL!$C$32, $C$9, 100%, $E$9)</f>
        <v>7.2149000000000001</v>
      </c>
      <c r="E440" s="9">
        <f>6.6924 * CHOOSE(CONTROL!$C$32, $C$9, 100%, $E$9)</f>
        <v>6.6924000000000001</v>
      </c>
      <c r="F440" s="9">
        <f>6.6924 * CHOOSE(CONTROL!$C$32, $C$9, 100%, $E$9)</f>
        <v>6.6924000000000001</v>
      </c>
      <c r="G440" s="9">
        <f>6.6967 * CHOOSE(CONTROL!$C$32, $C$9, 100%, $E$9)</f>
        <v>6.6966999999999999</v>
      </c>
      <c r="H440" s="9">
        <f>8.7847 * CHOOSE(CONTROL!$C$32, $C$9, 100%, $E$9)</f>
        <v>8.7847000000000008</v>
      </c>
      <c r="I440" s="9">
        <f>8.7891 * CHOOSE(CONTROL!$C$32, $C$9, 100%, $E$9)</f>
        <v>8.7890999999999995</v>
      </c>
      <c r="J440" s="9">
        <f>8.7847 * CHOOSE(CONTROL!$C$32, $C$9, 100%, $E$9)</f>
        <v>8.7847000000000008</v>
      </c>
      <c r="K440" s="9">
        <f>8.7891 * CHOOSE(CONTROL!$C$32, $C$9, 100%, $E$9)</f>
        <v>8.7890999999999995</v>
      </c>
      <c r="L440" s="9">
        <f>6.6924 * CHOOSE(CONTROL!$C$32, $C$9, 100%, $E$9)</f>
        <v>6.6924000000000001</v>
      </c>
      <c r="M440" s="9">
        <f>6.6967 * CHOOSE(CONTROL!$C$32, $C$9, 100%, $E$9)</f>
        <v>6.6966999999999999</v>
      </c>
      <c r="N440" s="9">
        <f>6.6924 * CHOOSE(CONTROL!$C$32, $C$9, 100%, $E$9)</f>
        <v>6.6924000000000001</v>
      </c>
      <c r="O440" s="9">
        <f>6.6967 * CHOOSE(CONTROL!$C$32, $C$9, 100%, $E$9)</f>
        <v>6.6966999999999999</v>
      </c>
    </row>
    <row r="441" spans="1:15" ht="15.75" x14ac:dyDescent="0.25">
      <c r="A441" s="14">
        <v>53935</v>
      </c>
      <c r="B441" s="10">
        <f>7.2203 * CHOOSE(CONTROL!$C$32, $C$9, 100%, $E$9)</f>
        <v>7.2202999999999999</v>
      </c>
      <c r="C441" s="10">
        <f>7.2203 * CHOOSE(CONTROL!$C$32, $C$9, 100%, $E$9)</f>
        <v>7.2202999999999999</v>
      </c>
      <c r="D441" s="10">
        <f>7.2216 * CHOOSE(CONTROL!$C$32, $C$9, 100%, $E$9)</f>
        <v>7.2215999999999996</v>
      </c>
      <c r="E441" s="9">
        <f>6.5705 * CHOOSE(CONTROL!$C$32, $C$9, 100%, $E$9)</f>
        <v>6.5705</v>
      </c>
      <c r="F441" s="9">
        <f>6.5705 * CHOOSE(CONTROL!$C$32, $C$9, 100%, $E$9)</f>
        <v>6.5705</v>
      </c>
      <c r="G441" s="9">
        <f>6.5748 * CHOOSE(CONTROL!$C$32, $C$9, 100%, $E$9)</f>
        <v>6.5747999999999998</v>
      </c>
      <c r="H441" s="9">
        <f>8.7891 * CHOOSE(CONTROL!$C$32, $C$9, 100%, $E$9)</f>
        <v>8.7890999999999995</v>
      </c>
      <c r="I441" s="9">
        <f>8.7935 * CHOOSE(CONTROL!$C$32, $C$9, 100%, $E$9)</f>
        <v>8.7934999999999999</v>
      </c>
      <c r="J441" s="9">
        <f>8.7891 * CHOOSE(CONTROL!$C$32, $C$9, 100%, $E$9)</f>
        <v>8.7890999999999995</v>
      </c>
      <c r="K441" s="9">
        <f>8.7935 * CHOOSE(CONTROL!$C$32, $C$9, 100%, $E$9)</f>
        <v>8.7934999999999999</v>
      </c>
      <c r="L441" s="9">
        <f>6.5705 * CHOOSE(CONTROL!$C$32, $C$9, 100%, $E$9)</f>
        <v>6.5705</v>
      </c>
      <c r="M441" s="9">
        <f>6.5748 * CHOOSE(CONTROL!$C$32, $C$9, 100%, $E$9)</f>
        <v>6.5747999999999998</v>
      </c>
      <c r="N441" s="9">
        <f>6.5705 * CHOOSE(CONTROL!$C$32, $C$9, 100%, $E$9)</f>
        <v>6.5705</v>
      </c>
      <c r="O441" s="9">
        <f>6.5748 * CHOOSE(CONTROL!$C$32, $C$9, 100%, $E$9)</f>
        <v>6.5747999999999998</v>
      </c>
    </row>
    <row r="442" spans="1:15" ht="15.75" x14ac:dyDescent="0.25">
      <c r="A442" s="14">
        <v>53965</v>
      </c>
      <c r="B442" s="10">
        <f>7.2173 * CHOOSE(CONTROL!$C$32, $C$9, 100%, $E$9)</f>
        <v>7.2172999999999998</v>
      </c>
      <c r="C442" s="10">
        <f>7.2173 * CHOOSE(CONTROL!$C$32, $C$9, 100%, $E$9)</f>
        <v>7.2172999999999998</v>
      </c>
      <c r="D442" s="10">
        <f>7.2186 * CHOOSE(CONTROL!$C$32, $C$9, 100%, $E$9)</f>
        <v>7.2186000000000003</v>
      </c>
      <c r="E442" s="9">
        <f>6.5543 * CHOOSE(CONTROL!$C$32, $C$9, 100%, $E$9)</f>
        <v>6.5542999999999996</v>
      </c>
      <c r="F442" s="9">
        <f>6.5543 * CHOOSE(CONTROL!$C$32, $C$9, 100%, $E$9)</f>
        <v>6.5542999999999996</v>
      </c>
      <c r="G442" s="9">
        <f>6.5586 * CHOOSE(CONTROL!$C$32, $C$9, 100%, $E$9)</f>
        <v>6.5586000000000002</v>
      </c>
      <c r="H442" s="9">
        <f>8.7871 * CHOOSE(CONTROL!$C$32, $C$9, 100%, $E$9)</f>
        <v>8.7871000000000006</v>
      </c>
      <c r="I442" s="9">
        <f>8.7915 * CHOOSE(CONTROL!$C$32, $C$9, 100%, $E$9)</f>
        <v>8.7914999999999992</v>
      </c>
      <c r="J442" s="9">
        <f>8.7871 * CHOOSE(CONTROL!$C$32, $C$9, 100%, $E$9)</f>
        <v>8.7871000000000006</v>
      </c>
      <c r="K442" s="9">
        <f>8.7915 * CHOOSE(CONTROL!$C$32, $C$9, 100%, $E$9)</f>
        <v>8.7914999999999992</v>
      </c>
      <c r="L442" s="9">
        <f>6.5543 * CHOOSE(CONTROL!$C$32, $C$9, 100%, $E$9)</f>
        <v>6.5542999999999996</v>
      </c>
      <c r="M442" s="9">
        <f>6.5586 * CHOOSE(CONTROL!$C$32, $C$9, 100%, $E$9)</f>
        <v>6.5586000000000002</v>
      </c>
      <c r="N442" s="9">
        <f>6.5543 * CHOOSE(CONTROL!$C$32, $C$9, 100%, $E$9)</f>
        <v>6.5542999999999996</v>
      </c>
      <c r="O442" s="9">
        <f>6.5586 * CHOOSE(CONTROL!$C$32, $C$9, 100%, $E$9)</f>
        <v>6.5586000000000002</v>
      </c>
    </row>
    <row r="443" spans="1:15" ht="15.75" x14ac:dyDescent="0.25">
      <c r="A443" s="14">
        <v>53996</v>
      </c>
      <c r="B443" s="10">
        <f>7.2252 * CHOOSE(CONTROL!$C$32, $C$9, 100%, $E$9)</f>
        <v>7.2252000000000001</v>
      </c>
      <c r="C443" s="10">
        <f>7.2252 * CHOOSE(CONTROL!$C$32, $C$9, 100%, $E$9)</f>
        <v>7.2252000000000001</v>
      </c>
      <c r="D443" s="10">
        <f>7.2261 * CHOOSE(CONTROL!$C$32, $C$9, 100%, $E$9)</f>
        <v>7.2260999999999997</v>
      </c>
      <c r="E443" s="9">
        <f>6.5971 * CHOOSE(CONTROL!$C$32, $C$9, 100%, $E$9)</f>
        <v>6.5971000000000002</v>
      </c>
      <c r="F443" s="9">
        <f>6.5971 * CHOOSE(CONTROL!$C$32, $C$9, 100%, $E$9)</f>
        <v>6.5971000000000002</v>
      </c>
      <c r="G443" s="9">
        <f>6.6003 * CHOOSE(CONTROL!$C$32, $C$9, 100%, $E$9)</f>
        <v>6.6002999999999998</v>
      </c>
      <c r="H443" s="9">
        <f>8.7913 * CHOOSE(CONTROL!$C$32, $C$9, 100%, $E$9)</f>
        <v>8.7912999999999997</v>
      </c>
      <c r="I443" s="9">
        <f>8.7945 * CHOOSE(CONTROL!$C$32, $C$9, 100%, $E$9)</f>
        <v>8.7944999999999993</v>
      </c>
      <c r="J443" s="9">
        <f>8.7913 * CHOOSE(CONTROL!$C$32, $C$9, 100%, $E$9)</f>
        <v>8.7912999999999997</v>
      </c>
      <c r="K443" s="9">
        <f>8.7945 * CHOOSE(CONTROL!$C$32, $C$9, 100%, $E$9)</f>
        <v>8.7944999999999993</v>
      </c>
      <c r="L443" s="9">
        <f>6.5971 * CHOOSE(CONTROL!$C$32, $C$9, 100%, $E$9)</f>
        <v>6.5971000000000002</v>
      </c>
      <c r="M443" s="9">
        <f>6.6003 * CHOOSE(CONTROL!$C$32, $C$9, 100%, $E$9)</f>
        <v>6.6002999999999998</v>
      </c>
      <c r="N443" s="9">
        <f>6.5971 * CHOOSE(CONTROL!$C$32, $C$9, 100%, $E$9)</f>
        <v>6.5971000000000002</v>
      </c>
      <c r="O443" s="9">
        <f>6.6003 * CHOOSE(CONTROL!$C$32, $C$9, 100%, $E$9)</f>
        <v>6.6002999999999998</v>
      </c>
    </row>
    <row r="444" spans="1:15" ht="15.75" x14ac:dyDescent="0.25">
      <c r="A444" s="14">
        <v>54026</v>
      </c>
      <c r="B444" s="10">
        <f>7.2282 * CHOOSE(CONTROL!$C$32, $C$9, 100%, $E$9)</f>
        <v>7.2282000000000002</v>
      </c>
      <c r="C444" s="10">
        <f>7.2282 * CHOOSE(CONTROL!$C$32, $C$9, 100%, $E$9)</f>
        <v>7.2282000000000002</v>
      </c>
      <c r="D444" s="10">
        <f>7.2292 * CHOOSE(CONTROL!$C$32, $C$9, 100%, $E$9)</f>
        <v>7.2291999999999996</v>
      </c>
      <c r="E444" s="9">
        <f>6.6274 * CHOOSE(CONTROL!$C$32, $C$9, 100%, $E$9)</f>
        <v>6.6273999999999997</v>
      </c>
      <c r="F444" s="9">
        <f>6.6274 * CHOOSE(CONTROL!$C$32, $C$9, 100%, $E$9)</f>
        <v>6.6273999999999997</v>
      </c>
      <c r="G444" s="9">
        <f>6.6306 * CHOOSE(CONTROL!$C$32, $C$9, 100%, $E$9)</f>
        <v>6.6306000000000003</v>
      </c>
      <c r="H444" s="9">
        <f>8.7933 * CHOOSE(CONTROL!$C$32, $C$9, 100%, $E$9)</f>
        <v>8.7933000000000003</v>
      </c>
      <c r="I444" s="9">
        <f>8.7965 * CHOOSE(CONTROL!$C$32, $C$9, 100%, $E$9)</f>
        <v>8.7965</v>
      </c>
      <c r="J444" s="9">
        <f>8.7933 * CHOOSE(CONTROL!$C$32, $C$9, 100%, $E$9)</f>
        <v>8.7933000000000003</v>
      </c>
      <c r="K444" s="9">
        <f>8.7965 * CHOOSE(CONTROL!$C$32, $C$9, 100%, $E$9)</f>
        <v>8.7965</v>
      </c>
      <c r="L444" s="9">
        <f>6.6274 * CHOOSE(CONTROL!$C$32, $C$9, 100%, $E$9)</f>
        <v>6.6273999999999997</v>
      </c>
      <c r="M444" s="9">
        <f>6.6306 * CHOOSE(CONTROL!$C$32, $C$9, 100%, $E$9)</f>
        <v>6.6306000000000003</v>
      </c>
      <c r="N444" s="9">
        <f>6.6274 * CHOOSE(CONTROL!$C$32, $C$9, 100%, $E$9)</f>
        <v>6.6273999999999997</v>
      </c>
      <c r="O444" s="9">
        <f>6.6306 * CHOOSE(CONTROL!$C$32, $C$9, 100%, $E$9)</f>
        <v>6.6306000000000003</v>
      </c>
    </row>
    <row r="445" spans="1:15" ht="15.75" x14ac:dyDescent="0.25">
      <c r="A445" s="14">
        <v>54057</v>
      </c>
      <c r="B445" s="10">
        <f>7.2282 * CHOOSE(CONTROL!$C$32, $C$9, 100%, $E$9)</f>
        <v>7.2282000000000002</v>
      </c>
      <c r="C445" s="10">
        <f>7.2282 * CHOOSE(CONTROL!$C$32, $C$9, 100%, $E$9)</f>
        <v>7.2282000000000002</v>
      </c>
      <c r="D445" s="10">
        <f>7.2292 * CHOOSE(CONTROL!$C$32, $C$9, 100%, $E$9)</f>
        <v>7.2291999999999996</v>
      </c>
      <c r="E445" s="9">
        <f>6.557 * CHOOSE(CONTROL!$C$32, $C$9, 100%, $E$9)</f>
        <v>6.5570000000000004</v>
      </c>
      <c r="F445" s="9">
        <f>6.557 * CHOOSE(CONTROL!$C$32, $C$9, 100%, $E$9)</f>
        <v>6.5570000000000004</v>
      </c>
      <c r="G445" s="9">
        <f>6.5602 * CHOOSE(CONTROL!$C$32, $C$9, 100%, $E$9)</f>
        <v>6.5602</v>
      </c>
      <c r="H445" s="9">
        <f>8.7933 * CHOOSE(CONTROL!$C$32, $C$9, 100%, $E$9)</f>
        <v>8.7933000000000003</v>
      </c>
      <c r="I445" s="9">
        <f>8.7965 * CHOOSE(CONTROL!$C$32, $C$9, 100%, $E$9)</f>
        <v>8.7965</v>
      </c>
      <c r="J445" s="9">
        <f>8.7933 * CHOOSE(CONTROL!$C$32, $C$9, 100%, $E$9)</f>
        <v>8.7933000000000003</v>
      </c>
      <c r="K445" s="9">
        <f>8.7965 * CHOOSE(CONTROL!$C$32, $C$9, 100%, $E$9)</f>
        <v>8.7965</v>
      </c>
      <c r="L445" s="9">
        <f>6.557 * CHOOSE(CONTROL!$C$32, $C$9, 100%, $E$9)</f>
        <v>6.5570000000000004</v>
      </c>
      <c r="M445" s="9">
        <f>6.5602 * CHOOSE(CONTROL!$C$32, $C$9, 100%, $E$9)</f>
        <v>6.5602</v>
      </c>
      <c r="N445" s="9">
        <f>6.557 * CHOOSE(CONTROL!$C$32, $C$9, 100%, $E$9)</f>
        <v>6.5570000000000004</v>
      </c>
      <c r="O445" s="9">
        <f>6.5602 * CHOOSE(CONTROL!$C$32, $C$9, 100%, $E$9)</f>
        <v>6.5602</v>
      </c>
    </row>
    <row r="446" spans="1:15" ht="15.75" x14ac:dyDescent="0.25">
      <c r="A446" s="14">
        <v>54088</v>
      </c>
      <c r="B446" s="10">
        <f>7.2887 * CHOOSE(CONTROL!$C$32, $C$9, 100%, $E$9)</f>
        <v>7.2887000000000004</v>
      </c>
      <c r="C446" s="10">
        <f>7.2887 * CHOOSE(CONTROL!$C$32, $C$9, 100%, $E$9)</f>
        <v>7.2887000000000004</v>
      </c>
      <c r="D446" s="10">
        <f>7.2897 * CHOOSE(CONTROL!$C$32, $C$9, 100%, $E$9)</f>
        <v>7.2896999999999998</v>
      </c>
      <c r="E446" s="9">
        <f>6.653 * CHOOSE(CONTROL!$C$32, $C$9, 100%, $E$9)</f>
        <v>6.6529999999999996</v>
      </c>
      <c r="F446" s="9">
        <f>6.653 * CHOOSE(CONTROL!$C$32, $C$9, 100%, $E$9)</f>
        <v>6.6529999999999996</v>
      </c>
      <c r="G446" s="9">
        <f>6.6562 * CHOOSE(CONTROL!$C$32, $C$9, 100%, $E$9)</f>
        <v>6.6562000000000001</v>
      </c>
      <c r="H446" s="9">
        <f>8.859 * CHOOSE(CONTROL!$C$32, $C$9, 100%, $E$9)</f>
        <v>8.859</v>
      </c>
      <c r="I446" s="9">
        <f>8.8622 * CHOOSE(CONTROL!$C$32, $C$9, 100%, $E$9)</f>
        <v>8.8621999999999996</v>
      </c>
      <c r="J446" s="9">
        <f>8.859 * CHOOSE(CONTROL!$C$32, $C$9, 100%, $E$9)</f>
        <v>8.859</v>
      </c>
      <c r="K446" s="9">
        <f>8.8622 * CHOOSE(CONTROL!$C$32, $C$9, 100%, $E$9)</f>
        <v>8.8621999999999996</v>
      </c>
      <c r="L446" s="9">
        <f>6.653 * CHOOSE(CONTROL!$C$32, $C$9, 100%, $E$9)</f>
        <v>6.6529999999999996</v>
      </c>
      <c r="M446" s="9">
        <f>6.6562 * CHOOSE(CONTROL!$C$32, $C$9, 100%, $E$9)</f>
        <v>6.6562000000000001</v>
      </c>
      <c r="N446" s="9">
        <f>6.653 * CHOOSE(CONTROL!$C$32, $C$9, 100%, $E$9)</f>
        <v>6.6529999999999996</v>
      </c>
      <c r="O446" s="9">
        <f>6.6562 * CHOOSE(CONTROL!$C$32, $C$9, 100%, $E$9)</f>
        <v>6.6562000000000001</v>
      </c>
    </row>
    <row r="447" spans="1:15" ht="15.75" x14ac:dyDescent="0.25">
      <c r="A447" s="14">
        <v>54116</v>
      </c>
      <c r="B447" s="10">
        <f>7.2857 * CHOOSE(CONTROL!$C$32, $C$9, 100%, $E$9)</f>
        <v>7.2857000000000003</v>
      </c>
      <c r="C447" s="10">
        <f>7.2857 * CHOOSE(CONTROL!$C$32, $C$9, 100%, $E$9)</f>
        <v>7.2857000000000003</v>
      </c>
      <c r="D447" s="10">
        <f>7.2866 * CHOOSE(CONTROL!$C$32, $C$9, 100%, $E$9)</f>
        <v>7.2866</v>
      </c>
      <c r="E447" s="9">
        <f>6.5141 * CHOOSE(CONTROL!$C$32, $C$9, 100%, $E$9)</f>
        <v>6.5141</v>
      </c>
      <c r="F447" s="9">
        <f>6.5141 * CHOOSE(CONTROL!$C$32, $C$9, 100%, $E$9)</f>
        <v>6.5141</v>
      </c>
      <c r="G447" s="9">
        <f>6.5173 * CHOOSE(CONTROL!$C$32, $C$9, 100%, $E$9)</f>
        <v>6.5172999999999996</v>
      </c>
      <c r="H447" s="9">
        <f>8.857 * CHOOSE(CONTROL!$C$32, $C$9, 100%, $E$9)</f>
        <v>8.8569999999999993</v>
      </c>
      <c r="I447" s="9">
        <f>8.8602 * CHOOSE(CONTROL!$C$32, $C$9, 100%, $E$9)</f>
        <v>8.8602000000000007</v>
      </c>
      <c r="J447" s="9">
        <f>8.857 * CHOOSE(CONTROL!$C$32, $C$9, 100%, $E$9)</f>
        <v>8.8569999999999993</v>
      </c>
      <c r="K447" s="9">
        <f>8.8602 * CHOOSE(CONTROL!$C$32, $C$9, 100%, $E$9)</f>
        <v>8.8602000000000007</v>
      </c>
      <c r="L447" s="9">
        <f>6.5141 * CHOOSE(CONTROL!$C$32, $C$9, 100%, $E$9)</f>
        <v>6.5141</v>
      </c>
      <c r="M447" s="9">
        <f>6.5173 * CHOOSE(CONTROL!$C$32, $C$9, 100%, $E$9)</f>
        <v>6.5172999999999996</v>
      </c>
      <c r="N447" s="9">
        <f>6.5141 * CHOOSE(CONTROL!$C$32, $C$9, 100%, $E$9)</f>
        <v>6.5141</v>
      </c>
      <c r="O447" s="9">
        <f>6.5173 * CHOOSE(CONTROL!$C$32, $C$9, 100%, $E$9)</f>
        <v>6.5172999999999996</v>
      </c>
    </row>
    <row r="448" spans="1:15" ht="15.75" x14ac:dyDescent="0.25">
      <c r="A448" s="14">
        <v>54148</v>
      </c>
      <c r="B448" s="10">
        <f>7.2827 * CHOOSE(CONTROL!$C$32, $C$9, 100%, $E$9)</f>
        <v>7.2827000000000002</v>
      </c>
      <c r="C448" s="10">
        <f>7.2827 * CHOOSE(CONTROL!$C$32, $C$9, 100%, $E$9)</f>
        <v>7.2827000000000002</v>
      </c>
      <c r="D448" s="10">
        <f>7.2836 * CHOOSE(CONTROL!$C$32, $C$9, 100%, $E$9)</f>
        <v>7.2835999999999999</v>
      </c>
      <c r="E448" s="9">
        <f>6.6198 * CHOOSE(CONTROL!$C$32, $C$9, 100%, $E$9)</f>
        <v>6.6197999999999997</v>
      </c>
      <c r="F448" s="9">
        <f>6.6198 * CHOOSE(CONTROL!$C$32, $C$9, 100%, $E$9)</f>
        <v>6.6197999999999997</v>
      </c>
      <c r="G448" s="9">
        <f>6.623 * CHOOSE(CONTROL!$C$32, $C$9, 100%, $E$9)</f>
        <v>6.6230000000000002</v>
      </c>
      <c r="H448" s="9">
        <f>8.855 * CHOOSE(CONTROL!$C$32, $C$9, 100%, $E$9)</f>
        <v>8.8550000000000004</v>
      </c>
      <c r="I448" s="9">
        <f>8.8582 * CHOOSE(CONTROL!$C$32, $C$9, 100%, $E$9)</f>
        <v>8.8582000000000001</v>
      </c>
      <c r="J448" s="9">
        <f>8.855 * CHOOSE(CONTROL!$C$32, $C$9, 100%, $E$9)</f>
        <v>8.8550000000000004</v>
      </c>
      <c r="K448" s="9">
        <f>8.8582 * CHOOSE(CONTROL!$C$32, $C$9, 100%, $E$9)</f>
        <v>8.8582000000000001</v>
      </c>
      <c r="L448" s="9">
        <f>6.6198 * CHOOSE(CONTROL!$C$32, $C$9, 100%, $E$9)</f>
        <v>6.6197999999999997</v>
      </c>
      <c r="M448" s="9">
        <f>6.623 * CHOOSE(CONTROL!$C$32, $C$9, 100%, $E$9)</f>
        <v>6.6230000000000002</v>
      </c>
      <c r="N448" s="9">
        <f>6.6198 * CHOOSE(CONTROL!$C$32, $C$9, 100%, $E$9)</f>
        <v>6.6197999999999997</v>
      </c>
      <c r="O448" s="9">
        <f>6.623 * CHOOSE(CONTROL!$C$32, $C$9, 100%, $E$9)</f>
        <v>6.6230000000000002</v>
      </c>
    </row>
    <row r="449" spans="1:15" ht="15.75" x14ac:dyDescent="0.25">
      <c r="A449" s="14">
        <v>54178</v>
      </c>
      <c r="B449" s="10">
        <f>7.2837 * CHOOSE(CONTROL!$C$32, $C$9, 100%, $E$9)</f>
        <v>7.2836999999999996</v>
      </c>
      <c r="C449" s="10">
        <f>7.2837 * CHOOSE(CONTROL!$C$32, $C$9, 100%, $E$9)</f>
        <v>7.2836999999999996</v>
      </c>
      <c r="D449" s="10">
        <f>7.2847 * CHOOSE(CONTROL!$C$32, $C$9, 100%, $E$9)</f>
        <v>7.2847</v>
      </c>
      <c r="E449" s="9">
        <f>6.7315 * CHOOSE(CONTROL!$C$32, $C$9, 100%, $E$9)</f>
        <v>6.7314999999999996</v>
      </c>
      <c r="F449" s="9">
        <f>6.7315 * CHOOSE(CONTROL!$C$32, $C$9, 100%, $E$9)</f>
        <v>6.7314999999999996</v>
      </c>
      <c r="G449" s="9">
        <f>6.7347 * CHOOSE(CONTROL!$C$32, $C$9, 100%, $E$9)</f>
        <v>6.7347000000000001</v>
      </c>
      <c r="H449" s="9">
        <f>8.8554 * CHOOSE(CONTROL!$C$32, $C$9, 100%, $E$9)</f>
        <v>8.8553999999999995</v>
      </c>
      <c r="I449" s="9">
        <f>8.8586 * CHOOSE(CONTROL!$C$32, $C$9, 100%, $E$9)</f>
        <v>8.8585999999999991</v>
      </c>
      <c r="J449" s="9">
        <f>8.8554 * CHOOSE(CONTROL!$C$32, $C$9, 100%, $E$9)</f>
        <v>8.8553999999999995</v>
      </c>
      <c r="K449" s="9">
        <f>8.8586 * CHOOSE(CONTROL!$C$32, $C$9, 100%, $E$9)</f>
        <v>8.8585999999999991</v>
      </c>
      <c r="L449" s="9">
        <f>6.7315 * CHOOSE(CONTROL!$C$32, $C$9, 100%, $E$9)</f>
        <v>6.7314999999999996</v>
      </c>
      <c r="M449" s="9">
        <f>6.7347 * CHOOSE(CONTROL!$C$32, $C$9, 100%, $E$9)</f>
        <v>6.7347000000000001</v>
      </c>
      <c r="N449" s="9">
        <f>6.7315 * CHOOSE(CONTROL!$C$32, $C$9, 100%, $E$9)</f>
        <v>6.7314999999999996</v>
      </c>
      <c r="O449" s="9">
        <f>6.7347 * CHOOSE(CONTROL!$C$32, $C$9, 100%, $E$9)</f>
        <v>6.7347000000000001</v>
      </c>
    </row>
    <row r="450" spans="1:15" ht="15.75" x14ac:dyDescent="0.25">
      <c r="A450" s="14">
        <v>54209</v>
      </c>
      <c r="B450" s="10">
        <f>7.2837 * CHOOSE(CONTROL!$C$32, $C$9, 100%, $E$9)</f>
        <v>7.2836999999999996</v>
      </c>
      <c r="C450" s="10">
        <f>7.2837 * CHOOSE(CONTROL!$C$32, $C$9, 100%, $E$9)</f>
        <v>7.2836999999999996</v>
      </c>
      <c r="D450" s="10">
        <f>7.285 * CHOOSE(CONTROL!$C$32, $C$9, 100%, $E$9)</f>
        <v>7.2850000000000001</v>
      </c>
      <c r="E450" s="9">
        <f>6.7749 * CHOOSE(CONTROL!$C$32, $C$9, 100%, $E$9)</f>
        <v>6.7748999999999997</v>
      </c>
      <c r="F450" s="9">
        <f>6.7749 * CHOOSE(CONTROL!$C$32, $C$9, 100%, $E$9)</f>
        <v>6.7748999999999997</v>
      </c>
      <c r="G450" s="9">
        <f>6.7793 * CHOOSE(CONTROL!$C$32, $C$9, 100%, $E$9)</f>
        <v>6.7793000000000001</v>
      </c>
      <c r="H450" s="9">
        <f>8.8554 * CHOOSE(CONTROL!$C$32, $C$9, 100%, $E$9)</f>
        <v>8.8553999999999995</v>
      </c>
      <c r="I450" s="9">
        <f>8.8598 * CHOOSE(CONTROL!$C$32, $C$9, 100%, $E$9)</f>
        <v>8.8597999999999999</v>
      </c>
      <c r="J450" s="9">
        <f>8.8554 * CHOOSE(CONTROL!$C$32, $C$9, 100%, $E$9)</f>
        <v>8.8553999999999995</v>
      </c>
      <c r="K450" s="9">
        <f>8.8598 * CHOOSE(CONTROL!$C$32, $C$9, 100%, $E$9)</f>
        <v>8.8597999999999999</v>
      </c>
      <c r="L450" s="9">
        <f>6.7749 * CHOOSE(CONTROL!$C$32, $C$9, 100%, $E$9)</f>
        <v>6.7748999999999997</v>
      </c>
      <c r="M450" s="9">
        <f>6.7793 * CHOOSE(CONTROL!$C$32, $C$9, 100%, $E$9)</f>
        <v>6.7793000000000001</v>
      </c>
      <c r="N450" s="9">
        <f>6.7749 * CHOOSE(CONTROL!$C$32, $C$9, 100%, $E$9)</f>
        <v>6.7748999999999997</v>
      </c>
      <c r="O450" s="9">
        <f>6.7793 * CHOOSE(CONTROL!$C$32, $C$9, 100%, $E$9)</f>
        <v>6.7793000000000001</v>
      </c>
    </row>
    <row r="451" spans="1:15" ht="15.75" x14ac:dyDescent="0.25">
      <c r="A451" s="14">
        <v>54239</v>
      </c>
      <c r="B451" s="10">
        <f>7.2898 * CHOOSE(CONTROL!$C$32, $C$9, 100%, $E$9)</f>
        <v>7.2897999999999996</v>
      </c>
      <c r="C451" s="10">
        <f>7.2898 * CHOOSE(CONTROL!$C$32, $C$9, 100%, $E$9)</f>
        <v>7.2897999999999996</v>
      </c>
      <c r="D451" s="10">
        <f>7.2911 * CHOOSE(CONTROL!$C$32, $C$9, 100%, $E$9)</f>
        <v>7.2911000000000001</v>
      </c>
      <c r="E451" s="9">
        <f>6.7357 * CHOOSE(CONTROL!$C$32, $C$9, 100%, $E$9)</f>
        <v>6.7356999999999996</v>
      </c>
      <c r="F451" s="9">
        <f>6.7357 * CHOOSE(CONTROL!$C$32, $C$9, 100%, $E$9)</f>
        <v>6.7356999999999996</v>
      </c>
      <c r="G451" s="9">
        <f>6.7401 * CHOOSE(CONTROL!$C$32, $C$9, 100%, $E$9)</f>
        <v>6.7401</v>
      </c>
      <c r="H451" s="9">
        <f>8.8594 * CHOOSE(CONTROL!$C$32, $C$9, 100%, $E$9)</f>
        <v>8.8594000000000008</v>
      </c>
      <c r="I451" s="9">
        <f>8.8638 * CHOOSE(CONTROL!$C$32, $C$9, 100%, $E$9)</f>
        <v>8.8637999999999995</v>
      </c>
      <c r="J451" s="9">
        <f>8.8594 * CHOOSE(CONTROL!$C$32, $C$9, 100%, $E$9)</f>
        <v>8.8594000000000008</v>
      </c>
      <c r="K451" s="9">
        <f>8.8638 * CHOOSE(CONTROL!$C$32, $C$9, 100%, $E$9)</f>
        <v>8.8637999999999995</v>
      </c>
      <c r="L451" s="9">
        <f>6.7357 * CHOOSE(CONTROL!$C$32, $C$9, 100%, $E$9)</f>
        <v>6.7356999999999996</v>
      </c>
      <c r="M451" s="9">
        <f>6.7401 * CHOOSE(CONTROL!$C$32, $C$9, 100%, $E$9)</f>
        <v>6.7401</v>
      </c>
      <c r="N451" s="9">
        <f>6.7357 * CHOOSE(CONTROL!$C$32, $C$9, 100%, $E$9)</f>
        <v>6.7356999999999996</v>
      </c>
      <c r="O451" s="9">
        <f>6.7401 * CHOOSE(CONTROL!$C$32, $C$9, 100%, $E$9)</f>
        <v>6.7401</v>
      </c>
    </row>
    <row r="452" spans="1:15" ht="15.75" x14ac:dyDescent="0.25">
      <c r="A452" s="14">
        <v>54270</v>
      </c>
      <c r="B452" s="10">
        <f>7.3958 * CHOOSE(CONTROL!$C$32, $C$9, 100%, $E$9)</f>
        <v>7.3958000000000004</v>
      </c>
      <c r="C452" s="10">
        <f>7.3958 * CHOOSE(CONTROL!$C$32, $C$9, 100%, $E$9)</f>
        <v>7.3958000000000004</v>
      </c>
      <c r="D452" s="10">
        <f>7.3971 * CHOOSE(CONTROL!$C$32, $C$9, 100%, $E$9)</f>
        <v>7.3971</v>
      </c>
      <c r="E452" s="9">
        <f>6.8156 * CHOOSE(CONTROL!$C$32, $C$9, 100%, $E$9)</f>
        <v>6.8155999999999999</v>
      </c>
      <c r="F452" s="9">
        <f>6.8156 * CHOOSE(CONTROL!$C$32, $C$9, 100%, $E$9)</f>
        <v>6.8155999999999999</v>
      </c>
      <c r="G452" s="9">
        <f>6.8199 * CHOOSE(CONTROL!$C$32, $C$9, 100%, $E$9)</f>
        <v>6.8198999999999996</v>
      </c>
      <c r="H452" s="9">
        <f>8.9939 * CHOOSE(CONTROL!$C$32, $C$9, 100%, $E$9)</f>
        <v>8.9939</v>
      </c>
      <c r="I452" s="9">
        <f>8.9983 * CHOOSE(CONTROL!$C$32, $C$9, 100%, $E$9)</f>
        <v>8.9983000000000004</v>
      </c>
      <c r="J452" s="9">
        <f>8.9939 * CHOOSE(CONTROL!$C$32, $C$9, 100%, $E$9)</f>
        <v>8.9939</v>
      </c>
      <c r="K452" s="9">
        <f>8.9983 * CHOOSE(CONTROL!$C$32, $C$9, 100%, $E$9)</f>
        <v>8.9983000000000004</v>
      </c>
      <c r="L452" s="9">
        <f>6.8156 * CHOOSE(CONTROL!$C$32, $C$9, 100%, $E$9)</f>
        <v>6.8155999999999999</v>
      </c>
      <c r="M452" s="9">
        <f>6.8199 * CHOOSE(CONTROL!$C$32, $C$9, 100%, $E$9)</f>
        <v>6.8198999999999996</v>
      </c>
      <c r="N452" s="9">
        <f>6.8156 * CHOOSE(CONTROL!$C$32, $C$9, 100%, $E$9)</f>
        <v>6.8155999999999999</v>
      </c>
      <c r="O452" s="9">
        <f>6.8199 * CHOOSE(CONTROL!$C$32, $C$9, 100%, $E$9)</f>
        <v>6.8198999999999996</v>
      </c>
    </row>
    <row r="453" spans="1:15" ht="15.75" x14ac:dyDescent="0.25">
      <c r="A453" s="14">
        <v>54301</v>
      </c>
      <c r="B453" s="10">
        <f>7.4025 * CHOOSE(CONTROL!$C$32, $C$9, 100%, $E$9)</f>
        <v>7.4024999999999999</v>
      </c>
      <c r="C453" s="10">
        <f>7.4025 * CHOOSE(CONTROL!$C$32, $C$9, 100%, $E$9)</f>
        <v>7.4024999999999999</v>
      </c>
      <c r="D453" s="10">
        <f>7.4038 * CHOOSE(CONTROL!$C$32, $C$9, 100%, $E$9)</f>
        <v>7.4038000000000004</v>
      </c>
      <c r="E453" s="9">
        <f>6.6899 * CHOOSE(CONTROL!$C$32, $C$9, 100%, $E$9)</f>
        <v>6.6898999999999997</v>
      </c>
      <c r="F453" s="9">
        <f>6.6899 * CHOOSE(CONTROL!$C$32, $C$9, 100%, $E$9)</f>
        <v>6.6898999999999997</v>
      </c>
      <c r="G453" s="9">
        <f>6.6942 * CHOOSE(CONTROL!$C$32, $C$9, 100%, $E$9)</f>
        <v>6.6942000000000004</v>
      </c>
      <c r="H453" s="9">
        <f>8.9983 * CHOOSE(CONTROL!$C$32, $C$9, 100%, $E$9)</f>
        <v>8.9983000000000004</v>
      </c>
      <c r="I453" s="9">
        <f>9.0027 * CHOOSE(CONTROL!$C$32, $C$9, 100%, $E$9)</f>
        <v>9.0027000000000008</v>
      </c>
      <c r="J453" s="9">
        <f>8.9983 * CHOOSE(CONTROL!$C$32, $C$9, 100%, $E$9)</f>
        <v>8.9983000000000004</v>
      </c>
      <c r="K453" s="9">
        <f>9.0027 * CHOOSE(CONTROL!$C$32, $C$9, 100%, $E$9)</f>
        <v>9.0027000000000008</v>
      </c>
      <c r="L453" s="9">
        <f>6.6899 * CHOOSE(CONTROL!$C$32, $C$9, 100%, $E$9)</f>
        <v>6.6898999999999997</v>
      </c>
      <c r="M453" s="9">
        <f>6.6942 * CHOOSE(CONTROL!$C$32, $C$9, 100%, $E$9)</f>
        <v>6.6942000000000004</v>
      </c>
      <c r="N453" s="9">
        <f>6.6899 * CHOOSE(CONTROL!$C$32, $C$9, 100%, $E$9)</f>
        <v>6.6898999999999997</v>
      </c>
      <c r="O453" s="9">
        <f>6.6942 * CHOOSE(CONTROL!$C$32, $C$9, 100%, $E$9)</f>
        <v>6.6942000000000004</v>
      </c>
    </row>
    <row r="454" spans="1:15" ht="15.75" x14ac:dyDescent="0.25">
      <c r="A454" s="14">
        <v>54331</v>
      </c>
      <c r="B454" s="10">
        <f>7.3994 * CHOOSE(CONTROL!$C$32, $C$9, 100%, $E$9)</f>
        <v>7.3994</v>
      </c>
      <c r="C454" s="10">
        <f>7.3994 * CHOOSE(CONTROL!$C$32, $C$9, 100%, $E$9)</f>
        <v>7.3994</v>
      </c>
      <c r="D454" s="10">
        <f>7.4007 * CHOOSE(CONTROL!$C$32, $C$9, 100%, $E$9)</f>
        <v>7.4006999999999996</v>
      </c>
      <c r="E454" s="9">
        <f>6.6732 * CHOOSE(CONTROL!$C$32, $C$9, 100%, $E$9)</f>
        <v>6.6731999999999996</v>
      </c>
      <c r="F454" s="9">
        <f>6.6732 * CHOOSE(CONTROL!$C$32, $C$9, 100%, $E$9)</f>
        <v>6.6731999999999996</v>
      </c>
      <c r="G454" s="9">
        <f>6.6776 * CHOOSE(CONTROL!$C$32, $C$9, 100%, $E$9)</f>
        <v>6.6776</v>
      </c>
      <c r="H454" s="9">
        <f>8.9963 * CHOOSE(CONTROL!$C$32, $C$9, 100%, $E$9)</f>
        <v>8.9962999999999997</v>
      </c>
      <c r="I454" s="9">
        <f>9.0007 * CHOOSE(CONTROL!$C$32, $C$9, 100%, $E$9)</f>
        <v>9.0007000000000001</v>
      </c>
      <c r="J454" s="9">
        <f>8.9963 * CHOOSE(CONTROL!$C$32, $C$9, 100%, $E$9)</f>
        <v>8.9962999999999997</v>
      </c>
      <c r="K454" s="9">
        <f>9.0007 * CHOOSE(CONTROL!$C$32, $C$9, 100%, $E$9)</f>
        <v>9.0007000000000001</v>
      </c>
      <c r="L454" s="9">
        <f>6.6732 * CHOOSE(CONTROL!$C$32, $C$9, 100%, $E$9)</f>
        <v>6.6731999999999996</v>
      </c>
      <c r="M454" s="9">
        <f>6.6776 * CHOOSE(CONTROL!$C$32, $C$9, 100%, $E$9)</f>
        <v>6.6776</v>
      </c>
      <c r="N454" s="9">
        <f>6.6732 * CHOOSE(CONTROL!$C$32, $C$9, 100%, $E$9)</f>
        <v>6.6731999999999996</v>
      </c>
      <c r="O454" s="9">
        <f>6.6776 * CHOOSE(CONTROL!$C$32, $C$9, 100%, $E$9)</f>
        <v>6.6776</v>
      </c>
    </row>
    <row r="455" spans="1:15" ht="15.75" x14ac:dyDescent="0.25">
      <c r="A455" s="14">
        <v>54362</v>
      </c>
      <c r="B455" s="10">
        <f>7.4081 * CHOOSE(CONTROL!$C$32, $C$9, 100%, $E$9)</f>
        <v>7.4081000000000001</v>
      </c>
      <c r="C455" s="10">
        <f>7.4081 * CHOOSE(CONTROL!$C$32, $C$9, 100%, $E$9)</f>
        <v>7.4081000000000001</v>
      </c>
      <c r="D455" s="10">
        <f>7.409 * CHOOSE(CONTROL!$C$32, $C$9, 100%, $E$9)</f>
        <v>7.4089999999999998</v>
      </c>
      <c r="E455" s="9">
        <f>6.7178 * CHOOSE(CONTROL!$C$32, $C$9, 100%, $E$9)</f>
        <v>6.7178000000000004</v>
      </c>
      <c r="F455" s="9">
        <f>6.7178 * CHOOSE(CONTROL!$C$32, $C$9, 100%, $E$9)</f>
        <v>6.7178000000000004</v>
      </c>
      <c r="G455" s="9">
        <f>6.721 * CHOOSE(CONTROL!$C$32, $C$9, 100%, $E$9)</f>
        <v>6.7210000000000001</v>
      </c>
      <c r="H455" s="9">
        <f>9.001 * CHOOSE(CONTROL!$C$32, $C$9, 100%, $E$9)</f>
        <v>9.0009999999999994</v>
      </c>
      <c r="I455" s="9">
        <f>9.0042 * CHOOSE(CONTROL!$C$32, $C$9, 100%, $E$9)</f>
        <v>9.0042000000000009</v>
      </c>
      <c r="J455" s="9">
        <f>9.001 * CHOOSE(CONTROL!$C$32, $C$9, 100%, $E$9)</f>
        <v>9.0009999999999994</v>
      </c>
      <c r="K455" s="9">
        <f>9.0042 * CHOOSE(CONTROL!$C$32, $C$9, 100%, $E$9)</f>
        <v>9.0042000000000009</v>
      </c>
      <c r="L455" s="9">
        <f>6.7178 * CHOOSE(CONTROL!$C$32, $C$9, 100%, $E$9)</f>
        <v>6.7178000000000004</v>
      </c>
      <c r="M455" s="9">
        <f>6.721 * CHOOSE(CONTROL!$C$32, $C$9, 100%, $E$9)</f>
        <v>6.7210000000000001</v>
      </c>
      <c r="N455" s="9">
        <f>6.7178 * CHOOSE(CONTROL!$C$32, $C$9, 100%, $E$9)</f>
        <v>6.7178000000000004</v>
      </c>
      <c r="O455" s="9">
        <f>6.721 * CHOOSE(CONTROL!$C$32, $C$9, 100%, $E$9)</f>
        <v>6.7210000000000001</v>
      </c>
    </row>
    <row r="456" spans="1:15" ht="15.75" x14ac:dyDescent="0.25">
      <c r="A456" s="14">
        <v>54392</v>
      </c>
      <c r="B456" s="10">
        <f>7.4111 * CHOOSE(CONTROL!$C$32, $C$9, 100%, $E$9)</f>
        <v>7.4111000000000002</v>
      </c>
      <c r="C456" s="10">
        <f>7.4111 * CHOOSE(CONTROL!$C$32, $C$9, 100%, $E$9)</f>
        <v>7.4111000000000002</v>
      </c>
      <c r="D456" s="10">
        <f>7.4121 * CHOOSE(CONTROL!$C$32, $C$9, 100%, $E$9)</f>
        <v>7.4120999999999997</v>
      </c>
      <c r="E456" s="9">
        <f>6.7489 * CHOOSE(CONTROL!$C$32, $C$9, 100%, $E$9)</f>
        <v>6.7488999999999999</v>
      </c>
      <c r="F456" s="9">
        <f>6.7489 * CHOOSE(CONTROL!$C$32, $C$9, 100%, $E$9)</f>
        <v>6.7488999999999999</v>
      </c>
      <c r="G456" s="9">
        <f>6.752 * CHOOSE(CONTROL!$C$32, $C$9, 100%, $E$9)</f>
        <v>6.7519999999999998</v>
      </c>
      <c r="H456" s="9">
        <f>9.003 * CHOOSE(CONTROL!$C$32, $C$9, 100%, $E$9)</f>
        <v>9.0030000000000001</v>
      </c>
      <c r="I456" s="9">
        <f>9.0062 * CHOOSE(CONTROL!$C$32, $C$9, 100%, $E$9)</f>
        <v>9.0061999999999998</v>
      </c>
      <c r="J456" s="9">
        <f>9.003 * CHOOSE(CONTROL!$C$32, $C$9, 100%, $E$9)</f>
        <v>9.0030000000000001</v>
      </c>
      <c r="K456" s="9">
        <f>9.0062 * CHOOSE(CONTROL!$C$32, $C$9, 100%, $E$9)</f>
        <v>9.0061999999999998</v>
      </c>
      <c r="L456" s="9">
        <f>6.7489 * CHOOSE(CONTROL!$C$32, $C$9, 100%, $E$9)</f>
        <v>6.7488999999999999</v>
      </c>
      <c r="M456" s="9">
        <f>6.752 * CHOOSE(CONTROL!$C$32, $C$9, 100%, $E$9)</f>
        <v>6.7519999999999998</v>
      </c>
      <c r="N456" s="9">
        <f>6.7489 * CHOOSE(CONTROL!$C$32, $C$9, 100%, $E$9)</f>
        <v>6.7488999999999999</v>
      </c>
      <c r="O456" s="9">
        <f>6.752 * CHOOSE(CONTROL!$C$32, $C$9, 100%, $E$9)</f>
        <v>6.7519999999999998</v>
      </c>
    </row>
    <row r="457" spans="1:15" ht="15.75" x14ac:dyDescent="0.25">
      <c r="A457" s="14">
        <v>54423</v>
      </c>
      <c r="B457" s="10">
        <f>7.4111 * CHOOSE(CONTROL!$C$32, $C$9, 100%, $E$9)</f>
        <v>7.4111000000000002</v>
      </c>
      <c r="C457" s="10">
        <f>7.4111 * CHOOSE(CONTROL!$C$32, $C$9, 100%, $E$9)</f>
        <v>7.4111000000000002</v>
      </c>
      <c r="D457" s="10">
        <f>7.4121 * CHOOSE(CONTROL!$C$32, $C$9, 100%, $E$9)</f>
        <v>7.4120999999999997</v>
      </c>
      <c r="E457" s="9">
        <f>6.6764 * CHOOSE(CONTROL!$C$32, $C$9, 100%, $E$9)</f>
        <v>6.6764000000000001</v>
      </c>
      <c r="F457" s="9">
        <f>6.6764 * CHOOSE(CONTROL!$C$32, $C$9, 100%, $E$9)</f>
        <v>6.6764000000000001</v>
      </c>
      <c r="G457" s="9">
        <f>6.6796 * CHOOSE(CONTROL!$C$32, $C$9, 100%, $E$9)</f>
        <v>6.6795999999999998</v>
      </c>
      <c r="H457" s="9">
        <f>9.003 * CHOOSE(CONTROL!$C$32, $C$9, 100%, $E$9)</f>
        <v>9.0030000000000001</v>
      </c>
      <c r="I457" s="9">
        <f>9.0062 * CHOOSE(CONTROL!$C$32, $C$9, 100%, $E$9)</f>
        <v>9.0061999999999998</v>
      </c>
      <c r="J457" s="9">
        <f>9.003 * CHOOSE(CONTROL!$C$32, $C$9, 100%, $E$9)</f>
        <v>9.0030000000000001</v>
      </c>
      <c r="K457" s="9">
        <f>9.0062 * CHOOSE(CONTROL!$C$32, $C$9, 100%, $E$9)</f>
        <v>9.0061999999999998</v>
      </c>
      <c r="L457" s="9">
        <f>6.6764 * CHOOSE(CONTROL!$C$32, $C$9, 100%, $E$9)</f>
        <v>6.6764000000000001</v>
      </c>
      <c r="M457" s="9">
        <f>6.6796 * CHOOSE(CONTROL!$C$32, $C$9, 100%, $E$9)</f>
        <v>6.6795999999999998</v>
      </c>
      <c r="N457" s="9">
        <f>6.6764 * CHOOSE(CONTROL!$C$32, $C$9, 100%, $E$9)</f>
        <v>6.6764000000000001</v>
      </c>
      <c r="O457" s="9">
        <f>6.6796 * CHOOSE(CONTROL!$C$32, $C$9, 100%, $E$9)</f>
        <v>6.6795999999999998</v>
      </c>
    </row>
    <row r="458" spans="1:15" ht="15.75" x14ac:dyDescent="0.25">
      <c r="A458" s="14">
        <v>54454</v>
      </c>
      <c r="B458" s="10">
        <f>7.473 * CHOOSE(CONTROL!$C$32, $C$9, 100%, $E$9)</f>
        <v>7.4729999999999999</v>
      </c>
      <c r="C458" s="10">
        <f>7.473 * CHOOSE(CONTROL!$C$32, $C$9, 100%, $E$9)</f>
        <v>7.4729999999999999</v>
      </c>
      <c r="D458" s="10">
        <f>7.474 * CHOOSE(CONTROL!$C$32, $C$9, 100%, $E$9)</f>
        <v>7.4740000000000002</v>
      </c>
      <c r="E458" s="9">
        <f>6.7749 * CHOOSE(CONTROL!$C$32, $C$9, 100%, $E$9)</f>
        <v>6.7748999999999997</v>
      </c>
      <c r="F458" s="9">
        <f>6.7749 * CHOOSE(CONTROL!$C$32, $C$9, 100%, $E$9)</f>
        <v>6.7748999999999997</v>
      </c>
      <c r="G458" s="9">
        <f>6.7781 * CHOOSE(CONTROL!$C$32, $C$9, 100%, $E$9)</f>
        <v>6.7781000000000002</v>
      </c>
      <c r="H458" s="9">
        <f>9.0701 * CHOOSE(CONTROL!$C$32, $C$9, 100%, $E$9)</f>
        <v>9.0701000000000001</v>
      </c>
      <c r="I458" s="9">
        <f>9.0733 * CHOOSE(CONTROL!$C$32, $C$9, 100%, $E$9)</f>
        <v>9.0732999999999997</v>
      </c>
      <c r="J458" s="9">
        <f>9.0701 * CHOOSE(CONTROL!$C$32, $C$9, 100%, $E$9)</f>
        <v>9.0701000000000001</v>
      </c>
      <c r="K458" s="9">
        <f>9.0733 * CHOOSE(CONTROL!$C$32, $C$9, 100%, $E$9)</f>
        <v>9.0732999999999997</v>
      </c>
      <c r="L458" s="9">
        <f>6.7749 * CHOOSE(CONTROL!$C$32, $C$9, 100%, $E$9)</f>
        <v>6.7748999999999997</v>
      </c>
      <c r="M458" s="9">
        <f>6.7781 * CHOOSE(CONTROL!$C$32, $C$9, 100%, $E$9)</f>
        <v>6.7781000000000002</v>
      </c>
      <c r="N458" s="9">
        <f>6.7749 * CHOOSE(CONTROL!$C$32, $C$9, 100%, $E$9)</f>
        <v>6.7748999999999997</v>
      </c>
      <c r="O458" s="9">
        <f>6.7781 * CHOOSE(CONTROL!$C$32, $C$9, 100%, $E$9)</f>
        <v>6.7781000000000002</v>
      </c>
    </row>
    <row r="459" spans="1:15" ht="15.75" x14ac:dyDescent="0.25">
      <c r="A459" s="14">
        <v>54482</v>
      </c>
      <c r="B459" s="10">
        <f>7.47 * CHOOSE(CONTROL!$C$32, $C$9, 100%, $E$9)</f>
        <v>7.47</v>
      </c>
      <c r="C459" s="10">
        <f>7.47 * CHOOSE(CONTROL!$C$32, $C$9, 100%, $E$9)</f>
        <v>7.47</v>
      </c>
      <c r="D459" s="10">
        <f>7.4709 * CHOOSE(CONTROL!$C$32, $C$9, 100%, $E$9)</f>
        <v>7.4709000000000003</v>
      </c>
      <c r="E459" s="9">
        <f>6.6318 * CHOOSE(CONTROL!$C$32, $C$9, 100%, $E$9)</f>
        <v>6.6318000000000001</v>
      </c>
      <c r="F459" s="9">
        <f>6.6318 * CHOOSE(CONTROL!$C$32, $C$9, 100%, $E$9)</f>
        <v>6.6318000000000001</v>
      </c>
      <c r="G459" s="9">
        <f>6.635 * CHOOSE(CONTROL!$C$32, $C$9, 100%, $E$9)</f>
        <v>6.6349999999999998</v>
      </c>
      <c r="H459" s="9">
        <f>9.0681 * CHOOSE(CONTROL!$C$32, $C$9, 100%, $E$9)</f>
        <v>9.0680999999999994</v>
      </c>
      <c r="I459" s="9">
        <f>9.0713 * CHOOSE(CONTROL!$C$32, $C$9, 100%, $E$9)</f>
        <v>9.0713000000000008</v>
      </c>
      <c r="J459" s="9">
        <f>9.0681 * CHOOSE(CONTROL!$C$32, $C$9, 100%, $E$9)</f>
        <v>9.0680999999999994</v>
      </c>
      <c r="K459" s="9">
        <f>9.0713 * CHOOSE(CONTROL!$C$32, $C$9, 100%, $E$9)</f>
        <v>9.0713000000000008</v>
      </c>
      <c r="L459" s="9">
        <f>6.6318 * CHOOSE(CONTROL!$C$32, $C$9, 100%, $E$9)</f>
        <v>6.6318000000000001</v>
      </c>
      <c r="M459" s="9">
        <f>6.635 * CHOOSE(CONTROL!$C$32, $C$9, 100%, $E$9)</f>
        <v>6.6349999999999998</v>
      </c>
      <c r="N459" s="9">
        <f>6.6318 * CHOOSE(CONTROL!$C$32, $C$9, 100%, $E$9)</f>
        <v>6.6318000000000001</v>
      </c>
      <c r="O459" s="9">
        <f>6.635 * CHOOSE(CONTROL!$C$32, $C$9, 100%, $E$9)</f>
        <v>6.6349999999999998</v>
      </c>
    </row>
    <row r="460" spans="1:15" ht="15.75" x14ac:dyDescent="0.25">
      <c r="A460" s="14">
        <v>54513</v>
      </c>
      <c r="B460" s="10">
        <f>7.467 * CHOOSE(CONTROL!$C$32, $C$9, 100%, $E$9)</f>
        <v>7.4669999999999996</v>
      </c>
      <c r="C460" s="10">
        <f>7.467 * CHOOSE(CONTROL!$C$32, $C$9, 100%, $E$9)</f>
        <v>7.4669999999999996</v>
      </c>
      <c r="D460" s="10">
        <f>7.4679 * CHOOSE(CONTROL!$C$32, $C$9, 100%, $E$9)</f>
        <v>7.4679000000000002</v>
      </c>
      <c r="E460" s="9">
        <f>6.7408 * CHOOSE(CONTROL!$C$32, $C$9, 100%, $E$9)</f>
        <v>6.7408000000000001</v>
      </c>
      <c r="F460" s="9">
        <f>6.7408 * CHOOSE(CONTROL!$C$32, $C$9, 100%, $E$9)</f>
        <v>6.7408000000000001</v>
      </c>
      <c r="G460" s="9">
        <f>6.744 * CHOOSE(CONTROL!$C$32, $C$9, 100%, $E$9)</f>
        <v>6.7439999999999998</v>
      </c>
      <c r="H460" s="9">
        <f>9.0661 * CHOOSE(CONTROL!$C$32, $C$9, 100%, $E$9)</f>
        <v>9.0661000000000005</v>
      </c>
      <c r="I460" s="9">
        <f>9.0693 * CHOOSE(CONTROL!$C$32, $C$9, 100%, $E$9)</f>
        <v>9.0693000000000001</v>
      </c>
      <c r="J460" s="9">
        <f>9.0661 * CHOOSE(CONTROL!$C$32, $C$9, 100%, $E$9)</f>
        <v>9.0661000000000005</v>
      </c>
      <c r="K460" s="9">
        <f>9.0693 * CHOOSE(CONTROL!$C$32, $C$9, 100%, $E$9)</f>
        <v>9.0693000000000001</v>
      </c>
      <c r="L460" s="9">
        <f>6.7408 * CHOOSE(CONTROL!$C$32, $C$9, 100%, $E$9)</f>
        <v>6.7408000000000001</v>
      </c>
      <c r="M460" s="9">
        <f>6.744 * CHOOSE(CONTROL!$C$32, $C$9, 100%, $E$9)</f>
        <v>6.7439999999999998</v>
      </c>
      <c r="N460" s="9">
        <f>6.7408 * CHOOSE(CONTROL!$C$32, $C$9, 100%, $E$9)</f>
        <v>6.7408000000000001</v>
      </c>
      <c r="O460" s="9">
        <f>6.744 * CHOOSE(CONTROL!$C$32, $C$9, 100%, $E$9)</f>
        <v>6.7439999999999998</v>
      </c>
    </row>
    <row r="461" spans="1:15" ht="15.75" x14ac:dyDescent="0.25">
      <c r="A461" s="14">
        <v>54543</v>
      </c>
      <c r="B461" s="10">
        <f>7.4682 * CHOOSE(CONTROL!$C$32, $C$9, 100%, $E$9)</f>
        <v>7.4682000000000004</v>
      </c>
      <c r="C461" s="10">
        <f>7.4682 * CHOOSE(CONTROL!$C$32, $C$9, 100%, $E$9)</f>
        <v>7.4682000000000004</v>
      </c>
      <c r="D461" s="10">
        <f>7.4692 * CHOOSE(CONTROL!$C$32, $C$9, 100%, $E$9)</f>
        <v>7.4691999999999998</v>
      </c>
      <c r="E461" s="9">
        <f>6.8559 * CHOOSE(CONTROL!$C$32, $C$9, 100%, $E$9)</f>
        <v>6.8559000000000001</v>
      </c>
      <c r="F461" s="9">
        <f>6.8559 * CHOOSE(CONTROL!$C$32, $C$9, 100%, $E$9)</f>
        <v>6.8559000000000001</v>
      </c>
      <c r="G461" s="9">
        <f>6.8591 * CHOOSE(CONTROL!$C$32, $C$9, 100%, $E$9)</f>
        <v>6.8590999999999998</v>
      </c>
      <c r="H461" s="9">
        <f>9.0667 * CHOOSE(CONTROL!$C$32, $C$9, 100%, $E$9)</f>
        <v>9.0667000000000009</v>
      </c>
      <c r="I461" s="9">
        <f>9.0699 * CHOOSE(CONTROL!$C$32, $C$9, 100%, $E$9)</f>
        <v>9.0699000000000005</v>
      </c>
      <c r="J461" s="9">
        <f>9.0667 * CHOOSE(CONTROL!$C$32, $C$9, 100%, $E$9)</f>
        <v>9.0667000000000009</v>
      </c>
      <c r="K461" s="9">
        <f>9.0699 * CHOOSE(CONTROL!$C$32, $C$9, 100%, $E$9)</f>
        <v>9.0699000000000005</v>
      </c>
      <c r="L461" s="9">
        <f>6.8559 * CHOOSE(CONTROL!$C$32, $C$9, 100%, $E$9)</f>
        <v>6.8559000000000001</v>
      </c>
      <c r="M461" s="9">
        <f>6.8591 * CHOOSE(CONTROL!$C$32, $C$9, 100%, $E$9)</f>
        <v>6.8590999999999998</v>
      </c>
      <c r="N461" s="9">
        <f>6.8559 * CHOOSE(CONTROL!$C$32, $C$9, 100%, $E$9)</f>
        <v>6.8559000000000001</v>
      </c>
      <c r="O461" s="9">
        <f>6.8591 * CHOOSE(CONTROL!$C$32, $C$9, 100%, $E$9)</f>
        <v>6.8590999999999998</v>
      </c>
    </row>
    <row r="462" spans="1:15" ht="15.75" x14ac:dyDescent="0.25">
      <c r="A462" s="14">
        <v>54574</v>
      </c>
      <c r="B462" s="10">
        <f>7.4682 * CHOOSE(CONTROL!$C$32, $C$9, 100%, $E$9)</f>
        <v>7.4682000000000004</v>
      </c>
      <c r="C462" s="10">
        <f>7.4682 * CHOOSE(CONTROL!$C$32, $C$9, 100%, $E$9)</f>
        <v>7.4682000000000004</v>
      </c>
      <c r="D462" s="10">
        <f>7.4695 * CHOOSE(CONTROL!$C$32, $C$9, 100%, $E$9)</f>
        <v>7.4695</v>
      </c>
      <c r="E462" s="9">
        <f>6.9007 * CHOOSE(CONTROL!$C$32, $C$9, 100%, $E$9)</f>
        <v>6.9006999999999996</v>
      </c>
      <c r="F462" s="9">
        <f>6.9007 * CHOOSE(CONTROL!$C$32, $C$9, 100%, $E$9)</f>
        <v>6.9006999999999996</v>
      </c>
      <c r="G462" s="9">
        <f>6.905 * CHOOSE(CONTROL!$C$32, $C$9, 100%, $E$9)</f>
        <v>6.9050000000000002</v>
      </c>
      <c r="H462" s="9">
        <f>9.0667 * CHOOSE(CONTROL!$C$32, $C$9, 100%, $E$9)</f>
        <v>9.0667000000000009</v>
      </c>
      <c r="I462" s="9">
        <f>9.071 * CHOOSE(CONTROL!$C$32, $C$9, 100%, $E$9)</f>
        <v>9.0709999999999997</v>
      </c>
      <c r="J462" s="9">
        <f>9.0667 * CHOOSE(CONTROL!$C$32, $C$9, 100%, $E$9)</f>
        <v>9.0667000000000009</v>
      </c>
      <c r="K462" s="9">
        <f>9.071 * CHOOSE(CONTROL!$C$32, $C$9, 100%, $E$9)</f>
        <v>9.0709999999999997</v>
      </c>
      <c r="L462" s="9">
        <f>6.9007 * CHOOSE(CONTROL!$C$32, $C$9, 100%, $E$9)</f>
        <v>6.9006999999999996</v>
      </c>
      <c r="M462" s="9">
        <f>6.905 * CHOOSE(CONTROL!$C$32, $C$9, 100%, $E$9)</f>
        <v>6.9050000000000002</v>
      </c>
      <c r="N462" s="9">
        <f>6.9007 * CHOOSE(CONTROL!$C$32, $C$9, 100%, $E$9)</f>
        <v>6.9006999999999996</v>
      </c>
      <c r="O462" s="9">
        <f>6.905 * CHOOSE(CONTROL!$C$32, $C$9, 100%, $E$9)</f>
        <v>6.9050000000000002</v>
      </c>
    </row>
    <row r="463" spans="1:15" ht="15.75" x14ac:dyDescent="0.25">
      <c r="A463" s="14">
        <v>54604</v>
      </c>
      <c r="B463" s="10">
        <f>7.4743 * CHOOSE(CONTROL!$C$32, $C$9, 100%, $E$9)</f>
        <v>7.4743000000000004</v>
      </c>
      <c r="C463" s="10">
        <f>7.4743 * CHOOSE(CONTROL!$C$32, $C$9, 100%, $E$9)</f>
        <v>7.4743000000000004</v>
      </c>
      <c r="D463" s="10">
        <f>7.4756 * CHOOSE(CONTROL!$C$32, $C$9, 100%, $E$9)</f>
        <v>7.4756</v>
      </c>
      <c r="E463" s="9">
        <f>6.8601 * CHOOSE(CONTROL!$C$32, $C$9, 100%, $E$9)</f>
        <v>6.8601000000000001</v>
      </c>
      <c r="F463" s="9">
        <f>6.8601 * CHOOSE(CONTROL!$C$32, $C$9, 100%, $E$9)</f>
        <v>6.8601000000000001</v>
      </c>
      <c r="G463" s="9">
        <f>6.8645 * CHOOSE(CONTROL!$C$32, $C$9, 100%, $E$9)</f>
        <v>6.8644999999999996</v>
      </c>
      <c r="H463" s="9">
        <f>9.0707 * CHOOSE(CONTROL!$C$32, $C$9, 100%, $E$9)</f>
        <v>9.0707000000000004</v>
      </c>
      <c r="I463" s="9">
        <f>9.075 * CHOOSE(CONTROL!$C$32, $C$9, 100%, $E$9)</f>
        <v>9.0749999999999993</v>
      </c>
      <c r="J463" s="9">
        <f>9.0707 * CHOOSE(CONTROL!$C$32, $C$9, 100%, $E$9)</f>
        <v>9.0707000000000004</v>
      </c>
      <c r="K463" s="9">
        <f>9.075 * CHOOSE(CONTROL!$C$32, $C$9, 100%, $E$9)</f>
        <v>9.0749999999999993</v>
      </c>
      <c r="L463" s="9">
        <f>6.8601 * CHOOSE(CONTROL!$C$32, $C$9, 100%, $E$9)</f>
        <v>6.8601000000000001</v>
      </c>
      <c r="M463" s="9">
        <f>6.8645 * CHOOSE(CONTROL!$C$32, $C$9, 100%, $E$9)</f>
        <v>6.8644999999999996</v>
      </c>
      <c r="N463" s="9">
        <f>6.8601 * CHOOSE(CONTROL!$C$32, $C$9, 100%, $E$9)</f>
        <v>6.8601000000000001</v>
      </c>
      <c r="O463" s="9">
        <f>6.8645 * CHOOSE(CONTROL!$C$32, $C$9, 100%, $E$9)</f>
        <v>6.8644999999999996</v>
      </c>
    </row>
    <row r="464" spans="1:15" ht="15.75" x14ac:dyDescent="0.25">
      <c r="A464" s="14">
        <v>54635</v>
      </c>
      <c r="B464" s="10">
        <f>7.5826 * CHOOSE(CONTROL!$C$32, $C$9, 100%, $E$9)</f>
        <v>7.5826000000000002</v>
      </c>
      <c r="C464" s="10">
        <f>7.5826 * CHOOSE(CONTROL!$C$32, $C$9, 100%, $E$9)</f>
        <v>7.5826000000000002</v>
      </c>
      <c r="D464" s="10">
        <f>7.5839 * CHOOSE(CONTROL!$C$32, $C$9, 100%, $E$9)</f>
        <v>7.5838999999999999</v>
      </c>
      <c r="E464" s="9">
        <f>6.9412 * CHOOSE(CONTROL!$C$32, $C$9, 100%, $E$9)</f>
        <v>6.9412000000000003</v>
      </c>
      <c r="F464" s="9">
        <f>6.9412 * CHOOSE(CONTROL!$C$32, $C$9, 100%, $E$9)</f>
        <v>6.9412000000000003</v>
      </c>
      <c r="G464" s="9">
        <f>6.9456 * CHOOSE(CONTROL!$C$32, $C$9, 100%, $E$9)</f>
        <v>6.9455999999999998</v>
      </c>
      <c r="H464" s="9">
        <f>9.2082 * CHOOSE(CONTROL!$C$32, $C$9, 100%, $E$9)</f>
        <v>9.2081999999999997</v>
      </c>
      <c r="I464" s="9">
        <f>9.2125 * CHOOSE(CONTROL!$C$32, $C$9, 100%, $E$9)</f>
        <v>9.2125000000000004</v>
      </c>
      <c r="J464" s="9">
        <f>9.2082 * CHOOSE(CONTROL!$C$32, $C$9, 100%, $E$9)</f>
        <v>9.2081999999999997</v>
      </c>
      <c r="K464" s="9">
        <f>9.2125 * CHOOSE(CONTROL!$C$32, $C$9, 100%, $E$9)</f>
        <v>9.2125000000000004</v>
      </c>
      <c r="L464" s="9">
        <f>6.9412 * CHOOSE(CONTROL!$C$32, $C$9, 100%, $E$9)</f>
        <v>6.9412000000000003</v>
      </c>
      <c r="M464" s="9">
        <f>6.9456 * CHOOSE(CONTROL!$C$32, $C$9, 100%, $E$9)</f>
        <v>6.9455999999999998</v>
      </c>
      <c r="N464" s="9">
        <f>6.9412 * CHOOSE(CONTROL!$C$32, $C$9, 100%, $E$9)</f>
        <v>6.9412000000000003</v>
      </c>
      <c r="O464" s="9">
        <f>6.9456 * CHOOSE(CONTROL!$C$32, $C$9, 100%, $E$9)</f>
        <v>6.9455999999999998</v>
      </c>
    </row>
    <row r="465" spans="1:15" ht="15.75" x14ac:dyDescent="0.25">
      <c r="A465" s="14">
        <v>54666</v>
      </c>
      <c r="B465" s="10">
        <f>7.5893 * CHOOSE(CONTROL!$C$32, $C$9, 100%, $E$9)</f>
        <v>7.5892999999999997</v>
      </c>
      <c r="C465" s="10">
        <f>7.5893 * CHOOSE(CONTROL!$C$32, $C$9, 100%, $E$9)</f>
        <v>7.5892999999999997</v>
      </c>
      <c r="D465" s="10">
        <f>7.5906 * CHOOSE(CONTROL!$C$32, $C$9, 100%, $E$9)</f>
        <v>7.5906000000000002</v>
      </c>
      <c r="E465" s="9">
        <f>6.8116 * CHOOSE(CONTROL!$C$32, $C$9, 100%, $E$9)</f>
        <v>6.8116000000000003</v>
      </c>
      <c r="F465" s="9">
        <f>6.8116 * CHOOSE(CONTROL!$C$32, $C$9, 100%, $E$9)</f>
        <v>6.8116000000000003</v>
      </c>
      <c r="G465" s="9">
        <f>6.816 * CHOOSE(CONTROL!$C$32, $C$9, 100%, $E$9)</f>
        <v>6.8159999999999998</v>
      </c>
      <c r="H465" s="9">
        <f>9.2126 * CHOOSE(CONTROL!$C$32, $C$9, 100%, $E$9)</f>
        <v>9.2126000000000001</v>
      </c>
      <c r="I465" s="9">
        <f>9.2169 * CHOOSE(CONTROL!$C$32, $C$9, 100%, $E$9)</f>
        <v>9.2169000000000008</v>
      </c>
      <c r="J465" s="9">
        <f>9.2126 * CHOOSE(CONTROL!$C$32, $C$9, 100%, $E$9)</f>
        <v>9.2126000000000001</v>
      </c>
      <c r="K465" s="9">
        <f>9.2169 * CHOOSE(CONTROL!$C$32, $C$9, 100%, $E$9)</f>
        <v>9.2169000000000008</v>
      </c>
      <c r="L465" s="9">
        <f>6.8116 * CHOOSE(CONTROL!$C$32, $C$9, 100%, $E$9)</f>
        <v>6.8116000000000003</v>
      </c>
      <c r="M465" s="9">
        <f>6.816 * CHOOSE(CONTROL!$C$32, $C$9, 100%, $E$9)</f>
        <v>6.8159999999999998</v>
      </c>
      <c r="N465" s="9">
        <f>6.8116 * CHOOSE(CONTROL!$C$32, $C$9, 100%, $E$9)</f>
        <v>6.8116000000000003</v>
      </c>
      <c r="O465" s="9">
        <f>6.816 * CHOOSE(CONTROL!$C$32, $C$9, 100%, $E$9)</f>
        <v>6.8159999999999998</v>
      </c>
    </row>
    <row r="466" spans="1:15" ht="15.75" x14ac:dyDescent="0.25">
      <c r="A466" s="14">
        <v>54696</v>
      </c>
      <c r="B466" s="10">
        <f>7.5862 * CHOOSE(CONTROL!$C$32, $C$9, 100%, $E$9)</f>
        <v>7.5861999999999998</v>
      </c>
      <c r="C466" s="10">
        <f>7.5862 * CHOOSE(CONTROL!$C$32, $C$9, 100%, $E$9)</f>
        <v>7.5861999999999998</v>
      </c>
      <c r="D466" s="10">
        <f>7.5875 * CHOOSE(CONTROL!$C$32, $C$9, 100%, $E$9)</f>
        <v>7.5875000000000004</v>
      </c>
      <c r="E466" s="9">
        <f>6.7946 * CHOOSE(CONTROL!$C$32, $C$9, 100%, $E$9)</f>
        <v>6.7946</v>
      </c>
      <c r="F466" s="9">
        <f>6.7946 * CHOOSE(CONTROL!$C$32, $C$9, 100%, $E$9)</f>
        <v>6.7946</v>
      </c>
      <c r="G466" s="9">
        <f>6.799 * CHOOSE(CONTROL!$C$32, $C$9, 100%, $E$9)</f>
        <v>6.7990000000000004</v>
      </c>
      <c r="H466" s="9">
        <f>9.2106 * CHOOSE(CONTROL!$C$32, $C$9, 100%, $E$9)</f>
        <v>9.2105999999999995</v>
      </c>
      <c r="I466" s="9">
        <f>9.2149 * CHOOSE(CONTROL!$C$32, $C$9, 100%, $E$9)</f>
        <v>9.2149000000000001</v>
      </c>
      <c r="J466" s="9">
        <f>9.2106 * CHOOSE(CONTROL!$C$32, $C$9, 100%, $E$9)</f>
        <v>9.2105999999999995</v>
      </c>
      <c r="K466" s="9">
        <f>9.2149 * CHOOSE(CONTROL!$C$32, $C$9, 100%, $E$9)</f>
        <v>9.2149000000000001</v>
      </c>
      <c r="L466" s="9">
        <f>6.7946 * CHOOSE(CONTROL!$C$32, $C$9, 100%, $E$9)</f>
        <v>6.7946</v>
      </c>
      <c r="M466" s="9">
        <f>6.799 * CHOOSE(CONTROL!$C$32, $C$9, 100%, $E$9)</f>
        <v>6.7990000000000004</v>
      </c>
      <c r="N466" s="9">
        <f>6.7946 * CHOOSE(CONTROL!$C$32, $C$9, 100%, $E$9)</f>
        <v>6.7946</v>
      </c>
      <c r="O466" s="9">
        <f>6.799 * CHOOSE(CONTROL!$C$32, $C$9, 100%, $E$9)</f>
        <v>6.7990000000000004</v>
      </c>
    </row>
    <row r="467" spans="1:15" ht="15.75" x14ac:dyDescent="0.25">
      <c r="A467" s="14">
        <v>54727</v>
      </c>
      <c r="B467" s="10">
        <f>7.5956 * CHOOSE(CONTROL!$C$32, $C$9, 100%, $E$9)</f>
        <v>7.5956000000000001</v>
      </c>
      <c r="C467" s="10">
        <f>7.5956 * CHOOSE(CONTROL!$C$32, $C$9, 100%, $E$9)</f>
        <v>7.5956000000000001</v>
      </c>
      <c r="D467" s="10">
        <f>7.5966 * CHOOSE(CONTROL!$C$32, $C$9, 100%, $E$9)</f>
        <v>7.5965999999999996</v>
      </c>
      <c r="E467" s="9">
        <f>6.8409 * CHOOSE(CONTROL!$C$32, $C$9, 100%, $E$9)</f>
        <v>6.8409000000000004</v>
      </c>
      <c r="F467" s="9">
        <f>6.8409 * CHOOSE(CONTROL!$C$32, $C$9, 100%, $E$9)</f>
        <v>6.8409000000000004</v>
      </c>
      <c r="G467" s="9">
        <f>6.844 * CHOOSE(CONTROL!$C$32, $C$9, 100%, $E$9)</f>
        <v>6.8440000000000003</v>
      </c>
      <c r="H467" s="9">
        <f>9.2157 * CHOOSE(CONTROL!$C$32, $C$9, 100%, $E$9)</f>
        <v>9.2157</v>
      </c>
      <c r="I467" s="9">
        <f>9.2188 * CHOOSE(CONTROL!$C$32, $C$9, 100%, $E$9)</f>
        <v>9.2187999999999999</v>
      </c>
      <c r="J467" s="9">
        <f>9.2157 * CHOOSE(CONTROL!$C$32, $C$9, 100%, $E$9)</f>
        <v>9.2157</v>
      </c>
      <c r="K467" s="9">
        <f>9.2188 * CHOOSE(CONTROL!$C$32, $C$9, 100%, $E$9)</f>
        <v>9.2187999999999999</v>
      </c>
      <c r="L467" s="9">
        <f>6.8409 * CHOOSE(CONTROL!$C$32, $C$9, 100%, $E$9)</f>
        <v>6.8409000000000004</v>
      </c>
      <c r="M467" s="9">
        <f>6.844 * CHOOSE(CONTROL!$C$32, $C$9, 100%, $E$9)</f>
        <v>6.8440000000000003</v>
      </c>
      <c r="N467" s="9">
        <f>6.8409 * CHOOSE(CONTROL!$C$32, $C$9, 100%, $E$9)</f>
        <v>6.8409000000000004</v>
      </c>
      <c r="O467" s="9">
        <f>6.844 * CHOOSE(CONTROL!$C$32, $C$9, 100%, $E$9)</f>
        <v>6.8440000000000003</v>
      </c>
    </row>
    <row r="468" spans="1:15" ht="15.75" x14ac:dyDescent="0.25">
      <c r="A468" s="14">
        <v>54757</v>
      </c>
      <c r="B468" s="10">
        <f>7.5986 * CHOOSE(CONTROL!$C$32, $C$9, 100%, $E$9)</f>
        <v>7.5986000000000002</v>
      </c>
      <c r="C468" s="10">
        <f>7.5986 * CHOOSE(CONTROL!$C$32, $C$9, 100%, $E$9)</f>
        <v>7.5986000000000002</v>
      </c>
      <c r="D468" s="10">
        <f>7.5996 * CHOOSE(CONTROL!$C$32, $C$9, 100%, $E$9)</f>
        <v>7.5995999999999997</v>
      </c>
      <c r="E468" s="9">
        <f>6.8728 * CHOOSE(CONTROL!$C$32, $C$9, 100%, $E$9)</f>
        <v>6.8727999999999998</v>
      </c>
      <c r="F468" s="9">
        <f>6.8728 * CHOOSE(CONTROL!$C$32, $C$9, 100%, $E$9)</f>
        <v>6.8727999999999998</v>
      </c>
      <c r="G468" s="9">
        <f>6.876 * CHOOSE(CONTROL!$C$32, $C$9, 100%, $E$9)</f>
        <v>6.8760000000000003</v>
      </c>
      <c r="H468" s="9">
        <f>9.2177 * CHOOSE(CONTROL!$C$32, $C$9, 100%, $E$9)</f>
        <v>9.2177000000000007</v>
      </c>
      <c r="I468" s="9">
        <f>9.2208 * CHOOSE(CONTROL!$C$32, $C$9, 100%, $E$9)</f>
        <v>9.2208000000000006</v>
      </c>
      <c r="J468" s="9">
        <f>9.2177 * CHOOSE(CONTROL!$C$32, $C$9, 100%, $E$9)</f>
        <v>9.2177000000000007</v>
      </c>
      <c r="K468" s="9">
        <f>9.2208 * CHOOSE(CONTROL!$C$32, $C$9, 100%, $E$9)</f>
        <v>9.2208000000000006</v>
      </c>
      <c r="L468" s="9">
        <f>6.8728 * CHOOSE(CONTROL!$C$32, $C$9, 100%, $E$9)</f>
        <v>6.8727999999999998</v>
      </c>
      <c r="M468" s="9">
        <f>6.876 * CHOOSE(CONTROL!$C$32, $C$9, 100%, $E$9)</f>
        <v>6.8760000000000003</v>
      </c>
      <c r="N468" s="9">
        <f>6.8728 * CHOOSE(CONTROL!$C$32, $C$9, 100%, $E$9)</f>
        <v>6.8727999999999998</v>
      </c>
      <c r="O468" s="9">
        <f>6.876 * CHOOSE(CONTROL!$C$32, $C$9, 100%, $E$9)</f>
        <v>6.8760000000000003</v>
      </c>
    </row>
    <row r="469" spans="1:15" ht="15.75" x14ac:dyDescent="0.25">
      <c r="A469" s="14">
        <v>54788</v>
      </c>
      <c r="B469" s="10">
        <f>7.5986 * CHOOSE(CONTROL!$C$32, $C$9, 100%, $E$9)</f>
        <v>7.5986000000000002</v>
      </c>
      <c r="C469" s="10">
        <f>7.5986 * CHOOSE(CONTROL!$C$32, $C$9, 100%, $E$9)</f>
        <v>7.5986000000000002</v>
      </c>
      <c r="D469" s="10">
        <f>7.5996 * CHOOSE(CONTROL!$C$32, $C$9, 100%, $E$9)</f>
        <v>7.5995999999999997</v>
      </c>
      <c r="E469" s="9">
        <f>6.7982 * CHOOSE(CONTROL!$C$32, $C$9, 100%, $E$9)</f>
        <v>6.7981999999999996</v>
      </c>
      <c r="F469" s="9">
        <f>6.7982 * CHOOSE(CONTROL!$C$32, $C$9, 100%, $E$9)</f>
        <v>6.7981999999999996</v>
      </c>
      <c r="G469" s="9">
        <f>6.8014 * CHOOSE(CONTROL!$C$32, $C$9, 100%, $E$9)</f>
        <v>6.8014000000000001</v>
      </c>
      <c r="H469" s="9">
        <f>9.2177 * CHOOSE(CONTROL!$C$32, $C$9, 100%, $E$9)</f>
        <v>9.2177000000000007</v>
      </c>
      <c r="I469" s="9">
        <f>9.2208 * CHOOSE(CONTROL!$C$32, $C$9, 100%, $E$9)</f>
        <v>9.2208000000000006</v>
      </c>
      <c r="J469" s="9">
        <f>9.2177 * CHOOSE(CONTROL!$C$32, $C$9, 100%, $E$9)</f>
        <v>9.2177000000000007</v>
      </c>
      <c r="K469" s="9">
        <f>9.2208 * CHOOSE(CONTROL!$C$32, $C$9, 100%, $E$9)</f>
        <v>9.2208000000000006</v>
      </c>
      <c r="L469" s="9">
        <f>6.7982 * CHOOSE(CONTROL!$C$32, $C$9, 100%, $E$9)</f>
        <v>6.7981999999999996</v>
      </c>
      <c r="M469" s="9">
        <f>6.8014 * CHOOSE(CONTROL!$C$32, $C$9, 100%, $E$9)</f>
        <v>6.8014000000000001</v>
      </c>
      <c r="N469" s="9">
        <f>6.7982 * CHOOSE(CONTROL!$C$32, $C$9, 100%, $E$9)</f>
        <v>6.7981999999999996</v>
      </c>
      <c r="O469" s="9">
        <f>6.8014 * CHOOSE(CONTROL!$C$32, $C$9, 100%, $E$9)</f>
        <v>6.8014000000000001</v>
      </c>
    </row>
    <row r="470" spans="1:15" ht="15.75" x14ac:dyDescent="0.25">
      <c r="A470" s="14">
        <v>54819</v>
      </c>
      <c r="B470" s="10">
        <f>7.662 * CHOOSE(CONTROL!$C$32, $C$9, 100%, $E$9)</f>
        <v>7.6619999999999999</v>
      </c>
      <c r="C470" s="10">
        <f>7.662 * CHOOSE(CONTROL!$C$32, $C$9, 100%, $E$9)</f>
        <v>7.6619999999999999</v>
      </c>
      <c r="D470" s="10">
        <f>7.663 * CHOOSE(CONTROL!$C$32, $C$9, 100%, $E$9)</f>
        <v>7.6630000000000003</v>
      </c>
      <c r="E470" s="9">
        <f>6.8992 * CHOOSE(CONTROL!$C$32, $C$9, 100%, $E$9)</f>
        <v>6.8992000000000004</v>
      </c>
      <c r="F470" s="9">
        <f>6.8992 * CHOOSE(CONTROL!$C$32, $C$9, 100%, $E$9)</f>
        <v>6.8992000000000004</v>
      </c>
      <c r="G470" s="9">
        <f>6.9024 * CHOOSE(CONTROL!$C$32, $C$9, 100%, $E$9)</f>
        <v>6.9024000000000001</v>
      </c>
      <c r="H470" s="9">
        <f>9.2863 * CHOOSE(CONTROL!$C$32, $C$9, 100%, $E$9)</f>
        <v>9.2863000000000007</v>
      </c>
      <c r="I470" s="9">
        <f>9.2895 * CHOOSE(CONTROL!$C$32, $C$9, 100%, $E$9)</f>
        <v>9.2895000000000003</v>
      </c>
      <c r="J470" s="9">
        <f>9.2863 * CHOOSE(CONTROL!$C$32, $C$9, 100%, $E$9)</f>
        <v>9.2863000000000007</v>
      </c>
      <c r="K470" s="9">
        <f>9.2895 * CHOOSE(CONTROL!$C$32, $C$9, 100%, $E$9)</f>
        <v>9.2895000000000003</v>
      </c>
      <c r="L470" s="9">
        <f>6.8992 * CHOOSE(CONTROL!$C$32, $C$9, 100%, $E$9)</f>
        <v>6.8992000000000004</v>
      </c>
      <c r="M470" s="9">
        <f>6.9024 * CHOOSE(CONTROL!$C$32, $C$9, 100%, $E$9)</f>
        <v>6.9024000000000001</v>
      </c>
      <c r="N470" s="9">
        <f>6.8992 * CHOOSE(CONTROL!$C$32, $C$9, 100%, $E$9)</f>
        <v>6.8992000000000004</v>
      </c>
      <c r="O470" s="9">
        <f>6.9024 * CHOOSE(CONTROL!$C$32, $C$9, 100%, $E$9)</f>
        <v>6.9024000000000001</v>
      </c>
    </row>
    <row r="471" spans="1:15" ht="15.75" x14ac:dyDescent="0.25">
      <c r="A471" s="14">
        <v>54847</v>
      </c>
      <c r="B471" s="10">
        <f>7.659 * CHOOSE(CONTROL!$C$32, $C$9, 100%, $E$9)</f>
        <v>7.6589999999999998</v>
      </c>
      <c r="C471" s="10">
        <f>7.659 * CHOOSE(CONTROL!$C$32, $C$9, 100%, $E$9)</f>
        <v>7.6589999999999998</v>
      </c>
      <c r="D471" s="10">
        <f>7.6599 * CHOOSE(CONTROL!$C$32, $C$9, 100%, $E$9)</f>
        <v>7.6599000000000004</v>
      </c>
      <c r="E471" s="9">
        <f>6.7518 * CHOOSE(CONTROL!$C$32, $C$9, 100%, $E$9)</f>
        <v>6.7518000000000002</v>
      </c>
      <c r="F471" s="9">
        <f>6.7518 * CHOOSE(CONTROL!$C$32, $C$9, 100%, $E$9)</f>
        <v>6.7518000000000002</v>
      </c>
      <c r="G471" s="9">
        <f>6.755 * CHOOSE(CONTROL!$C$32, $C$9, 100%, $E$9)</f>
        <v>6.7549999999999999</v>
      </c>
      <c r="H471" s="9">
        <f>9.2843 * CHOOSE(CONTROL!$C$32, $C$9, 100%, $E$9)</f>
        <v>9.2843</v>
      </c>
      <c r="I471" s="9">
        <f>9.2875 * CHOOSE(CONTROL!$C$32, $C$9, 100%, $E$9)</f>
        <v>9.2874999999999996</v>
      </c>
      <c r="J471" s="9">
        <f>9.2843 * CHOOSE(CONTROL!$C$32, $C$9, 100%, $E$9)</f>
        <v>9.2843</v>
      </c>
      <c r="K471" s="9">
        <f>9.2875 * CHOOSE(CONTROL!$C$32, $C$9, 100%, $E$9)</f>
        <v>9.2874999999999996</v>
      </c>
      <c r="L471" s="9">
        <f>6.7518 * CHOOSE(CONTROL!$C$32, $C$9, 100%, $E$9)</f>
        <v>6.7518000000000002</v>
      </c>
      <c r="M471" s="9">
        <f>6.755 * CHOOSE(CONTROL!$C$32, $C$9, 100%, $E$9)</f>
        <v>6.7549999999999999</v>
      </c>
      <c r="N471" s="9">
        <f>6.7518 * CHOOSE(CONTROL!$C$32, $C$9, 100%, $E$9)</f>
        <v>6.7518000000000002</v>
      </c>
      <c r="O471" s="9">
        <f>6.755 * CHOOSE(CONTROL!$C$32, $C$9, 100%, $E$9)</f>
        <v>6.7549999999999999</v>
      </c>
    </row>
    <row r="472" spans="1:15" ht="15.75" x14ac:dyDescent="0.25">
      <c r="A472" s="14">
        <v>54878</v>
      </c>
      <c r="B472" s="10">
        <f>7.6559 * CHOOSE(CONTROL!$C$32, $C$9, 100%, $E$9)</f>
        <v>7.6558999999999999</v>
      </c>
      <c r="C472" s="10">
        <f>7.6559 * CHOOSE(CONTROL!$C$32, $C$9, 100%, $E$9)</f>
        <v>7.6558999999999999</v>
      </c>
      <c r="D472" s="10">
        <f>7.6569 * CHOOSE(CONTROL!$C$32, $C$9, 100%, $E$9)</f>
        <v>7.6569000000000003</v>
      </c>
      <c r="E472" s="9">
        <f>6.8642 * CHOOSE(CONTROL!$C$32, $C$9, 100%, $E$9)</f>
        <v>6.8642000000000003</v>
      </c>
      <c r="F472" s="9">
        <f>6.8642 * CHOOSE(CONTROL!$C$32, $C$9, 100%, $E$9)</f>
        <v>6.8642000000000003</v>
      </c>
      <c r="G472" s="9">
        <f>6.8674 * CHOOSE(CONTROL!$C$32, $C$9, 100%, $E$9)</f>
        <v>6.8673999999999999</v>
      </c>
      <c r="H472" s="9">
        <f>9.2823 * CHOOSE(CONTROL!$C$32, $C$9, 100%, $E$9)</f>
        <v>9.2822999999999993</v>
      </c>
      <c r="I472" s="9">
        <f>9.2855 * CHOOSE(CONTROL!$C$32, $C$9, 100%, $E$9)</f>
        <v>9.2855000000000008</v>
      </c>
      <c r="J472" s="9">
        <f>9.2823 * CHOOSE(CONTROL!$C$32, $C$9, 100%, $E$9)</f>
        <v>9.2822999999999993</v>
      </c>
      <c r="K472" s="9">
        <f>9.2855 * CHOOSE(CONTROL!$C$32, $C$9, 100%, $E$9)</f>
        <v>9.2855000000000008</v>
      </c>
      <c r="L472" s="9">
        <f>6.8642 * CHOOSE(CONTROL!$C$32, $C$9, 100%, $E$9)</f>
        <v>6.8642000000000003</v>
      </c>
      <c r="M472" s="9">
        <f>6.8674 * CHOOSE(CONTROL!$C$32, $C$9, 100%, $E$9)</f>
        <v>6.8673999999999999</v>
      </c>
      <c r="N472" s="9">
        <f>6.8642 * CHOOSE(CONTROL!$C$32, $C$9, 100%, $E$9)</f>
        <v>6.8642000000000003</v>
      </c>
      <c r="O472" s="9">
        <f>6.8674 * CHOOSE(CONTROL!$C$32, $C$9, 100%, $E$9)</f>
        <v>6.8673999999999999</v>
      </c>
    </row>
    <row r="473" spans="1:15" ht="15.75" x14ac:dyDescent="0.25">
      <c r="A473" s="14">
        <v>54908</v>
      </c>
      <c r="B473" s="10">
        <f>7.6574 * CHOOSE(CONTROL!$C$32, $C$9, 100%, $E$9)</f>
        <v>7.6574</v>
      </c>
      <c r="C473" s="10">
        <f>7.6574 * CHOOSE(CONTROL!$C$32, $C$9, 100%, $E$9)</f>
        <v>7.6574</v>
      </c>
      <c r="D473" s="10">
        <f>7.6583 * CHOOSE(CONTROL!$C$32, $C$9, 100%, $E$9)</f>
        <v>7.6582999999999997</v>
      </c>
      <c r="E473" s="9">
        <f>6.9829 * CHOOSE(CONTROL!$C$32, $C$9, 100%, $E$9)</f>
        <v>6.9828999999999999</v>
      </c>
      <c r="F473" s="9">
        <f>6.9829 * CHOOSE(CONTROL!$C$32, $C$9, 100%, $E$9)</f>
        <v>6.9828999999999999</v>
      </c>
      <c r="G473" s="9">
        <f>6.9861 * CHOOSE(CONTROL!$C$32, $C$9, 100%, $E$9)</f>
        <v>6.9861000000000004</v>
      </c>
      <c r="H473" s="9">
        <f>9.283 * CHOOSE(CONTROL!$C$32, $C$9, 100%, $E$9)</f>
        <v>9.2829999999999995</v>
      </c>
      <c r="I473" s="9">
        <f>9.2862 * CHOOSE(CONTROL!$C$32, $C$9, 100%, $E$9)</f>
        <v>9.2861999999999991</v>
      </c>
      <c r="J473" s="9">
        <f>9.283 * CHOOSE(CONTROL!$C$32, $C$9, 100%, $E$9)</f>
        <v>9.2829999999999995</v>
      </c>
      <c r="K473" s="9">
        <f>9.2862 * CHOOSE(CONTROL!$C$32, $C$9, 100%, $E$9)</f>
        <v>9.2861999999999991</v>
      </c>
      <c r="L473" s="9">
        <f>6.9829 * CHOOSE(CONTROL!$C$32, $C$9, 100%, $E$9)</f>
        <v>6.9828999999999999</v>
      </c>
      <c r="M473" s="9">
        <f>6.9861 * CHOOSE(CONTROL!$C$32, $C$9, 100%, $E$9)</f>
        <v>6.9861000000000004</v>
      </c>
      <c r="N473" s="9">
        <f>6.9829 * CHOOSE(CONTROL!$C$32, $C$9, 100%, $E$9)</f>
        <v>6.9828999999999999</v>
      </c>
      <c r="O473" s="9">
        <f>6.9861 * CHOOSE(CONTROL!$C$32, $C$9, 100%, $E$9)</f>
        <v>6.9861000000000004</v>
      </c>
    </row>
    <row r="474" spans="1:15" ht="15.75" x14ac:dyDescent="0.25">
      <c r="A474" s="14">
        <v>54939</v>
      </c>
      <c r="B474" s="10">
        <f>7.6574 * CHOOSE(CONTROL!$C$32, $C$9, 100%, $E$9)</f>
        <v>7.6574</v>
      </c>
      <c r="C474" s="10">
        <f>7.6574 * CHOOSE(CONTROL!$C$32, $C$9, 100%, $E$9)</f>
        <v>7.6574</v>
      </c>
      <c r="D474" s="10">
        <f>7.6587 * CHOOSE(CONTROL!$C$32, $C$9, 100%, $E$9)</f>
        <v>7.6586999999999996</v>
      </c>
      <c r="E474" s="9">
        <f>7.029 * CHOOSE(CONTROL!$C$32, $C$9, 100%, $E$9)</f>
        <v>7.0289999999999999</v>
      </c>
      <c r="F474" s="9">
        <f>7.029 * CHOOSE(CONTROL!$C$32, $C$9, 100%, $E$9)</f>
        <v>7.0289999999999999</v>
      </c>
      <c r="G474" s="9">
        <f>7.0334 * CHOOSE(CONTROL!$C$32, $C$9, 100%, $E$9)</f>
        <v>7.0334000000000003</v>
      </c>
      <c r="H474" s="9">
        <f>9.283 * CHOOSE(CONTROL!$C$32, $C$9, 100%, $E$9)</f>
        <v>9.2829999999999995</v>
      </c>
      <c r="I474" s="9">
        <f>9.2874 * CHOOSE(CONTROL!$C$32, $C$9, 100%, $E$9)</f>
        <v>9.2873999999999999</v>
      </c>
      <c r="J474" s="9">
        <f>9.283 * CHOOSE(CONTROL!$C$32, $C$9, 100%, $E$9)</f>
        <v>9.2829999999999995</v>
      </c>
      <c r="K474" s="9">
        <f>9.2874 * CHOOSE(CONTROL!$C$32, $C$9, 100%, $E$9)</f>
        <v>9.2873999999999999</v>
      </c>
      <c r="L474" s="9">
        <f>7.029 * CHOOSE(CONTROL!$C$32, $C$9, 100%, $E$9)</f>
        <v>7.0289999999999999</v>
      </c>
      <c r="M474" s="9">
        <f>7.0334 * CHOOSE(CONTROL!$C$32, $C$9, 100%, $E$9)</f>
        <v>7.0334000000000003</v>
      </c>
      <c r="N474" s="9">
        <f>7.029 * CHOOSE(CONTROL!$C$32, $C$9, 100%, $E$9)</f>
        <v>7.0289999999999999</v>
      </c>
      <c r="O474" s="9">
        <f>7.0334 * CHOOSE(CONTROL!$C$32, $C$9, 100%, $E$9)</f>
        <v>7.0334000000000003</v>
      </c>
    </row>
    <row r="475" spans="1:15" ht="15.75" x14ac:dyDescent="0.25">
      <c r="A475" s="14">
        <v>54969</v>
      </c>
      <c r="B475" s="10">
        <f>7.6635 * CHOOSE(CONTROL!$C$32, $C$9, 100%, $E$9)</f>
        <v>7.6635</v>
      </c>
      <c r="C475" s="10">
        <f>7.6635 * CHOOSE(CONTROL!$C$32, $C$9, 100%, $E$9)</f>
        <v>7.6635</v>
      </c>
      <c r="D475" s="10">
        <f>7.6648 * CHOOSE(CONTROL!$C$32, $C$9, 100%, $E$9)</f>
        <v>7.6647999999999996</v>
      </c>
      <c r="E475" s="9">
        <f>6.9871 * CHOOSE(CONTROL!$C$32, $C$9, 100%, $E$9)</f>
        <v>6.9870999999999999</v>
      </c>
      <c r="F475" s="9">
        <f>6.9871 * CHOOSE(CONTROL!$C$32, $C$9, 100%, $E$9)</f>
        <v>6.9870999999999999</v>
      </c>
      <c r="G475" s="9">
        <f>6.9915 * CHOOSE(CONTROL!$C$32, $C$9, 100%, $E$9)</f>
        <v>6.9915000000000003</v>
      </c>
      <c r="H475" s="9">
        <f>9.287 * CHOOSE(CONTROL!$C$32, $C$9, 100%, $E$9)</f>
        <v>9.2870000000000008</v>
      </c>
      <c r="I475" s="9">
        <f>9.2914 * CHOOSE(CONTROL!$C$32, $C$9, 100%, $E$9)</f>
        <v>9.2913999999999994</v>
      </c>
      <c r="J475" s="9">
        <f>9.287 * CHOOSE(CONTROL!$C$32, $C$9, 100%, $E$9)</f>
        <v>9.2870000000000008</v>
      </c>
      <c r="K475" s="9">
        <f>9.2914 * CHOOSE(CONTROL!$C$32, $C$9, 100%, $E$9)</f>
        <v>9.2913999999999994</v>
      </c>
      <c r="L475" s="9">
        <f>6.9871 * CHOOSE(CONTROL!$C$32, $C$9, 100%, $E$9)</f>
        <v>6.9870999999999999</v>
      </c>
      <c r="M475" s="9">
        <f>6.9915 * CHOOSE(CONTROL!$C$32, $C$9, 100%, $E$9)</f>
        <v>6.9915000000000003</v>
      </c>
      <c r="N475" s="9">
        <f>6.9871 * CHOOSE(CONTROL!$C$32, $C$9, 100%, $E$9)</f>
        <v>6.9870999999999999</v>
      </c>
      <c r="O475" s="9">
        <f>6.9915 * CHOOSE(CONTROL!$C$32, $C$9, 100%, $E$9)</f>
        <v>6.9915000000000003</v>
      </c>
    </row>
    <row r="476" spans="1:15" ht="15.75" x14ac:dyDescent="0.25">
      <c r="A476" s="14">
        <v>55000</v>
      </c>
      <c r="B476" s="10">
        <f>7.7741 * CHOOSE(CONTROL!$C$32, $C$9, 100%, $E$9)</f>
        <v>7.7740999999999998</v>
      </c>
      <c r="C476" s="10">
        <f>7.7741 * CHOOSE(CONTROL!$C$32, $C$9, 100%, $E$9)</f>
        <v>7.7740999999999998</v>
      </c>
      <c r="D476" s="10">
        <f>7.7754 * CHOOSE(CONTROL!$C$32, $C$9, 100%, $E$9)</f>
        <v>7.7754000000000003</v>
      </c>
      <c r="E476" s="9">
        <f>7.0695 * CHOOSE(CONTROL!$C$32, $C$9, 100%, $E$9)</f>
        <v>7.0694999999999997</v>
      </c>
      <c r="F476" s="9">
        <f>7.0695 * CHOOSE(CONTROL!$C$32, $C$9, 100%, $E$9)</f>
        <v>7.0694999999999997</v>
      </c>
      <c r="G476" s="9">
        <f>7.0739 * CHOOSE(CONTROL!$C$32, $C$9, 100%, $E$9)</f>
        <v>7.0739000000000001</v>
      </c>
      <c r="H476" s="9">
        <f>9.4275 * CHOOSE(CONTROL!$C$32, $C$9, 100%, $E$9)</f>
        <v>9.4275000000000002</v>
      </c>
      <c r="I476" s="9">
        <f>9.4319 * CHOOSE(CONTROL!$C$32, $C$9, 100%, $E$9)</f>
        <v>9.4319000000000006</v>
      </c>
      <c r="J476" s="9">
        <f>9.4275 * CHOOSE(CONTROL!$C$32, $C$9, 100%, $E$9)</f>
        <v>9.4275000000000002</v>
      </c>
      <c r="K476" s="9">
        <f>9.4319 * CHOOSE(CONTROL!$C$32, $C$9, 100%, $E$9)</f>
        <v>9.4319000000000006</v>
      </c>
      <c r="L476" s="9">
        <f>7.0695 * CHOOSE(CONTROL!$C$32, $C$9, 100%, $E$9)</f>
        <v>7.0694999999999997</v>
      </c>
      <c r="M476" s="9">
        <f>7.0739 * CHOOSE(CONTROL!$C$32, $C$9, 100%, $E$9)</f>
        <v>7.0739000000000001</v>
      </c>
      <c r="N476" s="9">
        <f>7.0695 * CHOOSE(CONTROL!$C$32, $C$9, 100%, $E$9)</f>
        <v>7.0694999999999997</v>
      </c>
      <c r="O476" s="9">
        <f>7.0739 * CHOOSE(CONTROL!$C$32, $C$9, 100%, $E$9)</f>
        <v>7.0739000000000001</v>
      </c>
    </row>
    <row r="477" spans="1:15" ht="15.75" x14ac:dyDescent="0.25">
      <c r="A477" s="14">
        <v>55031</v>
      </c>
      <c r="B477" s="10">
        <f>7.7808 * CHOOSE(CONTROL!$C$32, $C$9, 100%, $E$9)</f>
        <v>7.7808000000000002</v>
      </c>
      <c r="C477" s="10">
        <f>7.7808 * CHOOSE(CONTROL!$C$32, $C$9, 100%, $E$9)</f>
        <v>7.7808000000000002</v>
      </c>
      <c r="D477" s="10">
        <f>7.7821 * CHOOSE(CONTROL!$C$32, $C$9, 100%, $E$9)</f>
        <v>7.7820999999999998</v>
      </c>
      <c r="E477" s="9">
        <f>6.9359 * CHOOSE(CONTROL!$C$32, $C$9, 100%, $E$9)</f>
        <v>6.9359000000000002</v>
      </c>
      <c r="F477" s="9">
        <f>6.9359 * CHOOSE(CONTROL!$C$32, $C$9, 100%, $E$9)</f>
        <v>6.9359000000000002</v>
      </c>
      <c r="G477" s="9">
        <f>6.9403 * CHOOSE(CONTROL!$C$32, $C$9, 100%, $E$9)</f>
        <v>6.9402999999999997</v>
      </c>
      <c r="H477" s="9">
        <f>9.4319 * CHOOSE(CONTROL!$C$32, $C$9, 100%, $E$9)</f>
        <v>9.4319000000000006</v>
      </c>
      <c r="I477" s="9">
        <f>9.4363 * CHOOSE(CONTROL!$C$32, $C$9, 100%, $E$9)</f>
        <v>9.4362999999999992</v>
      </c>
      <c r="J477" s="9">
        <f>9.4319 * CHOOSE(CONTROL!$C$32, $C$9, 100%, $E$9)</f>
        <v>9.4319000000000006</v>
      </c>
      <c r="K477" s="9">
        <f>9.4363 * CHOOSE(CONTROL!$C$32, $C$9, 100%, $E$9)</f>
        <v>9.4362999999999992</v>
      </c>
      <c r="L477" s="9">
        <f>6.9359 * CHOOSE(CONTROL!$C$32, $C$9, 100%, $E$9)</f>
        <v>6.9359000000000002</v>
      </c>
      <c r="M477" s="9">
        <f>6.9403 * CHOOSE(CONTROL!$C$32, $C$9, 100%, $E$9)</f>
        <v>6.9402999999999997</v>
      </c>
      <c r="N477" s="9">
        <f>6.9359 * CHOOSE(CONTROL!$C$32, $C$9, 100%, $E$9)</f>
        <v>6.9359000000000002</v>
      </c>
      <c r="O477" s="9">
        <f>6.9403 * CHOOSE(CONTROL!$C$32, $C$9, 100%, $E$9)</f>
        <v>6.9402999999999997</v>
      </c>
    </row>
    <row r="478" spans="1:15" ht="15.75" x14ac:dyDescent="0.25">
      <c r="A478" s="14">
        <v>55061</v>
      </c>
      <c r="B478" s="10">
        <f>7.7778 * CHOOSE(CONTROL!$C$32, $C$9, 100%, $E$9)</f>
        <v>7.7778</v>
      </c>
      <c r="C478" s="10">
        <f>7.7778 * CHOOSE(CONTROL!$C$32, $C$9, 100%, $E$9)</f>
        <v>7.7778</v>
      </c>
      <c r="D478" s="10">
        <f>7.7791 * CHOOSE(CONTROL!$C$32, $C$9, 100%, $E$9)</f>
        <v>7.7790999999999997</v>
      </c>
      <c r="E478" s="9">
        <f>6.9184 * CHOOSE(CONTROL!$C$32, $C$9, 100%, $E$9)</f>
        <v>6.9184000000000001</v>
      </c>
      <c r="F478" s="9">
        <f>6.9184 * CHOOSE(CONTROL!$C$32, $C$9, 100%, $E$9)</f>
        <v>6.9184000000000001</v>
      </c>
      <c r="G478" s="9">
        <f>6.9228 * CHOOSE(CONTROL!$C$32, $C$9, 100%, $E$9)</f>
        <v>6.9227999999999996</v>
      </c>
      <c r="H478" s="9">
        <f>9.4299 * CHOOSE(CONTROL!$C$32, $C$9, 100%, $E$9)</f>
        <v>9.4298999999999999</v>
      </c>
      <c r="I478" s="9">
        <f>9.4343 * CHOOSE(CONTROL!$C$32, $C$9, 100%, $E$9)</f>
        <v>9.4343000000000004</v>
      </c>
      <c r="J478" s="9">
        <f>9.4299 * CHOOSE(CONTROL!$C$32, $C$9, 100%, $E$9)</f>
        <v>9.4298999999999999</v>
      </c>
      <c r="K478" s="9">
        <f>9.4343 * CHOOSE(CONTROL!$C$32, $C$9, 100%, $E$9)</f>
        <v>9.4343000000000004</v>
      </c>
      <c r="L478" s="9">
        <f>6.9184 * CHOOSE(CONTROL!$C$32, $C$9, 100%, $E$9)</f>
        <v>6.9184000000000001</v>
      </c>
      <c r="M478" s="9">
        <f>6.9228 * CHOOSE(CONTROL!$C$32, $C$9, 100%, $E$9)</f>
        <v>6.9227999999999996</v>
      </c>
      <c r="N478" s="9">
        <f>6.9184 * CHOOSE(CONTROL!$C$32, $C$9, 100%, $E$9)</f>
        <v>6.9184000000000001</v>
      </c>
      <c r="O478" s="9">
        <f>6.9228 * CHOOSE(CONTROL!$C$32, $C$9, 100%, $E$9)</f>
        <v>6.9227999999999996</v>
      </c>
    </row>
    <row r="479" spans="1:15" ht="15.75" x14ac:dyDescent="0.25">
      <c r="A479" s="14">
        <v>55092</v>
      </c>
      <c r="B479" s="10">
        <f>7.7879 * CHOOSE(CONTROL!$C$32, $C$9, 100%, $E$9)</f>
        <v>7.7878999999999996</v>
      </c>
      <c r="C479" s="10">
        <f>7.7879 * CHOOSE(CONTROL!$C$32, $C$9, 100%, $E$9)</f>
        <v>7.7878999999999996</v>
      </c>
      <c r="D479" s="10">
        <f>7.7888 * CHOOSE(CONTROL!$C$32, $C$9, 100%, $E$9)</f>
        <v>7.7888000000000002</v>
      </c>
      <c r="E479" s="9">
        <f>6.9665 * CHOOSE(CONTROL!$C$32, $C$9, 100%, $E$9)</f>
        <v>6.9664999999999999</v>
      </c>
      <c r="F479" s="9">
        <f>6.9665 * CHOOSE(CONTROL!$C$32, $C$9, 100%, $E$9)</f>
        <v>6.9664999999999999</v>
      </c>
      <c r="G479" s="9">
        <f>6.9697 * CHOOSE(CONTROL!$C$32, $C$9, 100%, $E$9)</f>
        <v>6.9696999999999996</v>
      </c>
      <c r="H479" s="9">
        <f>9.4355 * CHOOSE(CONTROL!$C$32, $C$9, 100%, $E$9)</f>
        <v>9.4354999999999993</v>
      </c>
      <c r="I479" s="9">
        <f>9.4387 * CHOOSE(CONTROL!$C$32, $C$9, 100%, $E$9)</f>
        <v>9.4387000000000008</v>
      </c>
      <c r="J479" s="9">
        <f>9.4355 * CHOOSE(CONTROL!$C$32, $C$9, 100%, $E$9)</f>
        <v>9.4354999999999993</v>
      </c>
      <c r="K479" s="9">
        <f>9.4387 * CHOOSE(CONTROL!$C$32, $C$9, 100%, $E$9)</f>
        <v>9.4387000000000008</v>
      </c>
      <c r="L479" s="9">
        <f>6.9665 * CHOOSE(CONTROL!$C$32, $C$9, 100%, $E$9)</f>
        <v>6.9664999999999999</v>
      </c>
      <c r="M479" s="9">
        <f>6.9697 * CHOOSE(CONTROL!$C$32, $C$9, 100%, $E$9)</f>
        <v>6.9696999999999996</v>
      </c>
      <c r="N479" s="9">
        <f>6.9665 * CHOOSE(CONTROL!$C$32, $C$9, 100%, $E$9)</f>
        <v>6.9664999999999999</v>
      </c>
      <c r="O479" s="9">
        <f>6.9697 * CHOOSE(CONTROL!$C$32, $C$9, 100%, $E$9)</f>
        <v>6.9696999999999996</v>
      </c>
    </row>
    <row r="480" spans="1:15" ht="15.75" x14ac:dyDescent="0.25">
      <c r="A480" s="14">
        <v>55122</v>
      </c>
      <c r="B480" s="10">
        <f>7.7909 * CHOOSE(CONTROL!$C$32, $C$9, 100%, $E$9)</f>
        <v>7.7908999999999997</v>
      </c>
      <c r="C480" s="10">
        <f>7.7909 * CHOOSE(CONTROL!$C$32, $C$9, 100%, $E$9)</f>
        <v>7.7908999999999997</v>
      </c>
      <c r="D480" s="10">
        <f>7.7919 * CHOOSE(CONTROL!$C$32, $C$9, 100%, $E$9)</f>
        <v>7.7919</v>
      </c>
      <c r="E480" s="9">
        <f>6.9993 * CHOOSE(CONTROL!$C$32, $C$9, 100%, $E$9)</f>
        <v>6.9992999999999999</v>
      </c>
      <c r="F480" s="9">
        <f>6.9993 * CHOOSE(CONTROL!$C$32, $C$9, 100%, $E$9)</f>
        <v>6.9992999999999999</v>
      </c>
      <c r="G480" s="9">
        <f>7.0025 * CHOOSE(CONTROL!$C$32, $C$9, 100%, $E$9)</f>
        <v>7.0025000000000004</v>
      </c>
      <c r="H480" s="9">
        <f>9.4375 * CHOOSE(CONTROL!$C$32, $C$9, 100%, $E$9)</f>
        <v>9.4375</v>
      </c>
      <c r="I480" s="9">
        <f>9.4407 * CHOOSE(CONTROL!$C$32, $C$9, 100%, $E$9)</f>
        <v>9.4406999999999996</v>
      </c>
      <c r="J480" s="9">
        <f>9.4375 * CHOOSE(CONTROL!$C$32, $C$9, 100%, $E$9)</f>
        <v>9.4375</v>
      </c>
      <c r="K480" s="9">
        <f>9.4407 * CHOOSE(CONTROL!$C$32, $C$9, 100%, $E$9)</f>
        <v>9.4406999999999996</v>
      </c>
      <c r="L480" s="9">
        <f>6.9993 * CHOOSE(CONTROL!$C$32, $C$9, 100%, $E$9)</f>
        <v>6.9992999999999999</v>
      </c>
      <c r="M480" s="9">
        <f>7.0025 * CHOOSE(CONTROL!$C$32, $C$9, 100%, $E$9)</f>
        <v>7.0025000000000004</v>
      </c>
      <c r="N480" s="9">
        <f>6.9993 * CHOOSE(CONTROL!$C$32, $C$9, 100%, $E$9)</f>
        <v>6.9992999999999999</v>
      </c>
      <c r="O480" s="9">
        <f>7.0025 * CHOOSE(CONTROL!$C$32, $C$9, 100%, $E$9)</f>
        <v>7.0025000000000004</v>
      </c>
    </row>
    <row r="481" spans="1:15" ht="15.75" x14ac:dyDescent="0.25">
      <c r="A481" s="14">
        <v>55153</v>
      </c>
      <c r="B481" s="10">
        <f>7.7909 * CHOOSE(CONTROL!$C$32, $C$9, 100%, $E$9)</f>
        <v>7.7908999999999997</v>
      </c>
      <c r="C481" s="10">
        <f>7.7909 * CHOOSE(CONTROL!$C$32, $C$9, 100%, $E$9)</f>
        <v>7.7908999999999997</v>
      </c>
      <c r="D481" s="10">
        <f>7.7919 * CHOOSE(CONTROL!$C$32, $C$9, 100%, $E$9)</f>
        <v>7.7919</v>
      </c>
      <c r="E481" s="9">
        <f>6.9225 * CHOOSE(CONTROL!$C$32, $C$9, 100%, $E$9)</f>
        <v>6.9225000000000003</v>
      </c>
      <c r="F481" s="9">
        <f>6.9225 * CHOOSE(CONTROL!$C$32, $C$9, 100%, $E$9)</f>
        <v>6.9225000000000003</v>
      </c>
      <c r="G481" s="9">
        <f>6.9257 * CHOOSE(CONTROL!$C$32, $C$9, 100%, $E$9)</f>
        <v>6.9257</v>
      </c>
      <c r="H481" s="9">
        <f>9.4375 * CHOOSE(CONTROL!$C$32, $C$9, 100%, $E$9)</f>
        <v>9.4375</v>
      </c>
      <c r="I481" s="9">
        <f>9.4407 * CHOOSE(CONTROL!$C$32, $C$9, 100%, $E$9)</f>
        <v>9.4406999999999996</v>
      </c>
      <c r="J481" s="9">
        <f>9.4375 * CHOOSE(CONTROL!$C$32, $C$9, 100%, $E$9)</f>
        <v>9.4375</v>
      </c>
      <c r="K481" s="9">
        <f>9.4407 * CHOOSE(CONTROL!$C$32, $C$9, 100%, $E$9)</f>
        <v>9.4406999999999996</v>
      </c>
      <c r="L481" s="9">
        <f>6.9225 * CHOOSE(CONTROL!$C$32, $C$9, 100%, $E$9)</f>
        <v>6.9225000000000003</v>
      </c>
      <c r="M481" s="9">
        <f>6.9257 * CHOOSE(CONTROL!$C$32, $C$9, 100%, $E$9)</f>
        <v>6.9257</v>
      </c>
      <c r="N481" s="9">
        <f>6.9225 * CHOOSE(CONTROL!$C$32, $C$9, 100%, $E$9)</f>
        <v>6.9225000000000003</v>
      </c>
      <c r="O481" s="9">
        <f>6.9257 * CHOOSE(CONTROL!$C$32, $C$9, 100%, $E$9)</f>
        <v>6.9257</v>
      </c>
    </row>
    <row r="482" spans="1:15" ht="15.75" x14ac:dyDescent="0.25">
      <c r="A482" s="14">
        <v>55184</v>
      </c>
      <c r="B482" s="10">
        <f>7.8558 * CHOOSE(CONTROL!$C$32, $C$9, 100%, $E$9)</f>
        <v>7.8558000000000003</v>
      </c>
      <c r="C482" s="10">
        <f>7.8558 * CHOOSE(CONTROL!$C$32, $C$9, 100%, $E$9)</f>
        <v>7.8558000000000003</v>
      </c>
      <c r="D482" s="10">
        <f>7.8567 * CHOOSE(CONTROL!$C$32, $C$9, 100%, $E$9)</f>
        <v>7.8567</v>
      </c>
      <c r="E482" s="9">
        <f>7.026 * CHOOSE(CONTROL!$C$32, $C$9, 100%, $E$9)</f>
        <v>7.0259999999999998</v>
      </c>
      <c r="F482" s="9">
        <f>7.026 * CHOOSE(CONTROL!$C$32, $C$9, 100%, $E$9)</f>
        <v>7.0259999999999998</v>
      </c>
      <c r="G482" s="9">
        <f>7.0292 * CHOOSE(CONTROL!$C$32, $C$9, 100%, $E$9)</f>
        <v>7.0292000000000003</v>
      </c>
      <c r="H482" s="9">
        <f>9.5077 * CHOOSE(CONTROL!$C$32, $C$9, 100%, $E$9)</f>
        <v>9.5076999999999998</v>
      </c>
      <c r="I482" s="9">
        <f>9.5109 * CHOOSE(CONTROL!$C$32, $C$9, 100%, $E$9)</f>
        <v>9.5108999999999995</v>
      </c>
      <c r="J482" s="9">
        <f>9.5077 * CHOOSE(CONTROL!$C$32, $C$9, 100%, $E$9)</f>
        <v>9.5076999999999998</v>
      </c>
      <c r="K482" s="9">
        <f>9.5109 * CHOOSE(CONTROL!$C$32, $C$9, 100%, $E$9)</f>
        <v>9.5108999999999995</v>
      </c>
      <c r="L482" s="9">
        <f>7.026 * CHOOSE(CONTROL!$C$32, $C$9, 100%, $E$9)</f>
        <v>7.0259999999999998</v>
      </c>
      <c r="M482" s="9">
        <f>7.0292 * CHOOSE(CONTROL!$C$32, $C$9, 100%, $E$9)</f>
        <v>7.0292000000000003</v>
      </c>
      <c r="N482" s="9">
        <f>7.026 * CHOOSE(CONTROL!$C$32, $C$9, 100%, $E$9)</f>
        <v>7.0259999999999998</v>
      </c>
      <c r="O482" s="9">
        <f>7.0292 * CHOOSE(CONTROL!$C$32, $C$9, 100%, $E$9)</f>
        <v>7.0292000000000003</v>
      </c>
    </row>
    <row r="483" spans="1:15" ht="15.75" x14ac:dyDescent="0.25">
      <c r="A483" s="14">
        <v>55212</v>
      </c>
      <c r="B483" s="10">
        <f>7.8527 * CHOOSE(CONTROL!$C$32, $C$9, 100%, $E$9)</f>
        <v>7.8526999999999996</v>
      </c>
      <c r="C483" s="10">
        <f>7.8527 * CHOOSE(CONTROL!$C$32, $C$9, 100%, $E$9)</f>
        <v>7.8526999999999996</v>
      </c>
      <c r="D483" s="10">
        <f>7.8537 * CHOOSE(CONTROL!$C$32, $C$9, 100%, $E$9)</f>
        <v>7.8536999999999999</v>
      </c>
      <c r="E483" s="9">
        <f>6.8743 * CHOOSE(CONTROL!$C$32, $C$9, 100%, $E$9)</f>
        <v>6.8742999999999999</v>
      </c>
      <c r="F483" s="9">
        <f>6.8743 * CHOOSE(CONTROL!$C$32, $C$9, 100%, $E$9)</f>
        <v>6.8742999999999999</v>
      </c>
      <c r="G483" s="9">
        <f>6.8775 * CHOOSE(CONTROL!$C$32, $C$9, 100%, $E$9)</f>
        <v>6.8775000000000004</v>
      </c>
      <c r="H483" s="9">
        <f>9.5057 * CHOOSE(CONTROL!$C$32, $C$9, 100%, $E$9)</f>
        <v>9.5056999999999992</v>
      </c>
      <c r="I483" s="9">
        <f>9.5089 * CHOOSE(CONTROL!$C$32, $C$9, 100%, $E$9)</f>
        <v>9.5089000000000006</v>
      </c>
      <c r="J483" s="9">
        <f>9.5057 * CHOOSE(CONTROL!$C$32, $C$9, 100%, $E$9)</f>
        <v>9.5056999999999992</v>
      </c>
      <c r="K483" s="9">
        <f>9.5089 * CHOOSE(CONTROL!$C$32, $C$9, 100%, $E$9)</f>
        <v>9.5089000000000006</v>
      </c>
      <c r="L483" s="9">
        <f>6.8743 * CHOOSE(CONTROL!$C$32, $C$9, 100%, $E$9)</f>
        <v>6.8742999999999999</v>
      </c>
      <c r="M483" s="9">
        <f>6.8775 * CHOOSE(CONTROL!$C$32, $C$9, 100%, $E$9)</f>
        <v>6.8775000000000004</v>
      </c>
      <c r="N483" s="9">
        <f>6.8743 * CHOOSE(CONTROL!$C$32, $C$9, 100%, $E$9)</f>
        <v>6.8742999999999999</v>
      </c>
      <c r="O483" s="9">
        <f>6.8775 * CHOOSE(CONTROL!$C$32, $C$9, 100%, $E$9)</f>
        <v>6.8775000000000004</v>
      </c>
    </row>
    <row r="484" spans="1:15" ht="15.75" x14ac:dyDescent="0.25">
      <c r="A484" s="14">
        <v>55243</v>
      </c>
      <c r="B484" s="10">
        <f>7.8497 * CHOOSE(CONTROL!$C$32, $C$9, 100%, $E$9)</f>
        <v>7.8497000000000003</v>
      </c>
      <c r="C484" s="10">
        <f>7.8497 * CHOOSE(CONTROL!$C$32, $C$9, 100%, $E$9)</f>
        <v>7.8497000000000003</v>
      </c>
      <c r="D484" s="10">
        <f>7.8506 * CHOOSE(CONTROL!$C$32, $C$9, 100%, $E$9)</f>
        <v>7.8506</v>
      </c>
      <c r="E484" s="9">
        <f>6.9901 * CHOOSE(CONTROL!$C$32, $C$9, 100%, $E$9)</f>
        <v>6.9901</v>
      </c>
      <c r="F484" s="9">
        <f>6.9901 * CHOOSE(CONTROL!$C$32, $C$9, 100%, $E$9)</f>
        <v>6.9901</v>
      </c>
      <c r="G484" s="9">
        <f>6.9933 * CHOOSE(CONTROL!$C$32, $C$9, 100%, $E$9)</f>
        <v>6.9932999999999996</v>
      </c>
      <c r="H484" s="9">
        <f>9.5037 * CHOOSE(CONTROL!$C$32, $C$9, 100%, $E$9)</f>
        <v>9.5037000000000003</v>
      </c>
      <c r="I484" s="9">
        <f>9.5069 * CHOOSE(CONTROL!$C$32, $C$9, 100%, $E$9)</f>
        <v>9.5068999999999999</v>
      </c>
      <c r="J484" s="9">
        <f>9.5037 * CHOOSE(CONTROL!$C$32, $C$9, 100%, $E$9)</f>
        <v>9.5037000000000003</v>
      </c>
      <c r="K484" s="9">
        <f>9.5069 * CHOOSE(CONTROL!$C$32, $C$9, 100%, $E$9)</f>
        <v>9.5068999999999999</v>
      </c>
      <c r="L484" s="9">
        <f>6.9901 * CHOOSE(CONTROL!$C$32, $C$9, 100%, $E$9)</f>
        <v>6.9901</v>
      </c>
      <c r="M484" s="9">
        <f>6.9933 * CHOOSE(CONTROL!$C$32, $C$9, 100%, $E$9)</f>
        <v>6.9932999999999996</v>
      </c>
      <c r="N484" s="9">
        <f>6.9901 * CHOOSE(CONTROL!$C$32, $C$9, 100%, $E$9)</f>
        <v>6.9901</v>
      </c>
      <c r="O484" s="9">
        <f>6.9933 * CHOOSE(CONTROL!$C$32, $C$9, 100%, $E$9)</f>
        <v>6.9932999999999996</v>
      </c>
    </row>
    <row r="485" spans="1:15" ht="15.75" x14ac:dyDescent="0.25">
      <c r="A485" s="14">
        <v>55273</v>
      </c>
      <c r="B485" s="10">
        <f>7.8513 * CHOOSE(CONTROL!$C$32, $C$9, 100%, $E$9)</f>
        <v>7.8513000000000002</v>
      </c>
      <c r="C485" s="10">
        <f>7.8513 * CHOOSE(CONTROL!$C$32, $C$9, 100%, $E$9)</f>
        <v>7.8513000000000002</v>
      </c>
      <c r="D485" s="10">
        <f>7.8523 * CHOOSE(CONTROL!$C$32, $C$9, 100%, $E$9)</f>
        <v>7.8522999999999996</v>
      </c>
      <c r="E485" s="9">
        <f>7.1125 * CHOOSE(CONTROL!$C$32, $C$9, 100%, $E$9)</f>
        <v>7.1124999999999998</v>
      </c>
      <c r="F485" s="9">
        <f>7.1125 * CHOOSE(CONTROL!$C$32, $C$9, 100%, $E$9)</f>
        <v>7.1124999999999998</v>
      </c>
      <c r="G485" s="9">
        <f>7.1157 * CHOOSE(CONTROL!$C$32, $C$9, 100%, $E$9)</f>
        <v>7.1157000000000004</v>
      </c>
      <c r="H485" s="9">
        <f>9.5045 * CHOOSE(CONTROL!$C$32, $C$9, 100%, $E$9)</f>
        <v>9.5045000000000002</v>
      </c>
      <c r="I485" s="9">
        <f>9.5077 * CHOOSE(CONTROL!$C$32, $C$9, 100%, $E$9)</f>
        <v>9.5076999999999998</v>
      </c>
      <c r="J485" s="9">
        <f>9.5045 * CHOOSE(CONTROL!$C$32, $C$9, 100%, $E$9)</f>
        <v>9.5045000000000002</v>
      </c>
      <c r="K485" s="9">
        <f>9.5077 * CHOOSE(CONTROL!$C$32, $C$9, 100%, $E$9)</f>
        <v>9.5076999999999998</v>
      </c>
      <c r="L485" s="9">
        <f>7.1125 * CHOOSE(CONTROL!$C$32, $C$9, 100%, $E$9)</f>
        <v>7.1124999999999998</v>
      </c>
      <c r="M485" s="9">
        <f>7.1157 * CHOOSE(CONTROL!$C$32, $C$9, 100%, $E$9)</f>
        <v>7.1157000000000004</v>
      </c>
      <c r="N485" s="9">
        <f>7.1125 * CHOOSE(CONTROL!$C$32, $C$9, 100%, $E$9)</f>
        <v>7.1124999999999998</v>
      </c>
      <c r="O485" s="9">
        <f>7.1157 * CHOOSE(CONTROL!$C$32, $C$9, 100%, $E$9)</f>
        <v>7.1157000000000004</v>
      </c>
    </row>
    <row r="486" spans="1:15" ht="15.75" x14ac:dyDescent="0.25">
      <c r="A486" s="14">
        <v>55304</v>
      </c>
      <c r="B486" s="10">
        <f>7.8513 * CHOOSE(CONTROL!$C$32, $C$9, 100%, $E$9)</f>
        <v>7.8513000000000002</v>
      </c>
      <c r="C486" s="10">
        <f>7.8513 * CHOOSE(CONTROL!$C$32, $C$9, 100%, $E$9)</f>
        <v>7.8513000000000002</v>
      </c>
      <c r="D486" s="10">
        <f>7.8526 * CHOOSE(CONTROL!$C$32, $C$9, 100%, $E$9)</f>
        <v>7.8525999999999998</v>
      </c>
      <c r="E486" s="9">
        <f>7.16 * CHOOSE(CONTROL!$C$32, $C$9, 100%, $E$9)</f>
        <v>7.16</v>
      </c>
      <c r="F486" s="9">
        <f>7.16 * CHOOSE(CONTROL!$C$32, $C$9, 100%, $E$9)</f>
        <v>7.16</v>
      </c>
      <c r="G486" s="9">
        <f>7.1643 * CHOOSE(CONTROL!$C$32, $C$9, 100%, $E$9)</f>
        <v>7.1642999999999999</v>
      </c>
      <c r="H486" s="9">
        <f>9.5045 * CHOOSE(CONTROL!$C$32, $C$9, 100%, $E$9)</f>
        <v>9.5045000000000002</v>
      </c>
      <c r="I486" s="9">
        <f>9.5089 * CHOOSE(CONTROL!$C$32, $C$9, 100%, $E$9)</f>
        <v>9.5089000000000006</v>
      </c>
      <c r="J486" s="9">
        <f>9.5045 * CHOOSE(CONTROL!$C$32, $C$9, 100%, $E$9)</f>
        <v>9.5045000000000002</v>
      </c>
      <c r="K486" s="9">
        <f>9.5089 * CHOOSE(CONTROL!$C$32, $C$9, 100%, $E$9)</f>
        <v>9.5089000000000006</v>
      </c>
      <c r="L486" s="9">
        <f>7.16 * CHOOSE(CONTROL!$C$32, $C$9, 100%, $E$9)</f>
        <v>7.16</v>
      </c>
      <c r="M486" s="9">
        <f>7.1643 * CHOOSE(CONTROL!$C$32, $C$9, 100%, $E$9)</f>
        <v>7.1642999999999999</v>
      </c>
      <c r="N486" s="9">
        <f>7.16 * CHOOSE(CONTROL!$C$32, $C$9, 100%, $E$9)</f>
        <v>7.16</v>
      </c>
      <c r="O486" s="9">
        <f>7.1643 * CHOOSE(CONTROL!$C$32, $C$9, 100%, $E$9)</f>
        <v>7.1642999999999999</v>
      </c>
    </row>
    <row r="487" spans="1:15" ht="15.75" x14ac:dyDescent="0.25">
      <c r="A487" s="14">
        <v>55334</v>
      </c>
      <c r="B487" s="10">
        <f>7.8574 * CHOOSE(CONTROL!$C$32, $C$9, 100%, $E$9)</f>
        <v>7.8574000000000002</v>
      </c>
      <c r="C487" s="10">
        <f>7.8574 * CHOOSE(CONTROL!$C$32, $C$9, 100%, $E$9)</f>
        <v>7.8574000000000002</v>
      </c>
      <c r="D487" s="10">
        <f>7.8587 * CHOOSE(CONTROL!$C$32, $C$9, 100%, $E$9)</f>
        <v>7.8586999999999998</v>
      </c>
      <c r="E487" s="9">
        <f>7.1167 * CHOOSE(CONTROL!$C$32, $C$9, 100%, $E$9)</f>
        <v>7.1166999999999998</v>
      </c>
      <c r="F487" s="9">
        <f>7.1167 * CHOOSE(CONTROL!$C$32, $C$9, 100%, $E$9)</f>
        <v>7.1166999999999998</v>
      </c>
      <c r="G487" s="9">
        <f>7.1211 * CHOOSE(CONTROL!$C$32, $C$9, 100%, $E$9)</f>
        <v>7.1211000000000002</v>
      </c>
      <c r="H487" s="9">
        <f>9.5085 * CHOOSE(CONTROL!$C$32, $C$9, 100%, $E$9)</f>
        <v>9.5084999999999997</v>
      </c>
      <c r="I487" s="9">
        <f>9.5129 * CHOOSE(CONTROL!$C$32, $C$9, 100%, $E$9)</f>
        <v>9.5129000000000001</v>
      </c>
      <c r="J487" s="9">
        <f>9.5085 * CHOOSE(CONTROL!$C$32, $C$9, 100%, $E$9)</f>
        <v>9.5084999999999997</v>
      </c>
      <c r="K487" s="9">
        <f>9.5129 * CHOOSE(CONTROL!$C$32, $C$9, 100%, $E$9)</f>
        <v>9.5129000000000001</v>
      </c>
      <c r="L487" s="9">
        <f>7.1167 * CHOOSE(CONTROL!$C$32, $C$9, 100%, $E$9)</f>
        <v>7.1166999999999998</v>
      </c>
      <c r="M487" s="9">
        <f>7.1211 * CHOOSE(CONTROL!$C$32, $C$9, 100%, $E$9)</f>
        <v>7.1211000000000002</v>
      </c>
      <c r="N487" s="9">
        <f>7.1167 * CHOOSE(CONTROL!$C$32, $C$9, 100%, $E$9)</f>
        <v>7.1166999999999998</v>
      </c>
      <c r="O487" s="9">
        <f>7.1211 * CHOOSE(CONTROL!$C$32, $C$9, 100%, $E$9)</f>
        <v>7.1211000000000002</v>
      </c>
    </row>
    <row r="488" spans="1:15" ht="15.75" x14ac:dyDescent="0.25">
      <c r="A488" s="14">
        <v>55365</v>
      </c>
      <c r="B488" s="10">
        <f>7.9705 * CHOOSE(CONTROL!$C$32, $C$9, 100%, $E$9)</f>
        <v>7.9705000000000004</v>
      </c>
      <c r="C488" s="10">
        <f>7.9705 * CHOOSE(CONTROL!$C$32, $C$9, 100%, $E$9)</f>
        <v>7.9705000000000004</v>
      </c>
      <c r="D488" s="10">
        <f>7.9718 * CHOOSE(CONTROL!$C$32, $C$9, 100%, $E$9)</f>
        <v>7.9718</v>
      </c>
      <c r="E488" s="9">
        <f>7.2005 * CHOOSE(CONTROL!$C$32, $C$9, 100%, $E$9)</f>
        <v>7.2004999999999999</v>
      </c>
      <c r="F488" s="9">
        <f>7.2005 * CHOOSE(CONTROL!$C$32, $C$9, 100%, $E$9)</f>
        <v>7.2004999999999999</v>
      </c>
      <c r="G488" s="9">
        <f>7.2048 * CHOOSE(CONTROL!$C$32, $C$9, 100%, $E$9)</f>
        <v>7.2047999999999996</v>
      </c>
      <c r="H488" s="9">
        <f>9.6521 * CHOOSE(CONTROL!$C$32, $C$9, 100%, $E$9)</f>
        <v>9.6521000000000008</v>
      </c>
      <c r="I488" s="9">
        <f>9.6565 * CHOOSE(CONTROL!$C$32, $C$9, 100%, $E$9)</f>
        <v>9.6564999999999994</v>
      </c>
      <c r="J488" s="9">
        <f>9.6521 * CHOOSE(CONTROL!$C$32, $C$9, 100%, $E$9)</f>
        <v>9.6521000000000008</v>
      </c>
      <c r="K488" s="9">
        <f>9.6565 * CHOOSE(CONTROL!$C$32, $C$9, 100%, $E$9)</f>
        <v>9.6564999999999994</v>
      </c>
      <c r="L488" s="9">
        <f>7.2005 * CHOOSE(CONTROL!$C$32, $C$9, 100%, $E$9)</f>
        <v>7.2004999999999999</v>
      </c>
      <c r="M488" s="9">
        <f>7.2048 * CHOOSE(CONTROL!$C$32, $C$9, 100%, $E$9)</f>
        <v>7.2047999999999996</v>
      </c>
      <c r="N488" s="9">
        <f>7.2005 * CHOOSE(CONTROL!$C$32, $C$9, 100%, $E$9)</f>
        <v>7.2004999999999999</v>
      </c>
      <c r="O488" s="9">
        <f>7.2048 * CHOOSE(CONTROL!$C$32, $C$9, 100%, $E$9)</f>
        <v>7.2047999999999996</v>
      </c>
    </row>
    <row r="489" spans="1:15" ht="15.75" x14ac:dyDescent="0.25">
      <c r="A489" s="14">
        <v>55396</v>
      </c>
      <c r="B489" s="10">
        <f>7.9772 * CHOOSE(CONTROL!$C$32, $C$9, 100%, $E$9)</f>
        <v>7.9771999999999998</v>
      </c>
      <c r="C489" s="10">
        <f>7.9772 * CHOOSE(CONTROL!$C$32, $C$9, 100%, $E$9)</f>
        <v>7.9771999999999998</v>
      </c>
      <c r="D489" s="10">
        <f>7.9785 * CHOOSE(CONTROL!$C$32, $C$9, 100%, $E$9)</f>
        <v>7.9785000000000004</v>
      </c>
      <c r="E489" s="9">
        <f>7.0627 * CHOOSE(CONTROL!$C$32, $C$9, 100%, $E$9)</f>
        <v>7.0627000000000004</v>
      </c>
      <c r="F489" s="9">
        <f>7.0627 * CHOOSE(CONTROL!$C$32, $C$9, 100%, $E$9)</f>
        <v>7.0627000000000004</v>
      </c>
      <c r="G489" s="9">
        <f>7.067 * CHOOSE(CONTROL!$C$32, $C$9, 100%, $E$9)</f>
        <v>7.0670000000000002</v>
      </c>
      <c r="H489" s="9">
        <f>9.6565 * CHOOSE(CONTROL!$C$32, $C$9, 100%, $E$9)</f>
        <v>9.6564999999999994</v>
      </c>
      <c r="I489" s="9">
        <f>9.6609 * CHOOSE(CONTROL!$C$32, $C$9, 100%, $E$9)</f>
        <v>9.6608999999999998</v>
      </c>
      <c r="J489" s="9">
        <f>9.6565 * CHOOSE(CONTROL!$C$32, $C$9, 100%, $E$9)</f>
        <v>9.6564999999999994</v>
      </c>
      <c r="K489" s="9">
        <f>9.6609 * CHOOSE(CONTROL!$C$32, $C$9, 100%, $E$9)</f>
        <v>9.6608999999999998</v>
      </c>
      <c r="L489" s="9">
        <f>7.0627 * CHOOSE(CONTROL!$C$32, $C$9, 100%, $E$9)</f>
        <v>7.0627000000000004</v>
      </c>
      <c r="M489" s="9">
        <f>7.067 * CHOOSE(CONTROL!$C$32, $C$9, 100%, $E$9)</f>
        <v>7.0670000000000002</v>
      </c>
      <c r="N489" s="9">
        <f>7.0627 * CHOOSE(CONTROL!$C$32, $C$9, 100%, $E$9)</f>
        <v>7.0627000000000004</v>
      </c>
      <c r="O489" s="9">
        <f>7.067 * CHOOSE(CONTROL!$C$32, $C$9, 100%, $E$9)</f>
        <v>7.0670000000000002</v>
      </c>
    </row>
    <row r="490" spans="1:15" ht="15.75" x14ac:dyDescent="0.25">
      <c r="A490" s="14">
        <v>55426</v>
      </c>
      <c r="B490" s="10">
        <f>7.9742 * CHOOSE(CONTROL!$C$32, $C$9, 100%, $E$9)</f>
        <v>7.9741999999999997</v>
      </c>
      <c r="C490" s="10">
        <f>7.9742 * CHOOSE(CONTROL!$C$32, $C$9, 100%, $E$9)</f>
        <v>7.9741999999999997</v>
      </c>
      <c r="D490" s="10">
        <f>7.9755 * CHOOSE(CONTROL!$C$32, $C$9, 100%, $E$9)</f>
        <v>7.9755000000000003</v>
      </c>
      <c r="E490" s="9">
        <f>7.0447 * CHOOSE(CONTROL!$C$32, $C$9, 100%, $E$9)</f>
        <v>7.0446999999999997</v>
      </c>
      <c r="F490" s="9">
        <f>7.0447 * CHOOSE(CONTROL!$C$32, $C$9, 100%, $E$9)</f>
        <v>7.0446999999999997</v>
      </c>
      <c r="G490" s="9">
        <f>7.0491 * CHOOSE(CONTROL!$C$32, $C$9, 100%, $E$9)</f>
        <v>7.0491000000000001</v>
      </c>
      <c r="H490" s="9">
        <f>9.6545 * CHOOSE(CONTROL!$C$32, $C$9, 100%, $E$9)</f>
        <v>9.6545000000000005</v>
      </c>
      <c r="I490" s="9">
        <f>9.6589 * CHOOSE(CONTROL!$C$32, $C$9, 100%, $E$9)</f>
        <v>9.6588999999999992</v>
      </c>
      <c r="J490" s="9">
        <f>9.6545 * CHOOSE(CONTROL!$C$32, $C$9, 100%, $E$9)</f>
        <v>9.6545000000000005</v>
      </c>
      <c r="K490" s="9">
        <f>9.6589 * CHOOSE(CONTROL!$C$32, $C$9, 100%, $E$9)</f>
        <v>9.6588999999999992</v>
      </c>
      <c r="L490" s="9">
        <f>7.0447 * CHOOSE(CONTROL!$C$32, $C$9, 100%, $E$9)</f>
        <v>7.0446999999999997</v>
      </c>
      <c r="M490" s="9">
        <f>7.0491 * CHOOSE(CONTROL!$C$32, $C$9, 100%, $E$9)</f>
        <v>7.0491000000000001</v>
      </c>
      <c r="N490" s="9">
        <f>7.0447 * CHOOSE(CONTROL!$C$32, $C$9, 100%, $E$9)</f>
        <v>7.0446999999999997</v>
      </c>
      <c r="O490" s="9">
        <f>7.0491 * CHOOSE(CONTROL!$C$32, $C$9, 100%, $E$9)</f>
        <v>7.0491000000000001</v>
      </c>
    </row>
    <row r="491" spans="1:15" ht="15.75" x14ac:dyDescent="0.25">
      <c r="A491" s="14">
        <v>55457</v>
      </c>
      <c r="B491" s="10">
        <f>7.985 * CHOOSE(CONTROL!$C$32, $C$9, 100%, $E$9)</f>
        <v>7.9850000000000003</v>
      </c>
      <c r="C491" s="10">
        <f>7.985 * CHOOSE(CONTROL!$C$32, $C$9, 100%, $E$9)</f>
        <v>7.9850000000000003</v>
      </c>
      <c r="D491" s="10">
        <f>7.986 * CHOOSE(CONTROL!$C$32, $C$9, 100%, $E$9)</f>
        <v>7.9859999999999998</v>
      </c>
      <c r="E491" s="9">
        <f>7.0946 * CHOOSE(CONTROL!$C$32, $C$9, 100%, $E$9)</f>
        <v>7.0945999999999998</v>
      </c>
      <c r="F491" s="9">
        <f>7.0946 * CHOOSE(CONTROL!$C$32, $C$9, 100%, $E$9)</f>
        <v>7.0945999999999998</v>
      </c>
      <c r="G491" s="9">
        <f>7.0978 * CHOOSE(CONTROL!$C$32, $C$9, 100%, $E$9)</f>
        <v>7.0978000000000003</v>
      </c>
      <c r="H491" s="9">
        <f>9.6606 * CHOOSE(CONTROL!$C$32, $C$9, 100%, $E$9)</f>
        <v>9.6606000000000005</v>
      </c>
      <c r="I491" s="9">
        <f>9.6637 * CHOOSE(CONTROL!$C$32, $C$9, 100%, $E$9)</f>
        <v>9.6637000000000004</v>
      </c>
      <c r="J491" s="9">
        <f>9.6606 * CHOOSE(CONTROL!$C$32, $C$9, 100%, $E$9)</f>
        <v>9.6606000000000005</v>
      </c>
      <c r="K491" s="9">
        <f>9.6637 * CHOOSE(CONTROL!$C$32, $C$9, 100%, $E$9)</f>
        <v>9.6637000000000004</v>
      </c>
      <c r="L491" s="9">
        <f>7.0946 * CHOOSE(CONTROL!$C$32, $C$9, 100%, $E$9)</f>
        <v>7.0945999999999998</v>
      </c>
      <c r="M491" s="9">
        <f>7.0978 * CHOOSE(CONTROL!$C$32, $C$9, 100%, $E$9)</f>
        <v>7.0978000000000003</v>
      </c>
      <c r="N491" s="9">
        <f>7.0946 * CHOOSE(CONTROL!$C$32, $C$9, 100%, $E$9)</f>
        <v>7.0945999999999998</v>
      </c>
      <c r="O491" s="9">
        <f>7.0978 * CHOOSE(CONTROL!$C$32, $C$9, 100%, $E$9)</f>
        <v>7.0978000000000003</v>
      </c>
    </row>
    <row r="492" spans="1:15" ht="15.75" x14ac:dyDescent="0.25">
      <c r="A492" s="14">
        <v>55487</v>
      </c>
      <c r="B492" s="10">
        <f>7.9881 * CHOOSE(CONTROL!$C$32, $C$9, 100%, $E$9)</f>
        <v>7.9881000000000002</v>
      </c>
      <c r="C492" s="10">
        <f>7.9881 * CHOOSE(CONTROL!$C$32, $C$9, 100%, $E$9)</f>
        <v>7.9881000000000002</v>
      </c>
      <c r="D492" s="10">
        <f>7.989 * CHOOSE(CONTROL!$C$32, $C$9, 100%, $E$9)</f>
        <v>7.9889999999999999</v>
      </c>
      <c r="E492" s="9">
        <f>7.1284 * CHOOSE(CONTROL!$C$32, $C$9, 100%, $E$9)</f>
        <v>7.1284000000000001</v>
      </c>
      <c r="F492" s="9">
        <f>7.1284 * CHOOSE(CONTROL!$C$32, $C$9, 100%, $E$9)</f>
        <v>7.1284000000000001</v>
      </c>
      <c r="G492" s="9">
        <f>7.1316 * CHOOSE(CONTROL!$C$32, $C$9, 100%, $E$9)</f>
        <v>7.1315999999999997</v>
      </c>
      <c r="H492" s="9">
        <f>9.6626 * CHOOSE(CONTROL!$C$32, $C$9, 100%, $E$9)</f>
        <v>9.6625999999999994</v>
      </c>
      <c r="I492" s="9">
        <f>9.6657 * CHOOSE(CONTROL!$C$32, $C$9, 100%, $E$9)</f>
        <v>9.6656999999999993</v>
      </c>
      <c r="J492" s="9">
        <f>9.6626 * CHOOSE(CONTROL!$C$32, $C$9, 100%, $E$9)</f>
        <v>9.6625999999999994</v>
      </c>
      <c r="K492" s="9">
        <f>9.6657 * CHOOSE(CONTROL!$C$32, $C$9, 100%, $E$9)</f>
        <v>9.6656999999999993</v>
      </c>
      <c r="L492" s="9">
        <f>7.1284 * CHOOSE(CONTROL!$C$32, $C$9, 100%, $E$9)</f>
        <v>7.1284000000000001</v>
      </c>
      <c r="M492" s="9">
        <f>7.1316 * CHOOSE(CONTROL!$C$32, $C$9, 100%, $E$9)</f>
        <v>7.1315999999999997</v>
      </c>
      <c r="N492" s="9">
        <f>7.1284 * CHOOSE(CONTROL!$C$32, $C$9, 100%, $E$9)</f>
        <v>7.1284000000000001</v>
      </c>
      <c r="O492" s="9">
        <f>7.1316 * CHOOSE(CONTROL!$C$32, $C$9, 100%, $E$9)</f>
        <v>7.1315999999999997</v>
      </c>
    </row>
    <row r="493" spans="1:15" ht="15.75" x14ac:dyDescent="0.25">
      <c r="A493" s="14">
        <v>55518</v>
      </c>
      <c r="B493" s="10">
        <f>7.9881 * CHOOSE(CONTROL!$C$32, $C$9, 100%, $E$9)</f>
        <v>7.9881000000000002</v>
      </c>
      <c r="C493" s="10">
        <f>7.9881 * CHOOSE(CONTROL!$C$32, $C$9, 100%, $E$9)</f>
        <v>7.9881000000000002</v>
      </c>
      <c r="D493" s="10">
        <f>7.989 * CHOOSE(CONTROL!$C$32, $C$9, 100%, $E$9)</f>
        <v>7.9889999999999999</v>
      </c>
      <c r="E493" s="9">
        <f>7.0493 * CHOOSE(CONTROL!$C$32, $C$9, 100%, $E$9)</f>
        <v>7.0492999999999997</v>
      </c>
      <c r="F493" s="9">
        <f>7.0493 * CHOOSE(CONTROL!$C$32, $C$9, 100%, $E$9)</f>
        <v>7.0492999999999997</v>
      </c>
      <c r="G493" s="9">
        <f>7.0524 * CHOOSE(CONTROL!$C$32, $C$9, 100%, $E$9)</f>
        <v>7.0523999999999996</v>
      </c>
      <c r="H493" s="9">
        <f>9.6626 * CHOOSE(CONTROL!$C$32, $C$9, 100%, $E$9)</f>
        <v>9.6625999999999994</v>
      </c>
      <c r="I493" s="9">
        <f>9.6657 * CHOOSE(CONTROL!$C$32, $C$9, 100%, $E$9)</f>
        <v>9.6656999999999993</v>
      </c>
      <c r="J493" s="9">
        <f>9.6626 * CHOOSE(CONTROL!$C$32, $C$9, 100%, $E$9)</f>
        <v>9.6625999999999994</v>
      </c>
      <c r="K493" s="9">
        <f>9.6657 * CHOOSE(CONTROL!$C$32, $C$9, 100%, $E$9)</f>
        <v>9.6656999999999993</v>
      </c>
      <c r="L493" s="9">
        <f>7.0493 * CHOOSE(CONTROL!$C$32, $C$9, 100%, $E$9)</f>
        <v>7.0492999999999997</v>
      </c>
      <c r="M493" s="9">
        <f>7.0524 * CHOOSE(CONTROL!$C$32, $C$9, 100%, $E$9)</f>
        <v>7.0523999999999996</v>
      </c>
      <c r="N493" s="9">
        <f>7.0493 * CHOOSE(CONTROL!$C$32, $C$9, 100%, $E$9)</f>
        <v>7.0492999999999997</v>
      </c>
      <c r="O493" s="9">
        <f>7.0524 * CHOOSE(CONTROL!$C$32, $C$9, 100%, $E$9)</f>
        <v>7.0523999999999996</v>
      </c>
    </row>
    <row r="494" spans="1:15" ht="15.75" x14ac:dyDescent="0.25">
      <c r="A494" s="14">
        <v>55549</v>
      </c>
      <c r="B494" s="10">
        <f>8.0544 * CHOOSE(CONTROL!$C$32, $C$9, 100%, $E$9)</f>
        <v>8.0543999999999993</v>
      </c>
      <c r="C494" s="10">
        <f>8.0544 * CHOOSE(CONTROL!$C$32, $C$9, 100%, $E$9)</f>
        <v>8.0543999999999993</v>
      </c>
      <c r="D494" s="10">
        <f>8.0554 * CHOOSE(CONTROL!$C$32, $C$9, 100%, $E$9)</f>
        <v>8.0554000000000006</v>
      </c>
      <c r="E494" s="9">
        <f>7.1554 * CHOOSE(CONTROL!$C$32, $C$9, 100%, $E$9)</f>
        <v>7.1554000000000002</v>
      </c>
      <c r="F494" s="9">
        <f>7.1554 * CHOOSE(CONTROL!$C$32, $C$9, 100%, $E$9)</f>
        <v>7.1554000000000002</v>
      </c>
      <c r="G494" s="9">
        <f>7.1586 * CHOOSE(CONTROL!$C$32, $C$9, 100%, $E$9)</f>
        <v>7.1585999999999999</v>
      </c>
      <c r="H494" s="9">
        <f>9.7344 * CHOOSE(CONTROL!$C$32, $C$9, 100%, $E$9)</f>
        <v>9.7344000000000008</v>
      </c>
      <c r="I494" s="9">
        <f>9.7376 * CHOOSE(CONTROL!$C$32, $C$9, 100%, $E$9)</f>
        <v>9.7376000000000005</v>
      </c>
      <c r="J494" s="9">
        <f>9.7344 * CHOOSE(CONTROL!$C$32, $C$9, 100%, $E$9)</f>
        <v>9.7344000000000008</v>
      </c>
      <c r="K494" s="9">
        <f>9.7376 * CHOOSE(CONTROL!$C$32, $C$9, 100%, $E$9)</f>
        <v>9.7376000000000005</v>
      </c>
      <c r="L494" s="9">
        <f>7.1554 * CHOOSE(CONTROL!$C$32, $C$9, 100%, $E$9)</f>
        <v>7.1554000000000002</v>
      </c>
      <c r="M494" s="9">
        <f>7.1586 * CHOOSE(CONTROL!$C$32, $C$9, 100%, $E$9)</f>
        <v>7.1585999999999999</v>
      </c>
      <c r="N494" s="9">
        <f>7.1554 * CHOOSE(CONTROL!$C$32, $C$9, 100%, $E$9)</f>
        <v>7.1554000000000002</v>
      </c>
      <c r="O494" s="9">
        <f>7.1586 * CHOOSE(CONTROL!$C$32, $C$9, 100%, $E$9)</f>
        <v>7.1585999999999999</v>
      </c>
    </row>
    <row r="495" spans="1:15" ht="15.75" x14ac:dyDescent="0.25">
      <c r="A495" s="14">
        <v>55577</v>
      </c>
      <c r="B495" s="10">
        <f>8.0514 * CHOOSE(CONTROL!$C$32, $C$9, 100%, $E$9)</f>
        <v>8.0513999999999992</v>
      </c>
      <c r="C495" s="10">
        <f>8.0514 * CHOOSE(CONTROL!$C$32, $C$9, 100%, $E$9)</f>
        <v>8.0513999999999992</v>
      </c>
      <c r="D495" s="10">
        <f>8.0524 * CHOOSE(CONTROL!$C$32, $C$9, 100%, $E$9)</f>
        <v>8.0524000000000004</v>
      </c>
      <c r="E495" s="9">
        <f>6.9993 * CHOOSE(CONTROL!$C$32, $C$9, 100%, $E$9)</f>
        <v>6.9992999999999999</v>
      </c>
      <c r="F495" s="9">
        <f>6.9993 * CHOOSE(CONTROL!$C$32, $C$9, 100%, $E$9)</f>
        <v>6.9992999999999999</v>
      </c>
      <c r="G495" s="9">
        <f>7.0025 * CHOOSE(CONTROL!$C$32, $C$9, 100%, $E$9)</f>
        <v>7.0025000000000004</v>
      </c>
      <c r="H495" s="9">
        <f>9.7324 * CHOOSE(CONTROL!$C$32, $C$9, 100%, $E$9)</f>
        <v>9.7324000000000002</v>
      </c>
      <c r="I495" s="9">
        <f>9.7356 * CHOOSE(CONTROL!$C$32, $C$9, 100%, $E$9)</f>
        <v>9.7355999999999998</v>
      </c>
      <c r="J495" s="9">
        <f>9.7324 * CHOOSE(CONTROL!$C$32, $C$9, 100%, $E$9)</f>
        <v>9.7324000000000002</v>
      </c>
      <c r="K495" s="9">
        <f>9.7356 * CHOOSE(CONTROL!$C$32, $C$9, 100%, $E$9)</f>
        <v>9.7355999999999998</v>
      </c>
      <c r="L495" s="9">
        <f>6.9993 * CHOOSE(CONTROL!$C$32, $C$9, 100%, $E$9)</f>
        <v>6.9992999999999999</v>
      </c>
      <c r="M495" s="9">
        <f>7.0025 * CHOOSE(CONTROL!$C$32, $C$9, 100%, $E$9)</f>
        <v>7.0025000000000004</v>
      </c>
      <c r="N495" s="9">
        <f>6.9993 * CHOOSE(CONTROL!$C$32, $C$9, 100%, $E$9)</f>
        <v>6.9992999999999999</v>
      </c>
      <c r="O495" s="9">
        <f>7.0025 * CHOOSE(CONTROL!$C$32, $C$9, 100%, $E$9)</f>
        <v>7.0025000000000004</v>
      </c>
    </row>
    <row r="496" spans="1:15" ht="15.75" x14ac:dyDescent="0.25">
      <c r="A496" s="14">
        <v>55609</v>
      </c>
      <c r="B496" s="10">
        <f>8.0484 * CHOOSE(CONTROL!$C$32, $C$9, 100%, $E$9)</f>
        <v>8.0484000000000009</v>
      </c>
      <c r="C496" s="10">
        <f>8.0484 * CHOOSE(CONTROL!$C$32, $C$9, 100%, $E$9)</f>
        <v>8.0484000000000009</v>
      </c>
      <c r="D496" s="10">
        <f>8.0493 * CHOOSE(CONTROL!$C$32, $C$9, 100%, $E$9)</f>
        <v>8.0493000000000006</v>
      </c>
      <c r="E496" s="9">
        <f>7.1186 * CHOOSE(CONTROL!$C$32, $C$9, 100%, $E$9)</f>
        <v>7.1185999999999998</v>
      </c>
      <c r="F496" s="9">
        <f>7.1186 * CHOOSE(CONTROL!$C$32, $C$9, 100%, $E$9)</f>
        <v>7.1185999999999998</v>
      </c>
      <c r="G496" s="9">
        <f>7.1218 * CHOOSE(CONTROL!$C$32, $C$9, 100%, $E$9)</f>
        <v>7.1218000000000004</v>
      </c>
      <c r="H496" s="9">
        <f>9.7304 * CHOOSE(CONTROL!$C$32, $C$9, 100%, $E$9)</f>
        <v>9.7303999999999995</v>
      </c>
      <c r="I496" s="9">
        <f>9.7336 * CHOOSE(CONTROL!$C$32, $C$9, 100%, $E$9)</f>
        <v>9.7335999999999991</v>
      </c>
      <c r="J496" s="9">
        <f>9.7304 * CHOOSE(CONTROL!$C$32, $C$9, 100%, $E$9)</f>
        <v>9.7303999999999995</v>
      </c>
      <c r="K496" s="9">
        <f>9.7336 * CHOOSE(CONTROL!$C$32, $C$9, 100%, $E$9)</f>
        <v>9.7335999999999991</v>
      </c>
      <c r="L496" s="9">
        <f>7.1186 * CHOOSE(CONTROL!$C$32, $C$9, 100%, $E$9)</f>
        <v>7.1185999999999998</v>
      </c>
      <c r="M496" s="9">
        <f>7.1218 * CHOOSE(CONTROL!$C$32, $C$9, 100%, $E$9)</f>
        <v>7.1218000000000004</v>
      </c>
      <c r="N496" s="9">
        <f>7.1186 * CHOOSE(CONTROL!$C$32, $C$9, 100%, $E$9)</f>
        <v>7.1185999999999998</v>
      </c>
      <c r="O496" s="9">
        <f>7.1218 * CHOOSE(CONTROL!$C$32, $C$9, 100%, $E$9)</f>
        <v>7.1218000000000004</v>
      </c>
    </row>
    <row r="497" spans="1:15" ht="15.75" x14ac:dyDescent="0.25">
      <c r="A497" s="14">
        <v>55639</v>
      </c>
      <c r="B497" s="10">
        <f>8.0502 * CHOOSE(CONTROL!$C$32, $C$9, 100%, $E$9)</f>
        <v>8.0502000000000002</v>
      </c>
      <c r="C497" s="10">
        <f>8.0502 * CHOOSE(CONTROL!$C$32, $C$9, 100%, $E$9)</f>
        <v>8.0502000000000002</v>
      </c>
      <c r="D497" s="10">
        <f>8.0512 * CHOOSE(CONTROL!$C$32, $C$9, 100%, $E$9)</f>
        <v>8.0511999999999997</v>
      </c>
      <c r="E497" s="9">
        <f>7.2448 * CHOOSE(CONTROL!$C$32, $C$9, 100%, $E$9)</f>
        <v>7.2447999999999997</v>
      </c>
      <c r="F497" s="9">
        <f>7.2448 * CHOOSE(CONTROL!$C$32, $C$9, 100%, $E$9)</f>
        <v>7.2447999999999997</v>
      </c>
      <c r="G497" s="9">
        <f>7.248 * CHOOSE(CONTROL!$C$32, $C$9, 100%, $E$9)</f>
        <v>7.2480000000000002</v>
      </c>
      <c r="H497" s="9">
        <f>9.7313 * CHOOSE(CONTROL!$C$32, $C$9, 100%, $E$9)</f>
        <v>9.7312999999999992</v>
      </c>
      <c r="I497" s="9">
        <f>9.7345 * CHOOSE(CONTROL!$C$32, $C$9, 100%, $E$9)</f>
        <v>9.7345000000000006</v>
      </c>
      <c r="J497" s="9">
        <f>9.7313 * CHOOSE(CONTROL!$C$32, $C$9, 100%, $E$9)</f>
        <v>9.7312999999999992</v>
      </c>
      <c r="K497" s="9">
        <f>9.7345 * CHOOSE(CONTROL!$C$32, $C$9, 100%, $E$9)</f>
        <v>9.7345000000000006</v>
      </c>
      <c r="L497" s="9">
        <f>7.2448 * CHOOSE(CONTROL!$C$32, $C$9, 100%, $E$9)</f>
        <v>7.2447999999999997</v>
      </c>
      <c r="M497" s="9">
        <f>7.248 * CHOOSE(CONTROL!$C$32, $C$9, 100%, $E$9)</f>
        <v>7.2480000000000002</v>
      </c>
      <c r="N497" s="9">
        <f>7.2448 * CHOOSE(CONTROL!$C$32, $C$9, 100%, $E$9)</f>
        <v>7.2447999999999997</v>
      </c>
      <c r="O497" s="9">
        <f>7.248 * CHOOSE(CONTROL!$C$32, $C$9, 100%, $E$9)</f>
        <v>7.2480000000000002</v>
      </c>
    </row>
    <row r="498" spans="1:15" ht="15.75" x14ac:dyDescent="0.25">
      <c r="A498" s="14">
        <v>55670</v>
      </c>
      <c r="B498" s="10">
        <f>8.0502 * CHOOSE(CONTROL!$C$32, $C$9, 100%, $E$9)</f>
        <v>8.0502000000000002</v>
      </c>
      <c r="C498" s="10">
        <f>8.0502 * CHOOSE(CONTROL!$C$32, $C$9, 100%, $E$9)</f>
        <v>8.0502000000000002</v>
      </c>
      <c r="D498" s="10">
        <f>8.0515 * CHOOSE(CONTROL!$C$32, $C$9, 100%, $E$9)</f>
        <v>8.0515000000000008</v>
      </c>
      <c r="E498" s="9">
        <f>7.2937 * CHOOSE(CONTROL!$C$32, $C$9, 100%, $E$9)</f>
        <v>7.2937000000000003</v>
      </c>
      <c r="F498" s="9">
        <f>7.2937 * CHOOSE(CONTROL!$C$32, $C$9, 100%, $E$9)</f>
        <v>7.2937000000000003</v>
      </c>
      <c r="G498" s="9">
        <f>7.298 * CHOOSE(CONTROL!$C$32, $C$9, 100%, $E$9)</f>
        <v>7.298</v>
      </c>
      <c r="H498" s="9">
        <f>9.7313 * CHOOSE(CONTROL!$C$32, $C$9, 100%, $E$9)</f>
        <v>9.7312999999999992</v>
      </c>
      <c r="I498" s="9">
        <f>9.7357 * CHOOSE(CONTROL!$C$32, $C$9, 100%, $E$9)</f>
        <v>9.7356999999999996</v>
      </c>
      <c r="J498" s="9">
        <f>9.7313 * CHOOSE(CONTROL!$C$32, $C$9, 100%, $E$9)</f>
        <v>9.7312999999999992</v>
      </c>
      <c r="K498" s="9">
        <f>9.7357 * CHOOSE(CONTROL!$C$32, $C$9, 100%, $E$9)</f>
        <v>9.7356999999999996</v>
      </c>
      <c r="L498" s="9">
        <f>7.2937 * CHOOSE(CONTROL!$C$32, $C$9, 100%, $E$9)</f>
        <v>7.2937000000000003</v>
      </c>
      <c r="M498" s="9">
        <f>7.298 * CHOOSE(CONTROL!$C$32, $C$9, 100%, $E$9)</f>
        <v>7.298</v>
      </c>
      <c r="N498" s="9">
        <f>7.2937 * CHOOSE(CONTROL!$C$32, $C$9, 100%, $E$9)</f>
        <v>7.2937000000000003</v>
      </c>
      <c r="O498" s="9">
        <f>7.298 * CHOOSE(CONTROL!$C$32, $C$9, 100%, $E$9)</f>
        <v>7.298</v>
      </c>
    </row>
    <row r="499" spans="1:15" ht="15.75" x14ac:dyDescent="0.25">
      <c r="A499" s="14">
        <v>55700</v>
      </c>
      <c r="B499" s="10">
        <f>8.0563 * CHOOSE(CONTROL!$C$32, $C$9, 100%, $E$9)</f>
        <v>8.0563000000000002</v>
      </c>
      <c r="C499" s="10">
        <f>8.0563 * CHOOSE(CONTROL!$C$32, $C$9, 100%, $E$9)</f>
        <v>8.0563000000000002</v>
      </c>
      <c r="D499" s="10">
        <f>8.0576 * CHOOSE(CONTROL!$C$32, $C$9, 100%, $E$9)</f>
        <v>8.0576000000000008</v>
      </c>
      <c r="E499" s="9">
        <f>7.249 * CHOOSE(CONTROL!$C$32, $C$9, 100%, $E$9)</f>
        <v>7.2489999999999997</v>
      </c>
      <c r="F499" s="9">
        <f>7.249 * CHOOSE(CONTROL!$C$32, $C$9, 100%, $E$9)</f>
        <v>7.2489999999999997</v>
      </c>
      <c r="G499" s="9">
        <f>7.2534 * CHOOSE(CONTROL!$C$32, $C$9, 100%, $E$9)</f>
        <v>7.2534000000000001</v>
      </c>
      <c r="H499" s="9">
        <f>9.7353 * CHOOSE(CONTROL!$C$32, $C$9, 100%, $E$9)</f>
        <v>9.7353000000000005</v>
      </c>
      <c r="I499" s="9">
        <f>9.7397 * CHOOSE(CONTROL!$C$32, $C$9, 100%, $E$9)</f>
        <v>9.7396999999999991</v>
      </c>
      <c r="J499" s="9">
        <f>9.7353 * CHOOSE(CONTROL!$C$32, $C$9, 100%, $E$9)</f>
        <v>9.7353000000000005</v>
      </c>
      <c r="K499" s="9">
        <f>9.7397 * CHOOSE(CONTROL!$C$32, $C$9, 100%, $E$9)</f>
        <v>9.7396999999999991</v>
      </c>
      <c r="L499" s="9">
        <f>7.249 * CHOOSE(CONTROL!$C$32, $C$9, 100%, $E$9)</f>
        <v>7.2489999999999997</v>
      </c>
      <c r="M499" s="9">
        <f>7.2534 * CHOOSE(CONTROL!$C$32, $C$9, 100%, $E$9)</f>
        <v>7.2534000000000001</v>
      </c>
      <c r="N499" s="9">
        <f>7.249 * CHOOSE(CONTROL!$C$32, $C$9, 100%, $E$9)</f>
        <v>7.2489999999999997</v>
      </c>
      <c r="O499" s="9">
        <f>7.2534 * CHOOSE(CONTROL!$C$32, $C$9, 100%, $E$9)</f>
        <v>7.2534000000000001</v>
      </c>
    </row>
    <row r="500" spans="1:15" ht="15.75" x14ac:dyDescent="0.25">
      <c r="A500" s="14">
        <v>55731</v>
      </c>
      <c r="B500" s="10">
        <f>8.1719 * CHOOSE(CONTROL!$C$32, $C$9, 100%, $E$9)</f>
        <v>8.1719000000000008</v>
      </c>
      <c r="C500" s="10">
        <f>8.1719 * CHOOSE(CONTROL!$C$32, $C$9, 100%, $E$9)</f>
        <v>8.1719000000000008</v>
      </c>
      <c r="D500" s="10">
        <f>8.1732 * CHOOSE(CONTROL!$C$32, $C$9, 100%, $E$9)</f>
        <v>8.1731999999999996</v>
      </c>
      <c r="E500" s="9">
        <f>7.3341 * CHOOSE(CONTROL!$C$32, $C$9, 100%, $E$9)</f>
        <v>7.3341000000000003</v>
      </c>
      <c r="F500" s="9">
        <f>7.3341 * CHOOSE(CONTROL!$C$32, $C$9, 100%, $E$9)</f>
        <v>7.3341000000000003</v>
      </c>
      <c r="G500" s="9">
        <f>7.3385 * CHOOSE(CONTROL!$C$32, $C$9, 100%, $E$9)</f>
        <v>7.3384999999999998</v>
      </c>
      <c r="H500" s="9">
        <f>9.8821 * CHOOSE(CONTROL!$C$32, $C$9, 100%, $E$9)</f>
        <v>9.8820999999999994</v>
      </c>
      <c r="I500" s="9">
        <f>9.8865 * CHOOSE(CONTROL!$C$32, $C$9, 100%, $E$9)</f>
        <v>9.8864999999999998</v>
      </c>
      <c r="J500" s="9">
        <f>9.8821 * CHOOSE(CONTROL!$C$32, $C$9, 100%, $E$9)</f>
        <v>9.8820999999999994</v>
      </c>
      <c r="K500" s="9">
        <f>9.8865 * CHOOSE(CONTROL!$C$32, $C$9, 100%, $E$9)</f>
        <v>9.8864999999999998</v>
      </c>
      <c r="L500" s="9">
        <f>7.3341 * CHOOSE(CONTROL!$C$32, $C$9, 100%, $E$9)</f>
        <v>7.3341000000000003</v>
      </c>
      <c r="M500" s="9">
        <f>7.3385 * CHOOSE(CONTROL!$C$32, $C$9, 100%, $E$9)</f>
        <v>7.3384999999999998</v>
      </c>
      <c r="N500" s="9">
        <f>7.3341 * CHOOSE(CONTROL!$C$32, $C$9, 100%, $E$9)</f>
        <v>7.3341000000000003</v>
      </c>
      <c r="O500" s="9">
        <f>7.3385 * CHOOSE(CONTROL!$C$32, $C$9, 100%, $E$9)</f>
        <v>7.3384999999999998</v>
      </c>
    </row>
    <row r="501" spans="1:15" ht="15.75" x14ac:dyDescent="0.25">
      <c r="A501" s="14">
        <v>55762</v>
      </c>
      <c r="B501" s="10">
        <f>8.1786 * CHOOSE(CONTROL!$C$32, $C$9, 100%, $E$9)</f>
        <v>8.1785999999999994</v>
      </c>
      <c r="C501" s="10">
        <f>8.1786 * CHOOSE(CONTROL!$C$32, $C$9, 100%, $E$9)</f>
        <v>8.1785999999999994</v>
      </c>
      <c r="D501" s="10">
        <f>8.1799 * CHOOSE(CONTROL!$C$32, $C$9, 100%, $E$9)</f>
        <v>8.1798999999999999</v>
      </c>
      <c r="E501" s="9">
        <f>7.192 * CHOOSE(CONTROL!$C$32, $C$9, 100%, $E$9)</f>
        <v>7.1920000000000002</v>
      </c>
      <c r="F501" s="9">
        <f>7.192 * CHOOSE(CONTROL!$C$32, $C$9, 100%, $E$9)</f>
        <v>7.1920000000000002</v>
      </c>
      <c r="G501" s="9">
        <f>7.1964 * CHOOSE(CONTROL!$C$32, $C$9, 100%, $E$9)</f>
        <v>7.1963999999999997</v>
      </c>
      <c r="H501" s="9">
        <f>9.8865 * CHOOSE(CONTROL!$C$32, $C$9, 100%, $E$9)</f>
        <v>9.8864999999999998</v>
      </c>
      <c r="I501" s="9">
        <f>9.8909 * CHOOSE(CONTROL!$C$32, $C$9, 100%, $E$9)</f>
        <v>9.8909000000000002</v>
      </c>
      <c r="J501" s="9">
        <f>9.8865 * CHOOSE(CONTROL!$C$32, $C$9, 100%, $E$9)</f>
        <v>9.8864999999999998</v>
      </c>
      <c r="K501" s="9">
        <f>9.8909 * CHOOSE(CONTROL!$C$32, $C$9, 100%, $E$9)</f>
        <v>9.8909000000000002</v>
      </c>
      <c r="L501" s="9">
        <f>7.192 * CHOOSE(CONTROL!$C$32, $C$9, 100%, $E$9)</f>
        <v>7.1920000000000002</v>
      </c>
      <c r="M501" s="9">
        <f>7.1964 * CHOOSE(CONTROL!$C$32, $C$9, 100%, $E$9)</f>
        <v>7.1963999999999997</v>
      </c>
      <c r="N501" s="9">
        <f>7.192 * CHOOSE(CONTROL!$C$32, $C$9, 100%, $E$9)</f>
        <v>7.1920000000000002</v>
      </c>
      <c r="O501" s="9">
        <f>7.1964 * CHOOSE(CONTROL!$C$32, $C$9, 100%, $E$9)</f>
        <v>7.1963999999999997</v>
      </c>
    </row>
    <row r="502" spans="1:15" ht="15.75" x14ac:dyDescent="0.25">
      <c r="A502" s="14">
        <v>55792</v>
      </c>
      <c r="B502" s="10">
        <f>8.1755 * CHOOSE(CONTROL!$C$32, $C$9, 100%, $E$9)</f>
        <v>8.1754999999999995</v>
      </c>
      <c r="C502" s="10">
        <f>8.1755 * CHOOSE(CONTROL!$C$32, $C$9, 100%, $E$9)</f>
        <v>8.1754999999999995</v>
      </c>
      <c r="D502" s="10">
        <f>8.1768 * CHOOSE(CONTROL!$C$32, $C$9, 100%, $E$9)</f>
        <v>8.1768000000000001</v>
      </c>
      <c r="E502" s="9">
        <f>7.1736 * CHOOSE(CONTROL!$C$32, $C$9, 100%, $E$9)</f>
        <v>7.1736000000000004</v>
      </c>
      <c r="F502" s="9">
        <f>7.1736 * CHOOSE(CONTROL!$C$32, $C$9, 100%, $E$9)</f>
        <v>7.1736000000000004</v>
      </c>
      <c r="G502" s="9">
        <f>7.178 * CHOOSE(CONTROL!$C$32, $C$9, 100%, $E$9)</f>
        <v>7.1779999999999999</v>
      </c>
      <c r="H502" s="9">
        <f>9.8845 * CHOOSE(CONTROL!$C$32, $C$9, 100%, $E$9)</f>
        <v>9.8844999999999992</v>
      </c>
      <c r="I502" s="9">
        <f>9.8889 * CHOOSE(CONTROL!$C$32, $C$9, 100%, $E$9)</f>
        <v>9.8888999999999996</v>
      </c>
      <c r="J502" s="9">
        <f>9.8845 * CHOOSE(CONTROL!$C$32, $C$9, 100%, $E$9)</f>
        <v>9.8844999999999992</v>
      </c>
      <c r="K502" s="9">
        <f>9.8889 * CHOOSE(CONTROL!$C$32, $C$9, 100%, $E$9)</f>
        <v>9.8888999999999996</v>
      </c>
      <c r="L502" s="9">
        <f>7.1736 * CHOOSE(CONTROL!$C$32, $C$9, 100%, $E$9)</f>
        <v>7.1736000000000004</v>
      </c>
      <c r="M502" s="9">
        <f>7.178 * CHOOSE(CONTROL!$C$32, $C$9, 100%, $E$9)</f>
        <v>7.1779999999999999</v>
      </c>
      <c r="N502" s="9">
        <f>7.1736 * CHOOSE(CONTROL!$C$32, $C$9, 100%, $E$9)</f>
        <v>7.1736000000000004</v>
      </c>
      <c r="O502" s="9">
        <f>7.178 * CHOOSE(CONTROL!$C$32, $C$9, 100%, $E$9)</f>
        <v>7.1779999999999999</v>
      </c>
    </row>
    <row r="503" spans="1:15" ht="15.75" x14ac:dyDescent="0.25">
      <c r="A503" s="14">
        <v>55823</v>
      </c>
      <c r="B503" s="10">
        <f>8.1872 * CHOOSE(CONTROL!$C$32, $C$9, 100%, $E$9)</f>
        <v>8.1872000000000007</v>
      </c>
      <c r="C503" s="10">
        <f>8.1872 * CHOOSE(CONTROL!$C$32, $C$9, 100%, $E$9)</f>
        <v>8.1872000000000007</v>
      </c>
      <c r="D503" s="10">
        <f>8.1881 * CHOOSE(CONTROL!$C$32, $C$9, 100%, $E$9)</f>
        <v>8.1881000000000004</v>
      </c>
      <c r="E503" s="9">
        <f>7.2254 * CHOOSE(CONTROL!$C$32, $C$9, 100%, $E$9)</f>
        <v>7.2253999999999996</v>
      </c>
      <c r="F503" s="9">
        <f>7.2254 * CHOOSE(CONTROL!$C$32, $C$9, 100%, $E$9)</f>
        <v>7.2253999999999996</v>
      </c>
      <c r="G503" s="9">
        <f>7.2286 * CHOOSE(CONTROL!$C$32, $C$9, 100%, $E$9)</f>
        <v>7.2286000000000001</v>
      </c>
      <c r="H503" s="9">
        <f>9.891 * CHOOSE(CONTROL!$C$32, $C$9, 100%, $E$9)</f>
        <v>9.891</v>
      </c>
      <c r="I503" s="9">
        <f>9.8942 * CHOOSE(CONTROL!$C$32, $C$9, 100%, $E$9)</f>
        <v>9.8941999999999997</v>
      </c>
      <c r="J503" s="9">
        <f>9.891 * CHOOSE(CONTROL!$C$32, $C$9, 100%, $E$9)</f>
        <v>9.891</v>
      </c>
      <c r="K503" s="9">
        <f>9.8942 * CHOOSE(CONTROL!$C$32, $C$9, 100%, $E$9)</f>
        <v>9.8941999999999997</v>
      </c>
      <c r="L503" s="9">
        <f>7.2254 * CHOOSE(CONTROL!$C$32, $C$9, 100%, $E$9)</f>
        <v>7.2253999999999996</v>
      </c>
      <c r="M503" s="9">
        <f>7.2286 * CHOOSE(CONTROL!$C$32, $C$9, 100%, $E$9)</f>
        <v>7.2286000000000001</v>
      </c>
      <c r="N503" s="9">
        <f>7.2254 * CHOOSE(CONTROL!$C$32, $C$9, 100%, $E$9)</f>
        <v>7.2253999999999996</v>
      </c>
      <c r="O503" s="9">
        <f>7.2286 * CHOOSE(CONTROL!$C$32, $C$9, 100%, $E$9)</f>
        <v>7.2286000000000001</v>
      </c>
    </row>
    <row r="504" spans="1:15" ht="15.75" x14ac:dyDescent="0.25">
      <c r="A504" s="14">
        <v>55853</v>
      </c>
      <c r="B504" s="10">
        <f>8.1902 * CHOOSE(CONTROL!$C$32, $C$9, 100%, $E$9)</f>
        <v>8.1902000000000008</v>
      </c>
      <c r="C504" s="10">
        <f>8.1902 * CHOOSE(CONTROL!$C$32, $C$9, 100%, $E$9)</f>
        <v>8.1902000000000008</v>
      </c>
      <c r="D504" s="10">
        <f>8.1912 * CHOOSE(CONTROL!$C$32, $C$9, 100%, $E$9)</f>
        <v>8.1912000000000003</v>
      </c>
      <c r="E504" s="9">
        <f>7.2601 * CHOOSE(CONTROL!$C$32, $C$9, 100%, $E$9)</f>
        <v>7.2601000000000004</v>
      </c>
      <c r="F504" s="9">
        <f>7.2601 * CHOOSE(CONTROL!$C$32, $C$9, 100%, $E$9)</f>
        <v>7.2601000000000004</v>
      </c>
      <c r="G504" s="9">
        <f>7.2633 * CHOOSE(CONTROL!$C$32, $C$9, 100%, $E$9)</f>
        <v>7.2633000000000001</v>
      </c>
      <c r="H504" s="9">
        <f>9.893 * CHOOSE(CONTROL!$C$32, $C$9, 100%, $E$9)</f>
        <v>9.8930000000000007</v>
      </c>
      <c r="I504" s="9">
        <f>9.8962 * CHOOSE(CONTROL!$C$32, $C$9, 100%, $E$9)</f>
        <v>9.8962000000000003</v>
      </c>
      <c r="J504" s="9">
        <f>9.893 * CHOOSE(CONTROL!$C$32, $C$9, 100%, $E$9)</f>
        <v>9.8930000000000007</v>
      </c>
      <c r="K504" s="9">
        <f>9.8962 * CHOOSE(CONTROL!$C$32, $C$9, 100%, $E$9)</f>
        <v>9.8962000000000003</v>
      </c>
      <c r="L504" s="9">
        <f>7.2601 * CHOOSE(CONTROL!$C$32, $C$9, 100%, $E$9)</f>
        <v>7.2601000000000004</v>
      </c>
      <c r="M504" s="9">
        <f>7.2633 * CHOOSE(CONTROL!$C$32, $C$9, 100%, $E$9)</f>
        <v>7.2633000000000001</v>
      </c>
      <c r="N504" s="9">
        <f>7.2601 * CHOOSE(CONTROL!$C$32, $C$9, 100%, $E$9)</f>
        <v>7.2601000000000004</v>
      </c>
      <c r="O504" s="9">
        <f>7.2633 * CHOOSE(CONTROL!$C$32, $C$9, 100%, $E$9)</f>
        <v>7.2633000000000001</v>
      </c>
    </row>
    <row r="505" spans="1:15" ht="15.75" x14ac:dyDescent="0.25">
      <c r="A505" s="14">
        <v>55884</v>
      </c>
      <c r="B505" s="10">
        <f>8.1902 * CHOOSE(CONTROL!$C$32, $C$9, 100%, $E$9)</f>
        <v>8.1902000000000008</v>
      </c>
      <c r="C505" s="10">
        <f>8.1902 * CHOOSE(CONTROL!$C$32, $C$9, 100%, $E$9)</f>
        <v>8.1902000000000008</v>
      </c>
      <c r="D505" s="10">
        <f>8.1912 * CHOOSE(CONTROL!$C$32, $C$9, 100%, $E$9)</f>
        <v>8.1912000000000003</v>
      </c>
      <c r="E505" s="9">
        <f>7.1786 * CHOOSE(CONTROL!$C$32, $C$9, 100%, $E$9)</f>
        <v>7.1786000000000003</v>
      </c>
      <c r="F505" s="9">
        <f>7.1786 * CHOOSE(CONTROL!$C$32, $C$9, 100%, $E$9)</f>
        <v>7.1786000000000003</v>
      </c>
      <c r="G505" s="9">
        <f>7.1818 * CHOOSE(CONTROL!$C$32, $C$9, 100%, $E$9)</f>
        <v>7.1818</v>
      </c>
      <c r="H505" s="9">
        <f>9.893 * CHOOSE(CONTROL!$C$32, $C$9, 100%, $E$9)</f>
        <v>9.8930000000000007</v>
      </c>
      <c r="I505" s="9">
        <f>9.8962 * CHOOSE(CONTROL!$C$32, $C$9, 100%, $E$9)</f>
        <v>9.8962000000000003</v>
      </c>
      <c r="J505" s="9">
        <f>9.893 * CHOOSE(CONTROL!$C$32, $C$9, 100%, $E$9)</f>
        <v>9.8930000000000007</v>
      </c>
      <c r="K505" s="9">
        <f>9.8962 * CHOOSE(CONTROL!$C$32, $C$9, 100%, $E$9)</f>
        <v>9.8962000000000003</v>
      </c>
      <c r="L505" s="9">
        <f>7.1786 * CHOOSE(CONTROL!$C$32, $C$9, 100%, $E$9)</f>
        <v>7.1786000000000003</v>
      </c>
      <c r="M505" s="9">
        <f>7.1818 * CHOOSE(CONTROL!$C$32, $C$9, 100%, $E$9)</f>
        <v>7.1818</v>
      </c>
      <c r="N505" s="9">
        <f>7.1786 * CHOOSE(CONTROL!$C$32, $C$9, 100%, $E$9)</f>
        <v>7.1786000000000003</v>
      </c>
      <c r="O505" s="9">
        <f>7.1818 * CHOOSE(CONTROL!$C$32, $C$9, 100%, $E$9)</f>
        <v>7.1818</v>
      </c>
    </row>
    <row r="506" spans="1:15" ht="15.75" x14ac:dyDescent="0.25">
      <c r="A506" s="14">
        <v>55915</v>
      </c>
      <c r="B506" s="10">
        <f>8.2582 * CHOOSE(CONTROL!$C$32, $C$9, 100%, $E$9)</f>
        <v>8.2582000000000004</v>
      </c>
      <c r="C506" s="10">
        <f>8.2582 * CHOOSE(CONTROL!$C$32, $C$9, 100%, $E$9)</f>
        <v>8.2582000000000004</v>
      </c>
      <c r="D506" s="10">
        <f>8.2591 * CHOOSE(CONTROL!$C$32, $C$9, 100%, $E$9)</f>
        <v>8.2591000000000001</v>
      </c>
      <c r="E506" s="9">
        <f>7.2875 * CHOOSE(CONTROL!$C$32, $C$9, 100%, $E$9)</f>
        <v>7.2874999999999996</v>
      </c>
      <c r="F506" s="9">
        <f>7.2875 * CHOOSE(CONTROL!$C$32, $C$9, 100%, $E$9)</f>
        <v>7.2874999999999996</v>
      </c>
      <c r="G506" s="9">
        <f>7.2907 * CHOOSE(CONTROL!$C$32, $C$9, 100%, $E$9)</f>
        <v>7.2907000000000002</v>
      </c>
      <c r="H506" s="9">
        <f>9.9665 * CHOOSE(CONTROL!$C$32, $C$9, 100%, $E$9)</f>
        <v>9.9664999999999999</v>
      </c>
      <c r="I506" s="9">
        <f>9.9697 * CHOOSE(CONTROL!$C$32, $C$9, 100%, $E$9)</f>
        <v>9.9696999999999996</v>
      </c>
      <c r="J506" s="9">
        <f>9.9665 * CHOOSE(CONTROL!$C$32, $C$9, 100%, $E$9)</f>
        <v>9.9664999999999999</v>
      </c>
      <c r="K506" s="9">
        <f>9.9697 * CHOOSE(CONTROL!$C$32, $C$9, 100%, $E$9)</f>
        <v>9.9696999999999996</v>
      </c>
      <c r="L506" s="9">
        <f>7.2875 * CHOOSE(CONTROL!$C$32, $C$9, 100%, $E$9)</f>
        <v>7.2874999999999996</v>
      </c>
      <c r="M506" s="9">
        <f>7.2907 * CHOOSE(CONTROL!$C$32, $C$9, 100%, $E$9)</f>
        <v>7.2907000000000002</v>
      </c>
      <c r="N506" s="9">
        <f>7.2875 * CHOOSE(CONTROL!$C$32, $C$9, 100%, $E$9)</f>
        <v>7.2874999999999996</v>
      </c>
      <c r="O506" s="9">
        <f>7.2907 * CHOOSE(CONTROL!$C$32, $C$9, 100%, $E$9)</f>
        <v>7.2907000000000002</v>
      </c>
    </row>
    <row r="507" spans="1:15" ht="15.75" x14ac:dyDescent="0.25">
      <c r="A507" s="14">
        <v>55943</v>
      </c>
      <c r="B507" s="10">
        <f>8.2551 * CHOOSE(CONTROL!$C$32, $C$9, 100%, $E$9)</f>
        <v>8.2551000000000005</v>
      </c>
      <c r="C507" s="10">
        <f>8.2551 * CHOOSE(CONTROL!$C$32, $C$9, 100%, $E$9)</f>
        <v>8.2551000000000005</v>
      </c>
      <c r="D507" s="10">
        <f>8.2561 * CHOOSE(CONTROL!$C$32, $C$9, 100%, $E$9)</f>
        <v>8.2561</v>
      </c>
      <c r="E507" s="9">
        <f>7.1267 * CHOOSE(CONTROL!$C$32, $C$9, 100%, $E$9)</f>
        <v>7.1266999999999996</v>
      </c>
      <c r="F507" s="9">
        <f>7.1267 * CHOOSE(CONTROL!$C$32, $C$9, 100%, $E$9)</f>
        <v>7.1266999999999996</v>
      </c>
      <c r="G507" s="9">
        <f>7.1299 * CHOOSE(CONTROL!$C$32, $C$9, 100%, $E$9)</f>
        <v>7.1299000000000001</v>
      </c>
      <c r="H507" s="9">
        <f>9.9645 * CHOOSE(CONTROL!$C$32, $C$9, 100%, $E$9)</f>
        <v>9.9644999999999992</v>
      </c>
      <c r="I507" s="9">
        <f>9.9677 * CHOOSE(CONTROL!$C$32, $C$9, 100%, $E$9)</f>
        <v>9.9677000000000007</v>
      </c>
      <c r="J507" s="9">
        <f>9.9645 * CHOOSE(CONTROL!$C$32, $C$9, 100%, $E$9)</f>
        <v>9.9644999999999992</v>
      </c>
      <c r="K507" s="9">
        <f>9.9677 * CHOOSE(CONTROL!$C$32, $C$9, 100%, $E$9)</f>
        <v>9.9677000000000007</v>
      </c>
      <c r="L507" s="9">
        <f>7.1267 * CHOOSE(CONTROL!$C$32, $C$9, 100%, $E$9)</f>
        <v>7.1266999999999996</v>
      </c>
      <c r="M507" s="9">
        <f>7.1299 * CHOOSE(CONTROL!$C$32, $C$9, 100%, $E$9)</f>
        <v>7.1299000000000001</v>
      </c>
      <c r="N507" s="9">
        <f>7.1267 * CHOOSE(CONTROL!$C$32, $C$9, 100%, $E$9)</f>
        <v>7.1266999999999996</v>
      </c>
      <c r="O507" s="9">
        <f>7.1299 * CHOOSE(CONTROL!$C$32, $C$9, 100%, $E$9)</f>
        <v>7.1299000000000001</v>
      </c>
    </row>
    <row r="508" spans="1:15" ht="15.75" x14ac:dyDescent="0.25">
      <c r="A508" s="14">
        <v>55974</v>
      </c>
      <c r="B508" s="10">
        <f>8.2521 * CHOOSE(CONTROL!$C$32, $C$9, 100%, $E$9)</f>
        <v>8.2521000000000004</v>
      </c>
      <c r="C508" s="10">
        <f>8.2521 * CHOOSE(CONTROL!$C$32, $C$9, 100%, $E$9)</f>
        <v>8.2521000000000004</v>
      </c>
      <c r="D508" s="10">
        <f>8.253 * CHOOSE(CONTROL!$C$32, $C$9, 100%, $E$9)</f>
        <v>8.2530000000000001</v>
      </c>
      <c r="E508" s="9">
        <f>7.2497 * CHOOSE(CONTROL!$C$32, $C$9, 100%, $E$9)</f>
        <v>7.2496999999999998</v>
      </c>
      <c r="F508" s="9">
        <f>7.2497 * CHOOSE(CONTROL!$C$32, $C$9, 100%, $E$9)</f>
        <v>7.2496999999999998</v>
      </c>
      <c r="G508" s="9">
        <f>7.2529 * CHOOSE(CONTROL!$C$32, $C$9, 100%, $E$9)</f>
        <v>7.2529000000000003</v>
      </c>
      <c r="H508" s="9">
        <f>9.9625 * CHOOSE(CONTROL!$C$32, $C$9, 100%, $E$9)</f>
        <v>9.9625000000000004</v>
      </c>
      <c r="I508" s="9">
        <f>9.9657 * CHOOSE(CONTROL!$C$32, $C$9, 100%, $E$9)</f>
        <v>9.9657</v>
      </c>
      <c r="J508" s="9">
        <f>9.9625 * CHOOSE(CONTROL!$C$32, $C$9, 100%, $E$9)</f>
        <v>9.9625000000000004</v>
      </c>
      <c r="K508" s="9">
        <f>9.9657 * CHOOSE(CONTROL!$C$32, $C$9, 100%, $E$9)</f>
        <v>9.9657</v>
      </c>
      <c r="L508" s="9">
        <f>7.2497 * CHOOSE(CONTROL!$C$32, $C$9, 100%, $E$9)</f>
        <v>7.2496999999999998</v>
      </c>
      <c r="M508" s="9">
        <f>7.2529 * CHOOSE(CONTROL!$C$32, $C$9, 100%, $E$9)</f>
        <v>7.2529000000000003</v>
      </c>
      <c r="N508" s="9">
        <f>7.2497 * CHOOSE(CONTROL!$C$32, $C$9, 100%, $E$9)</f>
        <v>7.2496999999999998</v>
      </c>
      <c r="O508" s="9">
        <f>7.2529 * CHOOSE(CONTROL!$C$32, $C$9, 100%, $E$9)</f>
        <v>7.2529000000000003</v>
      </c>
    </row>
    <row r="509" spans="1:15" ht="15.75" x14ac:dyDescent="0.25">
      <c r="A509" s="14">
        <v>56004</v>
      </c>
      <c r="B509" s="10">
        <f>8.2541 * CHOOSE(CONTROL!$C$32, $C$9, 100%, $E$9)</f>
        <v>8.2540999999999993</v>
      </c>
      <c r="C509" s="10">
        <f>8.2541 * CHOOSE(CONTROL!$C$32, $C$9, 100%, $E$9)</f>
        <v>8.2540999999999993</v>
      </c>
      <c r="D509" s="10">
        <f>8.2551 * CHOOSE(CONTROL!$C$32, $C$9, 100%, $E$9)</f>
        <v>8.2551000000000005</v>
      </c>
      <c r="E509" s="9">
        <f>7.3798 * CHOOSE(CONTROL!$C$32, $C$9, 100%, $E$9)</f>
        <v>7.3798000000000004</v>
      </c>
      <c r="F509" s="9">
        <f>7.3798 * CHOOSE(CONTROL!$C$32, $C$9, 100%, $E$9)</f>
        <v>7.3798000000000004</v>
      </c>
      <c r="G509" s="9">
        <f>7.383 * CHOOSE(CONTROL!$C$32, $C$9, 100%, $E$9)</f>
        <v>7.383</v>
      </c>
      <c r="H509" s="9">
        <f>9.9636 * CHOOSE(CONTROL!$C$32, $C$9, 100%, $E$9)</f>
        <v>9.9635999999999996</v>
      </c>
      <c r="I509" s="9">
        <f>9.9668 * CHOOSE(CONTROL!$C$32, $C$9, 100%, $E$9)</f>
        <v>9.9667999999999992</v>
      </c>
      <c r="J509" s="9">
        <f>9.9636 * CHOOSE(CONTROL!$C$32, $C$9, 100%, $E$9)</f>
        <v>9.9635999999999996</v>
      </c>
      <c r="K509" s="9">
        <f>9.9668 * CHOOSE(CONTROL!$C$32, $C$9, 100%, $E$9)</f>
        <v>9.9667999999999992</v>
      </c>
      <c r="L509" s="9">
        <f>7.3798 * CHOOSE(CONTROL!$C$32, $C$9, 100%, $E$9)</f>
        <v>7.3798000000000004</v>
      </c>
      <c r="M509" s="9">
        <f>7.383 * CHOOSE(CONTROL!$C$32, $C$9, 100%, $E$9)</f>
        <v>7.383</v>
      </c>
      <c r="N509" s="9">
        <f>7.3798 * CHOOSE(CONTROL!$C$32, $C$9, 100%, $E$9)</f>
        <v>7.3798000000000004</v>
      </c>
      <c r="O509" s="9">
        <f>7.383 * CHOOSE(CONTROL!$C$32, $C$9, 100%, $E$9)</f>
        <v>7.383</v>
      </c>
    </row>
    <row r="510" spans="1:15" ht="15.75" x14ac:dyDescent="0.25">
      <c r="A510" s="14">
        <v>56035</v>
      </c>
      <c r="B510" s="10">
        <f>8.2541 * CHOOSE(CONTROL!$C$32, $C$9, 100%, $E$9)</f>
        <v>8.2540999999999993</v>
      </c>
      <c r="C510" s="10">
        <f>8.2541 * CHOOSE(CONTROL!$C$32, $C$9, 100%, $E$9)</f>
        <v>8.2540999999999993</v>
      </c>
      <c r="D510" s="10">
        <f>8.2554 * CHOOSE(CONTROL!$C$32, $C$9, 100%, $E$9)</f>
        <v>8.2553999999999998</v>
      </c>
      <c r="E510" s="9">
        <f>7.4302 * CHOOSE(CONTROL!$C$32, $C$9, 100%, $E$9)</f>
        <v>7.4302000000000001</v>
      </c>
      <c r="F510" s="9">
        <f>7.4302 * CHOOSE(CONTROL!$C$32, $C$9, 100%, $E$9)</f>
        <v>7.4302000000000001</v>
      </c>
      <c r="G510" s="9">
        <f>7.4345 * CHOOSE(CONTROL!$C$32, $C$9, 100%, $E$9)</f>
        <v>7.4344999999999999</v>
      </c>
      <c r="H510" s="9">
        <f>9.9636 * CHOOSE(CONTROL!$C$32, $C$9, 100%, $E$9)</f>
        <v>9.9635999999999996</v>
      </c>
      <c r="I510" s="9">
        <f>9.9679 * CHOOSE(CONTROL!$C$32, $C$9, 100%, $E$9)</f>
        <v>9.9679000000000002</v>
      </c>
      <c r="J510" s="9">
        <f>9.9636 * CHOOSE(CONTROL!$C$32, $C$9, 100%, $E$9)</f>
        <v>9.9635999999999996</v>
      </c>
      <c r="K510" s="9">
        <f>9.9679 * CHOOSE(CONTROL!$C$32, $C$9, 100%, $E$9)</f>
        <v>9.9679000000000002</v>
      </c>
      <c r="L510" s="9">
        <f>7.4302 * CHOOSE(CONTROL!$C$32, $C$9, 100%, $E$9)</f>
        <v>7.4302000000000001</v>
      </c>
      <c r="M510" s="9">
        <f>7.4345 * CHOOSE(CONTROL!$C$32, $C$9, 100%, $E$9)</f>
        <v>7.4344999999999999</v>
      </c>
      <c r="N510" s="9">
        <f>7.4302 * CHOOSE(CONTROL!$C$32, $C$9, 100%, $E$9)</f>
        <v>7.4302000000000001</v>
      </c>
      <c r="O510" s="9">
        <f>7.4345 * CHOOSE(CONTROL!$C$32, $C$9, 100%, $E$9)</f>
        <v>7.4344999999999999</v>
      </c>
    </row>
    <row r="511" spans="1:15" ht="15.75" x14ac:dyDescent="0.25">
      <c r="A511" s="14">
        <v>56065</v>
      </c>
      <c r="B511" s="10">
        <f>8.2602 * CHOOSE(CONTROL!$C$32, $C$9, 100%, $E$9)</f>
        <v>8.2601999999999993</v>
      </c>
      <c r="C511" s="10">
        <f>8.2602 * CHOOSE(CONTROL!$C$32, $C$9, 100%, $E$9)</f>
        <v>8.2601999999999993</v>
      </c>
      <c r="D511" s="10">
        <f>8.2615 * CHOOSE(CONTROL!$C$32, $C$9, 100%, $E$9)</f>
        <v>8.2614999999999998</v>
      </c>
      <c r="E511" s="9">
        <f>7.384 * CHOOSE(CONTROL!$C$32, $C$9, 100%, $E$9)</f>
        <v>7.3840000000000003</v>
      </c>
      <c r="F511" s="9">
        <f>7.384 * CHOOSE(CONTROL!$C$32, $C$9, 100%, $E$9)</f>
        <v>7.3840000000000003</v>
      </c>
      <c r="G511" s="9">
        <f>7.3884 * CHOOSE(CONTROL!$C$32, $C$9, 100%, $E$9)</f>
        <v>7.3883999999999999</v>
      </c>
      <c r="H511" s="9">
        <f>9.9676 * CHOOSE(CONTROL!$C$32, $C$9, 100%, $E$9)</f>
        <v>9.9675999999999991</v>
      </c>
      <c r="I511" s="9">
        <f>9.9719 * CHOOSE(CONTROL!$C$32, $C$9, 100%, $E$9)</f>
        <v>9.9718999999999998</v>
      </c>
      <c r="J511" s="9">
        <f>9.9676 * CHOOSE(CONTROL!$C$32, $C$9, 100%, $E$9)</f>
        <v>9.9675999999999991</v>
      </c>
      <c r="K511" s="9">
        <f>9.9719 * CHOOSE(CONTROL!$C$32, $C$9, 100%, $E$9)</f>
        <v>9.9718999999999998</v>
      </c>
      <c r="L511" s="9">
        <f>7.384 * CHOOSE(CONTROL!$C$32, $C$9, 100%, $E$9)</f>
        <v>7.3840000000000003</v>
      </c>
      <c r="M511" s="9">
        <f>7.3884 * CHOOSE(CONTROL!$C$32, $C$9, 100%, $E$9)</f>
        <v>7.3883999999999999</v>
      </c>
      <c r="N511" s="9">
        <f>7.384 * CHOOSE(CONTROL!$C$32, $C$9, 100%, $E$9)</f>
        <v>7.3840000000000003</v>
      </c>
      <c r="O511" s="9">
        <f>7.3884 * CHOOSE(CONTROL!$C$32, $C$9, 100%, $E$9)</f>
        <v>7.3883999999999999</v>
      </c>
    </row>
    <row r="512" spans="1:15" ht="15.75" x14ac:dyDescent="0.25">
      <c r="A512" s="14">
        <v>56096</v>
      </c>
      <c r="B512" s="10">
        <f>8.3783 * CHOOSE(CONTROL!$C$32, $C$9, 100%, $E$9)</f>
        <v>8.3782999999999994</v>
      </c>
      <c r="C512" s="10">
        <f>8.3783 * CHOOSE(CONTROL!$C$32, $C$9, 100%, $E$9)</f>
        <v>8.3782999999999994</v>
      </c>
      <c r="D512" s="10">
        <f>8.3796 * CHOOSE(CONTROL!$C$32, $C$9, 100%, $E$9)</f>
        <v>8.3795999999999999</v>
      </c>
      <c r="E512" s="9">
        <f>7.4705 * CHOOSE(CONTROL!$C$32, $C$9, 100%, $E$9)</f>
        <v>7.4705000000000004</v>
      </c>
      <c r="F512" s="9">
        <f>7.4705 * CHOOSE(CONTROL!$C$32, $C$9, 100%, $E$9)</f>
        <v>7.4705000000000004</v>
      </c>
      <c r="G512" s="9">
        <f>7.4749 * CHOOSE(CONTROL!$C$32, $C$9, 100%, $E$9)</f>
        <v>7.4748999999999999</v>
      </c>
      <c r="H512" s="9">
        <f>10.1176 * CHOOSE(CONTROL!$C$32, $C$9, 100%, $E$9)</f>
        <v>10.117599999999999</v>
      </c>
      <c r="I512" s="9">
        <f>10.122 * CHOOSE(CONTROL!$C$32, $C$9, 100%, $E$9)</f>
        <v>10.122</v>
      </c>
      <c r="J512" s="9">
        <f>10.1176 * CHOOSE(CONTROL!$C$32, $C$9, 100%, $E$9)</f>
        <v>10.117599999999999</v>
      </c>
      <c r="K512" s="9">
        <f>10.122 * CHOOSE(CONTROL!$C$32, $C$9, 100%, $E$9)</f>
        <v>10.122</v>
      </c>
      <c r="L512" s="9">
        <f>7.4705 * CHOOSE(CONTROL!$C$32, $C$9, 100%, $E$9)</f>
        <v>7.4705000000000004</v>
      </c>
      <c r="M512" s="9">
        <f>7.4749 * CHOOSE(CONTROL!$C$32, $C$9, 100%, $E$9)</f>
        <v>7.4748999999999999</v>
      </c>
      <c r="N512" s="9">
        <f>7.4705 * CHOOSE(CONTROL!$C$32, $C$9, 100%, $E$9)</f>
        <v>7.4705000000000004</v>
      </c>
      <c r="O512" s="9">
        <f>7.4749 * CHOOSE(CONTROL!$C$32, $C$9, 100%, $E$9)</f>
        <v>7.4748999999999999</v>
      </c>
    </row>
    <row r="513" spans="1:15" ht="15.75" x14ac:dyDescent="0.25">
      <c r="A513" s="14">
        <v>56127</v>
      </c>
      <c r="B513" s="10">
        <f>8.385 * CHOOSE(CONTROL!$C$32, $C$9, 100%, $E$9)</f>
        <v>8.3849999999999998</v>
      </c>
      <c r="C513" s="10">
        <f>8.385 * CHOOSE(CONTROL!$C$32, $C$9, 100%, $E$9)</f>
        <v>8.3849999999999998</v>
      </c>
      <c r="D513" s="10">
        <f>8.3863 * CHOOSE(CONTROL!$C$32, $C$9, 100%, $E$9)</f>
        <v>8.3863000000000003</v>
      </c>
      <c r="E513" s="9">
        <f>7.324 * CHOOSE(CONTROL!$C$32, $C$9, 100%, $E$9)</f>
        <v>7.3239999999999998</v>
      </c>
      <c r="F513" s="9">
        <f>7.324 * CHOOSE(CONTROL!$C$32, $C$9, 100%, $E$9)</f>
        <v>7.3239999999999998</v>
      </c>
      <c r="G513" s="9">
        <f>7.3284 * CHOOSE(CONTROL!$C$32, $C$9, 100%, $E$9)</f>
        <v>7.3284000000000002</v>
      </c>
      <c r="H513" s="9">
        <f>10.122 * CHOOSE(CONTROL!$C$32, $C$9, 100%, $E$9)</f>
        <v>10.122</v>
      </c>
      <c r="I513" s="9">
        <f>10.1264 * CHOOSE(CONTROL!$C$32, $C$9, 100%, $E$9)</f>
        <v>10.1264</v>
      </c>
      <c r="J513" s="9">
        <f>10.122 * CHOOSE(CONTROL!$C$32, $C$9, 100%, $E$9)</f>
        <v>10.122</v>
      </c>
      <c r="K513" s="9">
        <f>10.1264 * CHOOSE(CONTROL!$C$32, $C$9, 100%, $E$9)</f>
        <v>10.1264</v>
      </c>
      <c r="L513" s="9">
        <f>7.324 * CHOOSE(CONTROL!$C$32, $C$9, 100%, $E$9)</f>
        <v>7.3239999999999998</v>
      </c>
      <c r="M513" s="9">
        <f>7.3284 * CHOOSE(CONTROL!$C$32, $C$9, 100%, $E$9)</f>
        <v>7.3284000000000002</v>
      </c>
      <c r="N513" s="9">
        <f>7.324 * CHOOSE(CONTROL!$C$32, $C$9, 100%, $E$9)</f>
        <v>7.3239999999999998</v>
      </c>
      <c r="O513" s="9">
        <f>7.3284 * CHOOSE(CONTROL!$C$32, $C$9, 100%, $E$9)</f>
        <v>7.3284000000000002</v>
      </c>
    </row>
    <row r="514" spans="1:15" ht="15.75" x14ac:dyDescent="0.25">
      <c r="A514" s="14">
        <v>56157</v>
      </c>
      <c r="B514" s="10">
        <f>8.382 * CHOOSE(CONTROL!$C$32, $C$9, 100%, $E$9)</f>
        <v>8.3819999999999997</v>
      </c>
      <c r="C514" s="10">
        <f>8.382 * CHOOSE(CONTROL!$C$32, $C$9, 100%, $E$9)</f>
        <v>8.3819999999999997</v>
      </c>
      <c r="D514" s="10">
        <f>8.3833 * CHOOSE(CONTROL!$C$32, $C$9, 100%, $E$9)</f>
        <v>8.3833000000000002</v>
      </c>
      <c r="E514" s="9">
        <f>7.3051 * CHOOSE(CONTROL!$C$32, $C$9, 100%, $E$9)</f>
        <v>7.3051000000000004</v>
      </c>
      <c r="F514" s="9">
        <f>7.3051 * CHOOSE(CONTROL!$C$32, $C$9, 100%, $E$9)</f>
        <v>7.3051000000000004</v>
      </c>
      <c r="G514" s="9">
        <f>7.3095 * CHOOSE(CONTROL!$C$32, $C$9, 100%, $E$9)</f>
        <v>7.3094999999999999</v>
      </c>
      <c r="H514" s="9">
        <f>10.12 * CHOOSE(CONTROL!$C$32, $C$9, 100%, $E$9)</f>
        <v>10.119999999999999</v>
      </c>
      <c r="I514" s="9">
        <f>10.1244 * CHOOSE(CONTROL!$C$32, $C$9, 100%, $E$9)</f>
        <v>10.1244</v>
      </c>
      <c r="J514" s="9">
        <f>10.12 * CHOOSE(CONTROL!$C$32, $C$9, 100%, $E$9)</f>
        <v>10.119999999999999</v>
      </c>
      <c r="K514" s="9">
        <f>10.1244 * CHOOSE(CONTROL!$C$32, $C$9, 100%, $E$9)</f>
        <v>10.1244</v>
      </c>
      <c r="L514" s="9">
        <f>7.3051 * CHOOSE(CONTROL!$C$32, $C$9, 100%, $E$9)</f>
        <v>7.3051000000000004</v>
      </c>
      <c r="M514" s="9">
        <f>7.3095 * CHOOSE(CONTROL!$C$32, $C$9, 100%, $E$9)</f>
        <v>7.3094999999999999</v>
      </c>
      <c r="N514" s="9">
        <f>7.3051 * CHOOSE(CONTROL!$C$32, $C$9, 100%, $E$9)</f>
        <v>7.3051000000000004</v>
      </c>
      <c r="O514" s="9">
        <f>7.3095 * CHOOSE(CONTROL!$C$32, $C$9, 100%, $E$9)</f>
        <v>7.3094999999999999</v>
      </c>
    </row>
    <row r="515" spans="1:15" ht="15.75" x14ac:dyDescent="0.25">
      <c r="A515" s="14">
        <v>56188</v>
      </c>
      <c r="B515" s="10">
        <f>8.3944 * CHOOSE(CONTROL!$C$32, $C$9, 100%, $E$9)</f>
        <v>8.3943999999999992</v>
      </c>
      <c r="C515" s="10">
        <f>8.3944 * CHOOSE(CONTROL!$C$32, $C$9, 100%, $E$9)</f>
        <v>8.3943999999999992</v>
      </c>
      <c r="D515" s="10">
        <f>8.3954 * CHOOSE(CONTROL!$C$32, $C$9, 100%, $E$9)</f>
        <v>8.3954000000000004</v>
      </c>
      <c r="E515" s="9">
        <f>7.3589 * CHOOSE(CONTROL!$C$32, $C$9, 100%, $E$9)</f>
        <v>7.3589000000000002</v>
      </c>
      <c r="F515" s="9">
        <f>7.3589 * CHOOSE(CONTROL!$C$32, $C$9, 100%, $E$9)</f>
        <v>7.3589000000000002</v>
      </c>
      <c r="G515" s="9">
        <f>7.3621 * CHOOSE(CONTROL!$C$32, $C$9, 100%, $E$9)</f>
        <v>7.3620999999999999</v>
      </c>
      <c r="H515" s="9">
        <f>10.127 * CHOOSE(CONTROL!$C$32, $C$9, 100%, $E$9)</f>
        <v>10.127000000000001</v>
      </c>
      <c r="I515" s="9">
        <f>10.1302 * CHOOSE(CONTROL!$C$32, $C$9, 100%, $E$9)</f>
        <v>10.1302</v>
      </c>
      <c r="J515" s="9">
        <f>10.127 * CHOOSE(CONTROL!$C$32, $C$9, 100%, $E$9)</f>
        <v>10.127000000000001</v>
      </c>
      <c r="K515" s="9">
        <f>10.1302 * CHOOSE(CONTROL!$C$32, $C$9, 100%, $E$9)</f>
        <v>10.1302</v>
      </c>
      <c r="L515" s="9">
        <f>7.3589 * CHOOSE(CONTROL!$C$32, $C$9, 100%, $E$9)</f>
        <v>7.3589000000000002</v>
      </c>
      <c r="M515" s="9">
        <f>7.3621 * CHOOSE(CONTROL!$C$32, $C$9, 100%, $E$9)</f>
        <v>7.3620999999999999</v>
      </c>
      <c r="N515" s="9">
        <f>7.3589 * CHOOSE(CONTROL!$C$32, $C$9, 100%, $E$9)</f>
        <v>7.3589000000000002</v>
      </c>
      <c r="O515" s="9">
        <f>7.3621 * CHOOSE(CONTROL!$C$32, $C$9, 100%, $E$9)</f>
        <v>7.3620999999999999</v>
      </c>
    </row>
    <row r="516" spans="1:15" ht="15.75" x14ac:dyDescent="0.25">
      <c r="A516" s="14">
        <v>56218</v>
      </c>
      <c r="B516" s="10">
        <f>8.3975 * CHOOSE(CONTROL!$C$32, $C$9, 100%, $E$9)</f>
        <v>8.3975000000000009</v>
      </c>
      <c r="C516" s="10">
        <f>8.3975 * CHOOSE(CONTROL!$C$32, $C$9, 100%, $E$9)</f>
        <v>8.3975000000000009</v>
      </c>
      <c r="D516" s="10">
        <f>8.3984 * CHOOSE(CONTROL!$C$32, $C$9, 100%, $E$9)</f>
        <v>8.3984000000000005</v>
      </c>
      <c r="E516" s="9">
        <f>7.3946 * CHOOSE(CONTROL!$C$32, $C$9, 100%, $E$9)</f>
        <v>7.3945999999999996</v>
      </c>
      <c r="F516" s="9">
        <f>7.3946 * CHOOSE(CONTROL!$C$32, $C$9, 100%, $E$9)</f>
        <v>7.3945999999999996</v>
      </c>
      <c r="G516" s="9">
        <f>7.3978 * CHOOSE(CONTROL!$C$32, $C$9, 100%, $E$9)</f>
        <v>7.3978000000000002</v>
      </c>
      <c r="H516" s="9">
        <f>10.129 * CHOOSE(CONTROL!$C$32, $C$9, 100%, $E$9)</f>
        <v>10.129</v>
      </c>
      <c r="I516" s="9">
        <f>10.1322 * CHOOSE(CONTROL!$C$32, $C$9, 100%, $E$9)</f>
        <v>10.132199999999999</v>
      </c>
      <c r="J516" s="9">
        <f>10.129 * CHOOSE(CONTROL!$C$32, $C$9, 100%, $E$9)</f>
        <v>10.129</v>
      </c>
      <c r="K516" s="9">
        <f>10.1322 * CHOOSE(CONTROL!$C$32, $C$9, 100%, $E$9)</f>
        <v>10.132199999999999</v>
      </c>
      <c r="L516" s="9">
        <f>7.3946 * CHOOSE(CONTROL!$C$32, $C$9, 100%, $E$9)</f>
        <v>7.3945999999999996</v>
      </c>
      <c r="M516" s="9">
        <f>7.3978 * CHOOSE(CONTROL!$C$32, $C$9, 100%, $E$9)</f>
        <v>7.3978000000000002</v>
      </c>
      <c r="N516" s="9">
        <f>7.3946 * CHOOSE(CONTROL!$C$32, $C$9, 100%, $E$9)</f>
        <v>7.3945999999999996</v>
      </c>
      <c r="O516" s="9">
        <f>7.3978 * CHOOSE(CONTROL!$C$32, $C$9, 100%, $E$9)</f>
        <v>7.3978000000000002</v>
      </c>
    </row>
    <row r="517" spans="1:15" ht="15.75" x14ac:dyDescent="0.25">
      <c r="A517" s="14">
        <v>56249</v>
      </c>
      <c r="B517" s="10">
        <f>8.3975 * CHOOSE(CONTROL!$C$32, $C$9, 100%, $E$9)</f>
        <v>8.3975000000000009</v>
      </c>
      <c r="C517" s="10">
        <f>8.3975 * CHOOSE(CONTROL!$C$32, $C$9, 100%, $E$9)</f>
        <v>8.3975000000000009</v>
      </c>
      <c r="D517" s="10">
        <f>8.3984 * CHOOSE(CONTROL!$C$32, $C$9, 100%, $E$9)</f>
        <v>8.3984000000000005</v>
      </c>
      <c r="E517" s="9">
        <f>7.3106 * CHOOSE(CONTROL!$C$32, $C$9, 100%, $E$9)</f>
        <v>7.3106</v>
      </c>
      <c r="F517" s="9">
        <f>7.3106 * CHOOSE(CONTROL!$C$32, $C$9, 100%, $E$9)</f>
        <v>7.3106</v>
      </c>
      <c r="G517" s="9">
        <f>7.3138 * CHOOSE(CONTROL!$C$32, $C$9, 100%, $E$9)</f>
        <v>7.3137999999999996</v>
      </c>
      <c r="H517" s="9">
        <f>10.129 * CHOOSE(CONTROL!$C$32, $C$9, 100%, $E$9)</f>
        <v>10.129</v>
      </c>
      <c r="I517" s="9">
        <f>10.1322 * CHOOSE(CONTROL!$C$32, $C$9, 100%, $E$9)</f>
        <v>10.132199999999999</v>
      </c>
      <c r="J517" s="9">
        <f>10.129 * CHOOSE(CONTROL!$C$32, $C$9, 100%, $E$9)</f>
        <v>10.129</v>
      </c>
      <c r="K517" s="9">
        <f>10.1322 * CHOOSE(CONTROL!$C$32, $C$9, 100%, $E$9)</f>
        <v>10.132199999999999</v>
      </c>
      <c r="L517" s="9">
        <f>7.3106 * CHOOSE(CONTROL!$C$32, $C$9, 100%, $E$9)</f>
        <v>7.3106</v>
      </c>
      <c r="M517" s="9">
        <f>7.3138 * CHOOSE(CONTROL!$C$32, $C$9, 100%, $E$9)</f>
        <v>7.3137999999999996</v>
      </c>
      <c r="N517" s="9">
        <f>7.3106 * CHOOSE(CONTROL!$C$32, $C$9, 100%, $E$9)</f>
        <v>7.3106</v>
      </c>
      <c r="O517" s="9">
        <f>7.3138 * CHOOSE(CONTROL!$C$32, $C$9, 100%, $E$9)</f>
        <v>7.3137999999999996</v>
      </c>
    </row>
    <row r="518" spans="1:15" ht="15.75" x14ac:dyDescent="0.25">
      <c r="A518" s="14">
        <v>56280</v>
      </c>
      <c r="B518" s="10">
        <f>8.467 * CHOOSE(CONTROL!$C$32, $C$9, 100%, $E$9)</f>
        <v>8.4670000000000005</v>
      </c>
      <c r="C518" s="10">
        <f>8.467 * CHOOSE(CONTROL!$C$32, $C$9, 100%, $E$9)</f>
        <v>8.4670000000000005</v>
      </c>
      <c r="D518" s="10">
        <f>8.468 * CHOOSE(CONTROL!$C$32, $C$9, 100%, $E$9)</f>
        <v>8.468</v>
      </c>
      <c r="E518" s="9">
        <f>7.4223 * CHOOSE(CONTROL!$C$32, $C$9, 100%, $E$9)</f>
        <v>7.4222999999999999</v>
      </c>
      <c r="F518" s="9">
        <f>7.4223 * CHOOSE(CONTROL!$C$32, $C$9, 100%, $E$9)</f>
        <v>7.4222999999999999</v>
      </c>
      <c r="G518" s="9">
        <f>7.4255 * CHOOSE(CONTROL!$C$32, $C$9, 100%, $E$9)</f>
        <v>7.4255000000000004</v>
      </c>
      <c r="H518" s="9">
        <f>10.2042 * CHOOSE(CONTROL!$C$32, $C$9, 100%, $E$9)</f>
        <v>10.2042</v>
      </c>
      <c r="I518" s="9">
        <f>10.2074 * CHOOSE(CONTROL!$C$32, $C$9, 100%, $E$9)</f>
        <v>10.2074</v>
      </c>
      <c r="J518" s="9">
        <f>10.2042 * CHOOSE(CONTROL!$C$32, $C$9, 100%, $E$9)</f>
        <v>10.2042</v>
      </c>
      <c r="K518" s="9">
        <f>10.2074 * CHOOSE(CONTROL!$C$32, $C$9, 100%, $E$9)</f>
        <v>10.2074</v>
      </c>
      <c r="L518" s="9">
        <f>7.4223 * CHOOSE(CONTROL!$C$32, $C$9, 100%, $E$9)</f>
        <v>7.4222999999999999</v>
      </c>
      <c r="M518" s="9">
        <f>7.4255 * CHOOSE(CONTROL!$C$32, $C$9, 100%, $E$9)</f>
        <v>7.4255000000000004</v>
      </c>
      <c r="N518" s="9">
        <f>7.4223 * CHOOSE(CONTROL!$C$32, $C$9, 100%, $E$9)</f>
        <v>7.4222999999999999</v>
      </c>
      <c r="O518" s="9">
        <f>7.4255 * CHOOSE(CONTROL!$C$32, $C$9, 100%, $E$9)</f>
        <v>7.4255000000000004</v>
      </c>
    </row>
    <row r="519" spans="1:15" ht="15.75" x14ac:dyDescent="0.25">
      <c r="A519" s="14">
        <v>56308</v>
      </c>
      <c r="B519" s="10">
        <f>8.464 * CHOOSE(CONTROL!$C$32, $C$9, 100%, $E$9)</f>
        <v>8.4640000000000004</v>
      </c>
      <c r="C519" s="10">
        <f>8.464 * CHOOSE(CONTROL!$C$32, $C$9, 100%, $E$9)</f>
        <v>8.4640000000000004</v>
      </c>
      <c r="D519" s="10">
        <f>8.4649 * CHOOSE(CONTROL!$C$32, $C$9, 100%, $E$9)</f>
        <v>8.4649000000000001</v>
      </c>
      <c r="E519" s="9">
        <f>7.2568 * CHOOSE(CONTROL!$C$32, $C$9, 100%, $E$9)</f>
        <v>7.2568000000000001</v>
      </c>
      <c r="F519" s="9">
        <f>7.2568 * CHOOSE(CONTROL!$C$32, $C$9, 100%, $E$9)</f>
        <v>7.2568000000000001</v>
      </c>
      <c r="G519" s="9">
        <f>7.26 * CHOOSE(CONTROL!$C$32, $C$9, 100%, $E$9)</f>
        <v>7.26</v>
      </c>
      <c r="H519" s="9">
        <f>10.2022 * CHOOSE(CONTROL!$C$32, $C$9, 100%, $E$9)</f>
        <v>10.202199999999999</v>
      </c>
      <c r="I519" s="9">
        <f>10.2054 * CHOOSE(CONTROL!$C$32, $C$9, 100%, $E$9)</f>
        <v>10.205399999999999</v>
      </c>
      <c r="J519" s="9">
        <f>10.2022 * CHOOSE(CONTROL!$C$32, $C$9, 100%, $E$9)</f>
        <v>10.202199999999999</v>
      </c>
      <c r="K519" s="9">
        <f>10.2054 * CHOOSE(CONTROL!$C$32, $C$9, 100%, $E$9)</f>
        <v>10.205399999999999</v>
      </c>
      <c r="L519" s="9">
        <f>7.2568 * CHOOSE(CONTROL!$C$32, $C$9, 100%, $E$9)</f>
        <v>7.2568000000000001</v>
      </c>
      <c r="M519" s="9">
        <f>7.26 * CHOOSE(CONTROL!$C$32, $C$9, 100%, $E$9)</f>
        <v>7.26</v>
      </c>
      <c r="N519" s="9">
        <f>7.2568 * CHOOSE(CONTROL!$C$32, $C$9, 100%, $E$9)</f>
        <v>7.2568000000000001</v>
      </c>
      <c r="O519" s="9">
        <f>7.26 * CHOOSE(CONTROL!$C$32, $C$9, 100%, $E$9)</f>
        <v>7.26</v>
      </c>
    </row>
    <row r="520" spans="1:15" ht="15.75" x14ac:dyDescent="0.25">
      <c r="A520" s="14">
        <v>56339</v>
      </c>
      <c r="B520" s="10">
        <f>8.4609 * CHOOSE(CONTROL!$C$32, $C$9, 100%, $E$9)</f>
        <v>8.4609000000000005</v>
      </c>
      <c r="C520" s="10">
        <f>8.4609 * CHOOSE(CONTROL!$C$32, $C$9, 100%, $E$9)</f>
        <v>8.4609000000000005</v>
      </c>
      <c r="D520" s="10">
        <f>8.4619 * CHOOSE(CONTROL!$C$32, $C$9, 100%, $E$9)</f>
        <v>8.4619</v>
      </c>
      <c r="E520" s="9">
        <f>7.3835 * CHOOSE(CONTROL!$C$32, $C$9, 100%, $E$9)</f>
        <v>7.3834999999999997</v>
      </c>
      <c r="F520" s="9">
        <f>7.3835 * CHOOSE(CONTROL!$C$32, $C$9, 100%, $E$9)</f>
        <v>7.3834999999999997</v>
      </c>
      <c r="G520" s="9">
        <f>7.3867 * CHOOSE(CONTROL!$C$32, $C$9, 100%, $E$9)</f>
        <v>7.3867000000000003</v>
      </c>
      <c r="H520" s="9">
        <f>10.2002 * CHOOSE(CONTROL!$C$32, $C$9, 100%, $E$9)</f>
        <v>10.200200000000001</v>
      </c>
      <c r="I520" s="9">
        <f>10.2034 * CHOOSE(CONTROL!$C$32, $C$9, 100%, $E$9)</f>
        <v>10.2034</v>
      </c>
      <c r="J520" s="9">
        <f>10.2002 * CHOOSE(CONTROL!$C$32, $C$9, 100%, $E$9)</f>
        <v>10.200200000000001</v>
      </c>
      <c r="K520" s="9">
        <f>10.2034 * CHOOSE(CONTROL!$C$32, $C$9, 100%, $E$9)</f>
        <v>10.2034</v>
      </c>
      <c r="L520" s="9">
        <f>7.3835 * CHOOSE(CONTROL!$C$32, $C$9, 100%, $E$9)</f>
        <v>7.3834999999999997</v>
      </c>
      <c r="M520" s="9">
        <f>7.3867 * CHOOSE(CONTROL!$C$32, $C$9, 100%, $E$9)</f>
        <v>7.3867000000000003</v>
      </c>
      <c r="N520" s="9">
        <f>7.3835 * CHOOSE(CONTROL!$C$32, $C$9, 100%, $E$9)</f>
        <v>7.3834999999999997</v>
      </c>
      <c r="O520" s="9">
        <f>7.3867 * CHOOSE(CONTROL!$C$32, $C$9, 100%, $E$9)</f>
        <v>7.3867000000000003</v>
      </c>
    </row>
    <row r="521" spans="1:15" ht="15.75" x14ac:dyDescent="0.25">
      <c r="A521" s="14">
        <v>56369</v>
      </c>
      <c r="B521" s="10">
        <f>8.4632 * CHOOSE(CONTROL!$C$32, $C$9, 100%, $E$9)</f>
        <v>8.4632000000000005</v>
      </c>
      <c r="C521" s="10">
        <f>8.4632 * CHOOSE(CONTROL!$C$32, $C$9, 100%, $E$9)</f>
        <v>8.4632000000000005</v>
      </c>
      <c r="D521" s="10">
        <f>8.4641 * CHOOSE(CONTROL!$C$32, $C$9, 100%, $E$9)</f>
        <v>8.4641000000000002</v>
      </c>
      <c r="E521" s="9">
        <f>7.5176 * CHOOSE(CONTROL!$C$32, $C$9, 100%, $E$9)</f>
        <v>7.5175999999999998</v>
      </c>
      <c r="F521" s="9">
        <f>7.5176 * CHOOSE(CONTROL!$C$32, $C$9, 100%, $E$9)</f>
        <v>7.5175999999999998</v>
      </c>
      <c r="G521" s="9">
        <f>7.5208 * CHOOSE(CONTROL!$C$32, $C$9, 100%, $E$9)</f>
        <v>7.5208000000000004</v>
      </c>
      <c r="H521" s="9">
        <f>10.2014 * CHOOSE(CONTROL!$C$32, $C$9, 100%, $E$9)</f>
        <v>10.2014</v>
      </c>
      <c r="I521" s="9">
        <f>10.2046 * CHOOSE(CONTROL!$C$32, $C$9, 100%, $E$9)</f>
        <v>10.204599999999999</v>
      </c>
      <c r="J521" s="9">
        <f>10.2014 * CHOOSE(CONTROL!$C$32, $C$9, 100%, $E$9)</f>
        <v>10.2014</v>
      </c>
      <c r="K521" s="9">
        <f>10.2046 * CHOOSE(CONTROL!$C$32, $C$9, 100%, $E$9)</f>
        <v>10.204599999999999</v>
      </c>
      <c r="L521" s="9">
        <f>7.5176 * CHOOSE(CONTROL!$C$32, $C$9, 100%, $E$9)</f>
        <v>7.5175999999999998</v>
      </c>
      <c r="M521" s="9">
        <f>7.5208 * CHOOSE(CONTROL!$C$32, $C$9, 100%, $E$9)</f>
        <v>7.5208000000000004</v>
      </c>
      <c r="N521" s="9">
        <f>7.5176 * CHOOSE(CONTROL!$C$32, $C$9, 100%, $E$9)</f>
        <v>7.5175999999999998</v>
      </c>
      <c r="O521" s="9">
        <f>7.5208 * CHOOSE(CONTROL!$C$32, $C$9, 100%, $E$9)</f>
        <v>7.5208000000000004</v>
      </c>
    </row>
    <row r="522" spans="1:15" ht="15.75" x14ac:dyDescent="0.25">
      <c r="A522" s="14">
        <v>56400</v>
      </c>
      <c r="B522" s="10">
        <f>8.4632 * CHOOSE(CONTROL!$C$32, $C$9, 100%, $E$9)</f>
        <v>8.4632000000000005</v>
      </c>
      <c r="C522" s="10">
        <f>8.4632 * CHOOSE(CONTROL!$C$32, $C$9, 100%, $E$9)</f>
        <v>8.4632000000000005</v>
      </c>
      <c r="D522" s="10">
        <f>8.4645 * CHOOSE(CONTROL!$C$32, $C$9, 100%, $E$9)</f>
        <v>8.4644999999999992</v>
      </c>
      <c r="E522" s="9">
        <f>7.5695 * CHOOSE(CONTROL!$C$32, $C$9, 100%, $E$9)</f>
        <v>7.5694999999999997</v>
      </c>
      <c r="F522" s="9">
        <f>7.5695 * CHOOSE(CONTROL!$C$32, $C$9, 100%, $E$9)</f>
        <v>7.5694999999999997</v>
      </c>
      <c r="G522" s="9">
        <f>7.5739 * CHOOSE(CONTROL!$C$32, $C$9, 100%, $E$9)</f>
        <v>7.5739000000000001</v>
      </c>
      <c r="H522" s="9">
        <f>10.2014 * CHOOSE(CONTROL!$C$32, $C$9, 100%, $E$9)</f>
        <v>10.2014</v>
      </c>
      <c r="I522" s="9">
        <f>10.2058 * CHOOSE(CONTROL!$C$32, $C$9, 100%, $E$9)</f>
        <v>10.2058</v>
      </c>
      <c r="J522" s="9">
        <f>10.2014 * CHOOSE(CONTROL!$C$32, $C$9, 100%, $E$9)</f>
        <v>10.2014</v>
      </c>
      <c r="K522" s="9">
        <f>10.2058 * CHOOSE(CONTROL!$C$32, $C$9, 100%, $E$9)</f>
        <v>10.2058</v>
      </c>
      <c r="L522" s="9">
        <f>7.5695 * CHOOSE(CONTROL!$C$32, $C$9, 100%, $E$9)</f>
        <v>7.5694999999999997</v>
      </c>
      <c r="M522" s="9">
        <f>7.5739 * CHOOSE(CONTROL!$C$32, $C$9, 100%, $E$9)</f>
        <v>7.5739000000000001</v>
      </c>
      <c r="N522" s="9">
        <f>7.5695 * CHOOSE(CONTROL!$C$32, $C$9, 100%, $E$9)</f>
        <v>7.5694999999999997</v>
      </c>
      <c r="O522" s="9">
        <f>7.5739 * CHOOSE(CONTROL!$C$32, $C$9, 100%, $E$9)</f>
        <v>7.5739000000000001</v>
      </c>
    </row>
    <row r="523" spans="1:15" ht="15.75" x14ac:dyDescent="0.25">
      <c r="A523" s="14">
        <v>56430</v>
      </c>
      <c r="B523" s="10">
        <f>8.4693 * CHOOSE(CONTROL!$C$32, $C$9, 100%, $E$9)</f>
        <v>8.4693000000000005</v>
      </c>
      <c r="C523" s="10">
        <f>8.4693 * CHOOSE(CONTROL!$C$32, $C$9, 100%, $E$9)</f>
        <v>8.4693000000000005</v>
      </c>
      <c r="D523" s="10">
        <f>8.4706 * CHOOSE(CONTROL!$C$32, $C$9, 100%, $E$9)</f>
        <v>8.4705999999999992</v>
      </c>
      <c r="E523" s="9">
        <f>7.5219 * CHOOSE(CONTROL!$C$32, $C$9, 100%, $E$9)</f>
        <v>7.5218999999999996</v>
      </c>
      <c r="F523" s="9">
        <f>7.5219 * CHOOSE(CONTROL!$C$32, $C$9, 100%, $E$9)</f>
        <v>7.5218999999999996</v>
      </c>
      <c r="G523" s="9">
        <f>7.5262 * CHOOSE(CONTROL!$C$32, $C$9, 100%, $E$9)</f>
        <v>7.5262000000000002</v>
      </c>
      <c r="H523" s="9">
        <f>10.2054 * CHOOSE(CONTROL!$C$32, $C$9, 100%, $E$9)</f>
        <v>10.205399999999999</v>
      </c>
      <c r="I523" s="9">
        <f>10.2098 * CHOOSE(CONTROL!$C$32, $C$9, 100%, $E$9)</f>
        <v>10.2098</v>
      </c>
      <c r="J523" s="9">
        <f>10.2054 * CHOOSE(CONTROL!$C$32, $C$9, 100%, $E$9)</f>
        <v>10.205399999999999</v>
      </c>
      <c r="K523" s="9">
        <f>10.2098 * CHOOSE(CONTROL!$C$32, $C$9, 100%, $E$9)</f>
        <v>10.2098</v>
      </c>
      <c r="L523" s="9">
        <f>7.5219 * CHOOSE(CONTROL!$C$32, $C$9, 100%, $E$9)</f>
        <v>7.5218999999999996</v>
      </c>
      <c r="M523" s="9">
        <f>7.5262 * CHOOSE(CONTROL!$C$32, $C$9, 100%, $E$9)</f>
        <v>7.5262000000000002</v>
      </c>
      <c r="N523" s="9">
        <f>7.5219 * CHOOSE(CONTROL!$C$32, $C$9, 100%, $E$9)</f>
        <v>7.5218999999999996</v>
      </c>
      <c r="O523" s="9">
        <f>7.5262 * CHOOSE(CONTROL!$C$32, $C$9, 100%, $E$9)</f>
        <v>7.5262000000000002</v>
      </c>
    </row>
    <row r="524" spans="1:15" ht="15.75" x14ac:dyDescent="0.25">
      <c r="A524" s="14">
        <v>56461</v>
      </c>
      <c r="B524" s="10">
        <f>8.59 * CHOOSE(CONTROL!$C$32, $C$9, 100%, $E$9)</f>
        <v>8.59</v>
      </c>
      <c r="C524" s="10">
        <f>8.59 * CHOOSE(CONTROL!$C$32, $C$9, 100%, $E$9)</f>
        <v>8.59</v>
      </c>
      <c r="D524" s="10">
        <f>8.5913 * CHOOSE(CONTROL!$C$32, $C$9, 100%, $E$9)</f>
        <v>8.5913000000000004</v>
      </c>
      <c r="E524" s="9">
        <f>7.6097 * CHOOSE(CONTROL!$C$32, $C$9, 100%, $E$9)</f>
        <v>7.6097000000000001</v>
      </c>
      <c r="F524" s="9">
        <f>7.6097 * CHOOSE(CONTROL!$C$32, $C$9, 100%, $E$9)</f>
        <v>7.6097000000000001</v>
      </c>
      <c r="G524" s="9">
        <f>7.6141 * CHOOSE(CONTROL!$C$32, $C$9, 100%, $E$9)</f>
        <v>7.6140999999999996</v>
      </c>
      <c r="H524" s="9">
        <f>10.3588 * CHOOSE(CONTROL!$C$32, $C$9, 100%, $E$9)</f>
        <v>10.3588</v>
      </c>
      <c r="I524" s="9">
        <f>10.3631 * CHOOSE(CONTROL!$C$32, $C$9, 100%, $E$9)</f>
        <v>10.363099999999999</v>
      </c>
      <c r="J524" s="9">
        <f>10.3588 * CHOOSE(CONTROL!$C$32, $C$9, 100%, $E$9)</f>
        <v>10.3588</v>
      </c>
      <c r="K524" s="9">
        <f>10.3631 * CHOOSE(CONTROL!$C$32, $C$9, 100%, $E$9)</f>
        <v>10.363099999999999</v>
      </c>
      <c r="L524" s="9">
        <f>7.6097 * CHOOSE(CONTROL!$C$32, $C$9, 100%, $E$9)</f>
        <v>7.6097000000000001</v>
      </c>
      <c r="M524" s="9">
        <f>7.6141 * CHOOSE(CONTROL!$C$32, $C$9, 100%, $E$9)</f>
        <v>7.6140999999999996</v>
      </c>
      <c r="N524" s="9">
        <f>7.6097 * CHOOSE(CONTROL!$C$32, $C$9, 100%, $E$9)</f>
        <v>7.6097000000000001</v>
      </c>
      <c r="O524" s="9">
        <f>7.6141 * CHOOSE(CONTROL!$C$32, $C$9, 100%, $E$9)</f>
        <v>7.6140999999999996</v>
      </c>
    </row>
    <row r="525" spans="1:15" ht="15.75" x14ac:dyDescent="0.25">
      <c r="A525" s="14">
        <v>56492</v>
      </c>
      <c r="B525" s="10">
        <f>8.5967 * CHOOSE(CONTROL!$C$32, $C$9, 100%, $E$9)</f>
        <v>8.5967000000000002</v>
      </c>
      <c r="C525" s="10">
        <f>8.5967 * CHOOSE(CONTROL!$C$32, $C$9, 100%, $E$9)</f>
        <v>8.5967000000000002</v>
      </c>
      <c r="D525" s="10">
        <f>8.598 * CHOOSE(CONTROL!$C$32, $C$9, 100%, $E$9)</f>
        <v>8.5980000000000008</v>
      </c>
      <c r="E525" s="9">
        <f>7.4587 * CHOOSE(CONTROL!$C$32, $C$9, 100%, $E$9)</f>
        <v>7.4587000000000003</v>
      </c>
      <c r="F525" s="9">
        <f>7.4587 * CHOOSE(CONTROL!$C$32, $C$9, 100%, $E$9)</f>
        <v>7.4587000000000003</v>
      </c>
      <c r="G525" s="9">
        <f>7.4631 * CHOOSE(CONTROL!$C$32, $C$9, 100%, $E$9)</f>
        <v>7.4630999999999998</v>
      </c>
      <c r="H525" s="9">
        <f>10.3632 * CHOOSE(CONTROL!$C$32, $C$9, 100%, $E$9)</f>
        <v>10.363200000000001</v>
      </c>
      <c r="I525" s="9">
        <f>10.3675 * CHOOSE(CONTROL!$C$32, $C$9, 100%, $E$9)</f>
        <v>10.3675</v>
      </c>
      <c r="J525" s="9">
        <f>10.3632 * CHOOSE(CONTROL!$C$32, $C$9, 100%, $E$9)</f>
        <v>10.363200000000001</v>
      </c>
      <c r="K525" s="9">
        <f>10.3675 * CHOOSE(CONTROL!$C$32, $C$9, 100%, $E$9)</f>
        <v>10.3675</v>
      </c>
      <c r="L525" s="9">
        <f>7.4587 * CHOOSE(CONTROL!$C$32, $C$9, 100%, $E$9)</f>
        <v>7.4587000000000003</v>
      </c>
      <c r="M525" s="9">
        <f>7.4631 * CHOOSE(CONTROL!$C$32, $C$9, 100%, $E$9)</f>
        <v>7.4630999999999998</v>
      </c>
      <c r="N525" s="9">
        <f>7.4587 * CHOOSE(CONTROL!$C$32, $C$9, 100%, $E$9)</f>
        <v>7.4587000000000003</v>
      </c>
      <c r="O525" s="9">
        <f>7.4631 * CHOOSE(CONTROL!$C$32, $C$9, 100%, $E$9)</f>
        <v>7.4630999999999998</v>
      </c>
    </row>
    <row r="526" spans="1:15" ht="15.75" x14ac:dyDescent="0.25">
      <c r="A526" s="14">
        <v>56522</v>
      </c>
      <c r="B526" s="10">
        <f>8.5937 * CHOOSE(CONTROL!$C$32, $C$9, 100%, $E$9)</f>
        <v>8.5937000000000001</v>
      </c>
      <c r="C526" s="10">
        <f>8.5937 * CHOOSE(CONTROL!$C$32, $C$9, 100%, $E$9)</f>
        <v>8.5937000000000001</v>
      </c>
      <c r="D526" s="10">
        <f>8.595 * CHOOSE(CONTROL!$C$32, $C$9, 100%, $E$9)</f>
        <v>8.5950000000000006</v>
      </c>
      <c r="E526" s="9">
        <f>7.4393 * CHOOSE(CONTROL!$C$32, $C$9, 100%, $E$9)</f>
        <v>7.4393000000000002</v>
      </c>
      <c r="F526" s="9">
        <f>7.4393 * CHOOSE(CONTROL!$C$32, $C$9, 100%, $E$9)</f>
        <v>7.4393000000000002</v>
      </c>
      <c r="G526" s="9">
        <f>7.4437 * CHOOSE(CONTROL!$C$32, $C$9, 100%, $E$9)</f>
        <v>7.4436999999999998</v>
      </c>
      <c r="H526" s="9">
        <f>10.3612 * CHOOSE(CONTROL!$C$32, $C$9, 100%, $E$9)</f>
        <v>10.3612</v>
      </c>
      <c r="I526" s="9">
        <f>10.3655 * CHOOSE(CONTROL!$C$32, $C$9, 100%, $E$9)</f>
        <v>10.365500000000001</v>
      </c>
      <c r="J526" s="9">
        <f>10.3612 * CHOOSE(CONTROL!$C$32, $C$9, 100%, $E$9)</f>
        <v>10.3612</v>
      </c>
      <c r="K526" s="9">
        <f>10.3655 * CHOOSE(CONTROL!$C$32, $C$9, 100%, $E$9)</f>
        <v>10.365500000000001</v>
      </c>
      <c r="L526" s="9">
        <f>7.4393 * CHOOSE(CONTROL!$C$32, $C$9, 100%, $E$9)</f>
        <v>7.4393000000000002</v>
      </c>
      <c r="M526" s="9">
        <f>7.4437 * CHOOSE(CONTROL!$C$32, $C$9, 100%, $E$9)</f>
        <v>7.4436999999999998</v>
      </c>
      <c r="N526" s="9">
        <f>7.4393 * CHOOSE(CONTROL!$C$32, $C$9, 100%, $E$9)</f>
        <v>7.4393000000000002</v>
      </c>
      <c r="O526" s="9">
        <f>7.4437 * CHOOSE(CONTROL!$C$32, $C$9, 100%, $E$9)</f>
        <v>7.4436999999999998</v>
      </c>
    </row>
    <row r="527" spans="1:15" ht="15.75" x14ac:dyDescent="0.25">
      <c r="A527" s="14">
        <v>56553</v>
      </c>
      <c r="B527" s="10">
        <f>8.607 * CHOOSE(CONTROL!$C$32, $C$9, 100%, $E$9)</f>
        <v>8.6069999999999993</v>
      </c>
      <c r="C527" s="10">
        <f>8.607 * CHOOSE(CONTROL!$C$32, $C$9, 100%, $E$9)</f>
        <v>8.6069999999999993</v>
      </c>
      <c r="D527" s="10">
        <f>8.6079 * CHOOSE(CONTROL!$C$32, $C$9, 100%, $E$9)</f>
        <v>8.6079000000000008</v>
      </c>
      <c r="E527" s="9">
        <f>7.4951 * CHOOSE(CONTROL!$C$32, $C$9, 100%, $E$9)</f>
        <v>7.4950999999999999</v>
      </c>
      <c r="F527" s="9">
        <f>7.4951 * CHOOSE(CONTROL!$C$32, $C$9, 100%, $E$9)</f>
        <v>7.4950999999999999</v>
      </c>
      <c r="G527" s="9">
        <f>7.4983 * CHOOSE(CONTROL!$C$32, $C$9, 100%, $E$9)</f>
        <v>7.4983000000000004</v>
      </c>
      <c r="H527" s="9">
        <f>10.3687 * CHOOSE(CONTROL!$C$32, $C$9, 100%, $E$9)</f>
        <v>10.3687</v>
      </c>
      <c r="I527" s="9">
        <f>10.3719 * CHOOSE(CONTROL!$C$32, $C$9, 100%, $E$9)</f>
        <v>10.3719</v>
      </c>
      <c r="J527" s="9">
        <f>10.3687 * CHOOSE(CONTROL!$C$32, $C$9, 100%, $E$9)</f>
        <v>10.3687</v>
      </c>
      <c r="K527" s="9">
        <f>10.3719 * CHOOSE(CONTROL!$C$32, $C$9, 100%, $E$9)</f>
        <v>10.3719</v>
      </c>
      <c r="L527" s="9">
        <f>7.4951 * CHOOSE(CONTROL!$C$32, $C$9, 100%, $E$9)</f>
        <v>7.4950999999999999</v>
      </c>
      <c r="M527" s="9">
        <f>7.4983 * CHOOSE(CONTROL!$C$32, $C$9, 100%, $E$9)</f>
        <v>7.4983000000000004</v>
      </c>
      <c r="N527" s="9">
        <f>7.4951 * CHOOSE(CONTROL!$C$32, $C$9, 100%, $E$9)</f>
        <v>7.4950999999999999</v>
      </c>
      <c r="O527" s="9">
        <f>7.4983 * CHOOSE(CONTROL!$C$32, $C$9, 100%, $E$9)</f>
        <v>7.4983000000000004</v>
      </c>
    </row>
    <row r="528" spans="1:15" ht="15.75" x14ac:dyDescent="0.25">
      <c r="A528" s="14">
        <v>56583</v>
      </c>
      <c r="B528" s="10">
        <f>8.61 * CHOOSE(CONTROL!$C$32, $C$9, 100%, $E$9)</f>
        <v>8.61</v>
      </c>
      <c r="C528" s="10">
        <f>8.61 * CHOOSE(CONTROL!$C$32, $C$9, 100%, $E$9)</f>
        <v>8.61</v>
      </c>
      <c r="D528" s="10">
        <f>8.611 * CHOOSE(CONTROL!$C$32, $C$9, 100%, $E$9)</f>
        <v>8.6110000000000007</v>
      </c>
      <c r="E528" s="9">
        <f>7.5318 * CHOOSE(CONTROL!$C$32, $C$9, 100%, $E$9)</f>
        <v>7.5317999999999996</v>
      </c>
      <c r="F528" s="9">
        <f>7.5318 * CHOOSE(CONTROL!$C$32, $C$9, 100%, $E$9)</f>
        <v>7.5317999999999996</v>
      </c>
      <c r="G528" s="9">
        <f>7.535 * CHOOSE(CONTROL!$C$32, $C$9, 100%, $E$9)</f>
        <v>7.5350000000000001</v>
      </c>
      <c r="H528" s="9">
        <f>10.3707 * CHOOSE(CONTROL!$C$32, $C$9, 100%, $E$9)</f>
        <v>10.370699999999999</v>
      </c>
      <c r="I528" s="9">
        <f>10.3739 * CHOOSE(CONTROL!$C$32, $C$9, 100%, $E$9)</f>
        <v>10.373900000000001</v>
      </c>
      <c r="J528" s="9">
        <f>10.3707 * CHOOSE(CONTROL!$C$32, $C$9, 100%, $E$9)</f>
        <v>10.370699999999999</v>
      </c>
      <c r="K528" s="9">
        <f>10.3739 * CHOOSE(CONTROL!$C$32, $C$9, 100%, $E$9)</f>
        <v>10.373900000000001</v>
      </c>
      <c r="L528" s="9">
        <f>7.5318 * CHOOSE(CONTROL!$C$32, $C$9, 100%, $E$9)</f>
        <v>7.5317999999999996</v>
      </c>
      <c r="M528" s="9">
        <f>7.535 * CHOOSE(CONTROL!$C$32, $C$9, 100%, $E$9)</f>
        <v>7.5350000000000001</v>
      </c>
      <c r="N528" s="9">
        <f>7.5318 * CHOOSE(CONTROL!$C$32, $C$9, 100%, $E$9)</f>
        <v>7.5317999999999996</v>
      </c>
      <c r="O528" s="9">
        <f>7.535 * CHOOSE(CONTROL!$C$32, $C$9, 100%, $E$9)</f>
        <v>7.5350000000000001</v>
      </c>
    </row>
    <row r="529" spans="1:15" ht="15.75" x14ac:dyDescent="0.25">
      <c r="A529" s="14">
        <v>56614</v>
      </c>
      <c r="B529" s="10">
        <f>8.61 * CHOOSE(CONTROL!$C$32, $C$9, 100%, $E$9)</f>
        <v>8.61</v>
      </c>
      <c r="C529" s="10">
        <f>8.61 * CHOOSE(CONTROL!$C$32, $C$9, 100%, $E$9)</f>
        <v>8.61</v>
      </c>
      <c r="D529" s="10">
        <f>8.611 * CHOOSE(CONTROL!$C$32, $C$9, 100%, $E$9)</f>
        <v>8.6110000000000007</v>
      </c>
      <c r="E529" s="9">
        <f>7.4453 * CHOOSE(CONTROL!$C$32, $C$9, 100%, $E$9)</f>
        <v>7.4452999999999996</v>
      </c>
      <c r="F529" s="9">
        <f>7.4453 * CHOOSE(CONTROL!$C$32, $C$9, 100%, $E$9)</f>
        <v>7.4452999999999996</v>
      </c>
      <c r="G529" s="9">
        <f>7.4485 * CHOOSE(CONTROL!$C$32, $C$9, 100%, $E$9)</f>
        <v>7.4485000000000001</v>
      </c>
      <c r="H529" s="9">
        <f>10.3707 * CHOOSE(CONTROL!$C$32, $C$9, 100%, $E$9)</f>
        <v>10.370699999999999</v>
      </c>
      <c r="I529" s="9">
        <f>10.3739 * CHOOSE(CONTROL!$C$32, $C$9, 100%, $E$9)</f>
        <v>10.373900000000001</v>
      </c>
      <c r="J529" s="9">
        <f>10.3707 * CHOOSE(CONTROL!$C$32, $C$9, 100%, $E$9)</f>
        <v>10.370699999999999</v>
      </c>
      <c r="K529" s="9">
        <f>10.3739 * CHOOSE(CONTROL!$C$32, $C$9, 100%, $E$9)</f>
        <v>10.373900000000001</v>
      </c>
      <c r="L529" s="9">
        <f>7.4453 * CHOOSE(CONTROL!$C$32, $C$9, 100%, $E$9)</f>
        <v>7.4452999999999996</v>
      </c>
      <c r="M529" s="9">
        <f>7.4485 * CHOOSE(CONTROL!$C$32, $C$9, 100%, $E$9)</f>
        <v>7.4485000000000001</v>
      </c>
      <c r="N529" s="9">
        <f>7.4453 * CHOOSE(CONTROL!$C$32, $C$9, 100%, $E$9)</f>
        <v>7.4452999999999996</v>
      </c>
      <c r="O529" s="9">
        <f>7.4485 * CHOOSE(CONTROL!$C$32, $C$9, 100%, $E$9)</f>
        <v>7.4485000000000001</v>
      </c>
    </row>
    <row r="530" spans="1:15" ht="15.75" x14ac:dyDescent="0.25">
      <c r="A530" s="13">
        <v>56645</v>
      </c>
      <c r="B530" s="10">
        <f>8.6812 * CHOOSE(CONTROL!$C$32, $C$9, 100%, $E$9)</f>
        <v>8.6812000000000005</v>
      </c>
      <c r="C530" s="10">
        <f>8.6812 * CHOOSE(CONTROL!$C$32, $C$9, 100%, $E$9)</f>
        <v>8.6812000000000005</v>
      </c>
      <c r="D530" s="10">
        <f>8.6821 * CHOOSE(CONTROL!$C$32, $C$9, 100%, $E$9)</f>
        <v>8.6821000000000002</v>
      </c>
      <c r="E530" s="9">
        <f>7.5599 * CHOOSE(CONTROL!$C$32, $C$9, 100%, $E$9)</f>
        <v>7.5598999999999998</v>
      </c>
      <c r="F530" s="9">
        <f>7.5599 * CHOOSE(CONTROL!$C$32, $C$9, 100%, $E$9)</f>
        <v>7.5598999999999998</v>
      </c>
      <c r="G530" s="9">
        <f>7.5631 * CHOOSE(CONTROL!$C$32, $C$9, 100%, $E$9)</f>
        <v>7.5631000000000004</v>
      </c>
      <c r="H530" s="9">
        <f>10.4476 * CHOOSE(CONTROL!$C$32, $C$9, 100%, $E$9)</f>
        <v>10.4476</v>
      </c>
      <c r="I530" s="9">
        <f>10.4508 * CHOOSE(CONTROL!$C$32, $C$9, 100%, $E$9)</f>
        <v>10.450799999999999</v>
      </c>
      <c r="J530" s="9">
        <f>10.4476 * CHOOSE(CONTROL!$C$32, $C$9, 100%, $E$9)</f>
        <v>10.4476</v>
      </c>
      <c r="K530" s="9">
        <f>10.4508 * CHOOSE(CONTROL!$C$32, $C$9, 100%, $E$9)</f>
        <v>10.450799999999999</v>
      </c>
      <c r="L530" s="9">
        <f>7.5599 * CHOOSE(CONTROL!$C$32, $C$9, 100%, $E$9)</f>
        <v>7.5598999999999998</v>
      </c>
      <c r="M530" s="9">
        <f>7.5631 * CHOOSE(CONTROL!$C$32, $C$9, 100%, $E$9)</f>
        <v>7.5631000000000004</v>
      </c>
      <c r="N530" s="9">
        <f>7.5599 * CHOOSE(CONTROL!$C$32, $C$9, 100%, $E$9)</f>
        <v>7.5598999999999998</v>
      </c>
      <c r="O530" s="9">
        <f>7.5631 * CHOOSE(CONTROL!$C$32, $C$9, 100%, $E$9)</f>
        <v>7.5631000000000004</v>
      </c>
    </row>
    <row r="531" spans="1:15" ht="15.75" x14ac:dyDescent="0.25">
      <c r="A531" s="13">
        <v>56673</v>
      </c>
      <c r="B531" s="10">
        <f>8.6782 * CHOOSE(CONTROL!$C$32, $C$9, 100%, $E$9)</f>
        <v>8.6782000000000004</v>
      </c>
      <c r="C531" s="10">
        <f>8.6782 * CHOOSE(CONTROL!$C$32, $C$9, 100%, $E$9)</f>
        <v>8.6782000000000004</v>
      </c>
      <c r="D531" s="10">
        <f>8.6791 * CHOOSE(CONTROL!$C$32, $C$9, 100%, $E$9)</f>
        <v>8.6791</v>
      </c>
      <c r="E531" s="9">
        <f>7.3895 * CHOOSE(CONTROL!$C$32, $C$9, 100%, $E$9)</f>
        <v>7.3895</v>
      </c>
      <c r="F531" s="9">
        <f>7.3895 * CHOOSE(CONTROL!$C$32, $C$9, 100%, $E$9)</f>
        <v>7.3895</v>
      </c>
      <c r="G531" s="9">
        <f>7.3926 * CHOOSE(CONTROL!$C$32, $C$9, 100%, $E$9)</f>
        <v>7.3925999999999998</v>
      </c>
      <c r="H531" s="9">
        <f>10.4456 * CHOOSE(CONTROL!$C$32, $C$9, 100%, $E$9)</f>
        <v>10.445600000000001</v>
      </c>
      <c r="I531" s="9">
        <f>10.4488 * CHOOSE(CONTROL!$C$32, $C$9, 100%, $E$9)</f>
        <v>10.4488</v>
      </c>
      <c r="J531" s="9">
        <f>10.4456 * CHOOSE(CONTROL!$C$32, $C$9, 100%, $E$9)</f>
        <v>10.445600000000001</v>
      </c>
      <c r="K531" s="9">
        <f>10.4488 * CHOOSE(CONTROL!$C$32, $C$9, 100%, $E$9)</f>
        <v>10.4488</v>
      </c>
      <c r="L531" s="9">
        <f>7.3895 * CHOOSE(CONTROL!$C$32, $C$9, 100%, $E$9)</f>
        <v>7.3895</v>
      </c>
      <c r="M531" s="9">
        <f>7.3926 * CHOOSE(CONTROL!$C$32, $C$9, 100%, $E$9)</f>
        <v>7.3925999999999998</v>
      </c>
      <c r="N531" s="9">
        <f>7.3895 * CHOOSE(CONTROL!$C$32, $C$9, 100%, $E$9)</f>
        <v>7.3895</v>
      </c>
      <c r="O531" s="9">
        <f>7.3926 * CHOOSE(CONTROL!$C$32, $C$9, 100%, $E$9)</f>
        <v>7.3925999999999998</v>
      </c>
    </row>
    <row r="532" spans="1:15" ht="15.75" x14ac:dyDescent="0.25">
      <c r="A532" s="13">
        <v>56704</v>
      </c>
      <c r="B532" s="10">
        <f>8.6751 * CHOOSE(CONTROL!$C$32, $C$9, 100%, $E$9)</f>
        <v>8.6751000000000005</v>
      </c>
      <c r="C532" s="10">
        <f>8.6751 * CHOOSE(CONTROL!$C$32, $C$9, 100%, $E$9)</f>
        <v>8.6751000000000005</v>
      </c>
      <c r="D532" s="10">
        <f>8.6761 * CHOOSE(CONTROL!$C$32, $C$9, 100%, $E$9)</f>
        <v>8.6760999999999999</v>
      </c>
      <c r="E532" s="9">
        <f>7.52 * CHOOSE(CONTROL!$C$32, $C$9, 100%, $E$9)</f>
        <v>7.52</v>
      </c>
      <c r="F532" s="9">
        <f>7.52 * CHOOSE(CONTROL!$C$32, $C$9, 100%, $E$9)</f>
        <v>7.52</v>
      </c>
      <c r="G532" s="9">
        <f>7.5232 * CHOOSE(CONTROL!$C$32, $C$9, 100%, $E$9)</f>
        <v>7.5232000000000001</v>
      </c>
      <c r="H532" s="9">
        <f>10.4436 * CHOOSE(CONTROL!$C$32, $C$9, 100%, $E$9)</f>
        <v>10.4436</v>
      </c>
      <c r="I532" s="9">
        <f>10.4468 * CHOOSE(CONTROL!$C$32, $C$9, 100%, $E$9)</f>
        <v>10.4468</v>
      </c>
      <c r="J532" s="9">
        <f>10.4436 * CHOOSE(CONTROL!$C$32, $C$9, 100%, $E$9)</f>
        <v>10.4436</v>
      </c>
      <c r="K532" s="9">
        <f>10.4468 * CHOOSE(CONTROL!$C$32, $C$9, 100%, $E$9)</f>
        <v>10.4468</v>
      </c>
      <c r="L532" s="9">
        <f>7.52 * CHOOSE(CONTROL!$C$32, $C$9, 100%, $E$9)</f>
        <v>7.52</v>
      </c>
      <c r="M532" s="9">
        <f>7.5232 * CHOOSE(CONTROL!$C$32, $C$9, 100%, $E$9)</f>
        <v>7.5232000000000001</v>
      </c>
      <c r="N532" s="9">
        <f>7.52 * CHOOSE(CONTROL!$C$32, $C$9, 100%, $E$9)</f>
        <v>7.52</v>
      </c>
      <c r="O532" s="9">
        <f>7.5232 * CHOOSE(CONTROL!$C$32, $C$9, 100%, $E$9)</f>
        <v>7.5232000000000001</v>
      </c>
    </row>
    <row r="533" spans="1:15" ht="15.75" x14ac:dyDescent="0.25">
      <c r="A533" s="13">
        <v>56734</v>
      </c>
      <c r="B533" s="10">
        <f>8.6776 * CHOOSE(CONTROL!$C$32, $C$9, 100%, $E$9)</f>
        <v>8.6776</v>
      </c>
      <c r="C533" s="10">
        <f>8.6776 * CHOOSE(CONTROL!$C$32, $C$9, 100%, $E$9)</f>
        <v>8.6776</v>
      </c>
      <c r="D533" s="10">
        <f>8.6785 * CHOOSE(CONTROL!$C$32, $C$9, 100%, $E$9)</f>
        <v>8.6784999999999997</v>
      </c>
      <c r="E533" s="9">
        <f>7.6583 * CHOOSE(CONTROL!$C$32, $C$9, 100%, $E$9)</f>
        <v>7.6582999999999997</v>
      </c>
      <c r="F533" s="9">
        <f>7.6583 * CHOOSE(CONTROL!$C$32, $C$9, 100%, $E$9)</f>
        <v>7.6582999999999997</v>
      </c>
      <c r="G533" s="9">
        <f>7.6615 * CHOOSE(CONTROL!$C$32, $C$9, 100%, $E$9)</f>
        <v>7.6615000000000002</v>
      </c>
      <c r="H533" s="9">
        <f>10.4449 * CHOOSE(CONTROL!$C$32, $C$9, 100%, $E$9)</f>
        <v>10.444900000000001</v>
      </c>
      <c r="I533" s="9">
        <f>10.4481 * CHOOSE(CONTROL!$C$32, $C$9, 100%, $E$9)</f>
        <v>10.4481</v>
      </c>
      <c r="J533" s="9">
        <f>10.4449 * CHOOSE(CONTROL!$C$32, $C$9, 100%, $E$9)</f>
        <v>10.444900000000001</v>
      </c>
      <c r="K533" s="9">
        <f>10.4481 * CHOOSE(CONTROL!$C$32, $C$9, 100%, $E$9)</f>
        <v>10.4481</v>
      </c>
      <c r="L533" s="9">
        <f>7.6583 * CHOOSE(CONTROL!$C$32, $C$9, 100%, $E$9)</f>
        <v>7.6582999999999997</v>
      </c>
      <c r="M533" s="9">
        <f>7.6615 * CHOOSE(CONTROL!$C$32, $C$9, 100%, $E$9)</f>
        <v>7.6615000000000002</v>
      </c>
      <c r="N533" s="9">
        <f>7.6583 * CHOOSE(CONTROL!$C$32, $C$9, 100%, $E$9)</f>
        <v>7.6582999999999997</v>
      </c>
      <c r="O533" s="9">
        <f>7.6615 * CHOOSE(CONTROL!$C$32, $C$9, 100%, $E$9)</f>
        <v>7.6615000000000002</v>
      </c>
    </row>
    <row r="534" spans="1:15" ht="15.75" x14ac:dyDescent="0.25">
      <c r="A534" s="13">
        <v>56765</v>
      </c>
      <c r="B534" s="10">
        <f>8.6776 * CHOOSE(CONTROL!$C$32, $C$9, 100%, $E$9)</f>
        <v>8.6776</v>
      </c>
      <c r="C534" s="10">
        <f>8.6776 * CHOOSE(CONTROL!$C$32, $C$9, 100%, $E$9)</f>
        <v>8.6776</v>
      </c>
      <c r="D534" s="10">
        <f>8.6789 * CHOOSE(CONTROL!$C$32, $C$9, 100%, $E$9)</f>
        <v>8.6789000000000005</v>
      </c>
      <c r="E534" s="9">
        <f>7.7118 * CHOOSE(CONTROL!$C$32, $C$9, 100%, $E$9)</f>
        <v>7.7118000000000002</v>
      </c>
      <c r="F534" s="9">
        <f>7.7118 * CHOOSE(CONTROL!$C$32, $C$9, 100%, $E$9)</f>
        <v>7.7118000000000002</v>
      </c>
      <c r="G534" s="9">
        <f>7.7161 * CHOOSE(CONTROL!$C$32, $C$9, 100%, $E$9)</f>
        <v>7.7161</v>
      </c>
      <c r="H534" s="9">
        <f>10.4449 * CHOOSE(CONTROL!$C$32, $C$9, 100%, $E$9)</f>
        <v>10.444900000000001</v>
      </c>
      <c r="I534" s="9">
        <f>10.4493 * CHOOSE(CONTROL!$C$32, $C$9, 100%, $E$9)</f>
        <v>10.449299999999999</v>
      </c>
      <c r="J534" s="9">
        <f>10.4449 * CHOOSE(CONTROL!$C$32, $C$9, 100%, $E$9)</f>
        <v>10.444900000000001</v>
      </c>
      <c r="K534" s="9">
        <f>10.4493 * CHOOSE(CONTROL!$C$32, $C$9, 100%, $E$9)</f>
        <v>10.449299999999999</v>
      </c>
      <c r="L534" s="9">
        <f>7.7118 * CHOOSE(CONTROL!$C$32, $C$9, 100%, $E$9)</f>
        <v>7.7118000000000002</v>
      </c>
      <c r="M534" s="9">
        <f>7.7161 * CHOOSE(CONTROL!$C$32, $C$9, 100%, $E$9)</f>
        <v>7.7161</v>
      </c>
      <c r="N534" s="9">
        <f>7.7118 * CHOOSE(CONTROL!$C$32, $C$9, 100%, $E$9)</f>
        <v>7.7118000000000002</v>
      </c>
      <c r="O534" s="9">
        <f>7.7161 * CHOOSE(CONTROL!$C$32, $C$9, 100%, $E$9)</f>
        <v>7.7161</v>
      </c>
    </row>
    <row r="535" spans="1:15" ht="15.75" x14ac:dyDescent="0.25">
      <c r="A535" s="13">
        <v>56795</v>
      </c>
      <c r="B535" s="10">
        <f>8.6837 * CHOOSE(CONTROL!$C$32, $C$9, 100%, $E$9)</f>
        <v>8.6837</v>
      </c>
      <c r="C535" s="10">
        <f>8.6837 * CHOOSE(CONTROL!$C$32, $C$9, 100%, $E$9)</f>
        <v>8.6837</v>
      </c>
      <c r="D535" s="10">
        <f>8.685 * CHOOSE(CONTROL!$C$32, $C$9, 100%, $E$9)</f>
        <v>8.6850000000000005</v>
      </c>
      <c r="E535" s="9">
        <f>7.6626 * CHOOSE(CONTROL!$C$32, $C$9, 100%, $E$9)</f>
        <v>7.6626000000000003</v>
      </c>
      <c r="F535" s="9">
        <f>7.6626 * CHOOSE(CONTROL!$C$32, $C$9, 100%, $E$9)</f>
        <v>7.6626000000000003</v>
      </c>
      <c r="G535" s="9">
        <f>7.6669 * CHOOSE(CONTROL!$C$32, $C$9, 100%, $E$9)</f>
        <v>7.6669</v>
      </c>
      <c r="H535" s="9">
        <f>10.4489 * CHOOSE(CONTROL!$C$32, $C$9, 100%, $E$9)</f>
        <v>10.4489</v>
      </c>
      <c r="I535" s="9">
        <f>10.4533 * CHOOSE(CONTROL!$C$32, $C$9, 100%, $E$9)</f>
        <v>10.4533</v>
      </c>
      <c r="J535" s="9">
        <f>10.4489 * CHOOSE(CONTROL!$C$32, $C$9, 100%, $E$9)</f>
        <v>10.4489</v>
      </c>
      <c r="K535" s="9">
        <f>10.4533 * CHOOSE(CONTROL!$C$32, $C$9, 100%, $E$9)</f>
        <v>10.4533</v>
      </c>
      <c r="L535" s="9">
        <f>7.6626 * CHOOSE(CONTROL!$C$32, $C$9, 100%, $E$9)</f>
        <v>7.6626000000000003</v>
      </c>
      <c r="M535" s="9">
        <f>7.6669 * CHOOSE(CONTROL!$C$32, $C$9, 100%, $E$9)</f>
        <v>7.6669</v>
      </c>
      <c r="N535" s="9">
        <f>7.6626 * CHOOSE(CONTROL!$C$32, $C$9, 100%, $E$9)</f>
        <v>7.6626000000000003</v>
      </c>
      <c r="O535" s="9">
        <f>7.6669 * CHOOSE(CONTROL!$C$32, $C$9, 100%, $E$9)</f>
        <v>7.6669</v>
      </c>
    </row>
    <row r="536" spans="1:15" ht="15.75" x14ac:dyDescent="0.25">
      <c r="A536" s="13">
        <v>56826</v>
      </c>
      <c r="B536" s="10">
        <f>8.8071 * CHOOSE(CONTROL!$C$32, $C$9, 100%, $E$9)</f>
        <v>8.8071000000000002</v>
      </c>
      <c r="C536" s="10">
        <f>8.8071 * CHOOSE(CONTROL!$C$32, $C$9, 100%, $E$9)</f>
        <v>8.8071000000000002</v>
      </c>
      <c r="D536" s="10">
        <f>8.8084 * CHOOSE(CONTROL!$C$32, $C$9, 100%, $E$9)</f>
        <v>8.8084000000000007</v>
      </c>
      <c r="E536" s="9">
        <f>7.7519 * CHOOSE(CONTROL!$C$32, $C$9, 100%, $E$9)</f>
        <v>7.7519</v>
      </c>
      <c r="F536" s="9">
        <f>7.7519 * CHOOSE(CONTROL!$C$32, $C$9, 100%, $E$9)</f>
        <v>7.7519</v>
      </c>
      <c r="G536" s="9">
        <f>7.7562 * CHOOSE(CONTROL!$C$32, $C$9, 100%, $E$9)</f>
        <v>7.7561999999999998</v>
      </c>
      <c r="H536" s="9">
        <f>10.6057 * CHOOSE(CONTROL!$C$32, $C$9, 100%, $E$9)</f>
        <v>10.605700000000001</v>
      </c>
      <c r="I536" s="9">
        <f>10.61 * CHOOSE(CONTROL!$C$32, $C$9, 100%, $E$9)</f>
        <v>10.61</v>
      </c>
      <c r="J536" s="9">
        <f>10.6057 * CHOOSE(CONTROL!$C$32, $C$9, 100%, $E$9)</f>
        <v>10.605700000000001</v>
      </c>
      <c r="K536" s="9">
        <f>10.61 * CHOOSE(CONTROL!$C$32, $C$9, 100%, $E$9)</f>
        <v>10.61</v>
      </c>
      <c r="L536" s="9">
        <f>7.7519 * CHOOSE(CONTROL!$C$32, $C$9, 100%, $E$9)</f>
        <v>7.7519</v>
      </c>
      <c r="M536" s="9">
        <f>7.7562 * CHOOSE(CONTROL!$C$32, $C$9, 100%, $E$9)</f>
        <v>7.7561999999999998</v>
      </c>
      <c r="N536" s="9">
        <f>7.7519 * CHOOSE(CONTROL!$C$32, $C$9, 100%, $E$9)</f>
        <v>7.7519</v>
      </c>
      <c r="O536" s="9">
        <f>7.7562 * CHOOSE(CONTROL!$C$32, $C$9, 100%, $E$9)</f>
        <v>7.7561999999999998</v>
      </c>
    </row>
    <row r="537" spans="1:15" ht="15.75" x14ac:dyDescent="0.25">
      <c r="A537" s="13">
        <v>56857</v>
      </c>
      <c r="B537" s="10">
        <f>8.8138 * CHOOSE(CONTROL!$C$32, $C$9, 100%, $E$9)</f>
        <v>8.8138000000000005</v>
      </c>
      <c r="C537" s="10">
        <f>8.8138 * CHOOSE(CONTROL!$C$32, $C$9, 100%, $E$9)</f>
        <v>8.8138000000000005</v>
      </c>
      <c r="D537" s="10">
        <f>8.8151 * CHOOSE(CONTROL!$C$32, $C$9, 100%, $E$9)</f>
        <v>8.8150999999999993</v>
      </c>
      <c r="E537" s="9">
        <f>7.5962 * CHOOSE(CONTROL!$C$32, $C$9, 100%, $E$9)</f>
        <v>7.5961999999999996</v>
      </c>
      <c r="F537" s="9">
        <f>7.5962 * CHOOSE(CONTROL!$C$32, $C$9, 100%, $E$9)</f>
        <v>7.5961999999999996</v>
      </c>
      <c r="G537" s="9">
        <f>7.6006 * CHOOSE(CONTROL!$C$32, $C$9, 100%, $E$9)</f>
        <v>7.6006</v>
      </c>
      <c r="H537" s="9">
        <f>10.6101 * CHOOSE(CONTROL!$C$32, $C$9, 100%, $E$9)</f>
        <v>10.610099999999999</v>
      </c>
      <c r="I537" s="9">
        <f>10.6144 * CHOOSE(CONTROL!$C$32, $C$9, 100%, $E$9)</f>
        <v>10.6144</v>
      </c>
      <c r="J537" s="9">
        <f>10.6101 * CHOOSE(CONTROL!$C$32, $C$9, 100%, $E$9)</f>
        <v>10.610099999999999</v>
      </c>
      <c r="K537" s="9">
        <f>10.6144 * CHOOSE(CONTROL!$C$32, $C$9, 100%, $E$9)</f>
        <v>10.6144</v>
      </c>
      <c r="L537" s="9">
        <f>7.5962 * CHOOSE(CONTROL!$C$32, $C$9, 100%, $E$9)</f>
        <v>7.5961999999999996</v>
      </c>
      <c r="M537" s="9">
        <f>7.6006 * CHOOSE(CONTROL!$C$32, $C$9, 100%, $E$9)</f>
        <v>7.6006</v>
      </c>
      <c r="N537" s="9">
        <f>7.5962 * CHOOSE(CONTROL!$C$32, $C$9, 100%, $E$9)</f>
        <v>7.5961999999999996</v>
      </c>
      <c r="O537" s="9">
        <f>7.6006 * CHOOSE(CONTROL!$C$32, $C$9, 100%, $E$9)</f>
        <v>7.6006</v>
      </c>
    </row>
    <row r="538" spans="1:15" ht="15.75" x14ac:dyDescent="0.25">
      <c r="A538" s="13">
        <v>56887</v>
      </c>
      <c r="B538" s="10">
        <f>8.8107 * CHOOSE(CONTROL!$C$32, $C$9, 100%, $E$9)</f>
        <v>8.8107000000000006</v>
      </c>
      <c r="C538" s="10">
        <f>8.8107 * CHOOSE(CONTROL!$C$32, $C$9, 100%, $E$9)</f>
        <v>8.8107000000000006</v>
      </c>
      <c r="D538" s="10">
        <f>8.8121 * CHOOSE(CONTROL!$C$32, $C$9, 100%, $E$9)</f>
        <v>8.8120999999999992</v>
      </c>
      <c r="E538" s="9">
        <f>7.5763 * CHOOSE(CONTROL!$C$32, $C$9, 100%, $E$9)</f>
        <v>7.5762999999999998</v>
      </c>
      <c r="F538" s="9">
        <f>7.5763 * CHOOSE(CONTROL!$C$32, $C$9, 100%, $E$9)</f>
        <v>7.5762999999999998</v>
      </c>
      <c r="G538" s="9">
        <f>7.5806 * CHOOSE(CONTROL!$C$32, $C$9, 100%, $E$9)</f>
        <v>7.5805999999999996</v>
      </c>
      <c r="H538" s="9">
        <f>10.6081 * CHOOSE(CONTROL!$C$32, $C$9, 100%, $E$9)</f>
        <v>10.6081</v>
      </c>
      <c r="I538" s="9">
        <f>10.6124 * CHOOSE(CONTROL!$C$32, $C$9, 100%, $E$9)</f>
        <v>10.612399999999999</v>
      </c>
      <c r="J538" s="9">
        <f>10.6081 * CHOOSE(CONTROL!$C$32, $C$9, 100%, $E$9)</f>
        <v>10.6081</v>
      </c>
      <c r="K538" s="9">
        <f>10.6124 * CHOOSE(CONTROL!$C$32, $C$9, 100%, $E$9)</f>
        <v>10.612399999999999</v>
      </c>
      <c r="L538" s="9">
        <f>7.5763 * CHOOSE(CONTROL!$C$32, $C$9, 100%, $E$9)</f>
        <v>7.5762999999999998</v>
      </c>
      <c r="M538" s="9">
        <f>7.5806 * CHOOSE(CONTROL!$C$32, $C$9, 100%, $E$9)</f>
        <v>7.5805999999999996</v>
      </c>
      <c r="N538" s="9">
        <f>7.5763 * CHOOSE(CONTROL!$C$32, $C$9, 100%, $E$9)</f>
        <v>7.5762999999999998</v>
      </c>
      <c r="O538" s="9">
        <f>7.5806 * CHOOSE(CONTROL!$C$32, $C$9, 100%, $E$9)</f>
        <v>7.5805999999999996</v>
      </c>
    </row>
    <row r="539" spans="1:15" ht="15.75" x14ac:dyDescent="0.25">
      <c r="A539" s="13">
        <v>56918</v>
      </c>
      <c r="B539" s="10">
        <f>8.8249 * CHOOSE(CONTROL!$C$32, $C$9, 100%, $E$9)</f>
        <v>8.8248999999999995</v>
      </c>
      <c r="C539" s="10">
        <f>8.8249 * CHOOSE(CONTROL!$C$32, $C$9, 100%, $E$9)</f>
        <v>8.8248999999999995</v>
      </c>
      <c r="D539" s="10">
        <f>8.8258 * CHOOSE(CONTROL!$C$32, $C$9, 100%, $E$9)</f>
        <v>8.8257999999999992</v>
      </c>
      <c r="E539" s="9">
        <f>7.6341 * CHOOSE(CONTROL!$C$32, $C$9, 100%, $E$9)</f>
        <v>7.6341000000000001</v>
      </c>
      <c r="F539" s="9">
        <f>7.6341 * CHOOSE(CONTROL!$C$32, $C$9, 100%, $E$9)</f>
        <v>7.6341000000000001</v>
      </c>
      <c r="G539" s="9">
        <f>7.6373 * CHOOSE(CONTROL!$C$32, $C$9, 100%, $E$9)</f>
        <v>7.6372999999999998</v>
      </c>
      <c r="H539" s="9">
        <f>10.6161 * CHOOSE(CONTROL!$C$32, $C$9, 100%, $E$9)</f>
        <v>10.616099999999999</v>
      </c>
      <c r="I539" s="9">
        <f>10.6193 * CHOOSE(CONTROL!$C$32, $C$9, 100%, $E$9)</f>
        <v>10.619300000000001</v>
      </c>
      <c r="J539" s="9">
        <f>10.6161 * CHOOSE(CONTROL!$C$32, $C$9, 100%, $E$9)</f>
        <v>10.616099999999999</v>
      </c>
      <c r="K539" s="9">
        <f>10.6193 * CHOOSE(CONTROL!$C$32, $C$9, 100%, $E$9)</f>
        <v>10.619300000000001</v>
      </c>
      <c r="L539" s="9">
        <f>7.6341 * CHOOSE(CONTROL!$C$32, $C$9, 100%, $E$9)</f>
        <v>7.6341000000000001</v>
      </c>
      <c r="M539" s="9">
        <f>7.6373 * CHOOSE(CONTROL!$C$32, $C$9, 100%, $E$9)</f>
        <v>7.6372999999999998</v>
      </c>
      <c r="N539" s="9">
        <f>7.6341 * CHOOSE(CONTROL!$C$32, $C$9, 100%, $E$9)</f>
        <v>7.6341000000000001</v>
      </c>
      <c r="O539" s="9">
        <f>7.6373 * CHOOSE(CONTROL!$C$32, $C$9, 100%, $E$9)</f>
        <v>7.6372999999999998</v>
      </c>
    </row>
    <row r="540" spans="1:15" ht="15.75" x14ac:dyDescent="0.25">
      <c r="A540" s="13">
        <v>56948</v>
      </c>
      <c r="B540" s="10">
        <f>8.8279 * CHOOSE(CONTROL!$C$32, $C$9, 100%, $E$9)</f>
        <v>8.8278999999999996</v>
      </c>
      <c r="C540" s="10">
        <f>8.8279 * CHOOSE(CONTROL!$C$32, $C$9, 100%, $E$9)</f>
        <v>8.8278999999999996</v>
      </c>
      <c r="D540" s="10">
        <f>8.8289 * CHOOSE(CONTROL!$C$32, $C$9, 100%, $E$9)</f>
        <v>8.8289000000000009</v>
      </c>
      <c r="E540" s="9">
        <f>7.6719 * CHOOSE(CONTROL!$C$32, $C$9, 100%, $E$9)</f>
        <v>7.6718999999999999</v>
      </c>
      <c r="F540" s="9">
        <f>7.6719 * CHOOSE(CONTROL!$C$32, $C$9, 100%, $E$9)</f>
        <v>7.6718999999999999</v>
      </c>
      <c r="G540" s="9">
        <f>7.675 * CHOOSE(CONTROL!$C$32, $C$9, 100%, $E$9)</f>
        <v>7.6749999999999998</v>
      </c>
      <c r="H540" s="9">
        <f>10.6181 * CHOOSE(CONTROL!$C$32, $C$9, 100%, $E$9)</f>
        <v>10.6181</v>
      </c>
      <c r="I540" s="9">
        <f>10.6213 * CHOOSE(CONTROL!$C$32, $C$9, 100%, $E$9)</f>
        <v>10.6213</v>
      </c>
      <c r="J540" s="9">
        <f>10.6181 * CHOOSE(CONTROL!$C$32, $C$9, 100%, $E$9)</f>
        <v>10.6181</v>
      </c>
      <c r="K540" s="9">
        <f>10.6213 * CHOOSE(CONTROL!$C$32, $C$9, 100%, $E$9)</f>
        <v>10.6213</v>
      </c>
      <c r="L540" s="9">
        <f>7.6719 * CHOOSE(CONTROL!$C$32, $C$9, 100%, $E$9)</f>
        <v>7.6718999999999999</v>
      </c>
      <c r="M540" s="9">
        <f>7.675 * CHOOSE(CONTROL!$C$32, $C$9, 100%, $E$9)</f>
        <v>7.6749999999999998</v>
      </c>
      <c r="N540" s="9">
        <f>7.6719 * CHOOSE(CONTROL!$C$32, $C$9, 100%, $E$9)</f>
        <v>7.6718999999999999</v>
      </c>
      <c r="O540" s="9">
        <f>7.675 * CHOOSE(CONTROL!$C$32, $C$9, 100%, $E$9)</f>
        <v>7.6749999999999998</v>
      </c>
    </row>
    <row r="541" spans="1:15" ht="15.75" x14ac:dyDescent="0.25">
      <c r="A541" s="13">
        <v>56979</v>
      </c>
      <c r="B541" s="10">
        <f>8.8279 * CHOOSE(CONTROL!$C$32, $C$9, 100%, $E$9)</f>
        <v>8.8278999999999996</v>
      </c>
      <c r="C541" s="10">
        <f>8.8279 * CHOOSE(CONTROL!$C$32, $C$9, 100%, $E$9)</f>
        <v>8.8278999999999996</v>
      </c>
      <c r="D541" s="10">
        <f>8.8289 * CHOOSE(CONTROL!$C$32, $C$9, 100%, $E$9)</f>
        <v>8.8289000000000009</v>
      </c>
      <c r="E541" s="9">
        <f>7.5828 * CHOOSE(CONTROL!$C$32, $C$9, 100%, $E$9)</f>
        <v>7.5827999999999998</v>
      </c>
      <c r="F541" s="9">
        <f>7.5828 * CHOOSE(CONTROL!$C$32, $C$9, 100%, $E$9)</f>
        <v>7.5827999999999998</v>
      </c>
      <c r="G541" s="9">
        <f>7.586 * CHOOSE(CONTROL!$C$32, $C$9, 100%, $E$9)</f>
        <v>7.5860000000000003</v>
      </c>
      <c r="H541" s="9">
        <f>10.6181 * CHOOSE(CONTROL!$C$32, $C$9, 100%, $E$9)</f>
        <v>10.6181</v>
      </c>
      <c r="I541" s="9">
        <f>10.6213 * CHOOSE(CONTROL!$C$32, $C$9, 100%, $E$9)</f>
        <v>10.6213</v>
      </c>
      <c r="J541" s="9">
        <f>10.6181 * CHOOSE(CONTROL!$C$32, $C$9, 100%, $E$9)</f>
        <v>10.6181</v>
      </c>
      <c r="K541" s="9">
        <f>10.6213 * CHOOSE(CONTROL!$C$32, $C$9, 100%, $E$9)</f>
        <v>10.6213</v>
      </c>
      <c r="L541" s="9">
        <f>7.5828 * CHOOSE(CONTROL!$C$32, $C$9, 100%, $E$9)</f>
        <v>7.5827999999999998</v>
      </c>
      <c r="M541" s="9">
        <f>7.586 * CHOOSE(CONTROL!$C$32, $C$9, 100%, $E$9)</f>
        <v>7.5860000000000003</v>
      </c>
      <c r="N541" s="9">
        <f>7.5828 * CHOOSE(CONTROL!$C$32, $C$9, 100%, $E$9)</f>
        <v>7.5827999999999998</v>
      </c>
      <c r="O541" s="9">
        <f>7.586 * CHOOSE(CONTROL!$C$32, $C$9, 100%, $E$9)</f>
        <v>7.5860000000000003</v>
      </c>
    </row>
    <row r="542" spans="1:15" ht="15.75" x14ac:dyDescent="0.25">
      <c r="A542" s="13">
        <v>57010</v>
      </c>
      <c r="B542" s="10">
        <f>8.9008 * CHOOSE(CONTROL!$C$32, $C$9, 100%, $E$9)</f>
        <v>8.9008000000000003</v>
      </c>
      <c r="C542" s="10">
        <f>8.9008 * CHOOSE(CONTROL!$C$32, $C$9, 100%, $E$9)</f>
        <v>8.9008000000000003</v>
      </c>
      <c r="D542" s="10">
        <f>8.9017 * CHOOSE(CONTROL!$C$32, $C$9, 100%, $E$9)</f>
        <v>8.9016999999999999</v>
      </c>
      <c r="E542" s="9">
        <f>7.7003 * CHOOSE(CONTROL!$C$32, $C$9, 100%, $E$9)</f>
        <v>7.7003000000000004</v>
      </c>
      <c r="F542" s="9">
        <f>7.7003 * CHOOSE(CONTROL!$C$32, $C$9, 100%, $E$9)</f>
        <v>7.7003000000000004</v>
      </c>
      <c r="G542" s="9">
        <f>7.7035 * CHOOSE(CONTROL!$C$32, $C$9, 100%, $E$9)</f>
        <v>7.7035</v>
      </c>
      <c r="H542" s="9">
        <f>10.6968 * CHOOSE(CONTROL!$C$32, $C$9, 100%, $E$9)</f>
        <v>10.6968</v>
      </c>
      <c r="I542" s="9">
        <f>10.7 * CHOOSE(CONTROL!$C$32, $C$9, 100%, $E$9)</f>
        <v>10.7</v>
      </c>
      <c r="J542" s="9">
        <f>10.6968 * CHOOSE(CONTROL!$C$32, $C$9, 100%, $E$9)</f>
        <v>10.6968</v>
      </c>
      <c r="K542" s="9">
        <f>10.7 * CHOOSE(CONTROL!$C$32, $C$9, 100%, $E$9)</f>
        <v>10.7</v>
      </c>
      <c r="L542" s="9">
        <f>7.7003 * CHOOSE(CONTROL!$C$32, $C$9, 100%, $E$9)</f>
        <v>7.7003000000000004</v>
      </c>
      <c r="M542" s="9">
        <f>7.7035 * CHOOSE(CONTROL!$C$32, $C$9, 100%, $E$9)</f>
        <v>7.7035</v>
      </c>
      <c r="N542" s="9">
        <f>7.7003 * CHOOSE(CONTROL!$C$32, $C$9, 100%, $E$9)</f>
        <v>7.7003000000000004</v>
      </c>
      <c r="O542" s="9">
        <f>7.7035 * CHOOSE(CONTROL!$C$32, $C$9, 100%, $E$9)</f>
        <v>7.7035</v>
      </c>
    </row>
    <row r="543" spans="1:15" ht="15.75" x14ac:dyDescent="0.25">
      <c r="A543" s="13">
        <v>57038</v>
      </c>
      <c r="B543" s="10">
        <f>8.8978 * CHOOSE(CONTROL!$C$32, $C$9, 100%, $E$9)</f>
        <v>8.8978000000000002</v>
      </c>
      <c r="C543" s="10">
        <f>8.8978 * CHOOSE(CONTROL!$C$32, $C$9, 100%, $E$9)</f>
        <v>8.8978000000000002</v>
      </c>
      <c r="D543" s="10">
        <f>8.8987 * CHOOSE(CONTROL!$C$32, $C$9, 100%, $E$9)</f>
        <v>8.8986999999999998</v>
      </c>
      <c r="E543" s="9">
        <f>7.5248 * CHOOSE(CONTROL!$C$32, $C$9, 100%, $E$9)</f>
        <v>7.5247999999999999</v>
      </c>
      <c r="F543" s="9">
        <f>7.5248 * CHOOSE(CONTROL!$C$32, $C$9, 100%, $E$9)</f>
        <v>7.5247999999999999</v>
      </c>
      <c r="G543" s="9">
        <f>7.528 * CHOOSE(CONTROL!$C$32, $C$9, 100%, $E$9)</f>
        <v>7.5279999999999996</v>
      </c>
      <c r="H543" s="9">
        <f>10.6948 * CHOOSE(CONTROL!$C$32, $C$9, 100%, $E$9)</f>
        <v>10.694800000000001</v>
      </c>
      <c r="I543" s="9">
        <f>10.698 * CHOOSE(CONTROL!$C$32, $C$9, 100%, $E$9)</f>
        <v>10.698</v>
      </c>
      <c r="J543" s="9">
        <f>10.6948 * CHOOSE(CONTROL!$C$32, $C$9, 100%, $E$9)</f>
        <v>10.694800000000001</v>
      </c>
      <c r="K543" s="9">
        <f>10.698 * CHOOSE(CONTROL!$C$32, $C$9, 100%, $E$9)</f>
        <v>10.698</v>
      </c>
      <c r="L543" s="9">
        <f>7.5248 * CHOOSE(CONTROL!$C$32, $C$9, 100%, $E$9)</f>
        <v>7.5247999999999999</v>
      </c>
      <c r="M543" s="9">
        <f>7.528 * CHOOSE(CONTROL!$C$32, $C$9, 100%, $E$9)</f>
        <v>7.5279999999999996</v>
      </c>
      <c r="N543" s="9">
        <f>7.5248 * CHOOSE(CONTROL!$C$32, $C$9, 100%, $E$9)</f>
        <v>7.5247999999999999</v>
      </c>
      <c r="O543" s="9">
        <f>7.528 * CHOOSE(CONTROL!$C$32, $C$9, 100%, $E$9)</f>
        <v>7.5279999999999996</v>
      </c>
    </row>
    <row r="544" spans="1:15" ht="15.75" x14ac:dyDescent="0.25">
      <c r="A544" s="13">
        <v>57070</v>
      </c>
      <c r="B544" s="10">
        <f>8.8947 * CHOOSE(CONTROL!$C$32, $C$9, 100%, $E$9)</f>
        <v>8.8947000000000003</v>
      </c>
      <c r="C544" s="10">
        <f>8.8947 * CHOOSE(CONTROL!$C$32, $C$9, 100%, $E$9)</f>
        <v>8.8947000000000003</v>
      </c>
      <c r="D544" s="10">
        <f>8.8957 * CHOOSE(CONTROL!$C$32, $C$9, 100%, $E$9)</f>
        <v>8.8956999999999997</v>
      </c>
      <c r="E544" s="9">
        <f>7.6594 * CHOOSE(CONTROL!$C$32, $C$9, 100%, $E$9)</f>
        <v>7.6593999999999998</v>
      </c>
      <c r="F544" s="9">
        <f>7.6594 * CHOOSE(CONTROL!$C$32, $C$9, 100%, $E$9)</f>
        <v>7.6593999999999998</v>
      </c>
      <c r="G544" s="9">
        <f>7.6626 * CHOOSE(CONTROL!$C$32, $C$9, 100%, $E$9)</f>
        <v>7.6626000000000003</v>
      </c>
      <c r="H544" s="9">
        <f>10.6928 * CHOOSE(CONTROL!$C$32, $C$9, 100%, $E$9)</f>
        <v>10.6928</v>
      </c>
      <c r="I544" s="9">
        <f>10.696 * CHOOSE(CONTROL!$C$32, $C$9, 100%, $E$9)</f>
        <v>10.696</v>
      </c>
      <c r="J544" s="9">
        <f>10.6928 * CHOOSE(CONTROL!$C$32, $C$9, 100%, $E$9)</f>
        <v>10.6928</v>
      </c>
      <c r="K544" s="9">
        <f>10.696 * CHOOSE(CONTROL!$C$32, $C$9, 100%, $E$9)</f>
        <v>10.696</v>
      </c>
      <c r="L544" s="9">
        <f>7.6594 * CHOOSE(CONTROL!$C$32, $C$9, 100%, $E$9)</f>
        <v>7.6593999999999998</v>
      </c>
      <c r="M544" s="9">
        <f>7.6626 * CHOOSE(CONTROL!$C$32, $C$9, 100%, $E$9)</f>
        <v>7.6626000000000003</v>
      </c>
      <c r="N544" s="9">
        <f>7.6594 * CHOOSE(CONTROL!$C$32, $C$9, 100%, $E$9)</f>
        <v>7.6593999999999998</v>
      </c>
      <c r="O544" s="9">
        <f>7.6626 * CHOOSE(CONTROL!$C$32, $C$9, 100%, $E$9)</f>
        <v>7.6626000000000003</v>
      </c>
    </row>
    <row r="545" spans="1:15" ht="15.75" x14ac:dyDescent="0.25">
      <c r="A545" s="13">
        <v>57100</v>
      </c>
      <c r="B545" s="10">
        <f>8.8974 * CHOOSE(CONTROL!$C$32, $C$9, 100%, $E$9)</f>
        <v>8.8973999999999993</v>
      </c>
      <c r="C545" s="10">
        <f>8.8974 * CHOOSE(CONTROL!$C$32, $C$9, 100%, $E$9)</f>
        <v>8.8973999999999993</v>
      </c>
      <c r="D545" s="10">
        <f>8.8984 * CHOOSE(CONTROL!$C$32, $C$9, 100%, $E$9)</f>
        <v>8.8984000000000005</v>
      </c>
      <c r="E545" s="9">
        <f>7.8019 * CHOOSE(CONTROL!$C$32, $C$9, 100%, $E$9)</f>
        <v>7.8018999999999998</v>
      </c>
      <c r="F545" s="9">
        <f>7.8019 * CHOOSE(CONTROL!$C$32, $C$9, 100%, $E$9)</f>
        <v>7.8018999999999998</v>
      </c>
      <c r="G545" s="9">
        <f>7.8051 * CHOOSE(CONTROL!$C$32, $C$9, 100%, $E$9)</f>
        <v>7.8051000000000004</v>
      </c>
      <c r="H545" s="9">
        <f>10.6943 * CHOOSE(CONTROL!$C$32, $C$9, 100%, $E$9)</f>
        <v>10.6943</v>
      </c>
      <c r="I545" s="9">
        <f>10.6975 * CHOOSE(CONTROL!$C$32, $C$9, 100%, $E$9)</f>
        <v>10.6975</v>
      </c>
      <c r="J545" s="9">
        <f>10.6943 * CHOOSE(CONTROL!$C$32, $C$9, 100%, $E$9)</f>
        <v>10.6943</v>
      </c>
      <c r="K545" s="9">
        <f>10.6975 * CHOOSE(CONTROL!$C$32, $C$9, 100%, $E$9)</f>
        <v>10.6975</v>
      </c>
      <c r="L545" s="9">
        <f>7.8019 * CHOOSE(CONTROL!$C$32, $C$9, 100%, $E$9)</f>
        <v>7.8018999999999998</v>
      </c>
      <c r="M545" s="9">
        <f>7.8051 * CHOOSE(CONTROL!$C$32, $C$9, 100%, $E$9)</f>
        <v>7.8051000000000004</v>
      </c>
      <c r="N545" s="9">
        <f>7.8019 * CHOOSE(CONTROL!$C$32, $C$9, 100%, $E$9)</f>
        <v>7.8018999999999998</v>
      </c>
      <c r="O545" s="9">
        <f>7.8051 * CHOOSE(CONTROL!$C$32, $C$9, 100%, $E$9)</f>
        <v>7.8051000000000004</v>
      </c>
    </row>
    <row r="546" spans="1:15" ht="15.75" x14ac:dyDescent="0.25">
      <c r="A546" s="13">
        <v>57131</v>
      </c>
      <c r="B546" s="10">
        <f>8.8974 * CHOOSE(CONTROL!$C$32, $C$9, 100%, $E$9)</f>
        <v>8.8973999999999993</v>
      </c>
      <c r="C546" s="10">
        <f>8.8974 * CHOOSE(CONTROL!$C$32, $C$9, 100%, $E$9)</f>
        <v>8.8973999999999993</v>
      </c>
      <c r="D546" s="10">
        <f>8.8987 * CHOOSE(CONTROL!$C$32, $C$9, 100%, $E$9)</f>
        <v>8.8986999999999998</v>
      </c>
      <c r="E546" s="9">
        <f>7.857 * CHOOSE(CONTROL!$C$32, $C$9, 100%, $E$9)</f>
        <v>7.8570000000000002</v>
      </c>
      <c r="F546" s="9">
        <f>7.857 * CHOOSE(CONTROL!$C$32, $C$9, 100%, $E$9)</f>
        <v>7.8570000000000002</v>
      </c>
      <c r="G546" s="9">
        <f>7.8614 * CHOOSE(CONTROL!$C$32, $C$9, 100%, $E$9)</f>
        <v>7.8613999999999997</v>
      </c>
      <c r="H546" s="9">
        <f>10.6943 * CHOOSE(CONTROL!$C$32, $C$9, 100%, $E$9)</f>
        <v>10.6943</v>
      </c>
      <c r="I546" s="9">
        <f>10.6986 * CHOOSE(CONTROL!$C$32, $C$9, 100%, $E$9)</f>
        <v>10.698600000000001</v>
      </c>
      <c r="J546" s="9">
        <f>10.6943 * CHOOSE(CONTROL!$C$32, $C$9, 100%, $E$9)</f>
        <v>10.6943</v>
      </c>
      <c r="K546" s="9">
        <f>10.6986 * CHOOSE(CONTROL!$C$32, $C$9, 100%, $E$9)</f>
        <v>10.698600000000001</v>
      </c>
      <c r="L546" s="9">
        <f>7.857 * CHOOSE(CONTROL!$C$32, $C$9, 100%, $E$9)</f>
        <v>7.8570000000000002</v>
      </c>
      <c r="M546" s="9">
        <f>7.8614 * CHOOSE(CONTROL!$C$32, $C$9, 100%, $E$9)</f>
        <v>7.8613999999999997</v>
      </c>
      <c r="N546" s="9">
        <f>7.857 * CHOOSE(CONTROL!$C$32, $C$9, 100%, $E$9)</f>
        <v>7.8570000000000002</v>
      </c>
      <c r="O546" s="9">
        <f>7.8614 * CHOOSE(CONTROL!$C$32, $C$9, 100%, $E$9)</f>
        <v>7.8613999999999997</v>
      </c>
    </row>
    <row r="547" spans="1:15" ht="15.75" x14ac:dyDescent="0.25">
      <c r="A547" s="13">
        <v>57161</v>
      </c>
      <c r="B547" s="10">
        <f>8.9035 * CHOOSE(CONTROL!$C$32, $C$9, 100%, $E$9)</f>
        <v>8.9034999999999993</v>
      </c>
      <c r="C547" s="10">
        <f>8.9035 * CHOOSE(CONTROL!$C$32, $C$9, 100%, $E$9)</f>
        <v>8.9034999999999993</v>
      </c>
      <c r="D547" s="10">
        <f>8.9048 * CHOOSE(CONTROL!$C$32, $C$9, 100%, $E$9)</f>
        <v>8.9047999999999998</v>
      </c>
      <c r="E547" s="9">
        <f>7.8062 * CHOOSE(CONTROL!$C$32, $C$9, 100%, $E$9)</f>
        <v>7.8061999999999996</v>
      </c>
      <c r="F547" s="9">
        <f>7.8062 * CHOOSE(CONTROL!$C$32, $C$9, 100%, $E$9)</f>
        <v>7.8061999999999996</v>
      </c>
      <c r="G547" s="9">
        <f>7.8105 * CHOOSE(CONTROL!$C$32, $C$9, 100%, $E$9)</f>
        <v>7.8105000000000002</v>
      </c>
      <c r="H547" s="9">
        <f>10.6983 * CHOOSE(CONTROL!$C$32, $C$9, 100%, $E$9)</f>
        <v>10.6983</v>
      </c>
      <c r="I547" s="9">
        <f>10.7026 * CHOOSE(CONTROL!$C$32, $C$9, 100%, $E$9)</f>
        <v>10.7026</v>
      </c>
      <c r="J547" s="9">
        <f>10.6983 * CHOOSE(CONTROL!$C$32, $C$9, 100%, $E$9)</f>
        <v>10.6983</v>
      </c>
      <c r="K547" s="9">
        <f>10.7026 * CHOOSE(CONTROL!$C$32, $C$9, 100%, $E$9)</f>
        <v>10.7026</v>
      </c>
      <c r="L547" s="9">
        <f>7.8062 * CHOOSE(CONTROL!$C$32, $C$9, 100%, $E$9)</f>
        <v>7.8061999999999996</v>
      </c>
      <c r="M547" s="9">
        <f>7.8105 * CHOOSE(CONTROL!$C$32, $C$9, 100%, $E$9)</f>
        <v>7.8105000000000002</v>
      </c>
      <c r="N547" s="9">
        <f>7.8062 * CHOOSE(CONTROL!$C$32, $C$9, 100%, $E$9)</f>
        <v>7.8061999999999996</v>
      </c>
      <c r="O547" s="9">
        <f>7.8105 * CHOOSE(CONTROL!$C$32, $C$9, 100%, $E$9)</f>
        <v>7.8105000000000002</v>
      </c>
    </row>
    <row r="548" spans="1:15" ht="15.75" x14ac:dyDescent="0.25">
      <c r="A548" s="13">
        <v>57192</v>
      </c>
      <c r="B548" s="10">
        <f>9.0297 * CHOOSE(CONTROL!$C$32, $C$9, 100%, $E$9)</f>
        <v>9.0297000000000001</v>
      </c>
      <c r="C548" s="10">
        <f>9.0297 * CHOOSE(CONTROL!$C$32, $C$9, 100%, $E$9)</f>
        <v>9.0297000000000001</v>
      </c>
      <c r="D548" s="10">
        <f>9.031 * CHOOSE(CONTROL!$C$32, $C$9, 100%, $E$9)</f>
        <v>9.0310000000000006</v>
      </c>
      <c r="E548" s="9">
        <f>7.897 * CHOOSE(CONTROL!$C$32, $C$9, 100%, $E$9)</f>
        <v>7.8970000000000002</v>
      </c>
      <c r="F548" s="9">
        <f>7.897 * CHOOSE(CONTROL!$C$32, $C$9, 100%, $E$9)</f>
        <v>7.8970000000000002</v>
      </c>
      <c r="G548" s="9">
        <f>7.9013 * CHOOSE(CONTROL!$C$32, $C$9, 100%, $E$9)</f>
        <v>7.9013</v>
      </c>
      <c r="H548" s="9">
        <f>10.8585 * CHOOSE(CONTROL!$C$32, $C$9, 100%, $E$9)</f>
        <v>10.858499999999999</v>
      </c>
      <c r="I548" s="9">
        <f>10.8629 * CHOOSE(CONTROL!$C$32, $C$9, 100%, $E$9)</f>
        <v>10.8629</v>
      </c>
      <c r="J548" s="9">
        <f>10.8585 * CHOOSE(CONTROL!$C$32, $C$9, 100%, $E$9)</f>
        <v>10.858499999999999</v>
      </c>
      <c r="K548" s="9">
        <f>10.8629 * CHOOSE(CONTROL!$C$32, $C$9, 100%, $E$9)</f>
        <v>10.8629</v>
      </c>
      <c r="L548" s="9">
        <f>7.897 * CHOOSE(CONTROL!$C$32, $C$9, 100%, $E$9)</f>
        <v>7.8970000000000002</v>
      </c>
      <c r="M548" s="9">
        <f>7.9013 * CHOOSE(CONTROL!$C$32, $C$9, 100%, $E$9)</f>
        <v>7.9013</v>
      </c>
      <c r="N548" s="9">
        <f>7.897 * CHOOSE(CONTROL!$C$32, $C$9, 100%, $E$9)</f>
        <v>7.8970000000000002</v>
      </c>
      <c r="O548" s="9">
        <f>7.9013 * CHOOSE(CONTROL!$C$32, $C$9, 100%, $E$9)</f>
        <v>7.9013</v>
      </c>
    </row>
    <row r="549" spans="1:15" ht="15.75" x14ac:dyDescent="0.25">
      <c r="A549" s="13">
        <v>57223</v>
      </c>
      <c r="B549" s="10">
        <f>9.0364 * CHOOSE(CONTROL!$C$32, $C$9, 100%, $E$9)</f>
        <v>9.0364000000000004</v>
      </c>
      <c r="C549" s="10">
        <f>9.0364 * CHOOSE(CONTROL!$C$32, $C$9, 100%, $E$9)</f>
        <v>9.0364000000000004</v>
      </c>
      <c r="D549" s="10">
        <f>9.0377 * CHOOSE(CONTROL!$C$32, $C$9, 100%, $E$9)</f>
        <v>9.0376999999999992</v>
      </c>
      <c r="E549" s="9">
        <f>7.7365 * CHOOSE(CONTROL!$C$32, $C$9, 100%, $E$9)</f>
        <v>7.7365000000000004</v>
      </c>
      <c r="F549" s="9">
        <f>7.7365 * CHOOSE(CONTROL!$C$32, $C$9, 100%, $E$9)</f>
        <v>7.7365000000000004</v>
      </c>
      <c r="G549" s="9">
        <f>7.7408 * CHOOSE(CONTROL!$C$32, $C$9, 100%, $E$9)</f>
        <v>7.7408000000000001</v>
      </c>
      <c r="H549" s="9">
        <f>10.8629 * CHOOSE(CONTROL!$C$32, $C$9, 100%, $E$9)</f>
        <v>10.8629</v>
      </c>
      <c r="I549" s="9">
        <f>10.8673 * CHOOSE(CONTROL!$C$32, $C$9, 100%, $E$9)</f>
        <v>10.8673</v>
      </c>
      <c r="J549" s="9">
        <f>10.8629 * CHOOSE(CONTROL!$C$32, $C$9, 100%, $E$9)</f>
        <v>10.8629</v>
      </c>
      <c r="K549" s="9">
        <f>10.8673 * CHOOSE(CONTROL!$C$32, $C$9, 100%, $E$9)</f>
        <v>10.8673</v>
      </c>
      <c r="L549" s="9">
        <f>7.7365 * CHOOSE(CONTROL!$C$32, $C$9, 100%, $E$9)</f>
        <v>7.7365000000000004</v>
      </c>
      <c r="M549" s="9">
        <f>7.7408 * CHOOSE(CONTROL!$C$32, $C$9, 100%, $E$9)</f>
        <v>7.7408000000000001</v>
      </c>
      <c r="N549" s="9">
        <f>7.7365 * CHOOSE(CONTROL!$C$32, $C$9, 100%, $E$9)</f>
        <v>7.7365000000000004</v>
      </c>
      <c r="O549" s="9">
        <f>7.7408 * CHOOSE(CONTROL!$C$32, $C$9, 100%, $E$9)</f>
        <v>7.7408000000000001</v>
      </c>
    </row>
    <row r="550" spans="1:15" ht="15.75" x14ac:dyDescent="0.25">
      <c r="A550" s="13">
        <v>57253</v>
      </c>
      <c r="B550" s="10">
        <f>9.0333 * CHOOSE(CONTROL!$C$32, $C$9, 100%, $E$9)</f>
        <v>9.0333000000000006</v>
      </c>
      <c r="C550" s="10">
        <f>9.0333 * CHOOSE(CONTROL!$C$32, $C$9, 100%, $E$9)</f>
        <v>9.0333000000000006</v>
      </c>
      <c r="D550" s="10">
        <f>9.0346 * CHOOSE(CONTROL!$C$32, $C$9, 100%, $E$9)</f>
        <v>9.0345999999999993</v>
      </c>
      <c r="E550" s="9">
        <f>7.716 * CHOOSE(CONTROL!$C$32, $C$9, 100%, $E$9)</f>
        <v>7.7160000000000002</v>
      </c>
      <c r="F550" s="9">
        <f>7.716 * CHOOSE(CONTROL!$C$32, $C$9, 100%, $E$9)</f>
        <v>7.7160000000000002</v>
      </c>
      <c r="G550" s="9">
        <f>7.7204 * CHOOSE(CONTROL!$C$32, $C$9, 100%, $E$9)</f>
        <v>7.7203999999999997</v>
      </c>
      <c r="H550" s="9">
        <f>10.8609 * CHOOSE(CONTROL!$C$32, $C$9, 100%, $E$9)</f>
        <v>10.860900000000001</v>
      </c>
      <c r="I550" s="9">
        <f>10.8653 * CHOOSE(CONTROL!$C$32, $C$9, 100%, $E$9)</f>
        <v>10.8653</v>
      </c>
      <c r="J550" s="9">
        <f>10.8609 * CHOOSE(CONTROL!$C$32, $C$9, 100%, $E$9)</f>
        <v>10.860900000000001</v>
      </c>
      <c r="K550" s="9">
        <f>10.8653 * CHOOSE(CONTROL!$C$32, $C$9, 100%, $E$9)</f>
        <v>10.8653</v>
      </c>
      <c r="L550" s="9">
        <f>7.716 * CHOOSE(CONTROL!$C$32, $C$9, 100%, $E$9)</f>
        <v>7.7160000000000002</v>
      </c>
      <c r="M550" s="9">
        <f>7.7204 * CHOOSE(CONTROL!$C$32, $C$9, 100%, $E$9)</f>
        <v>7.7203999999999997</v>
      </c>
      <c r="N550" s="9">
        <f>7.716 * CHOOSE(CONTROL!$C$32, $C$9, 100%, $E$9)</f>
        <v>7.7160000000000002</v>
      </c>
      <c r="O550" s="9">
        <f>7.7204 * CHOOSE(CONTROL!$C$32, $C$9, 100%, $E$9)</f>
        <v>7.7203999999999997</v>
      </c>
    </row>
    <row r="551" spans="1:15" ht="15.75" x14ac:dyDescent="0.25">
      <c r="A551" s="13">
        <v>57284</v>
      </c>
      <c r="B551" s="10">
        <f>9.0483 * CHOOSE(CONTROL!$C$32, $C$9, 100%, $E$9)</f>
        <v>9.0482999999999993</v>
      </c>
      <c r="C551" s="10">
        <f>9.0483 * CHOOSE(CONTROL!$C$32, $C$9, 100%, $E$9)</f>
        <v>9.0482999999999993</v>
      </c>
      <c r="D551" s="10">
        <f>9.0493 * CHOOSE(CONTROL!$C$32, $C$9, 100%, $E$9)</f>
        <v>9.0493000000000006</v>
      </c>
      <c r="E551" s="9">
        <f>7.776 * CHOOSE(CONTROL!$C$32, $C$9, 100%, $E$9)</f>
        <v>7.7759999999999998</v>
      </c>
      <c r="F551" s="9">
        <f>7.776 * CHOOSE(CONTROL!$C$32, $C$9, 100%, $E$9)</f>
        <v>7.7759999999999998</v>
      </c>
      <c r="G551" s="9">
        <f>7.7792 * CHOOSE(CONTROL!$C$32, $C$9, 100%, $E$9)</f>
        <v>7.7792000000000003</v>
      </c>
      <c r="H551" s="9">
        <f>10.8695 * CHOOSE(CONTROL!$C$32, $C$9, 100%, $E$9)</f>
        <v>10.8695</v>
      </c>
      <c r="I551" s="9">
        <f>10.8727 * CHOOSE(CONTROL!$C$32, $C$9, 100%, $E$9)</f>
        <v>10.8727</v>
      </c>
      <c r="J551" s="9">
        <f>10.8695 * CHOOSE(CONTROL!$C$32, $C$9, 100%, $E$9)</f>
        <v>10.8695</v>
      </c>
      <c r="K551" s="9">
        <f>10.8727 * CHOOSE(CONTROL!$C$32, $C$9, 100%, $E$9)</f>
        <v>10.8727</v>
      </c>
      <c r="L551" s="9">
        <f>7.776 * CHOOSE(CONTROL!$C$32, $C$9, 100%, $E$9)</f>
        <v>7.7759999999999998</v>
      </c>
      <c r="M551" s="9">
        <f>7.7792 * CHOOSE(CONTROL!$C$32, $C$9, 100%, $E$9)</f>
        <v>7.7792000000000003</v>
      </c>
      <c r="N551" s="9">
        <f>7.776 * CHOOSE(CONTROL!$C$32, $C$9, 100%, $E$9)</f>
        <v>7.7759999999999998</v>
      </c>
      <c r="O551" s="9">
        <f>7.7792 * CHOOSE(CONTROL!$C$32, $C$9, 100%, $E$9)</f>
        <v>7.7792000000000003</v>
      </c>
    </row>
    <row r="552" spans="1:15" ht="15.75" x14ac:dyDescent="0.25">
      <c r="A552" s="13">
        <v>57314</v>
      </c>
      <c r="B552" s="10">
        <f>9.0514 * CHOOSE(CONTROL!$C$32, $C$9, 100%, $E$9)</f>
        <v>9.0513999999999992</v>
      </c>
      <c r="C552" s="10">
        <f>9.0514 * CHOOSE(CONTROL!$C$32, $C$9, 100%, $E$9)</f>
        <v>9.0513999999999992</v>
      </c>
      <c r="D552" s="10">
        <f>9.0523 * CHOOSE(CONTROL!$C$32, $C$9, 100%, $E$9)</f>
        <v>9.0523000000000007</v>
      </c>
      <c r="E552" s="9">
        <f>7.8148 * CHOOSE(CONTROL!$C$32, $C$9, 100%, $E$9)</f>
        <v>7.8148</v>
      </c>
      <c r="F552" s="9">
        <f>7.8148 * CHOOSE(CONTROL!$C$32, $C$9, 100%, $E$9)</f>
        <v>7.8148</v>
      </c>
      <c r="G552" s="9">
        <f>7.818 * CHOOSE(CONTROL!$C$32, $C$9, 100%, $E$9)</f>
        <v>7.8179999999999996</v>
      </c>
      <c r="H552" s="9">
        <f>10.8715 * CHOOSE(CONTROL!$C$32, $C$9, 100%, $E$9)</f>
        <v>10.871499999999999</v>
      </c>
      <c r="I552" s="9">
        <f>10.8747 * CHOOSE(CONTROL!$C$32, $C$9, 100%, $E$9)</f>
        <v>10.874700000000001</v>
      </c>
      <c r="J552" s="9">
        <f>10.8715 * CHOOSE(CONTROL!$C$32, $C$9, 100%, $E$9)</f>
        <v>10.871499999999999</v>
      </c>
      <c r="K552" s="9">
        <f>10.8747 * CHOOSE(CONTROL!$C$32, $C$9, 100%, $E$9)</f>
        <v>10.874700000000001</v>
      </c>
      <c r="L552" s="9">
        <f>7.8148 * CHOOSE(CONTROL!$C$32, $C$9, 100%, $E$9)</f>
        <v>7.8148</v>
      </c>
      <c r="M552" s="9">
        <f>7.818 * CHOOSE(CONTROL!$C$32, $C$9, 100%, $E$9)</f>
        <v>7.8179999999999996</v>
      </c>
      <c r="N552" s="9">
        <f>7.8148 * CHOOSE(CONTROL!$C$32, $C$9, 100%, $E$9)</f>
        <v>7.8148</v>
      </c>
      <c r="O552" s="9">
        <f>7.818 * CHOOSE(CONTROL!$C$32, $C$9, 100%, $E$9)</f>
        <v>7.8179999999999996</v>
      </c>
    </row>
    <row r="553" spans="1:15" ht="15.75" x14ac:dyDescent="0.25">
      <c r="A553" s="13">
        <v>57345</v>
      </c>
      <c r="B553" s="10">
        <f>9.0514 * CHOOSE(CONTROL!$C$32, $C$9, 100%, $E$9)</f>
        <v>9.0513999999999992</v>
      </c>
      <c r="C553" s="10">
        <f>9.0514 * CHOOSE(CONTROL!$C$32, $C$9, 100%, $E$9)</f>
        <v>9.0513999999999992</v>
      </c>
      <c r="D553" s="10">
        <f>9.0523 * CHOOSE(CONTROL!$C$32, $C$9, 100%, $E$9)</f>
        <v>9.0523000000000007</v>
      </c>
      <c r="E553" s="9">
        <f>7.7231 * CHOOSE(CONTROL!$C$32, $C$9, 100%, $E$9)</f>
        <v>7.7230999999999996</v>
      </c>
      <c r="F553" s="9">
        <f>7.7231 * CHOOSE(CONTROL!$C$32, $C$9, 100%, $E$9)</f>
        <v>7.7230999999999996</v>
      </c>
      <c r="G553" s="9">
        <f>7.7263 * CHOOSE(CONTROL!$C$32, $C$9, 100%, $E$9)</f>
        <v>7.7263000000000002</v>
      </c>
      <c r="H553" s="9">
        <f>10.8715 * CHOOSE(CONTROL!$C$32, $C$9, 100%, $E$9)</f>
        <v>10.871499999999999</v>
      </c>
      <c r="I553" s="9">
        <f>10.8747 * CHOOSE(CONTROL!$C$32, $C$9, 100%, $E$9)</f>
        <v>10.874700000000001</v>
      </c>
      <c r="J553" s="9">
        <f>10.8715 * CHOOSE(CONTROL!$C$32, $C$9, 100%, $E$9)</f>
        <v>10.871499999999999</v>
      </c>
      <c r="K553" s="9">
        <f>10.8747 * CHOOSE(CONTROL!$C$32, $C$9, 100%, $E$9)</f>
        <v>10.874700000000001</v>
      </c>
      <c r="L553" s="9">
        <f>7.7231 * CHOOSE(CONTROL!$C$32, $C$9, 100%, $E$9)</f>
        <v>7.7230999999999996</v>
      </c>
      <c r="M553" s="9">
        <f>7.7263 * CHOOSE(CONTROL!$C$32, $C$9, 100%, $E$9)</f>
        <v>7.7263000000000002</v>
      </c>
      <c r="N553" s="9">
        <f>7.7231 * CHOOSE(CONTROL!$C$32, $C$9, 100%, $E$9)</f>
        <v>7.7230999999999996</v>
      </c>
      <c r="O553" s="9">
        <f>7.7263 * CHOOSE(CONTROL!$C$32, $C$9, 100%, $E$9)</f>
        <v>7.7263000000000002</v>
      </c>
    </row>
    <row r="554" spans="1:15" ht="15.75" x14ac:dyDescent="0.25">
      <c r="A554" s="13">
        <v>57376</v>
      </c>
      <c r="B554" s="10">
        <f>9.126 * CHOOSE(CONTROL!$C$32, $C$9, 100%, $E$9)</f>
        <v>9.1259999999999994</v>
      </c>
      <c r="C554" s="10">
        <f>9.126 * CHOOSE(CONTROL!$C$32, $C$9, 100%, $E$9)</f>
        <v>9.1259999999999994</v>
      </c>
      <c r="D554" s="10">
        <f>9.1269 * CHOOSE(CONTROL!$C$32, $C$9, 100%, $E$9)</f>
        <v>9.1268999999999991</v>
      </c>
      <c r="E554" s="9">
        <f>7.8437 * CHOOSE(CONTROL!$C$32, $C$9, 100%, $E$9)</f>
        <v>7.8437000000000001</v>
      </c>
      <c r="F554" s="9">
        <f>7.8437 * CHOOSE(CONTROL!$C$32, $C$9, 100%, $E$9)</f>
        <v>7.8437000000000001</v>
      </c>
      <c r="G554" s="9">
        <f>7.8468 * CHOOSE(CONTROL!$C$32, $C$9, 100%, $E$9)</f>
        <v>7.8468</v>
      </c>
      <c r="H554" s="9">
        <f>10.952 * CHOOSE(CONTROL!$C$32, $C$9, 100%, $E$9)</f>
        <v>10.952</v>
      </c>
      <c r="I554" s="9">
        <f>10.9552 * CHOOSE(CONTROL!$C$32, $C$9, 100%, $E$9)</f>
        <v>10.9552</v>
      </c>
      <c r="J554" s="9">
        <f>10.952 * CHOOSE(CONTROL!$C$32, $C$9, 100%, $E$9)</f>
        <v>10.952</v>
      </c>
      <c r="K554" s="9">
        <f>10.9552 * CHOOSE(CONTROL!$C$32, $C$9, 100%, $E$9)</f>
        <v>10.9552</v>
      </c>
      <c r="L554" s="9">
        <f>7.8437 * CHOOSE(CONTROL!$C$32, $C$9, 100%, $E$9)</f>
        <v>7.8437000000000001</v>
      </c>
      <c r="M554" s="9">
        <f>7.8468 * CHOOSE(CONTROL!$C$32, $C$9, 100%, $E$9)</f>
        <v>7.8468</v>
      </c>
      <c r="N554" s="9">
        <f>7.8437 * CHOOSE(CONTROL!$C$32, $C$9, 100%, $E$9)</f>
        <v>7.8437000000000001</v>
      </c>
      <c r="O554" s="9">
        <f>7.8468 * CHOOSE(CONTROL!$C$32, $C$9, 100%, $E$9)</f>
        <v>7.8468</v>
      </c>
    </row>
    <row r="555" spans="1:15" ht="15.75" x14ac:dyDescent="0.25">
      <c r="A555" s="13">
        <v>57404</v>
      </c>
      <c r="B555" s="10">
        <f>9.1229 * CHOOSE(CONTROL!$C$32, $C$9, 100%, $E$9)</f>
        <v>9.1228999999999996</v>
      </c>
      <c r="C555" s="10">
        <f>9.1229 * CHOOSE(CONTROL!$C$32, $C$9, 100%, $E$9)</f>
        <v>9.1228999999999996</v>
      </c>
      <c r="D555" s="10">
        <f>9.1239 * CHOOSE(CONTROL!$C$32, $C$9, 100%, $E$9)</f>
        <v>9.1239000000000008</v>
      </c>
      <c r="E555" s="9">
        <f>7.663 * CHOOSE(CONTROL!$C$32, $C$9, 100%, $E$9)</f>
        <v>7.6630000000000003</v>
      </c>
      <c r="F555" s="9">
        <f>7.663 * CHOOSE(CONTROL!$C$32, $C$9, 100%, $E$9)</f>
        <v>7.6630000000000003</v>
      </c>
      <c r="G555" s="9">
        <f>7.6661 * CHOOSE(CONTROL!$C$32, $C$9, 100%, $E$9)</f>
        <v>7.6661000000000001</v>
      </c>
      <c r="H555" s="9">
        <f>10.95 * CHOOSE(CONTROL!$C$32, $C$9, 100%, $E$9)</f>
        <v>10.95</v>
      </c>
      <c r="I555" s="9">
        <f>10.9532 * CHOOSE(CONTROL!$C$32, $C$9, 100%, $E$9)</f>
        <v>10.953200000000001</v>
      </c>
      <c r="J555" s="9">
        <f>10.95 * CHOOSE(CONTROL!$C$32, $C$9, 100%, $E$9)</f>
        <v>10.95</v>
      </c>
      <c r="K555" s="9">
        <f>10.9532 * CHOOSE(CONTROL!$C$32, $C$9, 100%, $E$9)</f>
        <v>10.953200000000001</v>
      </c>
      <c r="L555" s="9">
        <f>7.663 * CHOOSE(CONTROL!$C$32, $C$9, 100%, $E$9)</f>
        <v>7.6630000000000003</v>
      </c>
      <c r="M555" s="9">
        <f>7.6661 * CHOOSE(CONTROL!$C$32, $C$9, 100%, $E$9)</f>
        <v>7.6661000000000001</v>
      </c>
      <c r="N555" s="9">
        <f>7.663 * CHOOSE(CONTROL!$C$32, $C$9, 100%, $E$9)</f>
        <v>7.6630000000000003</v>
      </c>
      <c r="O555" s="9">
        <f>7.6661 * CHOOSE(CONTROL!$C$32, $C$9, 100%, $E$9)</f>
        <v>7.6661000000000001</v>
      </c>
    </row>
    <row r="556" spans="1:15" ht="15.75" x14ac:dyDescent="0.25">
      <c r="A556" s="13">
        <v>57435</v>
      </c>
      <c r="B556" s="10">
        <f>9.1199 * CHOOSE(CONTROL!$C$32, $C$9, 100%, $E$9)</f>
        <v>9.1198999999999995</v>
      </c>
      <c r="C556" s="10">
        <f>9.1199 * CHOOSE(CONTROL!$C$32, $C$9, 100%, $E$9)</f>
        <v>9.1198999999999995</v>
      </c>
      <c r="D556" s="10">
        <f>9.1208 * CHOOSE(CONTROL!$C$32, $C$9, 100%, $E$9)</f>
        <v>9.1207999999999991</v>
      </c>
      <c r="E556" s="9">
        <f>7.8016 * CHOOSE(CONTROL!$C$32, $C$9, 100%, $E$9)</f>
        <v>7.8015999999999996</v>
      </c>
      <c r="F556" s="9">
        <f>7.8016 * CHOOSE(CONTROL!$C$32, $C$9, 100%, $E$9)</f>
        <v>7.8015999999999996</v>
      </c>
      <c r="G556" s="9">
        <f>7.8048 * CHOOSE(CONTROL!$C$32, $C$9, 100%, $E$9)</f>
        <v>7.8048000000000002</v>
      </c>
      <c r="H556" s="9">
        <f>10.948 * CHOOSE(CONTROL!$C$32, $C$9, 100%, $E$9)</f>
        <v>10.948</v>
      </c>
      <c r="I556" s="9">
        <f>10.9512 * CHOOSE(CONTROL!$C$32, $C$9, 100%, $E$9)</f>
        <v>10.9512</v>
      </c>
      <c r="J556" s="9">
        <f>10.948 * CHOOSE(CONTROL!$C$32, $C$9, 100%, $E$9)</f>
        <v>10.948</v>
      </c>
      <c r="K556" s="9">
        <f>10.9512 * CHOOSE(CONTROL!$C$32, $C$9, 100%, $E$9)</f>
        <v>10.9512</v>
      </c>
      <c r="L556" s="9">
        <f>7.8016 * CHOOSE(CONTROL!$C$32, $C$9, 100%, $E$9)</f>
        <v>7.8015999999999996</v>
      </c>
      <c r="M556" s="9">
        <f>7.8048 * CHOOSE(CONTROL!$C$32, $C$9, 100%, $E$9)</f>
        <v>7.8048000000000002</v>
      </c>
      <c r="N556" s="9">
        <f>7.8016 * CHOOSE(CONTROL!$C$32, $C$9, 100%, $E$9)</f>
        <v>7.8015999999999996</v>
      </c>
      <c r="O556" s="9">
        <f>7.8048 * CHOOSE(CONTROL!$C$32, $C$9, 100%, $E$9)</f>
        <v>7.8048000000000002</v>
      </c>
    </row>
    <row r="557" spans="1:15" ht="15.75" x14ac:dyDescent="0.25">
      <c r="A557" s="13">
        <v>57465</v>
      </c>
      <c r="B557" s="10">
        <f>9.1228 * CHOOSE(CONTROL!$C$32, $C$9, 100%, $E$9)</f>
        <v>9.1227999999999998</v>
      </c>
      <c r="C557" s="10">
        <f>9.1228 * CHOOSE(CONTROL!$C$32, $C$9, 100%, $E$9)</f>
        <v>9.1227999999999998</v>
      </c>
      <c r="D557" s="10">
        <f>9.1237 * CHOOSE(CONTROL!$C$32, $C$9, 100%, $E$9)</f>
        <v>9.1236999999999995</v>
      </c>
      <c r="E557" s="9">
        <f>7.9486 * CHOOSE(CONTROL!$C$32, $C$9, 100%, $E$9)</f>
        <v>7.9485999999999999</v>
      </c>
      <c r="F557" s="9">
        <f>7.9486 * CHOOSE(CONTROL!$C$32, $C$9, 100%, $E$9)</f>
        <v>7.9485999999999999</v>
      </c>
      <c r="G557" s="9">
        <f>7.9518 * CHOOSE(CONTROL!$C$32, $C$9, 100%, $E$9)</f>
        <v>7.9518000000000004</v>
      </c>
      <c r="H557" s="9">
        <f>10.9496 * CHOOSE(CONTROL!$C$32, $C$9, 100%, $E$9)</f>
        <v>10.9496</v>
      </c>
      <c r="I557" s="9">
        <f>10.9528 * CHOOSE(CONTROL!$C$32, $C$9, 100%, $E$9)</f>
        <v>10.9528</v>
      </c>
      <c r="J557" s="9">
        <f>10.9496 * CHOOSE(CONTROL!$C$32, $C$9, 100%, $E$9)</f>
        <v>10.9496</v>
      </c>
      <c r="K557" s="9">
        <f>10.9528 * CHOOSE(CONTROL!$C$32, $C$9, 100%, $E$9)</f>
        <v>10.9528</v>
      </c>
      <c r="L557" s="9">
        <f>7.9486 * CHOOSE(CONTROL!$C$32, $C$9, 100%, $E$9)</f>
        <v>7.9485999999999999</v>
      </c>
      <c r="M557" s="9">
        <f>7.9518 * CHOOSE(CONTROL!$C$32, $C$9, 100%, $E$9)</f>
        <v>7.9518000000000004</v>
      </c>
      <c r="N557" s="9">
        <f>7.9486 * CHOOSE(CONTROL!$C$32, $C$9, 100%, $E$9)</f>
        <v>7.9485999999999999</v>
      </c>
      <c r="O557" s="9">
        <f>7.9518 * CHOOSE(CONTROL!$C$32, $C$9, 100%, $E$9)</f>
        <v>7.9518000000000004</v>
      </c>
    </row>
    <row r="558" spans="1:15" ht="15.75" x14ac:dyDescent="0.25">
      <c r="A558" s="13">
        <v>57496</v>
      </c>
      <c r="B558" s="10">
        <f>9.1228 * CHOOSE(CONTROL!$C$32, $C$9, 100%, $E$9)</f>
        <v>9.1227999999999998</v>
      </c>
      <c r="C558" s="10">
        <f>9.1228 * CHOOSE(CONTROL!$C$32, $C$9, 100%, $E$9)</f>
        <v>9.1227999999999998</v>
      </c>
      <c r="D558" s="10">
        <f>9.1241 * CHOOSE(CONTROL!$C$32, $C$9, 100%, $E$9)</f>
        <v>9.1241000000000003</v>
      </c>
      <c r="E558" s="9">
        <f>8.0053 * CHOOSE(CONTROL!$C$32, $C$9, 100%, $E$9)</f>
        <v>8.0053000000000001</v>
      </c>
      <c r="F558" s="9">
        <f>8.0053 * CHOOSE(CONTROL!$C$32, $C$9, 100%, $E$9)</f>
        <v>8.0053000000000001</v>
      </c>
      <c r="G558" s="9">
        <f>8.0096 * CHOOSE(CONTROL!$C$32, $C$9, 100%, $E$9)</f>
        <v>8.0096000000000007</v>
      </c>
      <c r="H558" s="9">
        <f>10.9496 * CHOOSE(CONTROL!$C$32, $C$9, 100%, $E$9)</f>
        <v>10.9496</v>
      </c>
      <c r="I558" s="9">
        <f>10.954 * CHOOSE(CONTROL!$C$32, $C$9, 100%, $E$9)</f>
        <v>10.954000000000001</v>
      </c>
      <c r="J558" s="9">
        <f>10.9496 * CHOOSE(CONTROL!$C$32, $C$9, 100%, $E$9)</f>
        <v>10.9496</v>
      </c>
      <c r="K558" s="9">
        <f>10.954 * CHOOSE(CONTROL!$C$32, $C$9, 100%, $E$9)</f>
        <v>10.954000000000001</v>
      </c>
      <c r="L558" s="9">
        <f>8.0053 * CHOOSE(CONTROL!$C$32, $C$9, 100%, $E$9)</f>
        <v>8.0053000000000001</v>
      </c>
      <c r="M558" s="9">
        <f>8.0096 * CHOOSE(CONTROL!$C$32, $C$9, 100%, $E$9)</f>
        <v>8.0096000000000007</v>
      </c>
      <c r="N558" s="9">
        <f>8.0053 * CHOOSE(CONTROL!$C$32, $C$9, 100%, $E$9)</f>
        <v>8.0053000000000001</v>
      </c>
      <c r="O558" s="9">
        <f>8.0096 * CHOOSE(CONTROL!$C$32, $C$9, 100%, $E$9)</f>
        <v>8.0096000000000007</v>
      </c>
    </row>
    <row r="559" spans="1:15" ht="15.75" x14ac:dyDescent="0.25">
      <c r="A559" s="13">
        <v>57526</v>
      </c>
      <c r="B559" s="10">
        <f>9.1289 * CHOOSE(CONTROL!$C$32, $C$9, 100%, $E$9)</f>
        <v>9.1288999999999998</v>
      </c>
      <c r="C559" s="10">
        <f>9.1289 * CHOOSE(CONTROL!$C$32, $C$9, 100%, $E$9)</f>
        <v>9.1288999999999998</v>
      </c>
      <c r="D559" s="10">
        <f>9.1302 * CHOOSE(CONTROL!$C$32, $C$9, 100%, $E$9)</f>
        <v>9.1302000000000003</v>
      </c>
      <c r="E559" s="9">
        <f>7.9528 * CHOOSE(CONTROL!$C$32, $C$9, 100%, $E$9)</f>
        <v>7.9527999999999999</v>
      </c>
      <c r="F559" s="9">
        <f>7.9528 * CHOOSE(CONTROL!$C$32, $C$9, 100%, $E$9)</f>
        <v>7.9527999999999999</v>
      </c>
      <c r="G559" s="9">
        <f>7.9572 * CHOOSE(CONTROL!$C$32, $C$9, 100%, $E$9)</f>
        <v>7.9572000000000003</v>
      </c>
      <c r="H559" s="9">
        <f>10.9536 * CHOOSE(CONTROL!$C$32, $C$9, 100%, $E$9)</f>
        <v>10.9536</v>
      </c>
      <c r="I559" s="9">
        <f>10.958 * CHOOSE(CONTROL!$C$32, $C$9, 100%, $E$9)</f>
        <v>10.958</v>
      </c>
      <c r="J559" s="9">
        <f>10.9536 * CHOOSE(CONTROL!$C$32, $C$9, 100%, $E$9)</f>
        <v>10.9536</v>
      </c>
      <c r="K559" s="9">
        <f>10.958 * CHOOSE(CONTROL!$C$32, $C$9, 100%, $E$9)</f>
        <v>10.958</v>
      </c>
      <c r="L559" s="9">
        <f>7.9528 * CHOOSE(CONTROL!$C$32, $C$9, 100%, $E$9)</f>
        <v>7.9527999999999999</v>
      </c>
      <c r="M559" s="9">
        <f>7.9572 * CHOOSE(CONTROL!$C$32, $C$9, 100%, $E$9)</f>
        <v>7.9572000000000003</v>
      </c>
      <c r="N559" s="9">
        <f>7.9528 * CHOOSE(CONTROL!$C$32, $C$9, 100%, $E$9)</f>
        <v>7.9527999999999999</v>
      </c>
      <c r="O559" s="9">
        <f>7.9572 * CHOOSE(CONTROL!$C$32, $C$9, 100%, $E$9)</f>
        <v>7.9572000000000003</v>
      </c>
    </row>
    <row r="560" spans="1:15" ht="15.75" x14ac:dyDescent="0.25">
      <c r="A560" s="13">
        <v>57557</v>
      </c>
      <c r="B560" s="10">
        <f>9.2579 * CHOOSE(CONTROL!$C$32, $C$9, 100%, $E$9)</f>
        <v>9.2578999999999994</v>
      </c>
      <c r="C560" s="10">
        <f>9.2579 * CHOOSE(CONTROL!$C$32, $C$9, 100%, $E$9)</f>
        <v>9.2578999999999994</v>
      </c>
      <c r="D560" s="10">
        <f>9.2592 * CHOOSE(CONTROL!$C$32, $C$9, 100%, $E$9)</f>
        <v>9.2591999999999999</v>
      </c>
      <c r="E560" s="9">
        <f>8.0451 * CHOOSE(CONTROL!$C$32, $C$9, 100%, $E$9)</f>
        <v>8.0450999999999997</v>
      </c>
      <c r="F560" s="9">
        <f>8.0451 * CHOOSE(CONTROL!$C$32, $C$9, 100%, $E$9)</f>
        <v>8.0450999999999997</v>
      </c>
      <c r="G560" s="9">
        <f>8.0495 * CHOOSE(CONTROL!$C$32, $C$9, 100%, $E$9)</f>
        <v>8.0495000000000001</v>
      </c>
      <c r="H560" s="9">
        <f>11.1174 * CHOOSE(CONTROL!$C$32, $C$9, 100%, $E$9)</f>
        <v>11.1174</v>
      </c>
      <c r="I560" s="9">
        <f>11.1218 * CHOOSE(CONTROL!$C$32, $C$9, 100%, $E$9)</f>
        <v>11.1218</v>
      </c>
      <c r="J560" s="9">
        <f>11.1174 * CHOOSE(CONTROL!$C$32, $C$9, 100%, $E$9)</f>
        <v>11.1174</v>
      </c>
      <c r="K560" s="9">
        <f>11.1218 * CHOOSE(CONTROL!$C$32, $C$9, 100%, $E$9)</f>
        <v>11.1218</v>
      </c>
      <c r="L560" s="9">
        <f>8.0451 * CHOOSE(CONTROL!$C$32, $C$9, 100%, $E$9)</f>
        <v>8.0450999999999997</v>
      </c>
      <c r="M560" s="9">
        <f>8.0495 * CHOOSE(CONTROL!$C$32, $C$9, 100%, $E$9)</f>
        <v>8.0495000000000001</v>
      </c>
      <c r="N560" s="9">
        <f>8.0451 * CHOOSE(CONTROL!$C$32, $C$9, 100%, $E$9)</f>
        <v>8.0450999999999997</v>
      </c>
      <c r="O560" s="9">
        <f>8.0495 * CHOOSE(CONTROL!$C$32, $C$9, 100%, $E$9)</f>
        <v>8.0495000000000001</v>
      </c>
    </row>
    <row r="561" spans="1:15" ht="15.75" x14ac:dyDescent="0.25">
      <c r="A561" s="13">
        <v>57588</v>
      </c>
      <c r="B561" s="10">
        <f>9.2646 * CHOOSE(CONTROL!$C$32, $C$9, 100%, $E$9)</f>
        <v>9.2645999999999997</v>
      </c>
      <c r="C561" s="10">
        <f>9.2646 * CHOOSE(CONTROL!$C$32, $C$9, 100%, $E$9)</f>
        <v>9.2645999999999997</v>
      </c>
      <c r="D561" s="10">
        <f>9.2659 * CHOOSE(CONTROL!$C$32, $C$9, 100%, $E$9)</f>
        <v>9.2659000000000002</v>
      </c>
      <c r="E561" s="9">
        <f>7.8797 * CHOOSE(CONTROL!$C$32, $C$9, 100%, $E$9)</f>
        <v>7.8796999999999997</v>
      </c>
      <c r="F561" s="9">
        <f>7.8797 * CHOOSE(CONTROL!$C$32, $C$9, 100%, $E$9)</f>
        <v>7.8796999999999997</v>
      </c>
      <c r="G561" s="9">
        <f>7.884 * CHOOSE(CONTROL!$C$32, $C$9, 100%, $E$9)</f>
        <v>7.8840000000000003</v>
      </c>
      <c r="H561" s="9">
        <f>11.1218 * CHOOSE(CONTROL!$C$32, $C$9, 100%, $E$9)</f>
        <v>11.1218</v>
      </c>
      <c r="I561" s="9">
        <f>11.1262 * CHOOSE(CONTROL!$C$32, $C$9, 100%, $E$9)</f>
        <v>11.126200000000001</v>
      </c>
      <c r="J561" s="9">
        <f>11.1218 * CHOOSE(CONTROL!$C$32, $C$9, 100%, $E$9)</f>
        <v>11.1218</v>
      </c>
      <c r="K561" s="9">
        <f>11.1262 * CHOOSE(CONTROL!$C$32, $C$9, 100%, $E$9)</f>
        <v>11.126200000000001</v>
      </c>
      <c r="L561" s="9">
        <f>7.8797 * CHOOSE(CONTROL!$C$32, $C$9, 100%, $E$9)</f>
        <v>7.8796999999999997</v>
      </c>
      <c r="M561" s="9">
        <f>7.884 * CHOOSE(CONTROL!$C$32, $C$9, 100%, $E$9)</f>
        <v>7.8840000000000003</v>
      </c>
      <c r="N561" s="9">
        <f>7.8797 * CHOOSE(CONTROL!$C$32, $C$9, 100%, $E$9)</f>
        <v>7.8796999999999997</v>
      </c>
      <c r="O561" s="9">
        <f>7.884 * CHOOSE(CONTROL!$C$32, $C$9, 100%, $E$9)</f>
        <v>7.8840000000000003</v>
      </c>
    </row>
    <row r="562" spans="1:15" ht="15.75" x14ac:dyDescent="0.25">
      <c r="A562" s="13">
        <v>57618</v>
      </c>
      <c r="B562" s="10">
        <f>9.2615 * CHOOSE(CONTROL!$C$32, $C$9, 100%, $E$9)</f>
        <v>9.2614999999999998</v>
      </c>
      <c r="C562" s="10">
        <f>9.2615 * CHOOSE(CONTROL!$C$32, $C$9, 100%, $E$9)</f>
        <v>9.2614999999999998</v>
      </c>
      <c r="D562" s="10">
        <f>9.2628 * CHOOSE(CONTROL!$C$32, $C$9, 100%, $E$9)</f>
        <v>9.2628000000000004</v>
      </c>
      <c r="E562" s="9">
        <f>7.8586 * CHOOSE(CONTROL!$C$32, $C$9, 100%, $E$9)</f>
        <v>7.8586</v>
      </c>
      <c r="F562" s="9">
        <f>7.8586 * CHOOSE(CONTROL!$C$32, $C$9, 100%, $E$9)</f>
        <v>7.8586</v>
      </c>
      <c r="G562" s="9">
        <f>7.863 * CHOOSE(CONTROL!$C$32, $C$9, 100%, $E$9)</f>
        <v>7.8630000000000004</v>
      </c>
      <c r="H562" s="9">
        <f>11.1198 * CHOOSE(CONTROL!$C$32, $C$9, 100%, $E$9)</f>
        <v>11.1198</v>
      </c>
      <c r="I562" s="9">
        <f>11.1242 * CHOOSE(CONTROL!$C$32, $C$9, 100%, $E$9)</f>
        <v>11.1242</v>
      </c>
      <c r="J562" s="9">
        <f>11.1198 * CHOOSE(CONTROL!$C$32, $C$9, 100%, $E$9)</f>
        <v>11.1198</v>
      </c>
      <c r="K562" s="9">
        <f>11.1242 * CHOOSE(CONTROL!$C$32, $C$9, 100%, $E$9)</f>
        <v>11.1242</v>
      </c>
      <c r="L562" s="9">
        <f>7.8586 * CHOOSE(CONTROL!$C$32, $C$9, 100%, $E$9)</f>
        <v>7.8586</v>
      </c>
      <c r="M562" s="9">
        <f>7.863 * CHOOSE(CONTROL!$C$32, $C$9, 100%, $E$9)</f>
        <v>7.8630000000000004</v>
      </c>
      <c r="N562" s="9">
        <f>7.8586 * CHOOSE(CONTROL!$C$32, $C$9, 100%, $E$9)</f>
        <v>7.8586</v>
      </c>
      <c r="O562" s="9">
        <f>7.863 * CHOOSE(CONTROL!$C$32, $C$9, 100%, $E$9)</f>
        <v>7.8630000000000004</v>
      </c>
    </row>
    <row r="563" spans="1:15" ht="15.75" x14ac:dyDescent="0.25">
      <c r="A563" s="13">
        <v>57649</v>
      </c>
      <c r="B563" s="10">
        <f>9.2774 * CHOOSE(CONTROL!$C$32, $C$9, 100%, $E$9)</f>
        <v>9.2774000000000001</v>
      </c>
      <c r="C563" s="10">
        <f>9.2774 * CHOOSE(CONTROL!$C$32, $C$9, 100%, $E$9)</f>
        <v>9.2774000000000001</v>
      </c>
      <c r="D563" s="10">
        <f>9.2784 * CHOOSE(CONTROL!$C$32, $C$9, 100%, $E$9)</f>
        <v>9.2783999999999995</v>
      </c>
      <c r="E563" s="9">
        <f>7.9208 * CHOOSE(CONTROL!$C$32, $C$9, 100%, $E$9)</f>
        <v>7.9207999999999998</v>
      </c>
      <c r="F563" s="9">
        <f>7.9208 * CHOOSE(CONTROL!$C$32, $C$9, 100%, $E$9)</f>
        <v>7.9207999999999998</v>
      </c>
      <c r="G563" s="9">
        <f>7.924 * CHOOSE(CONTROL!$C$32, $C$9, 100%, $E$9)</f>
        <v>7.9240000000000004</v>
      </c>
      <c r="H563" s="9">
        <f>11.129 * CHOOSE(CONTROL!$C$32, $C$9, 100%, $E$9)</f>
        <v>11.129</v>
      </c>
      <c r="I563" s="9">
        <f>11.1322 * CHOOSE(CONTROL!$C$32, $C$9, 100%, $E$9)</f>
        <v>11.132199999999999</v>
      </c>
      <c r="J563" s="9">
        <f>11.129 * CHOOSE(CONTROL!$C$32, $C$9, 100%, $E$9)</f>
        <v>11.129</v>
      </c>
      <c r="K563" s="9">
        <f>11.1322 * CHOOSE(CONTROL!$C$32, $C$9, 100%, $E$9)</f>
        <v>11.132199999999999</v>
      </c>
      <c r="L563" s="9">
        <f>7.9208 * CHOOSE(CONTROL!$C$32, $C$9, 100%, $E$9)</f>
        <v>7.9207999999999998</v>
      </c>
      <c r="M563" s="9">
        <f>7.924 * CHOOSE(CONTROL!$C$32, $C$9, 100%, $E$9)</f>
        <v>7.9240000000000004</v>
      </c>
      <c r="N563" s="9">
        <f>7.9208 * CHOOSE(CONTROL!$C$32, $C$9, 100%, $E$9)</f>
        <v>7.9207999999999998</v>
      </c>
      <c r="O563" s="9">
        <f>7.924 * CHOOSE(CONTROL!$C$32, $C$9, 100%, $E$9)</f>
        <v>7.9240000000000004</v>
      </c>
    </row>
    <row r="564" spans="1:15" ht="15.75" x14ac:dyDescent="0.25">
      <c r="A564" s="13">
        <v>57679</v>
      </c>
      <c r="B564" s="10">
        <f>9.2805 * CHOOSE(CONTROL!$C$32, $C$9, 100%, $E$9)</f>
        <v>9.2805</v>
      </c>
      <c r="C564" s="10">
        <f>9.2805 * CHOOSE(CONTROL!$C$32, $C$9, 100%, $E$9)</f>
        <v>9.2805</v>
      </c>
      <c r="D564" s="10">
        <f>9.2814 * CHOOSE(CONTROL!$C$32, $C$9, 100%, $E$9)</f>
        <v>9.2813999999999997</v>
      </c>
      <c r="E564" s="9">
        <f>7.9607 * CHOOSE(CONTROL!$C$32, $C$9, 100%, $E$9)</f>
        <v>7.9607000000000001</v>
      </c>
      <c r="F564" s="9">
        <f>7.9607 * CHOOSE(CONTROL!$C$32, $C$9, 100%, $E$9)</f>
        <v>7.9607000000000001</v>
      </c>
      <c r="G564" s="9">
        <f>7.9639 * CHOOSE(CONTROL!$C$32, $C$9, 100%, $E$9)</f>
        <v>7.9638999999999998</v>
      </c>
      <c r="H564" s="9">
        <f>11.131 * CHOOSE(CONTROL!$C$32, $C$9, 100%, $E$9)</f>
        <v>11.131</v>
      </c>
      <c r="I564" s="9">
        <f>11.1342 * CHOOSE(CONTROL!$C$32, $C$9, 100%, $E$9)</f>
        <v>11.1342</v>
      </c>
      <c r="J564" s="9">
        <f>11.131 * CHOOSE(CONTROL!$C$32, $C$9, 100%, $E$9)</f>
        <v>11.131</v>
      </c>
      <c r="K564" s="9">
        <f>11.1342 * CHOOSE(CONTROL!$C$32, $C$9, 100%, $E$9)</f>
        <v>11.1342</v>
      </c>
      <c r="L564" s="9">
        <f>7.9607 * CHOOSE(CONTROL!$C$32, $C$9, 100%, $E$9)</f>
        <v>7.9607000000000001</v>
      </c>
      <c r="M564" s="9">
        <f>7.9639 * CHOOSE(CONTROL!$C$32, $C$9, 100%, $E$9)</f>
        <v>7.9638999999999998</v>
      </c>
      <c r="N564" s="9">
        <f>7.9607 * CHOOSE(CONTROL!$C$32, $C$9, 100%, $E$9)</f>
        <v>7.9607000000000001</v>
      </c>
      <c r="O564" s="9">
        <f>7.9639 * CHOOSE(CONTROL!$C$32, $C$9, 100%, $E$9)</f>
        <v>7.9638999999999998</v>
      </c>
    </row>
    <row r="565" spans="1:15" ht="15.75" x14ac:dyDescent="0.25">
      <c r="A565" s="13">
        <v>57710</v>
      </c>
      <c r="B565" s="10">
        <f>9.2805 * CHOOSE(CONTROL!$C$32, $C$9, 100%, $E$9)</f>
        <v>9.2805</v>
      </c>
      <c r="C565" s="10">
        <f>9.2805 * CHOOSE(CONTROL!$C$32, $C$9, 100%, $E$9)</f>
        <v>9.2805</v>
      </c>
      <c r="D565" s="10">
        <f>9.2814 * CHOOSE(CONTROL!$C$32, $C$9, 100%, $E$9)</f>
        <v>9.2813999999999997</v>
      </c>
      <c r="E565" s="9">
        <f>7.8662 * CHOOSE(CONTROL!$C$32, $C$9, 100%, $E$9)</f>
        <v>7.8662000000000001</v>
      </c>
      <c r="F565" s="9">
        <f>7.8662 * CHOOSE(CONTROL!$C$32, $C$9, 100%, $E$9)</f>
        <v>7.8662000000000001</v>
      </c>
      <c r="G565" s="9">
        <f>7.8694 * CHOOSE(CONTROL!$C$32, $C$9, 100%, $E$9)</f>
        <v>7.8693999999999997</v>
      </c>
      <c r="H565" s="9">
        <f>11.131 * CHOOSE(CONTROL!$C$32, $C$9, 100%, $E$9)</f>
        <v>11.131</v>
      </c>
      <c r="I565" s="9">
        <f>11.1342 * CHOOSE(CONTROL!$C$32, $C$9, 100%, $E$9)</f>
        <v>11.1342</v>
      </c>
      <c r="J565" s="9">
        <f>11.131 * CHOOSE(CONTROL!$C$32, $C$9, 100%, $E$9)</f>
        <v>11.131</v>
      </c>
      <c r="K565" s="9">
        <f>11.1342 * CHOOSE(CONTROL!$C$32, $C$9, 100%, $E$9)</f>
        <v>11.1342</v>
      </c>
      <c r="L565" s="9">
        <f>7.8662 * CHOOSE(CONTROL!$C$32, $C$9, 100%, $E$9)</f>
        <v>7.8662000000000001</v>
      </c>
      <c r="M565" s="9">
        <f>7.8694 * CHOOSE(CONTROL!$C$32, $C$9, 100%, $E$9)</f>
        <v>7.8693999999999997</v>
      </c>
      <c r="N565" s="9">
        <f>7.8662 * CHOOSE(CONTROL!$C$32, $C$9, 100%, $E$9)</f>
        <v>7.8662000000000001</v>
      </c>
      <c r="O565" s="9">
        <f>7.8694 * CHOOSE(CONTROL!$C$32, $C$9, 100%, $E$9)</f>
        <v>7.8693999999999997</v>
      </c>
    </row>
    <row r="566" spans="1:15" ht="15.75" x14ac:dyDescent="0.25">
      <c r="A566" s="13">
        <v>57741</v>
      </c>
      <c r="B566" s="10">
        <f>9.3568 * CHOOSE(CONTROL!$C$32, $C$9, 100%, $E$9)</f>
        <v>9.3567999999999998</v>
      </c>
      <c r="C566" s="10">
        <f>9.3568 * CHOOSE(CONTROL!$C$32, $C$9, 100%, $E$9)</f>
        <v>9.3567999999999998</v>
      </c>
      <c r="D566" s="10">
        <f>9.3578 * CHOOSE(CONTROL!$C$32, $C$9, 100%, $E$9)</f>
        <v>9.3577999999999992</v>
      </c>
      <c r="E566" s="9">
        <f>7.99 * CHOOSE(CONTROL!$C$32, $C$9, 100%, $E$9)</f>
        <v>7.99</v>
      </c>
      <c r="F566" s="9">
        <f>7.99 * CHOOSE(CONTROL!$C$32, $C$9, 100%, $E$9)</f>
        <v>7.99</v>
      </c>
      <c r="G566" s="9">
        <f>7.9932 * CHOOSE(CONTROL!$C$32, $C$9, 100%, $E$9)</f>
        <v>7.9931999999999999</v>
      </c>
      <c r="H566" s="9">
        <f>11.2134 * CHOOSE(CONTROL!$C$32, $C$9, 100%, $E$9)</f>
        <v>11.2134</v>
      </c>
      <c r="I566" s="9">
        <f>11.2165 * CHOOSE(CONTROL!$C$32, $C$9, 100%, $E$9)</f>
        <v>11.2165</v>
      </c>
      <c r="J566" s="9">
        <f>11.2134 * CHOOSE(CONTROL!$C$32, $C$9, 100%, $E$9)</f>
        <v>11.2134</v>
      </c>
      <c r="K566" s="9">
        <f>11.2165 * CHOOSE(CONTROL!$C$32, $C$9, 100%, $E$9)</f>
        <v>11.2165</v>
      </c>
      <c r="L566" s="9">
        <f>7.99 * CHOOSE(CONTROL!$C$32, $C$9, 100%, $E$9)</f>
        <v>7.99</v>
      </c>
      <c r="M566" s="9">
        <f>7.9932 * CHOOSE(CONTROL!$C$32, $C$9, 100%, $E$9)</f>
        <v>7.9931999999999999</v>
      </c>
      <c r="N566" s="9">
        <f>7.99 * CHOOSE(CONTROL!$C$32, $C$9, 100%, $E$9)</f>
        <v>7.99</v>
      </c>
      <c r="O566" s="9">
        <f>7.9932 * CHOOSE(CONTROL!$C$32, $C$9, 100%, $E$9)</f>
        <v>7.9931999999999999</v>
      </c>
    </row>
    <row r="567" spans="1:15" ht="15.75" x14ac:dyDescent="0.25">
      <c r="A567" s="13">
        <v>57769</v>
      </c>
      <c r="B567" s="10">
        <f>9.3538 * CHOOSE(CONTROL!$C$32, $C$9, 100%, $E$9)</f>
        <v>9.3537999999999997</v>
      </c>
      <c r="C567" s="10">
        <f>9.3538 * CHOOSE(CONTROL!$C$32, $C$9, 100%, $E$9)</f>
        <v>9.3537999999999997</v>
      </c>
      <c r="D567" s="10">
        <f>9.3547 * CHOOSE(CONTROL!$C$32, $C$9, 100%, $E$9)</f>
        <v>9.3546999999999993</v>
      </c>
      <c r="E567" s="9">
        <f>7.8039 * CHOOSE(CONTROL!$C$32, $C$9, 100%, $E$9)</f>
        <v>7.8038999999999996</v>
      </c>
      <c r="F567" s="9">
        <f>7.8039 * CHOOSE(CONTROL!$C$32, $C$9, 100%, $E$9)</f>
        <v>7.8038999999999996</v>
      </c>
      <c r="G567" s="9">
        <f>7.8071 * CHOOSE(CONTROL!$C$32, $C$9, 100%, $E$9)</f>
        <v>7.8071000000000002</v>
      </c>
      <c r="H567" s="9">
        <f>11.2114 * CHOOSE(CONTROL!$C$32, $C$9, 100%, $E$9)</f>
        <v>11.211399999999999</v>
      </c>
      <c r="I567" s="9">
        <f>11.2145 * CHOOSE(CONTROL!$C$32, $C$9, 100%, $E$9)</f>
        <v>11.214499999999999</v>
      </c>
      <c r="J567" s="9">
        <f>11.2114 * CHOOSE(CONTROL!$C$32, $C$9, 100%, $E$9)</f>
        <v>11.211399999999999</v>
      </c>
      <c r="K567" s="9">
        <f>11.2145 * CHOOSE(CONTROL!$C$32, $C$9, 100%, $E$9)</f>
        <v>11.214499999999999</v>
      </c>
      <c r="L567" s="9">
        <f>7.8039 * CHOOSE(CONTROL!$C$32, $C$9, 100%, $E$9)</f>
        <v>7.8038999999999996</v>
      </c>
      <c r="M567" s="9">
        <f>7.8071 * CHOOSE(CONTROL!$C$32, $C$9, 100%, $E$9)</f>
        <v>7.8071000000000002</v>
      </c>
      <c r="N567" s="9">
        <f>7.8039 * CHOOSE(CONTROL!$C$32, $C$9, 100%, $E$9)</f>
        <v>7.8038999999999996</v>
      </c>
      <c r="O567" s="9">
        <f>7.8071 * CHOOSE(CONTROL!$C$32, $C$9, 100%, $E$9)</f>
        <v>7.8071000000000002</v>
      </c>
    </row>
    <row r="568" spans="1:15" ht="15.75" x14ac:dyDescent="0.25">
      <c r="A568" s="13">
        <v>57800</v>
      </c>
      <c r="B568" s="10">
        <f>9.3508 * CHOOSE(CONTROL!$C$32, $C$9, 100%, $E$9)</f>
        <v>9.3507999999999996</v>
      </c>
      <c r="C568" s="10">
        <f>9.3508 * CHOOSE(CONTROL!$C$32, $C$9, 100%, $E$9)</f>
        <v>9.3507999999999996</v>
      </c>
      <c r="D568" s="10">
        <f>9.3517 * CHOOSE(CONTROL!$C$32, $C$9, 100%, $E$9)</f>
        <v>9.3516999999999992</v>
      </c>
      <c r="E568" s="9">
        <f>7.9468 * CHOOSE(CONTROL!$C$32, $C$9, 100%, $E$9)</f>
        <v>7.9467999999999996</v>
      </c>
      <c r="F568" s="9">
        <f>7.9468 * CHOOSE(CONTROL!$C$32, $C$9, 100%, $E$9)</f>
        <v>7.9467999999999996</v>
      </c>
      <c r="G568" s="9">
        <f>7.95 * CHOOSE(CONTROL!$C$32, $C$9, 100%, $E$9)</f>
        <v>7.95</v>
      </c>
      <c r="H568" s="9">
        <f>11.2094 * CHOOSE(CONTROL!$C$32, $C$9, 100%, $E$9)</f>
        <v>11.2094</v>
      </c>
      <c r="I568" s="9">
        <f>11.2125 * CHOOSE(CONTROL!$C$32, $C$9, 100%, $E$9)</f>
        <v>11.2125</v>
      </c>
      <c r="J568" s="9">
        <f>11.2094 * CHOOSE(CONTROL!$C$32, $C$9, 100%, $E$9)</f>
        <v>11.2094</v>
      </c>
      <c r="K568" s="9">
        <f>11.2125 * CHOOSE(CONTROL!$C$32, $C$9, 100%, $E$9)</f>
        <v>11.2125</v>
      </c>
      <c r="L568" s="9">
        <f>7.9468 * CHOOSE(CONTROL!$C$32, $C$9, 100%, $E$9)</f>
        <v>7.9467999999999996</v>
      </c>
      <c r="M568" s="9">
        <f>7.95 * CHOOSE(CONTROL!$C$32, $C$9, 100%, $E$9)</f>
        <v>7.95</v>
      </c>
      <c r="N568" s="9">
        <f>7.9468 * CHOOSE(CONTROL!$C$32, $C$9, 100%, $E$9)</f>
        <v>7.9467999999999996</v>
      </c>
      <c r="O568" s="9">
        <f>7.95 * CHOOSE(CONTROL!$C$32, $C$9, 100%, $E$9)</f>
        <v>7.95</v>
      </c>
    </row>
    <row r="569" spans="1:15" ht="15.75" x14ac:dyDescent="0.25">
      <c r="A569" s="13">
        <v>57830</v>
      </c>
      <c r="B569" s="10">
        <f>9.3539 * CHOOSE(CONTROL!$C$32, $C$9, 100%, $E$9)</f>
        <v>9.3538999999999994</v>
      </c>
      <c r="C569" s="10">
        <f>9.3539 * CHOOSE(CONTROL!$C$32, $C$9, 100%, $E$9)</f>
        <v>9.3538999999999994</v>
      </c>
      <c r="D569" s="10">
        <f>9.3549 * CHOOSE(CONTROL!$C$32, $C$9, 100%, $E$9)</f>
        <v>9.3549000000000007</v>
      </c>
      <c r="E569" s="9">
        <f>8.0983 * CHOOSE(CONTROL!$C$32, $C$9, 100%, $E$9)</f>
        <v>8.0983000000000001</v>
      </c>
      <c r="F569" s="9">
        <f>8.0983 * CHOOSE(CONTROL!$C$32, $C$9, 100%, $E$9)</f>
        <v>8.0983000000000001</v>
      </c>
      <c r="G569" s="9">
        <f>8.1015 * CHOOSE(CONTROL!$C$32, $C$9, 100%, $E$9)</f>
        <v>8.1014999999999997</v>
      </c>
      <c r="H569" s="9">
        <f>11.2111 * CHOOSE(CONTROL!$C$32, $C$9, 100%, $E$9)</f>
        <v>11.2111</v>
      </c>
      <c r="I569" s="9">
        <f>11.2143 * CHOOSE(CONTROL!$C$32, $C$9, 100%, $E$9)</f>
        <v>11.2143</v>
      </c>
      <c r="J569" s="9">
        <f>11.2111 * CHOOSE(CONTROL!$C$32, $C$9, 100%, $E$9)</f>
        <v>11.2111</v>
      </c>
      <c r="K569" s="9">
        <f>11.2143 * CHOOSE(CONTROL!$C$32, $C$9, 100%, $E$9)</f>
        <v>11.2143</v>
      </c>
      <c r="L569" s="9">
        <f>8.0983 * CHOOSE(CONTROL!$C$32, $C$9, 100%, $E$9)</f>
        <v>8.0983000000000001</v>
      </c>
      <c r="M569" s="9">
        <f>8.1015 * CHOOSE(CONTROL!$C$32, $C$9, 100%, $E$9)</f>
        <v>8.1014999999999997</v>
      </c>
      <c r="N569" s="9">
        <f>8.0983 * CHOOSE(CONTROL!$C$32, $C$9, 100%, $E$9)</f>
        <v>8.0983000000000001</v>
      </c>
      <c r="O569" s="9">
        <f>8.1015 * CHOOSE(CONTROL!$C$32, $C$9, 100%, $E$9)</f>
        <v>8.1014999999999997</v>
      </c>
    </row>
    <row r="570" spans="1:15" ht="15.75" x14ac:dyDescent="0.25">
      <c r="A570" s="13">
        <v>57861</v>
      </c>
      <c r="B570" s="10">
        <f>9.3539 * CHOOSE(CONTROL!$C$32, $C$9, 100%, $E$9)</f>
        <v>9.3538999999999994</v>
      </c>
      <c r="C570" s="10">
        <f>9.3539 * CHOOSE(CONTROL!$C$32, $C$9, 100%, $E$9)</f>
        <v>9.3538999999999994</v>
      </c>
      <c r="D570" s="10">
        <f>9.3552 * CHOOSE(CONTROL!$C$32, $C$9, 100%, $E$9)</f>
        <v>9.3552</v>
      </c>
      <c r="E570" s="9">
        <f>8.1567 * CHOOSE(CONTROL!$C$32, $C$9, 100%, $E$9)</f>
        <v>8.1567000000000007</v>
      </c>
      <c r="F570" s="9">
        <f>8.1567 * CHOOSE(CONTROL!$C$32, $C$9, 100%, $E$9)</f>
        <v>8.1567000000000007</v>
      </c>
      <c r="G570" s="9">
        <f>8.161 * CHOOSE(CONTROL!$C$32, $C$9, 100%, $E$9)</f>
        <v>8.1609999999999996</v>
      </c>
      <c r="H570" s="9">
        <f>11.2111 * CHOOSE(CONTROL!$C$32, $C$9, 100%, $E$9)</f>
        <v>11.2111</v>
      </c>
      <c r="I570" s="9">
        <f>11.2154 * CHOOSE(CONTROL!$C$32, $C$9, 100%, $E$9)</f>
        <v>11.215400000000001</v>
      </c>
      <c r="J570" s="9">
        <f>11.2111 * CHOOSE(CONTROL!$C$32, $C$9, 100%, $E$9)</f>
        <v>11.2111</v>
      </c>
      <c r="K570" s="9">
        <f>11.2154 * CHOOSE(CONTROL!$C$32, $C$9, 100%, $E$9)</f>
        <v>11.215400000000001</v>
      </c>
      <c r="L570" s="9">
        <f>8.1567 * CHOOSE(CONTROL!$C$32, $C$9, 100%, $E$9)</f>
        <v>8.1567000000000007</v>
      </c>
      <c r="M570" s="9">
        <f>8.161 * CHOOSE(CONTROL!$C$32, $C$9, 100%, $E$9)</f>
        <v>8.1609999999999996</v>
      </c>
      <c r="N570" s="9">
        <f>8.1567 * CHOOSE(CONTROL!$C$32, $C$9, 100%, $E$9)</f>
        <v>8.1567000000000007</v>
      </c>
      <c r="O570" s="9">
        <f>8.161 * CHOOSE(CONTROL!$C$32, $C$9, 100%, $E$9)</f>
        <v>8.1609999999999996</v>
      </c>
    </row>
    <row r="571" spans="1:15" ht="15.75" x14ac:dyDescent="0.25">
      <c r="A571" s="13">
        <v>57891</v>
      </c>
      <c r="B571" s="10">
        <f>9.36 * CHOOSE(CONTROL!$C$32, $C$9, 100%, $E$9)</f>
        <v>9.36</v>
      </c>
      <c r="C571" s="10">
        <f>9.36 * CHOOSE(CONTROL!$C$32, $C$9, 100%, $E$9)</f>
        <v>9.36</v>
      </c>
      <c r="D571" s="10">
        <f>9.3613 * CHOOSE(CONTROL!$C$32, $C$9, 100%, $E$9)</f>
        <v>9.3613</v>
      </c>
      <c r="E571" s="9">
        <f>8.1025 * CHOOSE(CONTROL!$C$32, $C$9, 100%, $E$9)</f>
        <v>8.1024999999999991</v>
      </c>
      <c r="F571" s="9">
        <f>8.1025 * CHOOSE(CONTROL!$C$32, $C$9, 100%, $E$9)</f>
        <v>8.1024999999999991</v>
      </c>
      <c r="G571" s="9">
        <f>8.1069 * CHOOSE(CONTROL!$C$32, $C$9, 100%, $E$9)</f>
        <v>8.1068999999999996</v>
      </c>
      <c r="H571" s="9">
        <f>11.2151 * CHOOSE(CONTROL!$C$32, $C$9, 100%, $E$9)</f>
        <v>11.2151</v>
      </c>
      <c r="I571" s="9">
        <f>11.2194 * CHOOSE(CONTROL!$C$32, $C$9, 100%, $E$9)</f>
        <v>11.2194</v>
      </c>
      <c r="J571" s="9">
        <f>11.2151 * CHOOSE(CONTROL!$C$32, $C$9, 100%, $E$9)</f>
        <v>11.2151</v>
      </c>
      <c r="K571" s="9">
        <f>11.2194 * CHOOSE(CONTROL!$C$32, $C$9, 100%, $E$9)</f>
        <v>11.2194</v>
      </c>
      <c r="L571" s="9">
        <f>8.1025 * CHOOSE(CONTROL!$C$32, $C$9, 100%, $E$9)</f>
        <v>8.1024999999999991</v>
      </c>
      <c r="M571" s="9">
        <f>8.1069 * CHOOSE(CONTROL!$C$32, $C$9, 100%, $E$9)</f>
        <v>8.1068999999999996</v>
      </c>
      <c r="N571" s="9">
        <f>8.1025 * CHOOSE(CONTROL!$C$32, $C$9, 100%, $E$9)</f>
        <v>8.1024999999999991</v>
      </c>
      <c r="O571" s="9">
        <f>8.1069 * CHOOSE(CONTROL!$C$32, $C$9, 100%, $E$9)</f>
        <v>8.1068999999999996</v>
      </c>
    </row>
    <row r="572" spans="1:15" ht="15.75" x14ac:dyDescent="0.25">
      <c r="A572" s="13">
        <v>57922</v>
      </c>
      <c r="B572" s="10">
        <f>9.4919 * CHOOSE(CONTROL!$C$32, $C$9, 100%, $E$9)</f>
        <v>9.4918999999999993</v>
      </c>
      <c r="C572" s="10">
        <f>9.4919 * CHOOSE(CONTROL!$C$32, $C$9, 100%, $E$9)</f>
        <v>9.4918999999999993</v>
      </c>
      <c r="D572" s="10">
        <f>9.4932 * CHOOSE(CONTROL!$C$32, $C$9, 100%, $E$9)</f>
        <v>9.4931999999999999</v>
      </c>
      <c r="E572" s="9">
        <f>8.1963 * CHOOSE(CONTROL!$C$32, $C$9, 100%, $E$9)</f>
        <v>8.1963000000000008</v>
      </c>
      <c r="F572" s="9">
        <f>8.1963 * CHOOSE(CONTROL!$C$32, $C$9, 100%, $E$9)</f>
        <v>8.1963000000000008</v>
      </c>
      <c r="G572" s="9">
        <f>8.2007 * CHOOSE(CONTROL!$C$32, $C$9, 100%, $E$9)</f>
        <v>8.2006999999999994</v>
      </c>
      <c r="H572" s="9">
        <f>11.3825 * CHOOSE(CONTROL!$C$32, $C$9, 100%, $E$9)</f>
        <v>11.3825</v>
      </c>
      <c r="I572" s="9">
        <f>11.3869 * CHOOSE(CONTROL!$C$32, $C$9, 100%, $E$9)</f>
        <v>11.386900000000001</v>
      </c>
      <c r="J572" s="9">
        <f>11.3825 * CHOOSE(CONTROL!$C$32, $C$9, 100%, $E$9)</f>
        <v>11.3825</v>
      </c>
      <c r="K572" s="9">
        <f>11.3869 * CHOOSE(CONTROL!$C$32, $C$9, 100%, $E$9)</f>
        <v>11.386900000000001</v>
      </c>
      <c r="L572" s="9">
        <f>8.1963 * CHOOSE(CONTROL!$C$32, $C$9, 100%, $E$9)</f>
        <v>8.1963000000000008</v>
      </c>
      <c r="M572" s="9">
        <f>8.2007 * CHOOSE(CONTROL!$C$32, $C$9, 100%, $E$9)</f>
        <v>8.2006999999999994</v>
      </c>
      <c r="N572" s="9">
        <f>8.1963 * CHOOSE(CONTROL!$C$32, $C$9, 100%, $E$9)</f>
        <v>8.1963000000000008</v>
      </c>
      <c r="O572" s="9">
        <f>8.2007 * CHOOSE(CONTROL!$C$32, $C$9, 100%, $E$9)</f>
        <v>8.2006999999999994</v>
      </c>
    </row>
    <row r="573" spans="1:15" ht="15.75" x14ac:dyDescent="0.25">
      <c r="A573" s="13">
        <v>57953</v>
      </c>
      <c r="B573" s="10">
        <f>9.4986 * CHOOSE(CONTROL!$C$32, $C$9, 100%, $E$9)</f>
        <v>9.4985999999999997</v>
      </c>
      <c r="C573" s="10">
        <f>9.4986 * CHOOSE(CONTROL!$C$32, $C$9, 100%, $E$9)</f>
        <v>9.4985999999999997</v>
      </c>
      <c r="D573" s="10">
        <f>9.4999 * CHOOSE(CONTROL!$C$32, $C$9, 100%, $E$9)</f>
        <v>9.4999000000000002</v>
      </c>
      <c r="E573" s="9">
        <f>8.0258 * CHOOSE(CONTROL!$C$32, $C$9, 100%, $E$9)</f>
        <v>8.0258000000000003</v>
      </c>
      <c r="F573" s="9">
        <f>8.0258 * CHOOSE(CONTROL!$C$32, $C$9, 100%, $E$9)</f>
        <v>8.0258000000000003</v>
      </c>
      <c r="G573" s="9">
        <f>8.0302 * CHOOSE(CONTROL!$C$32, $C$9, 100%, $E$9)</f>
        <v>8.0302000000000007</v>
      </c>
      <c r="H573" s="9">
        <f>11.3869 * CHOOSE(CONTROL!$C$32, $C$9, 100%, $E$9)</f>
        <v>11.386900000000001</v>
      </c>
      <c r="I573" s="9">
        <f>11.3913 * CHOOSE(CONTROL!$C$32, $C$9, 100%, $E$9)</f>
        <v>11.391299999999999</v>
      </c>
      <c r="J573" s="9">
        <f>11.3869 * CHOOSE(CONTROL!$C$32, $C$9, 100%, $E$9)</f>
        <v>11.386900000000001</v>
      </c>
      <c r="K573" s="9">
        <f>11.3913 * CHOOSE(CONTROL!$C$32, $C$9, 100%, $E$9)</f>
        <v>11.391299999999999</v>
      </c>
      <c r="L573" s="9">
        <f>8.0258 * CHOOSE(CONTROL!$C$32, $C$9, 100%, $E$9)</f>
        <v>8.0258000000000003</v>
      </c>
      <c r="M573" s="9">
        <f>8.0302 * CHOOSE(CONTROL!$C$32, $C$9, 100%, $E$9)</f>
        <v>8.0302000000000007</v>
      </c>
      <c r="N573" s="9">
        <f>8.0258 * CHOOSE(CONTROL!$C$32, $C$9, 100%, $E$9)</f>
        <v>8.0258000000000003</v>
      </c>
      <c r="O573" s="9">
        <f>8.0302 * CHOOSE(CONTROL!$C$32, $C$9, 100%, $E$9)</f>
        <v>8.0302000000000007</v>
      </c>
    </row>
    <row r="574" spans="1:15" ht="15.75" x14ac:dyDescent="0.25">
      <c r="A574" s="13">
        <v>57983</v>
      </c>
      <c r="B574" s="10">
        <f>9.4955 * CHOOSE(CONTROL!$C$32, $C$9, 100%, $E$9)</f>
        <v>9.4954999999999998</v>
      </c>
      <c r="C574" s="10">
        <f>9.4955 * CHOOSE(CONTROL!$C$32, $C$9, 100%, $E$9)</f>
        <v>9.4954999999999998</v>
      </c>
      <c r="D574" s="10">
        <f>9.4968 * CHOOSE(CONTROL!$C$32, $C$9, 100%, $E$9)</f>
        <v>9.4968000000000004</v>
      </c>
      <c r="E574" s="9">
        <f>8.0042 * CHOOSE(CONTROL!$C$32, $C$9, 100%, $E$9)</f>
        <v>8.0042000000000009</v>
      </c>
      <c r="F574" s="9">
        <f>8.0042 * CHOOSE(CONTROL!$C$32, $C$9, 100%, $E$9)</f>
        <v>8.0042000000000009</v>
      </c>
      <c r="G574" s="9">
        <f>8.0086 * CHOOSE(CONTROL!$C$32, $C$9, 100%, $E$9)</f>
        <v>8.0085999999999995</v>
      </c>
      <c r="H574" s="9">
        <f>11.3849 * CHOOSE(CONTROL!$C$32, $C$9, 100%, $E$9)</f>
        <v>11.3849</v>
      </c>
      <c r="I574" s="9">
        <f>11.3893 * CHOOSE(CONTROL!$C$32, $C$9, 100%, $E$9)</f>
        <v>11.3893</v>
      </c>
      <c r="J574" s="9">
        <f>11.3849 * CHOOSE(CONTROL!$C$32, $C$9, 100%, $E$9)</f>
        <v>11.3849</v>
      </c>
      <c r="K574" s="9">
        <f>11.3893 * CHOOSE(CONTROL!$C$32, $C$9, 100%, $E$9)</f>
        <v>11.3893</v>
      </c>
      <c r="L574" s="9">
        <f>8.0042 * CHOOSE(CONTROL!$C$32, $C$9, 100%, $E$9)</f>
        <v>8.0042000000000009</v>
      </c>
      <c r="M574" s="9">
        <f>8.0086 * CHOOSE(CONTROL!$C$32, $C$9, 100%, $E$9)</f>
        <v>8.0085999999999995</v>
      </c>
      <c r="N574" s="9">
        <f>8.0042 * CHOOSE(CONTROL!$C$32, $C$9, 100%, $E$9)</f>
        <v>8.0042000000000009</v>
      </c>
      <c r="O574" s="9">
        <f>8.0086 * CHOOSE(CONTROL!$C$32, $C$9, 100%, $E$9)</f>
        <v>8.0085999999999995</v>
      </c>
    </row>
    <row r="575" spans="1:15" ht="15.75" x14ac:dyDescent="0.25">
      <c r="A575" s="13">
        <v>58014</v>
      </c>
      <c r="B575" s="10">
        <f>9.5123 * CHOOSE(CONTROL!$C$32, $C$9, 100%, $E$9)</f>
        <v>9.5122999999999998</v>
      </c>
      <c r="C575" s="10">
        <f>9.5123 * CHOOSE(CONTROL!$C$32, $C$9, 100%, $E$9)</f>
        <v>9.5122999999999998</v>
      </c>
      <c r="D575" s="10">
        <f>9.5133 * CHOOSE(CONTROL!$C$32, $C$9, 100%, $E$9)</f>
        <v>9.5132999999999992</v>
      </c>
      <c r="E575" s="9">
        <f>8.0687 * CHOOSE(CONTROL!$C$32, $C$9, 100%, $E$9)</f>
        <v>8.0686999999999998</v>
      </c>
      <c r="F575" s="9">
        <f>8.0687 * CHOOSE(CONTROL!$C$32, $C$9, 100%, $E$9)</f>
        <v>8.0686999999999998</v>
      </c>
      <c r="G575" s="9">
        <f>8.0719 * CHOOSE(CONTROL!$C$32, $C$9, 100%, $E$9)</f>
        <v>8.0718999999999994</v>
      </c>
      <c r="H575" s="9">
        <f>11.3946 * CHOOSE(CONTROL!$C$32, $C$9, 100%, $E$9)</f>
        <v>11.394600000000001</v>
      </c>
      <c r="I575" s="9">
        <f>11.3978 * CHOOSE(CONTROL!$C$32, $C$9, 100%, $E$9)</f>
        <v>11.3978</v>
      </c>
      <c r="J575" s="9">
        <f>11.3946 * CHOOSE(CONTROL!$C$32, $C$9, 100%, $E$9)</f>
        <v>11.394600000000001</v>
      </c>
      <c r="K575" s="9">
        <f>11.3978 * CHOOSE(CONTROL!$C$32, $C$9, 100%, $E$9)</f>
        <v>11.3978</v>
      </c>
      <c r="L575" s="9">
        <f>8.0687 * CHOOSE(CONTROL!$C$32, $C$9, 100%, $E$9)</f>
        <v>8.0686999999999998</v>
      </c>
      <c r="M575" s="9">
        <f>8.0719 * CHOOSE(CONTROL!$C$32, $C$9, 100%, $E$9)</f>
        <v>8.0718999999999994</v>
      </c>
      <c r="N575" s="9">
        <f>8.0687 * CHOOSE(CONTROL!$C$32, $C$9, 100%, $E$9)</f>
        <v>8.0686999999999998</v>
      </c>
      <c r="O575" s="9">
        <f>8.0719 * CHOOSE(CONTROL!$C$32, $C$9, 100%, $E$9)</f>
        <v>8.0718999999999994</v>
      </c>
    </row>
    <row r="576" spans="1:15" ht="15.75" x14ac:dyDescent="0.25">
      <c r="A576" s="13">
        <v>58044</v>
      </c>
      <c r="B576" s="10">
        <f>9.5154 * CHOOSE(CONTROL!$C$32, $C$9, 100%, $E$9)</f>
        <v>9.5153999999999996</v>
      </c>
      <c r="C576" s="10">
        <f>9.5154 * CHOOSE(CONTROL!$C$32, $C$9, 100%, $E$9)</f>
        <v>9.5153999999999996</v>
      </c>
      <c r="D576" s="10">
        <f>9.5163 * CHOOSE(CONTROL!$C$32, $C$9, 100%, $E$9)</f>
        <v>9.5162999999999993</v>
      </c>
      <c r="E576" s="9">
        <f>8.1097 * CHOOSE(CONTROL!$C$32, $C$9, 100%, $E$9)</f>
        <v>8.1097000000000001</v>
      </c>
      <c r="F576" s="9">
        <f>8.1097 * CHOOSE(CONTROL!$C$32, $C$9, 100%, $E$9)</f>
        <v>8.1097000000000001</v>
      </c>
      <c r="G576" s="9">
        <f>8.1129 * CHOOSE(CONTROL!$C$32, $C$9, 100%, $E$9)</f>
        <v>8.1128999999999998</v>
      </c>
      <c r="H576" s="9">
        <f>11.3966 * CHOOSE(CONTROL!$C$32, $C$9, 100%, $E$9)</f>
        <v>11.396599999999999</v>
      </c>
      <c r="I576" s="9">
        <f>11.3998 * CHOOSE(CONTROL!$C$32, $C$9, 100%, $E$9)</f>
        <v>11.399800000000001</v>
      </c>
      <c r="J576" s="9">
        <f>11.3966 * CHOOSE(CONTROL!$C$32, $C$9, 100%, $E$9)</f>
        <v>11.396599999999999</v>
      </c>
      <c r="K576" s="9">
        <f>11.3998 * CHOOSE(CONTROL!$C$32, $C$9, 100%, $E$9)</f>
        <v>11.399800000000001</v>
      </c>
      <c r="L576" s="9">
        <f>8.1097 * CHOOSE(CONTROL!$C$32, $C$9, 100%, $E$9)</f>
        <v>8.1097000000000001</v>
      </c>
      <c r="M576" s="9">
        <f>8.1129 * CHOOSE(CONTROL!$C$32, $C$9, 100%, $E$9)</f>
        <v>8.1128999999999998</v>
      </c>
      <c r="N576" s="9">
        <f>8.1097 * CHOOSE(CONTROL!$C$32, $C$9, 100%, $E$9)</f>
        <v>8.1097000000000001</v>
      </c>
      <c r="O576" s="9">
        <f>8.1129 * CHOOSE(CONTROL!$C$32, $C$9, 100%, $E$9)</f>
        <v>8.1128999999999998</v>
      </c>
    </row>
    <row r="577" spans="1:15" ht="15.75" x14ac:dyDescent="0.25">
      <c r="A577" s="13">
        <v>58075</v>
      </c>
      <c r="B577" s="10">
        <f>9.5154 * CHOOSE(CONTROL!$C$32, $C$9, 100%, $E$9)</f>
        <v>9.5153999999999996</v>
      </c>
      <c r="C577" s="10">
        <f>9.5154 * CHOOSE(CONTROL!$C$32, $C$9, 100%, $E$9)</f>
        <v>9.5153999999999996</v>
      </c>
      <c r="D577" s="10">
        <f>9.5163 * CHOOSE(CONTROL!$C$32, $C$9, 100%, $E$9)</f>
        <v>9.5162999999999993</v>
      </c>
      <c r="E577" s="9">
        <f>8.0124 * CHOOSE(CONTROL!$C$32, $C$9, 100%, $E$9)</f>
        <v>8.0123999999999995</v>
      </c>
      <c r="F577" s="9">
        <f>8.0124 * CHOOSE(CONTROL!$C$32, $C$9, 100%, $E$9)</f>
        <v>8.0123999999999995</v>
      </c>
      <c r="G577" s="9">
        <f>8.0156 * CHOOSE(CONTROL!$C$32, $C$9, 100%, $E$9)</f>
        <v>8.0155999999999992</v>
      </c>
      <c r="H577" s="9">
        <f>11.3966 * CHOOSE(CONTROL!$C$32, $C$9, 100%, $E$9)</f>
        <v>11.396599999999999</v>
      </c>
      <c r="I577" s="9">
        <f>11.3998 * CHOOSE(CONTROL!$C$32, $C$9, 100%, $E$9)</f>
        <v>11.399800000000001</v>
      </c>
      <c r="J577" s="9">
        <f>11.3966 * CHOOSE(CONTROL!$C$32, $C$9, 100%, $E$9)</f>
        <v>11.396599999999999</v>
      </c>
      <c r="K577" s="9">
        <f>11.3998 * CHOOSE(CONTROL!$C$32, $C$9, 100%, $E$9)</f>
        <v>11.399800000000001</v>
      </c>
      <c r="L577" s="9">
        <f>8.0124 * CHOOSE(CONTROL!$C$32, $C$9, 100%, $E$9)</f>
        <v>8.0123999999999995</v>
      </c>
      <c r="M577" s="9">
        <f>8.0156 * CHOOSE(CONTROL!$C$32, $C$9, 100%, $E$9)</f>
        <v>8.0155999999999992</v>
      </c>
      <c r="N577" s="9">
        <f>8.0124 * CHOOSE(CONTROL!$C$32, $C$9, 100%, $E$9)</f>
        <v>8.0123999999999995</v>
      </c>
      <c r="O577" s="9">
        <f>8.0156 * CHOOSE(CONTROL!$C$32, $C$9, 100%, $E$9)</f>
        <v>8.0155999999999992</v>
      </c>
    </row>
    <row r="578" spans="1:15" ht="15.75" x14ac:dyDescent="0.25">
      <c r="A578" s="13">
        <v>58106</v>
      </c>
      <c r="B578" s="10">
        <f>9.5936 * CHOOSE(CONTROL!$C$32, $C$9, 100%, $E$9)</f>
        <v>9.5936000000000003</v>
      </c>
      <c r="C578" s="10">
        <f>9.5936 * CHOOSE(CONTROL!$C$32, $C$9, 100%, $E$9)</f>
        <v>9.5936000000000003</v>
      </c>
      <c r="D578" s="10">
        <f>9.5945 * CHOOSE(CONTROL!$C$32, $C$9, 100%, $E$9)</f>
        <v>9.5945</v>
      </c>
      <c r="E578" s="9">
        <f>8.1393 * CHOOSE(CONTROL!$C$32, $C$9, 100%, $E$9)</f>
        <v>8.1393000000000004</v>
      </c>
      <c r="F578" s="9">
        <f>8.1393 * CHOOSE(CONTROL!$C$32, $C$9, 100%, $E$9)</f>
        <v>8.1393000000000004</v>
      </c>
      <c r="G578" s="9">
        <f>8.1425 * CHOOSE(CONTROL!$C$32, $C$9, 100%, $E$9)</f>
        <v>8.1425000000000001</v>
      </c>
      <c r="H578" s="9">
        <f>11.4809 * CHOOSE(CONTROL!$C$32, $C$9, 100%, $E$9)</f>
        <v>11.4809</v>
      </c>
      <c r="I578" s="9">
        <f>11.4841 * CHOOSE(CONTROL!$C$32, $C$9, 100%, $E$9)</f>
        <v>11.4841</v>
      </c>
      <c r="J578" s="9">
        <f>11.4809 * CHOOSE(CONTROL!$C$32, $C$9, 100%, $E$9)</f>
        <v>11.4809</v>
      </c>
      <c r="K578" s="9">
        <f>11.4841 * CHOOSE(CONTROL!$C$32, $C$9, 100%, $E$9)</f>
        <v>11.4841</v>
      </c>
      <c r="L578" s="9">
        <f>8.1393 * CHOOSE(CONTROL!$C$32, $C$9, 100%, $E$9)</f>
        <v>8.1393000000000004</v>
      </c>
      <c r="M578" s="9">
        <f>8.1425 * CHOOSE(CONTROL!$C$32, $C$9, 100%, $E$9)</f>
        <v>8.1425000000000001</v>
      </c>
      <c r="N578" s="9">
        <f>8.1393 * CHOOSE(CONTROL!$C$32, $C$9, 100%, $E$9)</f>
        <v>8.1393000000000004</v>
      </c>
      <c r="O578" s="9">
        <f>8.1425 * CHOOSE(CONTROL!$C$32, $C$9, 100%, $E$9)</f>
        <v>8.1425000000000001</v>
      </c>
    </row>
    <row r="579" spans="1:15" ht="15.75" x14ac:dyDescent="0.25">
      <c r="A579" s="13">
        <v>58134</v>
      </c>
      <c r="B579" s="10">
        <f>9.5905 * CHOOSE(CONTROL!$C$32, $C$9, 100%, $E$9)</f>
        <v>9.5905000000000005</v>
      </c>
      <c r="C579" s="10">
        <f>9.5905 * CHOOSE(CONTROL!$C$32, $C$9, 100%, $E$9)</f>
        <v>9.5905000000000005</v>
      </c>
      <c r="D579" s="10">
        <f>9.5915 * CHOOSE(CONTROL!$C$32, $C$9, 100%, $E$9)</f>
        <v>9.5914999999999999</v>
      </c>
      <c r="E579" s="9">
        <f>7.9477 * CHOOSE(CONTROL!$C$32, $C$9, 100%, $E$9)</f>
        <v>7.9477000000000002</v>
      </c>
      <c r="F579" s="9">
        <f>7.9477 * CHOOSE(CONTROL!$C$32, $C$9, 100%, $E$9)</f>
        <v>7.9477000000000002</v>
      </c>
      <c r="G579" s="9">
        <f>7.9509 * CHOOSE(CONTROL!$C$32, $C$9, 100%, $E$9)</f>
        <v>7.9508999999999999</v>
      </c>
      <c r="H579" s="9">
        <f>11.4789 * CHOOSE(CONTROL!$C$32, $C$9, 100%, $E$9)</f>
        <v>11.478899999999999</v>
      </c>
      <c r="I579" s="9">
        <f>11.4821 * CHOOSE(CONTROL!$C$32, $C$9, 100%, $E$9)</f>
        <v>11.482100000000001</v>
      </c>
      <c r="J579" s="9">
        <f>11.4789 * CHOOSE(CONTROL!$C$32, $C$9, 100%, $E$9)</f>
        <v>11.478899999999999</v>
      </c>
      <c r="K579" s="9">
        <f>11.4821 * CHOOSE(CONTROL!$C$32, $C$9, 100%, $E$9)</f>
        <v>11.482100000000001</v>
      </c>
      <c r="L579" s="9">
        <f>7.9477 * CHOOSE(CONTROL!$C$32, $C$9, 100%, $E$9)</f>
        <v>7.9477000000000002</v>
      </c>
      <c r="M579" s="9">
        <f>7.9509 * CHOOSE(CONTROL!$C$32, $C$9, 100%, $E$9)</f>
        <v>7.9508999999999999</v>
      </c>
      <c r="N579" s="9">
        <f>7.9477 * CHOOSE(CONTROL!$C$32, $C$9, 100%, $E$9)</f>
        <v>7.9477000000000002</v>
      </c>
      <c r="O579" s="9">
        <f>7.9509 * CHOOSE(CONTROL!$C$32, $C$9, 100%, $E$9)</f>
        <v>7.9508999999999999</v>
      </c>
    </row>
    <row r="580" spans="1:15" ht="15.75" x14ac:dyDescent="0.25">
      <c r="A580" s="13">
        <v>58165</v>
      </c>
      <c r="B580" s="10">
        <f>9.5875 * CHOOSE(CONTROL!$C$32, $C$9, 100%, $E$9)</f>
        <v>9.5875000000000004</v>
      </c>
      <c r="C580" s="10">
        <f>9.5875 * CHOOSE(CONTROL!$C$32, $C$9, 100%, $E$9)</f>
        <v>9.5875000000000004</v>
      </c>
      <c r="D580" s="10">
        <f>9.5884 * CHOOSE(CONTROL!$C$32, $C$9, 100%, $E$9)</f>
        <v>9.5884</v>
      </c>
      <c r="E580" s="9">
        <f>8.095 * CHOOSE(CONTROL!$C$32, $C$9, 100%, $E$9)</f>
        <v>8.0950000000000006</v>
      </c>
      <c r="F580" s="9">
        <f>8.095 * CHOOSE(CONTROL!$C$32, $C$9, 100%, $E$9)</f>
        <v>8.0950000000000006</v>
      </c>
      <c r="G580" s="9">
        <f>8.0982 * CHOOSE(CONTROL!$C$32, $C$9, 100%, $E$9)</f>
        <v>8.0982000000000003</v>
      </c>
      <c r="H580" s="9">
        <f>11.4769 * CHOOSE(CONTROL!$C$32, $C$9, 100%, $E$9)</f>
        <v>11.476900000000001</v>
      </c>
      <c r="I580" s="9">
        <f>11.4801 * CHOOSE(CONTROL!$C$32, $C$9, 100%, $E$9)</f>
        <v>11.4801</v>
      </c>
      <c r="J580" s="9">
        <f>11.4769 * CHOOSE(CONTROL!$C$32, $C$9, 100%, $E$9)</f>
        <v>11.476900000000001</v>
      </c>
      <c r="K580" s="9">
        <f>11.4801 * CHOOSE(CONTROL!$C$32, $C$9, 100%, $E$9)</f>
        <v>11.4801</v>
      </c>
      <c r="L580" s="9">
        <f>8.095 * CHOOSE(CONTROL!$C$32, $C$9, 100%, $E$9)</f>
        <v>8.0950000000000006</v>
      </c>
      <c r="M580" s="9">
        <f>8.0982 * CHOOSE(CONTROL!$C$32, $C$9, 100%, $E$9)</f>
        <v>8.0982000000000003</v>
      </c>
      <c r="N580" s="9">
        <f>8.095 * CHOOSE(CONTROL!$C$32, $C$9, 100%, $E$9)</f>
        <v>8.0950000000000006</v>
      </c>
      <c r="O580" s="9">
        <f>8.0982 * CHOOSE(CONTROL!$C$32, $C$9, 100%, $E$9)</f>
        <v>8.0982000000000003</v>
      </c>
    </row>
    <row r="581" spans="1:15" ht="15.75" x14ac:dyDescent="0.25">
      <c r="A581" s="13">
        <v>58195</v>
      </c>
      <c r="B581" s="10">
        <f>9.5909 * CHOOSE(CONTROL!$C$32, $C$9, 100%, $E$9)</f>
        <v>9.5908999999999995</v>
      </c>
      <c r="C581" s="10">
        <f>9.5909 * CHOOSE(CONTROL!$C$32, $C$9, 100%, $E$9)</f>
        <v>9.5908999999999995</v>
      </c>
      <c r="D581" s="10">
        <f>9.5918 * CHOOSE(CONTROL!$C$32, $C$9, 100%, $E$9)</f>
        <v>9.5917999999999992</v>
      </c>
      <c r="E581" s="9">
        <f>8.2511 * CHOOSE(CONTROL!$C$32, $C$9, 100%, $E$9)</f>
        <v>8.2510999999999992</v>
      </c>
      <c r="F581" s="9">
        <f>8.2511 * CHOOSE(CONTROL!$C$32, $C$9, 100%, $E$9)</f>
        <v>8.2510999999999992</v>
      </c>
      <c r="G581" s="9">
        <f>8.2543 * CHOOSE(CONTROL!$C$32, $C$9, 100%, $E$9)</f>
        <v>8.2543000000000006</v>
      </c>
      <c r="H581" s="9">
        <f>11.4788 * CHOOSE(CONTROL!$C$32, $C$9, 100%, $E$9)</f>
        <v>11.4788</v>
      </c>
      <c r="I581" s="9">
        <f>11.482 * CHOOSE(CONTROL!$C$32, $C$9, 100%, $E$9)</f>
        <v>11.481999999999999</v>
      </c>
      <c r="J581" s="9">
        <f>11.4788 * CHOOSE(CONTROL!$C$32, $C$9, 100%, $E$9)</f>
        <v>11.4788</v>
      </c>
      <c r="K581" s="9">
        <f>11.482 * CHOOSE(CONTROL!$C$32, $C$9, 100%, $E$9)</f>
        <v>11.481999999999999</v>
      </c>
      <c r="L581" s="9">
        <f>8.2511 * CHOOSE(CONTROL!$C$32, $C$9, 100%, $E$9)</f>
        <v>8.2510999999999992</v>
      </c>
      <c r="M581" s="9">
        <f>8.2543 * CHOOSE(CONTROL!$C$32, $C$9, 100%, $E$9)</f>
        <v>8.2543000000000006</v>
      </c>
      <c r="N581" s="9">
        <f>8.2511 * CHOOSE(CONTROL!$C$32, $C$9, 100%, $E$9)</f>
        <v>8.2510999999999992</v>
      </c>
      <c r="O581" s="9">
        <f>8.2543 * CHOOSE(CONTROL!$C$32, $C$9, 100%, $E$9)</f>
        <v>8.2543000000000006</v>
      </c>
    </row>
    <row r="582" spans="1:15" ht="15.75" x14ac:dyDescent="0.25">
      <c r="A582" s="13">
        <v>58226</v>
      </c>
      <c r="B582" s="10">
        <f>9.5909 * CHOOSE(CONTROL!$C$32, $C$9, 100%, $E$9)</f>
        <v>9.5908999999999995</v>
      </c>
      <c r="C582" s="10">
        <f>9.5909 * CHOOSE(CONTROL!$C$32, $C$9, 100%, $E$9)</f>
        <v>9.5908999999999995</v>
      </c>
      <c r="D582" s="10">
        <f>9.5922 * CHOOSE(CONTROL!$C$32, $C$9, 100%, $E$9)</f>
        <v>9.5922000000000001</v>
      </c>
      <c r="E582" s="9">
        <f>8.3113 * CHOOSE(CONTROL!$C$32, $C$9, 100%, $E$9)</f>
        <v>8.3112999999999992</v>
      </c>
      <c r="F582" s="9">
        <f>8.3113 * CHOOSE(CONTROL!$C$32, $C$9, 100%, $E$9)</f>
        <v>8.3112999999999992</v>
      </c>
      <c r="G582" s="9">
        <f>8.3157 * CHOOSE(CONTROL!$C$32, $C$9, 100%, $E$9)</f>
        <v>8.3156999999999996</v>
      </c>
      <c r="H582" s="9">
        <f>11.4788 * CHOOSE(CONTROL!$C$32, $C$9, 100%, $E$9)</f>
        <v>11.4788</v>
      </c>
      <c r="I582" s="9">
        <f>11.4832 * CHOOSE(CONTROL!$C$32, $C$9, 100%, $E$9)</f>
        <v>11.4832</v>
      </c>
      <c r="J582" s="9">
        <f>11.4788 * CHOOSE(CONTROL!$C$32, $C$9, 100%, $E$9)</f>
        <v>11.4788</v>
      </c>
      <c r="K582" s="9">
        <f>11.4832 * CHOOSE(CONTROL!$C$32, $C$9, 100%, $E$9)</f>
        <v>11.4832</v>
      </c>
      <c r="L582" s="9">
        <f>8.3113 * CHOOSE(CONTROL!$C$32, $C$9, 100%, $E$9)</f>
        <v>8.3112999999999992</v>
      </c>
      <c r="M582" s="9">
        <f>8.3157 * CHOOSE(CONTROL!$C$32, $C$9, 100%, $E$9)</f>
        <v>8.3156999999999996</v>
      </c>
      <c r="N582" s="9">
        <f>8.3113 * CHOOSE(CONTROL!$C$32, $C$9, 100%, $E$9)</f>
        <v>8.3112999999999992</v>
      </c>
      <c r="O582" s="9">
        <f>8.3157 * CHOOSE(CONTROL!$C$32, $C$9, 100%, $E$9)</f>
        <v>8.3156999999999996</v>
      </c>
    </row>
    <row r="583" spans="1:15" ht="15.75" x14ac:dyDescent="0.25">
      <c r="A583" s="13">
        <v>58256</v>
      </c>
      <c r="B583" s="10">
        <f>9.597 * CHOOSE(CONTROL!$C$32, $C$9, 100%, $E$9)</f>
        <v>9.5969999999999995</v>
      </c>
      <c r="C583" s="10">
        <f>9.597 * CHOOSE(CONTROL!$C$32, $C$9, 100%, $E$9)</f>
        <v>9.5969999999999995</v>
      </c>
      <c r="D583" s="10">
        <f>9.5983 * CHOOSE(CONTROL!$C$32, $C$9, 100%, $E$9)</f>
        <v>9.5983000000000001</v>
      </c>
      <c r="E583" s="9">
        <f>8.2554 * CHOOSE(CONTROL!$C$32, $C$9, 100%, $E$9)</f>
        <v>8.2553999999999998</v>
      </c>
      <c r="F583" s="9">
        <f>8.2554 * CHOOSE(CONTROL!$C$32, $C$9, 100%, $E$9)</f>
        <v>8.2553999999999998</v>
      </c>
      <c r="G583" s="9">
        <f>8.2597 * CHOOSE(CONTROL!$C$32, $C$9, 100%, $E$9)</f>
        <v>8.2597000000000005</v>
      </c>
      <c r="H583" s="9">
        <f>11.4828 * CHOOSE(CONTROL!$C$32, $C$9, 100%, $E$9)</f>
        <v>11.482799999999999</v>
      </c>
      <c r="I583" s="9">
        <f>11.4872 * CHOOSE(CONTROL!$C$32, $C$9, 100%, $E$9)</f>
        <v>11.4872</v>
      </c>
      <c r="J583" s="9">
        <f>11.4828 * CHOOSE(CONTROL!$C$32, $C$9, 100%, $E$9)</f>
        <v>11.482799999999999</v>
      </c>
      <c r="K583" s="9">
        <f>11.4872 * CHOOSE(CONTROL!$C$32, $C$9, 100%, $E$9)</f>
        <v>11.4872</v>
      </c>
      <c r="L583" s="9">
        <f>8.2554 * CHOOSE(CONTROL!$C$32, $C$9, 100%, $E$9)</f>
        <v>8.2553999999999998</v>
      </c>
      <c r="M583" s="9">
        <f>8.2597 * CHOOSE(CONTROL!$C$32, $C$9, 100%, $E$9)</f>
        <v>8.2597000000000005</v>
      </c>
      <c r="N583" s="9">
        <f>8.2554 * CHOOSE(CONTROL!$C$32, $C$9, 100%, $E$9)</f>
        <v>8.2553999999999998</v>
      </c>
      <c r="O583" s="9">
        <f>8.2597 * CHOOSE(CONTROL!$C$32, $C$9, 100%, $E$9)</f>
        <v>8.2597000000000005</v>
      </c>
    </row>
    <row r="584" spans="1:15" ht="15.75" x14ac:dyDescent="0.25">
      <c r="A584" s="13">
        <v>58287</v>
      </c>
      <c r="B584" s="10">
        <f>9.7318 * CHOOSE(CONTROL!$C$32, $C$9, 100%, $E$9)</f>
        <v>9.7317999999999998</v>
      </c>
      <c r="C584" s="10">
        <f>9.7318 * CHOOSE(CONTROL!$C$32, $C$9, 100%, $E$9)</f>
        <v>9.7317999999999998</v>
      </c>
      <c r="D584" s="10">
        <f>9.7331 * CHOOSE(CONTROL!$C$32, $C$9, 100%, $E$9)</f>
        <v>9.7331000000000003</v>
      </c>
      <c r="E584" s="9">
        <f>8.3508 * CHOOSE(CONTROL!$C$32, $C$9, 100%, $E$9)</f>
        <v>8.3507999999999996</v>
      </c>
      <c r="F584" s="9">
        <f>8.3508 * CHOOSE(CONTROL!$C$32, $C$9, 100%, $E$9)</f>
        <v>8.3507999999999996</v>
      </c>
      <c r="G584" s="9">
        <f>8.3551 * CHOOSE(CONTROL!$C$32, $C$9, 100%, $E$9)</f>
        <v>8.3551000000000002</v>
      </c>
      <c r="H584" s="9">
        <f>11.654 * CHOOSE(CONTROL!$C$32, $C$9, 100%, $E$9)</f>
        <v>11.654</v>
      </c>
      <c r="I584" s="9">
        <f>11.6584 * CHOOSE(CONTROL!$C$32, $C$9, 100%, $E$9)</f>
        <v>11.6584</v>
      </c>
      <c r="J584" s="9">
        <f>11.654 * CHOOSE(CONTROL!$C$32, $C$9, 100%, $E$9)</f>
        <v>11.654</v>
      </c>
      <c r="K584" s="9">
        <f>11.6584 * CHOOSE(CONTROL!$C$32, $C$9, 100%, $E$9)</f>
        <v>11.6584</v>
      </c>
      <c r="L584" s="9">
        <f>8.3508 * CHOOSE(CONTROL!$C$32, $C$9, 100%, $E$9)</f>
        <v>8.3507999999999996</v>
      </c>
      <c r="M584" s="9">
        <f>8.3551 * CHOOSE(CONTROL!$C$32, $C$9, 100%, $E$9)</f>
        <v>8.3551000000000002</v>
      </c>
      <c r="N584" s="9">
        <f>8.3508 * CHOOSE(CONTROL!$C$32, $C$9, 100%, $E$9)</f>
        <v>8.3507999999999996</v>
      </c>
      <c r="O584" s="9">
        <f>8.3551 * CHOOSE(CONTROL!$C$32, $C$9, 100%, $E$9)</f>
        <v>8.3551000000000002</v>
      </c>
    </row>
    <row r="585" spans="1:15" ht="15.75" x14ac:dyDescent="0.25">
      <c r="A585" s="13">
        <v>58318</v>
      </c>
      <c r="B585" s="10">
        <f>9.7385 * CHOOSE(CONTROL!$C$32, $C$9, 100%, $E$9)</f>
        <v>9.7385000000000002</v>
      </c>
      <c r="C585" s="10">
        <f>9.7385 * CHOOSE(CONTROL!$C$32, $C$9, 100%, $E$9)</f>
        <v>9.7385000000000002</v>
      </c>
      <c r="D585" s="10">
        <f>9.7398 * CHOOSE(CONTROL!$C$32, $C$9, 100%, $E$9)</f>
        <v>9.7398000000000007</v>
      </c>
      <c r="E585" s="9">
        <f>8.175 * CHOOSE(CONTROL!$C$32, $C$9, 100%, $E$9)</f>
        <v>8.1750000000000007</v>
      </c>
      <c r="F585" s="9">
        <f>8.175 * CHOOSE(CONTROL!$C$32, $C$9, 100%, $E$9)</f>
        <v>8.1750000000000007</v>
      </c>
      <c r="G585" s="9">
        <f>8.1793 * CHOOSE(CONTROL!$C$32, $C$9, 100%, $E$9)</f>
        <v>8.1792999999999996</v>
      </c>
      <c r="H585" s="9">
        <f>11.6584 * CHOOSE(CONTROL!$C$32, $C$9, 100%, $E$9)</f>
        <v>11.6584</v>
      </c>
      <c r="I585" s="9">
        <f>11.6628 * CHOOSE(CONTROL!$C$32, $C$9, 100%, $E$9)</f>
        <v>11.662800000000001</v>
      </c>
      <c r="J585" s="9">
        <f>11.6584 * CHOOSE(CONTROL!$C$32, $C$9, 100%, $E$9)</f>
        <v>11.6584</v>
      </c>
      <c r="K585" s="9">
        <f>11.6628 * CHOOSE(CONTROL!$C$32, $C$9, 100%, $E$9)</f>
        <v>11.662800000000001</v>
      </c>
      <c r="L585" s="9">
        <f>8.175 * CHOOSE(CONTROL!$C$32, $C$9, 100%, $E$9)</f>
        <v>8.1750000000000007</v>
      </c>
      <c r="M585" s="9">
        <f>8.1793 * CHOOSE(CONTROL!$C$32, $C$9, 100%, $E$9)</f>
        <v>8.1792999999999996</v>
      </c>
      <c r="N585" s="9">
        <f>8.175 * CHOOSE(CONTROL!$C$32, $C$9, 100%, $E$9)</f>
        <v>8.1750000000000007</v>
      </c>
      <c r="O585" s="9">
        <f>8.1793 * CHOOSE(CONTROL!$C$32, $C$9, 100%, $E$9)</f>
        <v>8.1792999999999996</v>
      </c>
    </row>
    <row r="586" spans="1:15" ht="15.75" x14ac:dyDescent="0.25">
      <c r="A586" s="13">
        <v>58348</v>
      </c>
      <c r="B586" s="10">
        <f>9.7355 * CHOOSE(CONTROL!$C$32, $C$9, 100%, $E$9)</f>
        <v>9.7355</v>
      </c>
      <c r="C586" s="10">
        <f>9.7355 * CHOOSE(CONTROL!$C$32, $C$9, 100%, $E$9)</f>
        <v>9.7355</v>
      </c>
      <c r="D586" s="10">
        <f>9.7368 * CHOOSE(CONTROL!$C$32, $C$9, 100%, $E$9)</f>
        <v>9.7368000000000006</v>
      </c>
      <c r="E586" s="9">
        <f>8.1528 * CHOOSE(CONTROL!$C$32, $C$9, 100%, $E$9)</f>
        <v>8.1527999999999992</v>
      </c>
      <c r="F586" s="9">
        <f>8.1528 * CHOOSE(CONTROL!$C$32, $C$9, 100%, $E$9)</f>
        <v>8.1527999999999992</v>
      </c>
      <c r="G586" s="9">
        <f>8.1572 * CHOOSE(CONTROL!$C$32, $C$9, 100%, $E$9)</f>
        <v>8.1571999999999996</v>
      </c>
      <c r="H586" s="9">
        <f>11.6564 * CHOOSE(CONTROL!$C$32, $C$9, 100%, $E$9)</f>
        <v>11.6564</v>
      </c>
      <c r="I586" s="9">
        <f>11.6608 * CHOOSE(CONTROL!$C$32, $C$9, 100%, $E$9)</f>
        <v>11.6608</v>
      </c>
      <c r="J586" s="9">
        <f>11.6564 * CHOOSE(CONTROL!$C$32, $C$9, 100%, $E$9)</f>
        <v>11.6564</v>
      </c>
      <c r="K586" s="9">
        <f>11.6608 * CHOOSE(CONTROL!$C$32, $C$9, 100%, $E$9)</f>
        <v>11.6608</v>
      </c>
      <c r="L586" s="9">
        <f>8.1528 * CHOOSE(CONTROL!$C$32, $C$9, 100%, $E$9)</f>
        <v>8.1527999999999992</v>
      </c>
      <c r="M586" s="9">
        <f>8.1572 * CHOOSE(CONTROL!$C$32, $C$9, 100%, $E$9)</f>
        <v>8.1571999999999996</v>
      </c>
      <c r="N586" s="9">
        <f>8.1528 * CHOOSE(CONTROL!$C$32, $C$9, 100%, $E$9)</f>
        <v>8.1527999999999992</v>
      </c>
      <c r="O586" s="9">
        <f>8.1572 * CHOOSE(CONTROL!$C$32, $C$9, 100%, $E$9)</f>
        <v>8.1571999999999996</v>
      </c>
    </row>
    <row r="587" spans="1:15" ht="15.75" x14ac:dyDescent="0.25">
      <c r="A587" s="13">
        <v>58379</v>
      </c>
      <c r="B587" s="10">
        <f>9.7532 * CHOOSE(CONTROL!$C$32, $C$9, 100%, $E$9)</f>
        <v>9.7531999999999996</v>
      </c>
      <c r="C587" s="10">
        <f>9.7532 * CHOOSE(CONTROL!$C$32, $C$9, 100%, $E$9)</f>
        <v>9.7531999999999996</v>
      </c>
      <c r="D587" s="10">
        <f>9.7541 * CHOOSE(CONTROL!$C$32, $C$9, 100%, $E$9)</f>
        <v>9.7540999999999993</v>
      </c>
      <c r="E587" s="9">
        <f>8.2196 * CHOOSE(CONTROL!$C$32, $C$9, 100%, $E$9)</f>
        <v>8.2195999999999998</v>
      </c>
      <c r="F587" s="9">
        <f>8.2196 * CHOOSE(CONTROL!$C$32, $C$9, 100%, $E$9)</f>
        <v>8.2195999999999998</v>
      </c>
      <c r="G587" s="9">
        <f>8.2228 * CHOOSE(CONTROL!$C$32, $C$9, 100%, $E$9)</f>
        <v>8.2227999999999994</v>
      </c>
      <c r="H587" s="9">
        <f>11.6667 * CHOOSE(CONTROL!$C$32, $C$9, 100%, $E$9)</f>
        <v>11.666700000000001</v>
      </c>
      <c r="I587" s="9">
        <f>11.6699 * CHOOSE(CONTROL!$C$32, $C$9, 100%, $E$9)</f>
        <v>11.6699</v>
      </c>
      <c r="J587" s="9">
        <f>11.6667 * CHOOSE(CONTROL!$C$32, $C$9, 100%, $E$9)</f>
        <v>11.666700000000001</v>
      </c>
      <c r="K587" s="9">
        <f>11.6699 * CHOOSE(CONTROL!$C$32, $C$9, 100%, $E$9)</f>
        <v>11.6699</v>
      </c>
      <c r="L587" s="9">
        <f>8.2196 * CHOOSE(CONTROL!$C$32, $C$9, 100%, $E$9)</f>
        <v>8.2195999999999998</v>
      </c>
      <c r="M587" s="9">
        <f>8.2228 * CHOOSE(CONTROL!$C$32, $C$9, 100%, $E$9)</f>
        <v>8.2227999999999994</v>
      </c>
      <c r="N587" s="9">
        <f>8.2196 * CHOOSE(CONTROL!$C$32, $C$9, 100%, $E$9)</f>
        <v>8.2195999999999998</v>
      </c>
      <c r="O587" s="9">
        <f>8.2228 * CHOOSE(CONTROL!$C$32, $C$9, 100%, $E$9)</f>
        <v>8.2227999999999994</v>
      </c>
    </row>
    <row r="588" spans="1:15" ht="15.75" x14ac:dyDescent="0.25">
      <c r="A588" s="13">
        <v>58409</v>
      </c>
      <c r="B588" s="10">
        <f>9.7562 * CHOOSE(CONTROL!$C$32, $C$9, 100%, $E$9)</f>
        <v>9.7561999999999998</v>
      </c>
      <c r="C588" s="10">
        <f>9.7562 * CHOOSE(CONTROL!$C$32, $C$9, 100%, $E$9)</f>
        <v>9.7561999999999998</v>
      </c>
      <c r="D588" s="10">
        <f>9.7572 * CHOOSE(CONTROL!$C$32, $C$9, 100%, $E$9)</f>
        <v>9.7571999999999992</v>
      </c>
      <c r="E588" s="9">
        <f>8.2618 * CHOOSE(CONTROL!$C$32, $C$9, 100%, $E$9)</f>
        <v>8.2617999999999991</v>
      </c>
      <c r="F588" s="9">
        <f>8.2618 * CHOOSE(CONTROL!$C$32, $C$9, 100%, $E$9)</f>
        <v>8.2617999999999991</v>
      </c>
      <c r="G588" s="9">
        <f>8.265 * CHOOSE(CONTROL!$C$32, $C$9, 100%, $E$9)</f>
        <v>8.2650000000000006</v>
      </c>
      <c r="H588" s="9">
        <f>11.6687 * CHOOSE(CONTROL!$C$32, $C$9, 100%, $E$9)</f>
        <v>11.668699999999999</v>
      </c>
      <c r="I588" s="9">
        <f>11.6719 * CHOOSE(CONTROL!$C$32, $C$9, 100%, $E$9)</f>
        <v>11.671900000000001</v>
      </c>
      <c r="J588" s="9">
        <f>11.6687 * CHOOSE(CONTROL!$C$32, $C$9, 100%, $E$9)</f>
        <v>11.668699999999999</v>
      </c>
      <c r="K588" s="9">
        <f>11.6719 * CHOOSE(CONTROL!$C$32, $C$9, 100%, $E$9)</f>
        <v>11.671900000000001</v>
      </c>
      <c r="L588" s="9">
        <f>8.2618 * CHOOSE(CONTROL!$C$32, $C$9, 100%, $E$9)</f>
        <v>8.2617999999999991</v>
      </c>
      <c r="M588" s="9">
        <f>8.265 * CHOOSE(CONTROL!$C$32, $C$9, 100%, $E$9)</f>
        <v>8.2650000000000006</v>
      </c>
      <c r="N588" s="9">
        <f>8.2618 * CHOOSE(CONTROL!$C$32, $C$9, 100%, $E$9)</f>
        <v>8.2617999999999991</v>
      </c>
      <c r="O588" s="9">
        <f>8.265 * CHOOSE(CONTROL!$C$32, $C$9, 100%, $E$9)</f>
        <v>8.2650000000000006</v>
      </c>
    </row>
    <row r="589" spans="1:15" ht="15.75" x14ac:dyDescent="0.25">
      <c r="A589" s="13">
        <v>58440</v>
      </c>
      <c r="B589" s="10">
        <f>9.7562 * CHOOSE(CONTROL!$C$32, $C$9, 100%, $E$9)</f>
        <v>9.7561999999999998</v>
      </c>
      <c r="C589" s="10">
        <f>9.7562 * CHOOSE(CONTROL!$C$32, $C$9, 100%, $E$9)</f>
        <v>9.7561999999999998</v>
      </c>
      <c r="D589" s="10">
        <f>9.7572 * CHOOSE(CONTROL!$C$32, $C$9, 100%, $E$9)</f>
        <v>9.7571999999999992</v>
      </c>
      <c r="E589" s="9">
        <f>8.1615 * CHOOSE(CONTROL!$C$32, $C$9, 100%, $E$9)</f>
        <v>8.1615000000000002</v>
      </c>
      <c r="F589" s="9">
        <f>8.1615 * CHOOSE(CONTROL!$C$32, $C$9, 100%, $E$9)</f>
        <v>8.1615000000000002</v>
      </c>
      <c r="G589" s="9">
        <f>8.1647 * CHOOSE(CONTROL!$C$32, $C$9, 100%, $E$9)</f>
        <v>8.1646999999999998</v>
      </c>
      <c r="H589" s="9">
        <f>11.6687 * CHOOSE(CONTROL!$C$32, $C$9, 100%, $E$9)</f>
        <v>11.668699999999999</v>
      </c>
      <c r="I589" s="9">
        <f>11.6719 * CHOOSE(CONTROL!$C$32, $C$9, 100%, $E$9)</f>
        <v>11.671900000000001</v>
      </c>
      <c r="J589" s="9">
        <f>11.6687 * CHOOSE(CONTROL!$C$32, $C$9, 100%, $E$9)</f>
        <v>11.668699999999999</v>
      </c>
      <c r="K589" s="9">
        <f>11.6719 * CHOOSE(CONTROL!$C$32, $C$9, 100%, $E$9)</f>
        <v>11.671900000000001</v>
      </c>
      <c r="L589" s="9">
        <f>8.1615 * CHOOSE(CONTROL!$C$32, $C$9, 100%, $E$9)</f>
        <v>8.1615000000000002</v>
      </c>
      <c r="M589" s="9">
        <f>8.1647 * CHOOSE(CONTROL!$C$32, $C$9, 100%, $E$9)</f>
        <v>8.1646999999999998</v>
      </c>
      <c r="N589" s="9">
        <f>8.1615 * CHOOSE(CONTROL!$C$32, $C$9, 100%, $E$9)</f>
        <v>8.1615000000000002</v>
      </c>
      <c r="O589" s="9">
        <f>8.1647 * CHOOSE(CONTROL!$C$32, $C$9, 100%, $E$9)</f>
        <v>8.1646999999999998</v>
      </c>
    </row>
    <row r="590" spans="1:15" ht="15.75" x14ac:dyDescent="0.25">
      <c r="A590" s="13">
        <v>58471</v>
      </c>
      <c r="B590" s="10">
        <f>9.8363 * CHOOSE(CONTROL!$C$32, $C$9, 100%, $E$9)</f>
        <v>9.8362999999999996</v>
      </c>
      <c r="C590" s="10">
        <f>9.8363 * CHOOSE(CONTROL!$C$32, $C$9, 100%, $E$9)</f>
        <v>9.8362999999999996</v>
      </c>
      <c r="D590" s="10">
        <f>9.8372 * CHOOSE(CONTROL!$C$32, $C$9, 100%, $E$9)</f>
        <v>9.8371999999999993</v>
      </c>
      <c r="E590" s="9">
        <f>8.2918 * CHOOSE(CONTROL!$C$32, $C$9, 100%, $E$9)</f>
        <v>8.2918000000000003</v>
      </c>
      <c r="F590" s="9">
        <f>8.2918 * CHOOSE(CONTROL!$C$32, $C$9, 100%, $E$9)</f>
        <v>8.2918000000000003</v>
      </c>
      <c r="G590" s="9">
        <f>8.295 * CHOOSE(CONTROL!$C$32, $C$9, 100%, $E$9)</f>
        <v>8.2949999999999999</v>
      </c>
      <c r="H590" s="9">
        <f>11.7549 * CHOOSE(CONTROL!$C$32, $C$9, 100%, $E$9)</f>
        <v>11.754899999999999</v>
      </c>
      <c r="I590" s="9">
        <f>11.7581 * CHOOSE(CONTROL!$C$32, $C$9, 100%, $E$9)</f>
        <v>11.758100000000001</v>
      </c>
      <c r="J590" s="9">
        <f>11.7549 * CHOOSE(CONTROL!$C$32, $C$9, 100%, $E$9)</f>
        <v>11.754899999999999</v>
      </c>
      <c r="K590" s="9">
        <f>11.7581 * CHOOSE(CONTROL!$C$32, $C$9, 100%, $E$9)</f>
        <v>11.758100000000001</v>
      </c>
      <c r="L590" s="9">
        <f>8.2918 * CHOOSE(CONTROL!$C$32, $C$9, 100%, $E$9)</f>
        <v>8.2918000000000003</v>
      </c>
      <c r="M590" s="9">
        <f>8.295 * CHOOSE(CONTROL!$C$32, $C$9, 100%, $E$9)</f>
        <v>8.2949999999999999</v>
      </c>
      <c r="N590" s="9">
        <f>8.2918 * CHOOSE(CONTROL!$C$32, $C$9, 100%, $E$9)</f>
        <v>8.2918000000000003</v>
      </c>
      <c r="O590" s="9">
        <f>8.295 * CHOOSE(CONTROL!$C$32, $C$9, 100%, $E$9)</f>
        <v>8.2949999999999999</v>
      </c>
    </row>
    <row r="591" spans="1:15" ht="15.75" x14ac:dyDescent="0.25">
      <c r="A591" s="13">
        <v>58499</v>
      </c>
      <c r="B591" s="10">
        <f>9.8333 * CHOOSE(CONTROL!$C$32, $C$9, 100%, $E$9)</f>
        <v>9.8332999999999995</v>
      </c>
      <c r="C591" s="10">
        <f>9.8333 * CHOOSE(CONTROL!$C$32, $C$9, 100%, $E$9)</f>
        <v>9.8332999999999995</v>
      </c>
      <c r="D591" s="10">
        <f>9.8342 * CHOOSE(CONTROL!$C$32, $C$9, 100%, $E$9)</f>
        <v>9.8341999999999992</v>
      </c>
      <c r="E591" s="9">
        <f>8.0945 * CHOOSE(CONTROL!$C$32, $C$9, 100%, $E$9)</f>
        <v>8.0945</v>
      </c>
      <c r="F591" s="9">
        <f>8.0945 * CHOOSE(CONTROL!$C$32, $C$9, 100%, $E$9)</f>
        <v>8.0945</v>
      </c>
      <c r="G591" s="9">
        <f>8.0977 * CHOOSE(CONTROL!$C$32, $C$9, 100%, $E$9)</f>
        <v>8.0976999999999997</v>
      </c>
      <c r="H591" s="9">
        <f>11.7529 * CHOOSE(CONTROL!$C$32, $C$9, 100%, $E$9)</f>
        <v>11.7529</v>
      </c>
      <c r="I591" s="9">
        <f>11.7561 * CHOOSE(CONTROL!$C$32, $C$9, 100%, $E$9)</f>
        <v>11.7561</v>
      </c>
      <c r="J591" s="9">
        <f>11.7529 * CHOOSE(CONTROL!$C$32, $C$9, 100%, $E$9)</f>
        <v>11.7529</v>
      </c>
      <c r="K591" s="9">
        <f>11.7561 * CHOOSE(CONTROL!$C$32, $C$9, 100%, $E$9)</f>
        <v>11.7561</v>
      </c>
      <c r="L591" s="9">
        <f>8.0945 * CHOOSE(CONTROL!$C$32, $C$9, 100%, $E$9)</f>
        <v>8.0945</v>
      </c>
      <c r="M591" s="9">
        <f>8.0977 * CHOOSE(CONTROL!$C$32, $C$9, 100%, $E$9)</f>
        <v>8.0976999999999997</v>
      </c>
      <c r="N591" s="9">
        <f>8.0945 * CHOOSE(CONTROL!$C$32, $C$9, 100%, $E$9)</f>
        <v>8.0945</v>
      </c>
      <c r="O591" s="9">
        <f>8.0977 * CHOOSE(CONTROL!$C$32, $C$9, 100%, $E$9)</f>
        <v>8.0976999999999997</v>
      </c>
    </row>
    <row r="592" spans="1:15" ht="15.75" x14ac:dyDescent="0.25">
      <c r="A592" s="13">
        <v>58531</v>
      </c>
      <c r="B592" s="10">
        <f>9.8302 * CHOOSE(CONTROL!$C$32, $C$9, 100%, $E$9)</f>
        <v>9.8301999999999996</v>
      </c>
      <c r="C592" s="10">
        <f>9.8302 * CHOOSE(CONTROL!$C$32, $C$9, 100%, $E$9)</f>
        <v>9.8301999999999996</v>
      </c>
      <c r="D592" s="10">
        <f>9.8312 * CHOOSE(CONTROL!$C$32, $C$9, 100%, $E$9)</f>
        <v>9.8312000000000008</v>
      </c>
      <c r="E592" s="9">
        <f>8.2462 * CHOOSE(CONTROL!$C$32, $C$9, 100%, $E$9)</f>
        <v>8.2462</v>
      </c>
      <c r="F592" s="9">
        <f>8.2462 * CHOOSE(CONTROL!$C$32, $C$9, 100%, $E$9)</f>
        <v>8.2462</v>
      </c>
      <c r="G592" s="9">
        <f>8.2494 * CHOOSE(CONTROL!$C$32, $C$9, 100%, $E$9)</f>
        <v>8.2493999999999996</v>
      </c>
      <c r="H592" s="9">
        <f>11.7509 * CHOOSE(CONTROL!$C$32, $C$9, 100%, $E$9)</f>
        <v>11.7509</v>
      </c>
      <c r="I592" s="9">
        <f>11.7541 * CHOOSE(CONTROL!$C$32, $C$9, 100%, $E$9)</f>
        <v>11.754099999999999</v>
      </c>
      <c r="J592" s="9">
        <f>11.7509 * CHOOSE(CONTROL!$C$32, $C$9, 100%, $E$9)</f>
        <v>11.7509</v>
      </c>
      <c r="K592" s="9">
        <f>11.7541 * CHOOSE(CONTROL!$C$32, $C$9, 100%, $E$9)</f>
        <v>11.754099999999999</v>
      </c>
      <c r="L592" s="9">
        <f>8.2462 * CHOOSE(CONTROL!$C$32, $C$9, 100%, $E$9)</f>
        <v>8.2462</v>
      </c>
      <c r="M592" s="9">
        <f>8.2494 * CHOOSE(CONTROL!$C$32, $C$9, 100%, $E$9)</f>
        <v>8.2493999999999996</v>
      </c>
      <c r="N592" s="9">
        <f>8.2462 * CHOOSE(CONTROL!$C$32, $C$9, 100%, $E$9)</f>
        <v>8.2462</v>
      </c>
      <c r="O592" s="9">
        <f>8.2494 * CHOOSE(CONTROL!$C$32, $C$9, 100%, $E$9)</f>
        <v>8.2493999999999996</v>
      </c>
    </row>
    <row r="593" spans="1:15" ht="15.75" x14ac:dyDescent="0.25">
      <c r="A593" s="13">
        <v>58561</v>
      </c>
      <c r="B593" s="10">
        <f>9.8338 * CHOOSE(CONTROL!$C$32, $C$9, 100%, $E$9)</f>
        <v>9.8338000000000001</v>
      </c>
      <c r="C593" s="10">
        <f>9.8338 * CHOOSE(CONTROL!$C$32, $C$9, 100%, $E$9)</f>
        <v>9.8338000000000001</v>
      </c>
      <c r="D593" s="10">
        <f>9.8348 * CHOOSE(CONTROL!$C$32, $C$9, 100%, $E$9)</f>
        <v>9.8347999999999995</v>
      </c>
      <c r="E593" s="9">
        <f>8.4072 * CHOOSE(CONTROL!$C$32, $C$9, 100%, $E$9)</f>
        <v>8.4071999999999996</v>
      </c>
      <c r="F593" s="9">
        <f>8.4072 * CHOOSE(CONTROL!$C$32, $C$9, 100%, $E$9)</f>
        <v>8.4071999999999996</v>
      </c>
      <c r="G593" s="9">
        <f>8.4104 * CHOOSE(CONTROL!$C$32, $C$9, 100%, $E$9)</f>
        <v>8.4103999999999992</v>
      </c>
      <c r="H593" s="9">
        <f>11.753 * CHOOSE(CONTROL!$C$32, $C$9, 100%, $E$9)</f>
        <v>11.753</v>
      </c>
      <c r="I593" s="9">
        <f>11.7562 * CHOOSE(CONTROL!$C$32, $C$9, 100%, $E$9)</f>
        <v>11.7562</v>
      </c>
      <c r="J593" s="9">
        <f>11.753 * CHOOSE(CONTROL!$C$32, $C$9, 100%, $E$9)</f>
        <v>11.753</v>
      </c>
      <c r="K593" s="9">
        <f>11.7562 * CHOOSE(CONTROL!$C$32, $C$9, 100%, $E$9)</f>
        <v>11.7562</v>
      </c>
      <c r="L593" s="9">
        <f>8.4072 * CHOOSE(CONTROL!$C$32, $C$9, 100%, $E$9)</f>
        <v>8.4071999999999996</v>
      </c>
      <c r="M593" s="9">
        <f>8.4104 * CHOOSE(CONTROL!$C$32, $C$9, 100%, $E$9)</f>
        <v>8.4103999999999992</v>
      </c>
      <c r="N593" s="9">
        <f>8.4072 * CHOOSE(CONTROL!$C$32, $C$9, 100%, $E$9)</f>
        <v>8.4071999999999996</v>
      </c>
      <c r="O593" s="9">
        <f>8.4104 * CHOOSE(CONTROL!$C$32, $C$9, 100%, $E$9)</f>
        <v>8.4103999999999992</v>
      </c>
    </row>
    <row r="594" spans="1:15" ht="15.75" x14ac:dyDescent="0.25">
      <c r="A594" s="13">
        <v>58592</v>
      </c>
      <c r="B594" s="10">
        <f>9.8338 * CHOOSE(CONTROL!$C$32, $C$9, 100%, $E$9)</f>
        <v>9.8338000000000001</v>
      </c>
      <c r="C594" s="10">
        <f>9.8338 * CHOOSE(CONTROL!$C$32, $C$9, 100%, $E$9)</f>
        <v>9.8338000000000001</v>
      </c>
      <c r="D594" s="10">
        <f>9.8352 * CHOOSE(CONTROL!$C$32, $C$9, 100%, $E$9)</f>
        <v>9.8352000000000004</v>
      </c>
      <c r="E594" s="9">
        <f>8.4692 * CHOOSE(CONTROL!$C$32, $C$9, 100%, $E$9)</f>
        <v>8.4692000000000007</v>
      </c>
      <c r="F594" s="9">
        <f>8.4692 * CHOOSE(CONTROL!$C$32, $C$9, 100%, $E$9)</f>
        <v>8.4692000000000007</v>
      </c>
      <c r="G594" s="9">
        <f>8.4735 * CHOOSE(CONTROL!$C$32, $C$9, 100%, $E$9)</f>
        <v>8.4734999999999996</v>
      </c>
      <c r="H594" s="9">
        <f>11.753 * CHOOSE(CONTROL!$C$32, $C$9, 100%, $E$9)</f>
        <v>11.753</v>
      </c>
      <c r="I594" s="9">
        <f>11.7573 * CHOOSE(CONTROL!$C$32, $C$9, 100%, $E$9)</f>
        <v>11.757300000000001</v>
      </c>
      <c r="J594" s="9">
        <f>11.753 * CHOOSE(CONTROL!$C$32, $C$9, 100%, $E$9)</f>
        <v>11.753</v>
      </c>
      <c r="K594" s="9">
        <f>11.7573 * CHOOSE(CONTROL!$C$32, $C$9, 100%, $E$9)</f>
        <v>11.757300000000001</v>
      </c>
      <c r="L594" s="9">
        <f>8.4692 * CHOOSE(CONTROL!$C$32, $C$9, 100%, $E$9)</f>
        <v>8.4692000000000007</v>
      </c>
      <c r="M594" s="9">
        <f>8.4735 * CHOOSE(CONTROL!$C$32, $C$9, 100%, $E$9)</f>
        <v>8.4734999999999996</v>
      </c>
      <c r="N594" s="9">
        <f>8.4692 * CHOOSE(CONTROL!$C$32, $C$9, 100%, $E$9)</f>
        <v>8.4692000000000007</v>
      </c>
      <c r="O594" s="9">
        <f>8.4735 * CHOOSE(CONTROL!$C$32, $C$9, 100%, $E$9)</f>
        <v>8.4734999999999996</v>
      </c>
    </row>
    <row r="595" spans="1:15" ht="15.75" x14ac:dyDescent="0.25">
      <c r="A595" s="13">
        <v>58622</v>
      </c>
      <c r="B595" s="10">
        <f>9.8399 * CHOOSE(CONTROL!$C$32, $C$9, 100%, $E$9)</f>
        <v>9.8399000000000001</v>
      </c>
      <c r="C595" s="10">
        <f>9.8399 * CHOOSE(CONTROL!$C$32, $C$9, 100%, $E$9)</f>
        <v>9.8399000000000001</v>
      </c>
      <c r="D595" s="10">
        <f>9.8412 * CHOOSE(CONTROL!$C$32, $C$9, 100%, $E$9)</f>
        <v>9.8412000000000006</v>
      </c>
      <c r="E595" s="9">
        <f>8.4115 * CHOOSE(CONTROL!$C$32, $C$9, 100%, $E$9)</f>
        <v>8.4115000000000002</v>
      </c>
      <c r="F595" s="9">
        <f>8.4115 * CHOOSE(CONTROL!$C$32, $C$9, 100%, $E$9)</f>
        <v>8.4115000000000002</v>
      </c>
      <c r="G595" s="9">
        <f>8.4158 * CHOOSE(CONTROL!$C$32, $C$9, 100%, $E$9)</f>
        <v>8.4158000000000008</v>
      </c>
      <c r="H595" s="9">
        <f>11.757 * CHOOSE(CONTROL!$C$32, $C$9, 100%, $E$9)</f>
        <v>11.757</v>
      </c>
      <c r="I595" s="9">
        <f>11.7613 * CHOOSE(CONTROL!$C$32, $C$9, 100%, $E$9)</f>
        <v>11.7613</v>
      </c>
      <c r="J595" s="9">
        <f>11.757 * CHOOSE(CONTROL!$C$32, $C$9, 100%, $E$9)</f>
        <v>11.757</v>
      </c>
      <c r="K595" s="9">
        <f>11.7613 * CHOOSE(CONTROL!$C$32, $C$9, 100%, $E$9)</f>
        <v>11.7613</v>
      </c>
      <c r="L595" s="9">
        <f>8.4115 * CHOOSE(CONTROL!$C$32, $C$9, 100%, $E$9)</f>
        <v>8.4115000000000002</v>
      </c>
      <c r="M595" s="9">
        <f>8.4158 * CHOOSE(CONTROL!$C$32, $C$9, 100%, $E$9)</f>
        <v>8.4158000000000008</v>
      </c>
      <c r="N595" s="9">
        <f>8.4115 * CHOOSE(CONTROL!$C$32, $C$9, 100%, $E$9)</f>
        <v>8.4115000000000002</v>
      </c>
      <c r="O595" s="9">
        <f>8.4158 * CHOOSE(CONTROL!$C$32, $C$9, 100%, $E$9)</f>
        <v>8.4158000000000008</v>
      </c>
    </row>
    <row r="596" spans="1:15" ht="15.75" x14ac:dyDescent="0.25">
      <c r="A596" s="13">
        <v>58653</v>
      </c>
      <c r="B596" s="10">
        <f>9.9778 * CHOOSE(CONTROL!$C$32, $C$9, 100%, $E$9)</f>
        <v>9.9778000000000002</v>
      </c>
      <c r="C596" s="10">
        <f>9.9778 * CHOOSE(CONTROL!$C$32, $C$9, 100%, $E$9)</f>
        <v>9.9778000000000002</v>
      </c>
      <c r="D596" s="10">
        <f>9.9791 * CHOOSE(CONTROL!$C$32, $C$9, 100%, $E$9)</f>
        <v>9.9791000000000007</v>
      </c>
      <c r="E596" s="9">
        <f>8.5084 * CHOOSE(CONTROL!$C$32, $C$9, 100%, $E$9)</f>
        <v>8.5084</v>
      </c>
      <c r="F596" s="9">
        <f>8.5084 * CHOOSE(CONTROL!$C$32, $C$9, 100%, $E$9)</f>
        <v>8.5084</v>
      </c>
      <c r="G596" s="9">
        <f>8.5128 * CHOOSE(CONTROL!$C$32, $C$9, 100%, $E$9)</f>
        <v>8.5128000000000004</v>
      </c>
      <c r="H596" s="9">
        <f>11.932 * CHOOSE(CONTROL!$C$32, $C$9, 100%, $E$9)</f>
        <v>11.932</v>
      </c>
      <c r="I596" s="9">
        <f>11.9363 * CHOOSE(CONTROL!$C$32, $C$9, 100%, $E$9)</f>
        <v>11.936299999999999</v>
      </c>
      <c r="J596" s="9">
        <f>11.932 * CHOOSE(CONTROL!$C$32, $C$9, 100%, $E$9)</f>
        <v>11.932</v>
      </c>
      <c r="K596" s="9">
        <f>11.9363 * CHOOSE(CONTROL!$C$32, $C$9, 100%, $E$9)</f>
        <v>11.936299999999999</v>
      </c>
      <c r="L596" s="9">
        <f>8.5084 * CHOOSE(CONTROL!$C$32, $C$9, 100%, $E$9)</f>
        <v>8.5084</v>
      </c>
      <c r="M596" s="9">
        <f>8.5128 * CHOOSE(CONTROL!$C$32, $C$9, 100%, $E$9)</f>
        <v>8.5128000000000004</v>
      </c>
      <c r="N596" s="9">
        <f>8.5084 * CHOOSE(CONTROL!$C$32, $C$9, 100%, $E$9)</f>
        <v>8.5084</v>
      </c>
      <c r="O596" s="9">
        <f>8.5128 * CHOOSE(CONTROL!$C$32, $C$9, 100%, $E$9)</f>
        <v>8.5128000000000004</v>
      </c>
    </row>
    <row r="597" spans="1:15" ht="15.75" x14ac:dyDescent="0.25">
      <c r="A597" s="13">
        <v>58684</v>
      </c>
      <c r="B597" s="10">
        <f>9.9845 * CHOOSE(CONTROL!$C$32, $C$9, 100%, $E$9)</f>
        <v>9.9845000000000006</v>
      </c>
      <c r="C597" s="10">
        <f>9.9845 * CHOOSE(CONTROL!$C$32, $C$9, 100%, $E$9)</f>
        <v>9.9845000000000006</v>
      </c>
      <c r="D597" s="10">
        <f>9.9858 * CHOOSE(CONTROL!$C$32, $C$9, 100%, $E$9)</f>
        <v>9.9857999999999993</v>
      </c>
      <c r="E597" s="9">
        <f>8.3272 * CHOOSE(CONTROL!$C$32, $C$9, 100%, $E$9)</f>
        <v>8.3271999999999995</v>
      </c>
      <c r="F597" s="9">
        <f>8.3272 * CHOOSE(CONTROL!$C$32, $C$9, 100%, $E$9)</f>
        <v>8.3271999999999995</v>
      </c>
      <c r="G597" s="9">
        <f>8.3316 * CHOOSE(CONTROL!$C$32, $C$9, 100%, $E$9)</f>
        <v>8.3315999999999999</v>
      </c>
      <c r="H597" s="9">
        <f>11.9364 * CHOOSE(CONTROL!$C$32, $C$9, 100%, $E$9)</f>
        <v>11.936400000000001</v>
      </c>
      <c r="I597" s="9">
        <f>11.9407 * CHOOSE(CONTROL!$C$32, $C$9, 100%, $E$9)</f>
        <v>11.9407</v>
      </c>
      <c r="J597" s="9">
        <f>11.9364 * CHOOSE(CONTROL!$C$32, $C$9, 100%, $E$9)</f>
        <v>11.936400000000001</v>
      </c>
      <c r="K597" s="9">
        <f>11.9407 * CHOOSE(CONTROL!$C$32, $C$9, 100%, $E$9)</f>
        <v>11.9407</v>
      </c>
      <c r="L597" s="9">
        <f>8.3272 * CHOOSE(CONTROL!$C$32, $C$9, 100%, $E$9)</f>
        <v>8.3271999999999995</v>
      </c>
      <c r="M597" s="9">
        <f>8.3316 * CHOOSE(CONTROL!$C$32, $C$9, 100%, $E$9)</f>
        <v>8.3315999999999999</v>
      </c>
      <c r="N597" s="9">
        <f>8.3272 * CHOOSE(CONTROL!$C$32, $C$9, 100%, $E$9)</f>
        <v>8.3271999999999995</v>
      </c>
      <c r="O597" s="9">
        <f>8.3316 * CHOOSE(CONTROL!$C$32, $C$9, 100%, $E$9)</f>
        <v>8.3315999999999999</v>
      </c>
    </row>
    <row r="598" spans="1:15" ht="15.75" x14ac:dyDescent="0.25">
      <c r="A598" s="13">
        <v>58714</v>
      </c>
      <c r="B598" s="10">
        <f>9.9815 * CHOOSE(CONTROL!$C$32, $C$9, 100%, $E$9)</f>
        <v>9.9815000000000005</v>
      </c>
      <c r="C598" s="10">
        <f>9.9815 * CHOOSE(CONTROL!$C$32, $C$9, 100%, $E$9)</f>
        <v>9.9815000000000005</v>
      </c>
      <c r="D598" s="10">
        <f>9.9828 * CHOOSE(CONTROL!$C$32, $C$9, 100%, $E$9)</f>
        <v>9.9827999999999992</v>
      </c>
      <c r="E598" s="9">
        <f>8.3044 * CHOOSE(CONTROL!$C$32, $C$9, 100%, $E$9)</f>
        <v>8.3043999999999993</v>
      </c>
      <c r="F598" s="9">
        <f>8.3044 * CHOOSE(CONTROL!$C$32, $C$9, 100%, $E$9)</f>
        <v>8.3043999999999993</v>
      </c>
      <c r="G598" s="9">
        <f>8.3088 * CHOOSE(CONTROL!$C$32, $C$9, 100%, $E$9)</f>
        <v>8.3087999999999997</v>
      </c>
      <c r="H598" s="9">
        <f>11.9344 * CHOOSE(CONTROL!$C$32, $C$9, 100%, $E$9)</f>
        <v>11.9344</v>
      </c>
      <c r="I598" s="9">
        <f>11.9387 * CHOOSE(CONTROL!$C$32, $C$9, 100%, $E$9)</f>
        <v>11.938700000000001</v>
      </c>
      <c r="J598" s="9">
        <f>11.9344 * CHOOSE(CONTROL!$C$32, $C$9, 100%, $E$9)</f>
        <v>11.9344</v>
      </c>
      <c r="K598" s="9">
        <f>11.9387 * CHOOSE(CONTROL!$C$32, $C$9, 100%, $E$9)</f>
        <v>11.938700000000001</v>
      </c>
      <c r="L598" s="9">
        <f>8.3044 * CHOOSE(CONTROL!$C$32, $C$9, 100%, $E$9)</f>
        <v>8.3043999999999993</v>
      </c>
      <c r="M598" s="9">
        <f>8.3088 * CHOOSE(CONTROL!$C$32, $C$9, 100%, $E$9)</f>
        <v>8.3087999999999997</v>
      </c>
      <c r="N598" s="9">
        <f>8.3044 * CHOOSE(CONTROL!$C$32, $C$9, 100%, $E$9)</f>
        <v>8.3043999999999993</v>
      </c>
      <c r="O598" s="9">
        <f>8.3088 * CHOOSE(CONTROL!$C$32, $C$9, 100%, $E$9)</f>
        <v>8.3087999999999997</v>
      </c>
    </row>
    <row r="599" spans="1:15" ht="15.75" x14ac:dyDescent="0.25">
      <c r="A599" s="13">
        <v>58745</v>
      </c>
      <c r="B599" s="10">
        <f>10.0002 * CHOOSE(CONTROL!$C$32, $C$9, 100%, $E$9)</f>
        <v>10.0002</v>
      </c>
      <c r="C599" s="10">
        <f>10.0002 * CHOOSE(CONTROL!$C$32, $C$9, 100%, $E$9)</f>
        <v>10.0002</v>
      </c>
      <c r="D599" s="10">
        <f>10.0011 * CHOOSE(CONTROL!$C$32, $C$9, 100%, $E$9)</f>
        <v>10.001099999999999</v>
      </c>
      <c r="E599" s="9">
        <f>8.3736 * CHOOSE(CONTROL!$C$32, $C$9, 100%, $E$9)</f>
        <v>8.3735999999999997</v>
      </c>
      <c r="F599" s="9">
        <f>8.3736 * CHOOSE(CONTROL!$C$32, $C$9, 100%, $E$9)</f>
        <v>8.3735999999999997</v>
      </c>
      <c r="G599" s="9">
        <f>8.3768 * CHOOSE(CONTROL!$C$32, $C$9, 100%, $E$9)</f>
        <v>8.3767999999999994</v>
      </c>
      <c r="H599" s="9">
        <f>11.9453 * CHOOSE(CONTROL!$C$32, $C$9, 100%, $E$9)</f>
        <v>11.9453</v>
      </c>
      <c r="I599" s="9">
        <f>11.9485 * CHOOSE(CONTROL!$C$32, $C$9, 100%, $E$9)</f>
        <v>11.948499999999999</v>
      </c>
      <c r="J599" s="9">
        <f>11.9453 * CHOOSE(CONTROL!$C$32, $C$9, 100%, $E$9)</f>
        <v>11.9453</v>
      </c>
      <c r="K599" s="9">
        <f>11.9485 * CHOOSE(CONTROL!$C$32, $C$9, 100%, $E$9)</f>
        <v>11.948499999999999</v>
      </c>
      <c r="L599" s="9">
        <f>8.3736 * CHOOSE(CONTROL!$C$32, $C$9, 100%, $E$9)</f>
        <v>8.3735999999999997</v>
      </c>
      <c r="M599" s="9">
        <f>8.3768 * CHOOSE(CONTROL!$C$32, $C$9, 100%, $E$9)</f>
        <v>8.3767999999999994</v>
      </c>
      <c r="N599" s="9">
        <f>8.3736 * CHOOSE(CONTROL!$C$32, $C$9, 100%, $E$9)</f>
        <v>8.3735999999999997</v>
      </c>
      <c r="O599" s="9">
        <f>8.3768 * CHOOSE(CONTROL!$C$32, $C$9, 100%, $E$9)</f>
        <v>8.3767999999999994</v>
      </c>
    </row>
    <row r="600" spans="1:15" ht="15.75" x14ac:dyDescent="0.25">
      <c r="A600" s="13">
        <v>58775</v>
      </c>
      <c r="B600" s="10">
        <f>10.0032 * CHOOSE(CONTROL!$C$32, $C$9, 100%, $E$9)</f>
        <v>10.0032</v>
      </c>
      <c r="C600" s="10">
        <f>10.0032 * CHOOSE(CONTROL!$C$32, $C$9, 100%, $E$9)</f>
        <v>10.0032</v>
      </c>
      <c r="D600" s="10">
        <f>10.0042 * CHOOSE(CONTROL!$C$32, $C$9, 100%, $E$9)</f>
        <v>10.004200000000001</v>
      </c>
      <c r="E600" s="9">
        <f>8.4171 * CHOOSE(CONTROL!$C$32, $C$9, 100%, $E$9)</f>
        <v>8.4170999999999996</v>
      </c>
      <c r="F600" s="9">
        <f>8.4171 * CHOOSE(CONTROL!$C$32, $C$9, 100%, $E$9)</f>
        <v>8.4170999999999996</v>
      </c>
      <c r="G600" s="9">
        <f>8.4203 * CHOOSE(CONTROL!$C$32, $C$9, 100%, $E$9)</f>
        <v>8.4202999999999992</v>
      </c>
      <c r="H600" s="9">
        <f>11.9473 * CHOOSE(CONTROL!$C$32, $C$9, 100%, $E$9)</f>
        <v>11.9473</v>
      </c>
      <c r="I600" s="9">
        <f>11.9505 * CHOOSE(CONTROL!$C$32, $C$9, 100%, $E$9)</f>
        <v>11.9505</v>
      </c>
      <c r="J600" s="9">
        <f>11.9473 * CHOOSE(CONTROL!$C$32, $C$9, 100%, $E$9)</f>
        <v>11.9473</v>
      </c>
      <c r="K600" s="9">
        <f>11.9505 * CHOOSE(CONTROL!$C$32, $C$9, 100%, $E$9)</f>
        <v>11.9505</v>
      </c>
      <c r="L600" s="9">
        <f>8.4171 * CHOOSE(CONTROL!$C$32, $C$9, 100%, $E$9)</f>
        <v>8.4170999999999996</v>
      </c>
      <c r="M600" s="9">
        <f>8.4203 * CHOOSE(CONTROL!$C$32, $C$9, 100%, $E$9)</f>
        <v>8.4202999999999992</v>
      </c>
      <c r="N600" s="9">
        <f>8.4171 * CHOOSE(CONTROL!$C$32, $C$9, 100%, $E$9)</f>
        <v>8.4170999999999996</v>
      </c>
      <c r="O600" s="9">
        <f>8.4203 * CHOOSE(CONTROL!$C$32, $C$9, 100%, $E$9)</f>
        <v>8.4202999999999992</v>
      </c>
    </row>
    <row r="601" spans="1:15" ht="15.75" x14ac:dyDescent="0.25">
      <c r="A601" s="13">
        <v>58806</v>
      </c>
      <c r="B601" s="10">
        <f>10.0032 * CHOOSE(CONTROL!$C$32, $C$9, 100%, $E$9)</f>
        <v>10.0032</v>
      </c>
      <c r="C601" s="10">
        <f>10.0032 * CHOOSE(CONTROL!$C$32, $C$9, 100%, $E$9)</f>
        <v>10.0032</v>
      </c>
      <c r="D601" s="10">
        <f>10.0042 * CHOOSE(CONTROL!$C$32, $C$9, 100%, $E$9)</f>
        <v>10.004200000000001</v>
      </c>
      <c r="E601" s="9">
        <f>8.3138 * CHOOSE(CONTROL!$C$32, $C$9, 100%, $E$9)</f>
        <v>8.3138000000000005</v>
      </c>
      <c r="F601" s="9">
        <f>8.3138 * CHOOSE(CONTROL!$C$32, $C$9, 100%, $E$9)</f>
        <v>8.3138000000000005</v>
      </c>
      <c r="G601" s="9">
        <f>8.317 * CHOOSE(CONTROL!$C$32, $C$9, 100%, $E$9)</f>
        <v>8.3170000000000002</v>
      </c>
      <c r="H601" s="9">
        <f>11.9473 * CHOOSE(CONTROL!$C$32, $C$9, 100%, $E$9)</f>
        <v>11.9473</v>
      </c>
      <c r="I601" s="9">
        <f>11.9505 * CHOOSE(CONTROL!$C$32, $C$9, 100%, $E$9)</f>
        <v>11.9505</v>
      </c>
      <c r="J601" s="9">
        <f>11.9473 * CHOOSE(CONTROL!$C$32, $C$9, 100%, $E$9)</f>
        <v>11.9473</v>
      </c>
      <c r="K601" s="9">
        <f>11.9505 * CHOOSE(CONTROL!$C$32, $C$9, 100%, $E$9)</f>
        <v>11.9505</v>
      </c>
      <c r="L601" s="9">
        <f>8.3138 * CHOOSE(CONTROL!$C$32, $C$9, 100%, $E$9)</f>
        <v>8.3138000000000005</v>
      </c>
      <c r="M601" s="9">
        <f>8.317 * CHOOSE(CONTROL!$C$32, $C$9, 100%, $E$9)</f>
        <v>8.3170000000000002</v>
      </c>
      <c r="N601" s="9">
        <f>8.3138 * CHOOSE(CONTROL!$C$32, $C$9, 100%, $E$9)</f>
        <v>8.3138000000000005</v>
      </c>
      <c r="O601" s="9">
        <f>8.317 * CHOOSE(CONTROL!$C$32, $C$9, 100%, $E$9)</f>
        <v>8.3170000000000002</v>
      </c>
    </row>
    <row r="602" spans="1:15" ht="15.75" x14ac:dyDescent="0.25">
      <c r="A602" s="13">
        <v>58837</v>
      </c>
      <c r="B602" s="10">
        <f>10.0852 * CHOOSE(CONTROL!$C$32, $C$9, 100%, $E$9)</f>
        <v>10.0852</v>
      </c>
      <c r="C602" s="10">
        <f>10.0852 * CHOOSE(CONTROL!$C$32, $C$9, 100%, $E$9)</f>
        <v>10.0852</v>
      </c>
      <c r="D602" s="10">
        <f>10.0861 * CHOOSE(CONTROL!$C$32, $C$9, 100%, $E$9)</f>
        <v>10.0861</v>
      </c>
      <c r="E602" s="9">
        <f>8.4474 * CHOOSE(CONTROL!$C$32, $C$9, 100%, $E$9)</f>
        <v>8.4474</v>
      </c>
      <c r="F602" s="9">
        <f>8.4474 * CHOOSE(CONTROL!$C$32, $C$9, 100%, $E$9)</f>
        <v>8.4474</v>
      </c>
      <c r="G602" s="9">
        <f>8.4506 * CHOOSE(CONTROL!$C$32, $C$9, 100%, $E$9)</f>
        <v>8.4505999999999997</v>
      </c>
      <c r="H602" s="9">
        <f>12.0355 * CHOOSE(CONTROL!$C$32, $C$9, 100%, $E$9)</f>
        <v>12.035500000000001</v>
      </c>
      <c r="I602" s="9">
        <f>12.0387 * CHOOSE(CONTROL!$C$32, $C$9, 100%, $E$9)</f>
        <v>12.0387</v>
      </c>
      <c r="J602" s="9">
        <f>12.0355 * CHOOSE(CONTROL!$C$32, $C$9, 100%, $E$9)</f>
        <v>12.035500000000001</v>
      </c>
      <c r="K602" s="9">
        <f>12.0387 * CHOOSE(CONTROL!$C$32, $C$9, 100%, $E$9)</f>
        <v>12.0387</v>
      </c>
      <c r="L602" s="9">
        <f>8.4474 * CHOOSE(CONTROL!$C$32, $C$9, 100%, $E$9)</f>
        <v>8.4474</v>
      </c>
      <c r="M602" s="9">
        <f>8.4506 * CHOOSE(CONTROL!$C$32, $C$9, 100%, $E$9)</f>
        <v>8.4505999999999997</v>
      </c>
      <c r="N602" s="9">
        <f>8.4474 * CHOOSE(CONTROL!$C$32, $C$9, 100%, $E$9)</f>
        <v>8.4474</v>
      </c>
      <c r="O602" s="9">
        <f>8.4506 * CHOOSE(CONTROL!$C$32, $C$9, 100%, $E$9)</f>
        <v>8.4505999999999997</v>
      </c>
    </row>
    <row r="603" spans="1:15" ht="15.75" x14ac:dyDescent="0.25">
      <c r="A603" s="13">
        <v>58865</v>
      </c>
      <c r="B603" s="10">
        <f>10.0821 * CHOOSE(CONTROL!$C$32, $C$9, 100%, $E$9)</f>
        <v>10.082100000000001</v>
      </c>
      <c r="C603" s="10">
        <f>10.0821 * CHOOSE(CONTROL!$C$32, $C$9, 100%, $E$9)</f>
        <v>10.082100000000001</v>
      </c>
      <c r="D603" s="10">
        <f>10.0831 * CHOOSE(CONTROL!$C$32, $C$9, 100%, $E$9)</f>
        <v>10.0831</v>
      </c>
      <c r="E603" s="9">
        <f>8.2443 * CHOOSE(CONTROL!$C$32, $C$9, 100%, $E$9)</f>
        <v>8.2443000000000008</v>
      </c>
      <c r="F603" s="9">
        <f>8.2443 * CHOOSE(CONTROL!$C$32, $C$9, 100%, $E$9)</f>
        <v>8.2443000000000008</v>
      </c>
      <c r="G603" s="9">
        <f>8.2475 * CHOOSE(CONTROL!$C$32, $C$9, 100%, $E$9)</f>
        <v>8.2475000000000005</v>
      </c>
      <c r="H603" s="9">
        <f>12.0335 * CHOOSE(CONTROL!$C$32, $C$9, 100%, $E$9)</f>
        <v>12.0335</v>
      </c>
      <c r="I603" s="9">
        <f>12.0367 * CHOOSE(CONTROL!$C$32, $C$9, 100%, $E$9)</f>
        <v>12.0367</v>
      </c>
      <c r="J603" s="9">
        <f>12.0335 * CHOOSE(CONTROL!$C$32, $C$9, 100%, $E$9)</f>
        <v>12.0335</v>
      </c>
      <c r="K603" s="9">
        <f>12.0367 * CHOOSE(CONTROL!$C$32, $C$9, 100%, $E$9)</f>
        <v>12.0367</v>
      </c>
      <c r="L603" s="9">
        <f>8.2443 * CHOOSE(CONTROL!$C$32, $C$9, 100%, $E$9)</f>
        <v>8.2443000000000008</v>
      </c>
      <c r="M603" s="9">
        <f>8.2475 * CHOOSE(CONTROL!$C$32, $C$9, 100%, $E$9)</f>
        <v>8.2475000000000005</v>
      </c>
      <c r="N603" s="9">
        <f>8.2443 * CHOOSE(CONTROL!$C$32, $C$9, 100%, $E$9)</f>
        <v>8.2443000000000008</v>
      </c>
      <c r="O603" s="9">
        <f>8.2475 * CHOOSE(CONTROL!$C$32, $C$9, 100%, $E$9)</f>
        <v>8.2475000000000005</v>
      </c>
    </row>
    <row r="604" spans="1:15" ht="15.75" x14ac:dyDescent="0.25">
      <c r="A604" s="13">
        <v>58893</v>
      </c>
      <c r="B604" s="10">
        <f>10.0791 * CHOOSE(CONTROL!$C$32, $C$9, 100%, $E$9)</f>
        <v>10.0791</v>
      </c>
      <c r="C604" s="10">
        <f>10.0791 * CHOOSE(CONTROL!$C$32, $C$9, 100%, $E$9)</f>
        <v>10.0791</v>
      </c>
      <c r="D604" s="10">
        <f>10.08 * CHOOSE(CONTROL!$C$32, $C$9, 100%, $E$9)</f>
        <v>10.08</v>
      </c>
      <c r="E604" s="9">
        <f>8.4007 * CHOOSE(CONTROL!$C$32, $C$9, 100%, $E$9)</f>
        <v>8.4007000000000005</v>
      </c>
      <c r="F604" s="9">
        <f>8.4007 * CHOOSE(CONTROL!$C$32, $C$9, 100%, $E$9)</f>
        <v>8.4007000000000005</v>
      </c>
      <c r="G604" s="9">
        <f>8.4039 * CHOOSE(CONTROL!$C$32, $C$9, 100%, $E$9)</f>
        <v>8.4039000000000001</v>
      </c>
      <c r="H604" s="9">
        <f>12.0315 * CHOOSE(CONTROL!$C$32, $C$9, 100%, $E$9)</f>
        <v>12.031499999999999</v>
      </c>
      <c r="I604" s="9">
        <f>12.0347 * CHOOSE(CONTROL!$C$32, $C$9, 100%, $E$9)</f>
        <v>12.034700000000001</v>
      </c>
      <c r="J604" s="9">
        <f>12.0315 * CHOOSE(CONTROL!$C$32, $C$9, 100%, $E$9)</f>
        <v>12.031499999999999</v>
      </c>
      <c r="K604" s="9">
        <f>12.0347 * CHOOSE(CONTROL!$C$32, $C$9, 100%, $E$9)</f>
        <v>12.034700000000001</v>
      </c>
      <c r="L604" s="9">
        <f>8.4007 * CHOOSE(CONTROL!$C$32, $C$9, 100%, $E$9)</f>
        <v>8.4007000000000005</v>
      </c>
      <c r="M604" s="9">
        <f>8.4039 * CHOOSE(CONTROL!$C$32, $C$9, 100%, $E$9)</f>
        <v>8.4039000000000001</v>
      </c>
      <c r="N604" s="9">
        <f>8.4007 * CHOOSE(CONTROL!$C$32, $C$9, 100%, $E$9)</f>
        <v>8.4007000000000005</v>
      </c>
      <c r="O604" s="9">
        <f>8.4039 * CHOOSE(CONTROL!$C$32, $C$9, 100%, $E$9)</f>
        <v>8.4039000000000001</v>
      </c>
    </row>
    <row r="605" spans="1:15" ht="15.75" x14ac:dyDescent="0.25">
      <c r="A605" s="13">
        <v>58926</v>
      </c>
      <c r="B605" s="10">
        <f>10.083 * CHOOSE(CONTROL!$C$32, $C$9, 100%, $E$9)</f>
        <v>10.083</v>
      </c>
      <c r="C605" s="10">
        <f>10.083 * CHOOSE(CONTROL!$C$32, $C$9, 100%, $E$9)</f>
        <v>10.083</v>
      </c>
      <c r="D605" s="10">
        <f>10.0839 * CHOOSE(CONTROL!$C$32, $C$9, 100%, $E$9)</f>
        <v>10.0839</v>
      </c>
      <c r="E605" s="9">
        <f>8.5666 * CHOOSE(CONTROL!$C$32, $C$9, 100%, $E$9)</f>
        <v>8.5665999999999993</v>
      </c>
      <c r="F605" s="9">
        <f>8.5666 * CHOOSE(CONTROL!$C$32, $C$9, 100%, $E$9)</f>
        <v>8.5665999999999993</v>
      </c>
      <c r="G605" s="9">
        <f>8.5698 * CHOOSE(CONTROL!$C$32, $C$9, 100%, $E$9)</f>
        <v>8.5698000000000008</v>
      </c>
      <c r="H605" s="9">
        <f>12.0337 * CHOOSE(CONTROL!$C$32, $C$9, 100%, $E$9)</f>
        <v>12.0337</v>
      </c>
      <c r="I605" s="9">
        <f>12.0369 * CHOOSE(CONTROL!$C$32, $C$9, 100%, $E$9)</f>
        <v>12.036899999999999</v>
      </c>
      <c r="J605" s="9">
        <f>12.0337 * CHOOSE(CONTROL!$C$32, $C$9, 100%, $E$9)</f>
        <v>12.0337</v>
      </c>
      <c r="K605" s="9">
        <f>12.0369 * CHOOSE(CONTROL!$C$32, $C$9, 100%, $E$9)</f>
        <v>12.036899999999999</v>
      </c>
      <c r="L605" s="9">
        <f>8.5666 * CHOOSE(CONTROL!$C$32, $C$9, 100%, $E$9)</f>
        <v>8.5665999999999993</v>
      </c>
      <c r="M605" s="9">
        <f>8.5698 * CHOOSE(CONTROL!$C$32, $C$9, 100%, $E$9)</f>
        <v>8.5698000000000008</v>
      </c>
      <c r="N605" s="9">
        <f>8.5666 * CHOOSE(CONTROL!$C$32, $C$9, 100%, $E$9)</f>
        <v>8.5665999999999993</v>
      </c>
      <c r="O605" s="9">
        <f>8.5698 * CHOOSE(CONTROL!$C$32, $C$9, 100%, $E$9)</f>
        <v>8.5698000000000008</v>
      </c>
    </row>
    <row r="606" spans="1:15" ht="15.75" x14ac:dyDescent="0.25">
      <c r="A606" s="13">
        <v>58957</v>
      </c>
      <c r="B606" s="10">
        <f>10.083 * CHOOSE(CONTROL!$C$32, $C$9, 100%, $E$9)</f>
        <v>10.083</v>
      </c>
      <c r="C606" s="10">
        <f>10.083 * CHOOSE(CONTROL!$C$32, $C$9, 100%, $E$9)</f>
        <v>10.083</v>
      </c>
      <c r="D606" s="10">
        <f>10.0843 * CHOOSE(CONTROL!$C$32, $C$9, 100%, $E$9)</f>
        <v>10.084300000000001</v>
      </c>
      <c r="E606" s="9">
        <f>8.6304 * CHOOSE(CONTROL!$C$32, $C$9, 100%, $E$9)</f>
        <v>8.6303999999999998</v>
      </c>
      <c r="F606" s="9">
        <f>8.6304 * CHOOSE(CONTROL!$C$32, $C$9, 100%, $E$9)</f>
        <v>8.6303999999999998</v>
      </c>
      <c r="G606" s="9">
        <f>8.6348 * CHOOSE(CONTROL!$C$32, $C$9, 100%, $E$9)</f>
        <v>8.6348000000000003</v>
      </c>
      <c r="H606" s="9">
        <f>12.0337 * CHOOSE(CONTROL!$C$32, $C$9, 100%, $E$9)</f>
        <v>12.0337</v>
      </c>
      <c r="I606" s="9">
        <f>12.0381 * CHOOSE(CONTROL!$C$32, $C$9, 100%, $E$9)</f>
        <v>12.0381</v>
      </c>
      <c r="J606" s="9">
        <f>12.0337 * CHOOSE(CONTROL!$C$32, $C$9, 100%, $E$9)</f>
        <v>12.0337</v>
      </c>
      <c r="K606" s="9">
        <f>12.0381 * CHOOSE(CONTROL!$C$32, $C$9, 100%, $E$9)</f>
        <v>12.0381</v>
      </c>
      <c r="L606" s="9">
        <f>8.6304 * CHOOSE(CONTROL!$C$32, $C$9, 100%, $E$9)</f>
        <v>8.6303999999999998</v>
      </c>
      <c r="M606" s="9">
        <f>8.6348 * CHOOSE(CONTROL!$C$32, $C$9, 100%, $E$9)</f>
        <v>8.6348000000000003</v>
      </c>
      <c r="N606" s="9">
        <f>8.6304 * CHOOSE(CONTROL!$C$32, $C$9, 100%, $E$9)</f>
        <v>8.6303999999999998</v>
      </c>
      <c r="O606" s="9">
        <f>8.6348 * CHOOSE(CONTROL!$C$32, $C$9, 100%, $E$9)</f>
        <v>8.6348000000000003</v>
      </c>
    </row>
    <row r="607" spans="1:15" ht="15.75" x14ac:dyDescent="0.25">
      <c r="A607" s="13">
        <v>58987</v>
      </c>
      <c r="B607" s="10">
        <f>10.0891 * CHOOSE(CONTROL!$C$32, $C$9, 100%, $E$9)</f>
        <v>10.0891</v>
      </c>
      <c r="C607" s="10">
        <f>10.0891 * CHOOSE(CONTROL!$C$32, $C$9, 100%, $E$9)</f>
        <v>10.0891</v>
      </c>
      <c r="D607" s="10">
        <f>10.0904 * CHOOSE(CONTROL!$C$32, $C$9, 100%, $E$9)</f>
        <v>10.090400000000001</v>
      </c>
      <c r="E607" s="9">
        <f>8.5708 * CHOOSE(CONTROL!$C$32, $C$9, 100%, $E$9)</f>
        <v>8.5708000000000002</v>
      </c>
      <c r="F607" s="9">
        <f>8.5708 * CHOOSE(CONTROL!$C$32, $C$9, 100%, $E$9)</f>
        <v>8.5708000000000002</v>
      </c>
      <c r="G607" s="9">
        <f>8.5752 * CHOOSE(CONTROL!$C$32, $C$9, 100%, $E$9)</f>
        <v>8.5752000000000006</v>
      </c>
      <c r="H607" s="9">
        <f>12.0377 * CHOOSE(CONTROL!$C$32, $C$9, 100%, $E$9)</f>
        <v>12.037699999999999</v>
      </c>
      <c r="I607" s="9">
        <f>12.0421 * CHOOSE(CONTROL!$C$32, $C$9, 100%, $E$9)</f>
        <v>12.0421</v>
      </c>
      <c r="J607" s="9">
        <f>12.0377 * CHOOSE(CONTROL!$C$32, $C$9, 100%, $E$9)</f>
        <v>12.037699999999999</v>
      </c>
      <c r="K607" s="9">
        <f>12.0421 * CHOOSE(CONTROL!$C$32, $C$9, 100%, $E$9)</f>
        <v>12.0421</v>
      </c>
      <c r="L607" s="9">
        <f>8.5708 * CHOOSE(CONTROL!$C$32, $C$9, 100%, $E$9)</f>
        <v>8.5708000000000002</v>
      </c>
      <c r="M607" s="9">
        <f>8.5752 * CHOOSE(CONTROL!$C$32, $C$9, 100%, $E$9)</f>
        <v>8.5752000000000006</v>
      </c>
      <c r="N607" s="9">
        <f>8.5708 * CHOOSE(CONTROL!$C$32, $C$9, 100%, $E$9)</f>
        <v>8.5708000000000002</v>
      </c>
      <c r="O607" s="9">
        <f>8.5752 * CHOOSE(CONTROL!$C$32, $C$9, 100%, $E$9)</f>
        <v>8.5752000000000006</v>
      </c>
    </row>
    <row r="608" spans="1:15" ht="15.75" x14ac:dyDescent="0.25">
      <c r="A608" s="13">
        <v>59018</v>
      </c>
      <c r="B608" s="10">
        <f>10.2301 * CHOOSE(CONTROL!$C$32, $C$9, 100%, $E$9)</f>
        <v>10.2301</v>
      </c>
      <c r="C608" s="10">
        <f>10.2301 * CHOOSE(CONTROL!$C$32, $C$9, 100%, $E$9)</f>
        <v>10.2301</v>
      </c>
      <c r="D608" s="10">
        <f>10.2314 * CHOOSE(CONTROL!$C$32, $C$9, 100%, $E$9)</f>
        <v>10.231400000000001</v>
      </c>
      <c r="E608" s="9">
        <f>8.6694 * CHOOSE(CONTROL!$C$32, $C$9, 100%, $E$9)</f>
        <v>8.6693999999999996</v>
      </c>
      <c r="F608" s="9">
        <f>8.6694 * CHOOSE(CONTROL!$C$32, $C$9, 100%, $E$9)</f>
        <v>8.6693999999999996</v>
      </c>
      <c r="G608" s="9">
        <f>8.6738 * CHOOSE(CONTROL!$C$32, $C$9, 100%, $E$9)</f>
        <v>8.6738</v>
      </c>
      <c r="H608" s="9">
        <f>12.2166 * CHOOSE(CONTROL!$C$32, $C$9, 100%, $E$9)</f>
        <v>12.2166</v>
      </c>
      <c r="I608" s="9">
        <f>12.221 * CHOOSE(CONTROL!$C$32, $C$9, 100%, $E$9)</f>
        <v>12.221</v>
      </c>
      <c r="J608" s="9">
        <f>12.2166 * CHOOSE(CONTROL!$C$32, $C$9, 100%, $E$9)</f>
        <v>12.2166</v>
      </c>
      <c r="K608" s="9">
        <f>12.221 * CHOOSE(CONTROL!$C$32, $C$9, 100%, $E$9)</f>
        <v>12.221</v>
      </c>
      <c r="L608" s="9">
        <f>8.6694 * CHOOSE(CONTROL!$C$32, $C$9, 100%, $E$9)</f>
        <v>8.6693999999999996</v>
      </c>
      <c r="M608" s="9">
        <f>8.6738 * CHOOSE(CONTROL!$C$32, $C$9, 100%, $E$9)</f>
        <v>8.6738</v>
      </c>
      <c r="N608" s="9">
        <f>8.6694 * CHOOSE(CONTROL!$C$32, $C$9, 100%, $E$9)</f>
        <v>8.6693999999999996</v>
      </c>
      <c r="O608" s="9">
        <f>8.6738 * CHOOSE(CONTROL!$C$32, $C$9, 100%, $E$9)</f>
        <v>8.6738</v>
      </c>
    </row>
    <row r="609" spans="1:15" ht="15.75" x14ac:dyDescent="0.25">
      <c r="A609" s="13">
        <v>59049</v>
      </c>
      <c r="B609" s="10">
        <f>10.2368 * CHOOSE(CONTROL!$C$32, $C$9, 100%, $E$9)</f>
        <v>10.236800000000001</v>
      </c>
      <c r="C609" s="10">
        <f>10.2368 * CHOOSE(CONTROL!$C$32, $C$9, 100%, $E$9)</f>
        <v>10.236800000000001</v>
      </c>
      <c r="D609" s="10">
        <f>10.2381 * CHOOSE(CONTROL!$C$32, $C$9, 100%, $E$9)</f>
        <v>10.238099999999999</v>
      </c>
      <c r="E609" s="9">
        <f>8.4826 * CHOOSE(CONTROL!$C$32, $C$9, 100%, $E$9)</f>
        <v>8.4825999999999997</v>
      </c>
      <c r="F609" s="9">
        <f>8.4826 * CHOOSE(CONTROL!$C$32, $C$9, 100%, $E$9)</f>
        <v>8.4825999999999997</v>
      </c>
      <c r="G609" s="9">
        <f>8.487 * CHOOSE(CONTROL!$C$32, $C$9, 100%, $E$9)</f>
        <v>8.4870000000000001</v>
      </c>
      <c r="H609" s="9">
        <f>12.221 * CHOOSE(CONTROL!$C$32, $C$9, 100%, $E$9)</f>
        <v>12.221</v>
      </c>
      <c r="I609" s="9">
        <f>12.2254 * CHOOSE(CONTROL!$C$32, $C$9, 100%, $E$9)</f>
        <v>12.2254</v>
      </c>
      <c r="J609" s="9">
        <f>12.221 * CHOOSE(CONTROL!$C$32, $C$9, 100%, $E$9)</f>
        <v>12.221</v>
      </c>
      <c r="K609" s="9">
        <f>12.2254 * CHOOSE(CONTROL!$C$32, $C$9, 100%, $E$9)</f>
        <v>12.2254</v>
      </c>
      <c r="L609" s="9">
        <f>8.4826 * CHOOSE(CONTROL!$C$32, $C$9, 100%, $E$9)</f>
        <v>8.4825999999999997</v>
      </c>
      <c r="M609" s="9">
        <f>8.487 * CHOOSE(CONTROL!$C$32, $C$9, 100%, $E$9)</f>
        <v>8.4870000000000001</v>
      </c>
      <c r="N609" s="9">
        <f>8.4826 * CHOOSE(CONTROL!$C$32, $C$9, 100%, $E$9)</f>
        <v>8.4825999999999997</v>
      </c>
      <c r="O609" s="9">
        <f>8.487 * CHOOSE(CONTROL!$C$32, $C$9, 100%, $E$9)</f>
        <v>8.4870000000000001</v>
      </c>
    </row>
    <row r="610" spans="1:15" ht="15.75" x14ac:dyDescent="0.25">
      <c r="A610" s="13">
        <v>59079</v>
      </c>
      <c r="B610" s="10">
        <f>10.2337 * CHOOSE(CONTROL!$C$32, $C$9, 100%, $E$9)</f>
        <v>10.233700000000001</v>
      </c>
      <c r="C610" s="10">
        <f>10.2337 * CHOOSE(CONTROL!$C$32, $C$9, 100%, $E$9)</f>
        <v>10.233700000000001</v>
      </c>
      <c r="D610" s="10">
        <f>10.235 * CHOOSE(CONTROL!$C$32, $C$9, 100%, $E$9)</f>
        <v>10.234999999999999</v>
      </c>
      <c r="E610" s="9">
        <f>8.4593 * CHOOSE(CONTROL!$C$32, $C$9, 100%, $E$9)</f>
        <v>8.4593000000000007</v>
      </c>
      <c r="F610" s="9">
        <f>8.4593 * CHOOSE(CONTROL!$C$32, $C$9, 100%, $E$9)</f>
        <v>8.4593000000000007</v>
      </c>
      <c r="G610" s="9">
        <f>8.4636 * CHOOSE(CONTROL!$C$32, $C$9, 100%, $E$9)</f>
        <v>8.4635999999999996</v>
      </c>
      <c r="H610" s="9">
        <f>12.219 * CHOOSE(CONTROL!$C$32, $C$9, 100%, $E$9)</f>
        <v>12.218999999999999</v>
      </c>
      <c r="I610" s="9">
        <f>12.2234 * CHOOSE(CONTROL!$C$32, $C$9, 100%, $E$9)</f>
        <v>12.2234</v>
      </c>
      <c r="J610" s="9">
        <f>12.219 * CHOOSE(CONTROL!$C$32, $C$9, 100%, $E$9)</f>
        <v>12.218999999999999</v>
      </c>
      <c r="K610" s="9">
        <f>12.2234 * CHOOSE(CONTROL!$C$32, $C$9, 100%, $E$9)</f>
        <v>12.2234</v>
      </c>
      <c r="L610" s="9">
        <f>8.4593 * CHOOSE(CONTROL!$C$32, $C$9, 100%, $E$9)</f>
        <v>8.4593000000000007</v>
      </c>
      <c r="M610" s="9">
        <f>8.4636 * CHOOSE(CONTROL!$C$32, $C$9, 100%, $E$9)</f>
        <v>8.4635999999999996</v>
      </c>
      <c r="N610" s="9">
        <f>8.4593 * CHOOSE(CONTROL!$C$32, $C$9, 100%, $E$9)</f>
        <v>8.4593000000000007</v>
      </c>
      <c r="O610" s="9">
        <f>8.4636 * CHOOSE(CONTROL!$C$32, $C$9, 100%, $E$9)</f>
        <v>8.4635999999999996</v>
      </c>
    </row>
    <row r="611" spans="1:15" ht="15.75" x14ac:dyDescent="0.25">
      <c r="A611" s="13">
        <v>59110</v>
      </c>
      <c r="B611" s="10">
        <f>10.2534 * CHOOSE(CONTROL!$C$32, $C$9, 100%, $E$9)</f>
        <v>10.253399999999999</v>
      </c>
      <c r="C611" s="10">
        <f>10.2534 * CHOOSE(CONTROL!$C$32, $C$9, 100%, $E$9)</f>
        <v>10.253399999999999</v>
      </c>
      <c r="D611" s="10">
        <f>10.2544 * CHOOSE(CONTROL!$C$32, $C$9, 100%, $E$9)</f>
        <v>10.2544</v>
      </c>
      <c r="E611" s="9">
        <f>8.5309 * CHOOSE(CONTROL!$C$32, $C$9, 100%, $E$9)</f>
        <v>8.5309000000000008</v>
      </c>
      <c r="F611" s="9">
        <f>8.5309 * CHOOSE(CONTROL!$C$32, $C$9, 100%, $E$9)</f>
        <v>8.5309000000000008</v>
      </c>
      <c r="G611" s="9">
        <f>8.5341 * CHOOSE(CONTROL!$C$32, $C$9, 100%, $E$9)</f>
        <v>8.5341000000000005</v>
      </c>
      <c r="H611" s="9">
        <f>12.2305 * CHOOSE(CONTROL!$C$32, $C$9, 100%, $E$9)</f>
        <v>12.230499999999999</v>
      </c>
      <c r="I611" s="9">
        <f>12.2337 * CHOOSE(CONTROL!$C$32, $C$9, 100%, $E$9)</f>
        <v>12.233700000000001</v>
      </c>
      <c r="J611" s="9">
        <f>12.2305 * CHOOSE(CONTROL!$C$32, $C$9, 100%, $E$9)</f>
        <v>12.230499999999999</v>
      </c>
      <c r="K611" s="9">
        <f>12.2337 * CHOOSE(CONTROL!$C$32, $C$9, 100%, $E$9)</f>
        <v>12.233700000000001</v>
      </c>
      <c r="L611" s="9">
        <f>8.5309 * CHOOSE(CONTROL!$C$32, $C$9, 100%, $E$9)</f>
        <v>8.5309000000000008</v>
      </c>
      <c r="M611" s="9">
        <f>8.5341 * CHOOSE(CONTROL!$C$32, $C$9, 100%, $E$9)</f>
        <v>8.5341000000000005</v>
      </c>
      <c r="N611" s="9">
        <f>8.5309 * CHOOSE(CONTROL!$C$32, $C$9, 100%, $E$9)</f>
        <v>8.5309000000000008</v>
      </c>
      <c r="O611" s="9">
        <f>8.5341 * CHOOSE(CONTROL!$C$32, $C$9, 100%, $E$9)</f>
        <v>8.5341000000000005</v>
      </c>
    </row>
    <row r="612" spans="1:15" ht="15.75" x14ac:dyDescent="0.25">
      <c r="A612" s="13">
        <v>59140</v>
      </c>
      <c r="B612" s="10">
        <f>10.2564 * CHOOSE(CONTROL!$C$32, $C$9, 100%, $E$9)</f>
        <v>10.256399999999999</v>
      </c>
      <c r="C612" s="10">
        <f>10.2564 * CHOOSE(CONTROL!$C$32, $C$9, 100%, $E$9)</f>
        <v>10.256399999999999</v>
      </c>
      <c r="D612" s="10">
        <f>10.2574 * CHOOSE(CONTROL!$C$32, $C$9, 100%, $E$9)</f>
        <v>10.257400000000001</v>
      </c>
      <c r="E612" s="9">
        <f>8.5756 * CHOOSE(CONTROL!$C$32, $C$9, 100%, $E$9)</f>
        <v>8.5755999999999997</v>
      </c>
      <c r="F612" s="9">
        <f>8.5756 * CHOOSE(CONTROL!$C$32, $C$9, 100%, $E$9)</f>
        <v>8.5755999999999997</v>
      </c>
      <c r="G612" s="9">
        <f>8.5788 * CHOOSE(CONTROL!$C$32, $C$9, 100%, $E$9)</f>
        <v>8.5787999999999993</v>
      </c>
      <c r="H612" s="9">
        <f>12.2325 * CHOOSE(CONTROL!$C$32, $C$9, 100%, $E$9)</f>
        <v>12.2325</v>
      </c>
      <c r="I612" s="9">
        <f>12.2357 * CHOOSE(CONTROL!$C$32, $C$9, 100%, $E$9)</f>
        <v>12.2357</v>
      </c>
      <c r="J612" s="9">
        <f>12.2325 * CHOOSE(CONTROL!$C$32, $C$9, 100%, $E$9)</f>
        <v>12.2325</v>
      </c>
      <c r="K612" s="9">
        <f>12.2357 * CHOOSE(CONTROL!$C$32, $C$9, 100%, $E$9)</f>
        <v>12.2357</v>
      </c>
      <c r="L612" s="9">
        <f>8.5756 * CHOOSE(CONTROL!$C$32, $C$9, 100%, $E$9)</f>
        <v>8.5755999999999997</v>
      </c>
      <c r="M612" s="9">
        <f>8.5788 * CHOOSE(CONTROL!$C$32, $C$9, 100%, $E$9)</f>
        <v>8.5787999999999993</v>
      </c>
      <c r="N612" s="9">
        <f>8.5756 * CHOOSE(CONTROL!$C$32, $C$9, 100%, $E$9)</f>
        <v>8.5755999999999997</v>
      </c>
      <c r="O612" s="9">
        <f>8.5788 * CHOOSE(CONTROL!$C$32, $C$9, 100%, $E$9)</f>
        <v>8.5787999999999993</v>
      </c>
    </row>
    <row r="613" spans="1:15" ht="15.75" x14ac:dyDescent="0.25">
      <c r="A613" s="13">
        <v>59171</v>
      </c>
      <c r="B613" s="10">
        <f>10.2564 * CHOOSE(CONTROL!$C$32, $C$9, 100%, $E$9)</f>
        <v>10.256399999999999</v>
      </c>
      <c r="C613" s="10">
        <f>10.2564 * CHOOSE(CONTROL!$C$32, $C$9, 100%, $E$9)</f>
        <v>10.256399999999999</v>
      </c>
      <c r="D613" s="10">
        <f>10.2574 * CHOOSE(CONTROL!$C$32, $C$9, 100%, $E$9)</f>
        <v>10.257400000000001</v>
      </c>
      <c r="E613" s="9">
        <f>8.4692 * CHOOSE(CONTROL!$C$32, $C$9, 100%, $E$9)</f>
        <v>8.4692000000000007</v>
      </c>
      <c r="F613" s="9">
        <f>8.4692 * CHOOSE(CONTROL!$C$32, $C$9, 100%, $E$9)</f>
        <v>8.4692000000000007</v>
      </c>
      <c r="G613" s="9">
        <f>8.4724 * CHOOSE(CONTROL!$C$32, $C$9, 100%, $E$9)</f>
        <v>8.4724000000000004</v>
      </c>
      <c r="H613" s="9">
        <f>12.2325 * CHOOSE(CONTROL!$C$32, $C$9, 100%, $E$9)</f>
        <v>12.2325</v>
      </c>
      <c r="I613" s="9">
        <f>12.2357 * CHOOSE(CONTROL!$C$32, $C$9, 100%, $E$9)</f>
        <v>12.2357</v>
      </c>
      <c r="J613" s="9">
        <f>12.2325 * CHOOSE(CONTROL!$C$32, $C$9, 100%, $E$9)</f>
        <v>12.2325</v>
      </c>
      <c r="K613" s="9">
        <f>12.2357 * CHOOSE(CONTROL!$C$32, $C$9, 100%, $E$9)</f>
        <v>12.2357</v>
      </c>
      <c r="L613" s="9">
        <f>8.4692 * CHOOSE(CONTROL!$C$32, $C$9, 100%, $E$9)</f>
        <v>8.4692000000000007</v>
      </c>
      <c r="M613" s="9">
        <f>8.4724 * CHOOSE(CONTROL!$C$32, $C$9, 100%, $E$9)</f>
        <v>8.4724000000000004</v>
      </c>
      <c r="N613" s="9">
        <f>8.4692 * CHOOSE(CONTROL!$C$32, $C$9, 100%, $E$9)</f>
        <v>8.4692000000000007</v>
      </c>
      <c r="O613" s="9">
        <f>8.4724 * CHOOSE(CONTROL!$C$32, $C$9, 100%, $E$9)</f>
        <v>8.4724000000000004</v>
      </c>
    </row>
    <row r="614" spans="1:15" ht="15" x14ac:dyDescent="0.2">
      <c r="A614" s="12"/>
      <c r="B614" s="10"/>
      <c r="C614" s="10"/>
      <c r="D614" s="10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</row>
    <row r="615" spans="1:15" ht="15" x14ac:dyDescent="0.2">
      <c r="A615" s="11">
        <v>2012</v>
      </c>
      <c r="B615" s="10">
        <f t="shared" ref="B615:O615" si="0">AVERAGE(B14:B25)</f>
        <v>2.3331333333333331</v>
      </c>
      <c r="C615" s="10">
        <f t="shared" si="0"/>
        <v>2.2780583333333335</v>
      </c>
      <c r="D615" s="10">
        <f t="shared" si="0"/>
        <v>2.307525</v>
      </c>
      <c r="E615" s="10">
        <f t="shared" si="0"/>
        <v>3.8243999999999994</v>
      </c>
      <c r="F615" s="10">
        <f t="shared" si="0"/>
        <v>3.3179166666666666</v>
      </c>
      <c r="G615" s="10">
        <f t="shared" si="0"/>
        <v>3.3311750000000004</v>
      </c>
      <c r="H615" s="10">
        <f t="shared" si="0"/>
        <v>3.8074499999999998</v>
      </c>
      <c r="I615" s="10">
        <f t="shared" si="0"/>
        <v>3.8207000000000004</v>
      </c>
      <c r="J615" s="10">
        <f t="shared" si="0"/>
        <v>3.8074499999999998</v>
      </c>
      <c r="K615" s="10">
        <f t="shared" si="0"/>
        <v>3.8207000000000004</v>
      </c>
      <c r="L615" s="10">
        <f t="shared" si="0"/>
        <v>3.8243999999999994</v>
      </c>
      <c r="M615" s="10">
        <f t="shared" si="0"/>
        <v>3.8376416666666664</v>
      </c>
      <c r="N615" s="10">
        <f t="shared" si="0"/>
        <v>3.8243999999999994</v>
      </c>
      <c r="O615" s="10">
        <f t="shared" si="0"/>
        <v>3.8376416666666664</v>
      </c>
    </row>
    <row r="616" spans="1:15" ht="15" x14ac:dyDescent="0.2">
      <c r="A616" s="11">
        <v>2013</v>
      </c>
      <c r="B616" s="10">
        <f t="shared" ref="B616:O616" si="1">AVERAGE(B26:B37)</f>
        <v>2.4477333333333333</v>
      </c>
      <c r="C616" s="10">
        <f t="shared" si="1"/>
        <v>2.500916666666666</v>
      </c>
      <c r="D616" s="10">
        <f t="shared" si="1"/>
        <v>2.5409083333333333</v>
      </c>
      <c r="E616" s="10">
        <f t="shared" si="1"/>
        <v>4.1238750000000008</v>
      </c>
      <c r="F616" s="10">
        <f t="shared" si="1"/>
        <v>3.608025</v>
      </c>
      <c r="G616" s="10">
        <f t="shared" si="1"/>
        <v>3.6212499999999999</v>
      </c>
      <c r="H616" s="10">
        <f t="shared" si="1"/>
        <v>3.8365416666666659</v>
      </c>
      <c r="I616" s="10">
        <f t="shared" si="1"/>
        <v>3.8497916666666661</v>
      </c>
      <c r="J616" s="10">
        <f t="shared" si="1"/>
        <v>3.8365416666666659</v>
      </c>
      <c r="K616" s="10">
        <f t="shared" si="1"/>
        <v>3.8497916666666661</v>
      </c>
      <c r="L616" s="10">
        <f t="shared" si="1"/>
        <v>4.1238750000000008</v>
      </c>
      <c r="M616" s="10">
        <f t="shared" si="1"/>
        <v>4.1371000000000002</v>
      </c>
      <c r="N616" s="10">
        <f t="shared" si="1"/>
        <v>4.1238750000000008</v>
      </c>
      <c r="O616" s="10">
        <f t="shared" si="1"/>
        <v>4.1371000000000002</v>
      </c>
    </row>
    <row r="617" spans="1:15" ht="15" x14ac:dyDescent="0.2">
      <c r="A617" s="11">
        <v>2014</v>
      </c>
      <c r="B617" s="10">
        <f t="shared" ref="B617:O617" si="2">AVERAGE(B38:B49)</f>
        <v>2.5016916666666664</v>
      </c>
      <c r="C617" s="10">
        <f t="shared" si="2"/>
        <v>2.5222333333333338</v>
      </c>
      <c r="D617" s="10">
        <f t="shared" si="2"/>
        <v>2.5622249999999998</v>
      </c>
      <c r="E617" s="10">
        <f t="shared" si="2"/>
        <v>3.5369416666666669</v>
      </c>
      <c r="F617" s="10">
        <f t="shared" si="2"/>
        <v>3.5125666666666664</v>
      </c>
      <c r="G617" s="10">
        <f t="shared" si="2"/>
        <v>3.5258083333333325</v>
      </c>
      <c r="H617" s="10">
        <f t="shared" si="2"/>
        <v>3.9038416666666667</v>
      </c>
      <c r="I617" s="10">
        <f t="shared" si="2"/>
        <v>3.9170666666666669</v>
      </c>
      <c r="J617" s="10">
        <f t="shared" si="2"/>
        <v>3.9038416666666667</v>
      </c>
      <c r="K617" s="10">
        <f t="shared" si="2"/>
        <v>3.9170666666666669</v>
      </c>
      <c r="L617" s="10">
        <f t="shared" si="2"/>
        <v>3.5369416666666669</v>
      </c>
      <c r="M617" s="10">
        <f t="shared" si="2"/>
        <v>3.550183333333333</v>
      </c>
      <c r="N617" s="10">
        <f t="shared" si="2"/>
        <v>3.5369416666666669</v>
      </c>
      <c r="O617" s="10">
        <f t="shared" si="2"/>
        <v>3.550183333333333</v>
      </c>
    </row>
    <row r="618" spans="1:15" ht="15" x14ac:dyDescent="0.2">
      <c r="A618" s="11">
        <v>2015</v>
      </c>
      <c r="B618" s="10">
        <f t="shared" ref="B618:O618" si="3">AVERAGE(B50:B61)</f>
        <v>2.5646416666666672</v>
      </c>
      <c r="C618" s="10">
        <f t="shared" si="3"/>
        <v>2.5646416666666672</v>
      </c>
      <c r="D618" s="10">
        <f t="shared" si="3"/>
        <v>2.5657416666666664</v>
      </c>
      <c r="E618" s="10">
        <f t="shared" si="3"/>
        <v>3.6045000000000011</v>
      </c>
      <c r="F618" s="10">
        <f t="shared" si="3"/>
        <v>3.5835999999999992</v>
      </c>
      <c r="G618" s="10">
        <f t="shared" si="3"/>
        <v>3.5873000000000004</v>
      </c>
      <c r="H618" s="10">
        <f t="shared" si="3"/>
        <v>3.9846583333333334</v>
      </c>
      <c r="I618" s="10">
        <f t="shared" si="3"/>
        <v>3.988283333333333</v>
      </c>
      <c r="J618" s="10">
        <f t="shared" si="3"/>
        <v>3.9846583333333334</v>
      </c>
      <c r="K618" s="10">
        <f t="shared" si="3"/>
        <v>3.988283333333333</v>
      </c>
      <c r="L618" s="10">
        <f t="shared" si="3"/>
        <v>3.6045000000000011</v>
      </c>
      <c r="M618" s="10">
        <f t="shared" si="3"/>
        <v>3.608099999999999</v>
      </c>
      <c r="N618" s="10">
        <f t="shared" si="3"/>
        <v>3.6045000000000011</v>
      </c>
      <c r="O618" s="10">
        <f t="shared" si="3"/>
        <v>3.608099999999999</v>
      </c>
    </row>
    <row r="619" spans="1:15" ht="15" x14ac:dyDescent="0.2">
      <c r="A619" s="11">
        <v>2016</v>
      </c>
      <c r="B619" s="10">
        <f t="shared" ref="B619:O619" si="4">AVERAGE(B62:B73)</f>
        <v>2.5733666666666664</v>
      </c>
      <c r="C619" s="10">
        <f t="shared" si="4"/>
        <v>2.5733666666666664</v>
      </c>
      <c r="D619" s="10">
        <f t="shared" si="4"/>
        <v>2.5744499999999997</v>
      </c>
      <c r="E619" s="10">
        <f t="shared" si="4"/>
        <v>3.7019000000000015</v>
      </c>
      <c r="F619" s="10">
        <f t="shared" si="4"/>
        <v>3.6856000000000004</v>
      </c>
      <c r="G619" s="10">
        <f t="shared" si="4"/>
        <v>3.6893000000000007</v>
      </c>
      <c r="H619" s="10">
        <f t="shared" si="4"/>
        <v>4.1009333333333338</v>
      </c>
      <c r="I619" s="10">
        <f t="shared" si="4"/>
        <v>4.1046083333333332</v>
      </c>
      <c r="J619" s="10">
        <f t="shared" si="4"/>
        <v>4.1009333333333338</v>
      </c>
      <c r="K619" s="10">
        <f t="shared" si="4"/>
        <v>4.1046083333333332</v>
      </c>
      <c r="L619" s="10">
        <f t="shared" si="4"/>
        <v>3.7019000000000015</v>
      </c>
      <c r="M619" s="10">
        <f t="shared" si="4"/>
        <v>3.7056</v>
      </c>
      <c r="N619" s="10">
        <f t="shared" si="4"/>
        <v>3.7019000000000015</v>
      </c>
      <c r="O619" s="10">
        <f t="shared" si="4"/>
        <v>3.7056</v>
      </c>
    </row>
    <row r="620" spans="1:15" ht="15" x14ac:dyDescent="0.2">
      <c r="A620" s="11">
        <v>2017</v>
      </c>
      <c r="B620" s="10">
        <f t="shared" ref="B620:O620" si="5">AVERAGE(B74:B85)</f>
        <v>2.6370083333333332</v>
      </c>
      <c r="C620" s="10">
        <f t="shared" si="5"/>
        <v>2.6370083333333332</v>
      </c>
      <c r="D620" s="10">
        <f t="shared" si="5"/>
        <v>2.6381166666666673</v>
      </c>
      <c r="E620" s="10">
        <f t="shared" si="5"/>
        <v>3.8132583333333336</v>
      </c>
      <c r="F620" s="10">
        <f t="shared" si="5"/>
        <v>3.8132583333333336</v>
      </c>
      <c r="G620" s="10">
        <f t="shared" si="5"/>
        <v>3.816908333333334</v>
      </c>
      <c r="H620" s="10">
        <f t="shared" si="5"/>
        <v>4.2399083333333341</v>
      </c>
      <c r="I620" s="10">
        <f t="shared" si="5"/>
        <v>4.2435833333333335</v>
      </c>
      <c r="J620" s="10">
        <f t="shared" si="5"/>
        <v>4.2399083333333341</v>
      </c>
      <c r="K620" s="10">
        <f t="shared" si="5"/>
        <v>4.2435833333333335</v>
      </c>
      <c r="L620" s="10">
        <f t="shared" si="5"/>
        <v>3.8132583333333336</v>
      </c>
      <c r="M620" s="10">
        <f t="shared" si="5"/>
        <v>3.816908333333334</v>
      </c>
      <c r="N620" s="10">
        <f t="shared" si="5"/>
        <v>3.8132583333333336</v>
      </c>
      <c r="O620" s="10">
        <f t="shared" si="5"/>
        <v>3.816908333333334</v>
      </c>
    </row>
    <row r="621" spans="1:15" ht="15" x14ac:dyDescent="0.2">
      <c r="A621" s="11">
        <v>2018</v>
      </c>
      <c r="B621" s="10">
        <f t="shared" ref="B621:O621" si="6">AVERAGE(B86:B97)</f>
        <v>2.6999250000000004</v>
      </c>
      <c r="C621" s="10">
        <f t="shared" si="6"/>
        <v>2.6999250000000004</v>
      </c>
      <c r="D621" s="10">
        <f t="shared" si="6"/>
        <v>2.7010083333333337</v>
      </c>
      <c r="E621" s="10">
        <f t="shared" si="6"/>
        <v>3.9296083333333338</v>
      </c>
      <c r="F621" s="10">
        <f t="shared" si="6"/>
        <v>3.9296083333333338</v>
      </c>
      <c r="G621" s="10">
        <f t="shared" si="6"/>
        <v>3.9332833333333332</v>
      </c>
      <c r="H621" s="10">
        <f t="shared" si="6"/>
        <v>4.3676833333333329</v>
      </c>
      <c r="I621" s="10">
        <f t="shared" si="6"/>
        <v>4.3713833333333332</v>
      </c>
      <c r="J621" s="10">
        <f t="shared" si="6"/>
        <v>4.3676833333333329</v>
      </c>
      <c r="K621" s="10">
        <f t="shared" si="6"/>
        <v>4.3713833333333332</v>
      </c>
      <c r="L621" s="10">
        <f t="shared" si="6"/>
        <v>3.9296083333333338</v>
      </c>
      <c r="M621" s="10">
        <f t="shared" si="6"/>
        <v>3.9332833333333332</v>
      </c>
      <c r="N621" s="10">
        <f t="shared" si="6"/>
        <v>3.9296083333333338</v>
      </c>
      <c r="O621" s="10">
        <f t="shared" si="6"/>
        <v>3.9332833333333332</v>
      </c>
    </row>
    <row r="622" spans="1:15" ht="15" x14ac:dyDescent="0.2">
      <c r="A622" s="11">
        <v>2019</v>
      </c>
      <c r="B622" s="10">
        <f t="shared" ref="B622:O622" si="7">AVERAGE(B98:B109)</f>
        <v>3.6265583333333331</v>
      </c>
      <c r="C622" s="10">
        <f t="shared" si="7"/>
        <v>3.6265583333333331</v>
      </c>
      <c r="D622" s="10">
        <f t="shared" si="7"/>
        <v>3.6276499999999996</v>
      </c>
      <c r="E622" s="10">
        <f t="shared" si="7"/>
        <v>4.138841666666667</v>
      </c>
      <c r="F622" s="10">
        <f t="shared" si="7"/>
        <v>4.138841666666667</v>
      </c>
      <c r="G622" s="10">
        <f t="shared" si="7"/>
        <v>4.1424999999999992</v>
      </c>
      <c r="H622" s="10">
        <f t="shared" si="7"/>
        <v>4.4971833333333331</v>
      </c>
      <c r="I622" s="10">
        <f t="shared" si="7"/>
        <v>4.5008583333333325</v>
      </c>
      <c r="J622" s="10">
        <f t="shared" si="7"/>
        <v>4.4971833333333331</v>
      </c>
      <c r="K622" s="10">
        <f t="shared" si="7"/>
        <v>4.5008583333333325</v>
      </c>
      <c r="L622" s="10">
        <f t="shared" si="7"/>
        <v>4.138841666666667</v>
      </c>
      <c r="M622" s="10">
        <f t="shared" si="7"/>
        <v>4.1424999999999992</v>
      </c>
      <c r="N622" s="10">
        <f t="shared" si="7"/>
        <v>4.138841666666667</v>
      </c>
      <c r="O622" s="10">
        <f t="shared" si="7"/>
        <v>4.1424999999999992</v>
      </c>
    </row>
    <row r="623" spans="1:15" ht="15" x14ac:dyDescent="0.2">
      <c r="A623" s="11">
        <v>2020</v>
      </c>
      <c r="B623" s="10">
        <f t="shared" ref="B623:O623" si="8">AVERAGE(B110:B121)</f>
        <v>3.7318166666666657</v>
      </c>
      <c r="C623" s="10">
        <f t="shared" si="8"/>
        <v>3.7318166666666657</v>
      </c>
      <c r="D623" s="10">
        <f t="shared" si="8"/>
        <v>3.7329166666666667</v>
      </c>
      <c r="E623" s="10">
        <f t="shared" si="8"/>
        <v>4.345041666666666</v>
      </c>
      <c r="F623" s="10">
        <f t="shared" si="8"/>
        <v>4.345041666666666</v>
      </c>
      <c r="G623" s="10">
        <f t="shared" si="8"/>
        <v>4.3487166666666655</v>
      </c>
      <c r="H623" s="10">
        <f t="shared" si="8"/>
        <v>4.6355083333333331</v>
      </c>
      <c r="I623" s="10">
        <f t="shared" si="8"/>
        <v>4.6391916666666662</v>
      </c>
      <c r="J623" s="10">
        <f t="shared" si="8"/>
        <v>4.6355083333333331</v>
      </c>
      <c r="K623" s="10">
        <f t="shared" si="8"/>
        <v>4.6391916666666662</v>
      </c>
      <c r="L623" s="10">
        <f t="shared" si="8"/>
        <v>4.345041666666666</v>
      </c>
      <c r="M623" s="10">
        <f t="shared" si="8"/>
        <v>4.3487166666666655</v>
      </c>
      <c r="N623" s="10">
        <f t="shared" si="8"/>
        <v>4.345041666666666</v>
      </c>
      <c r="O623" s="10">
        <f t="shared" si="8"/>
        <v>4.3487166666666655</v>
      </c>
    </row>
    <row r="624" spans="1:15" ht="15" x14ac:dyDescent="0.2">
      <c r="A624" s="11">
        <v>2021</v>
      </c>
      <c r="B624" s="10">
        <f t="shared" ref="B624:O624" si="9">AVERAGE(B122:B133)</f>
        <v>3.8155750000000004</v>
      </c>
      <c r="C624" s="10">
        <f t="shared" si="9"/>
        <v>3.8155750000000004</v>
      </c>
      <c r="D624" s="10">
        <f t="shared" si="9"/>
        <v>3.816666666666666</v>
      </c>
      <c r="E624" s="10">
        <f t="shared" si="9"/>
        <v>4.3847916666666675</v>
      </c>
      <c r="F624" s="10">
        <f t="shared" si="9"/>
        <v>4.3847916666666675</v>
      </c>
      <c r="G624" s="10">
        <f t="shared" si="9"/>
        <v>4.3884666666666661</v>
      </c>
      <c r="H624" s="10">
        <f t="shared" si="9"/>
        <v>4.737333333333333</v>
      </c>
      <c r="I624" s="10">
        <f t="shared" si="9"/>
        <v>4.741016666666666</v>
      </c>
      <c r="J624" s="10">
        <f t="shared" si="9"/>
        <v>4.737333333333333</v>
      </c>
      <c r="K624" s="10">
        <f t="shared" si="9"/>
        <v>4.741016666666666</v>
      </c>
      <c r="L624" s="10">
        <f t="shared" si="9"/>
        <v>4.3847916666666675</v>
      </c>
      <c r="M624" s="10">
        <f t="shared" si="9"/>
        <v>4.3884666666666661</v>
      </c>
      <c r="N624" s="10">
        <f t="shared" si="9"/>
        <v>4.3847916666666675</v>
      </c>
      <c r="O624" s="10">
        <f t="shared" si="9"/>
        <v>4.3884666666666661</v>
      </c>
    </row>
    <row r="625" spans="1:15" ht="15" x14ac:dyDescent="0.2">
      <c r="A625" s="11">
        <v>2022</v>
      </c>
      <c r="B625" s="10">
        <f t="shared" ref="B625:O625" si="10">AVERAGE(B134:B145)</f>
        <v>3.9065916666666674</v>
      </c>
      <c r="C625" s="10">
        <f t="shared" si="10"/>
        <v>3.9065916666666674</v>
      </c>
      <c r="D625" s="10">
        <f t="shared" si="10"/>
        <v>3.9076749999999993</v>
      </c>
      <c r="E625" s="10">
        <f t="shared" si="10"/>
        <v>4.454391666666667</v>
      </c>
      <c r="F625" s="10">
        <f t="shared" si="10"/>
        <v>4.454391666666667</v>
      </c>
      <c r="G625" s="10">
        <f t="shared" si="10"/>
        <v>4.458075</v>
      </c>
      <c r="H625" s="10">
        <f t="shared" si="10"/>
        <v>4.8508833333333339</v>
      </c>
      <c r="I625" s="10">
        <f t="shared" si="10"/>
        <v>4.8545583333333333</v>
      </c>
      <c r="J625" s="10">
        <f t="shared" si="10"/>
        <v>4.8508833333333339</v>
      </c>
      <c r="K625" s="10">
        <f t="shared" si="10"/>
        <v>4.8545583333333333</v>
      </c>
      <c r="L625" s="10">
        <f t="shared" si="10"/>
        <v>4.454391666666667</v>
      </c>
      <c r="M625" s="10">
        <f t="shared" si="10"/>
        <v>4.458075</v>
      </c>
      <c r="N625" s="10">
        <f t="shared" si="10"/>
        <v>4.454391666666667</v>
      </c>
      <c r="O625" s="10">
        <f t="shared" si="10"/>
        <v>4.458075</v>
      </c>
    </row>
    <row r="626" spans="1:15" ht="15" x14ac:dyDescent="0.2">
      <c r="A626" s="11">
        <v>2023</v>
      </c>
      <c r="B626" s="10">
        <f t="shared" ref="B626:O626" si="11">AVERAGE(B146:B157)</f>
        <v>3.9949750000000002</v>
      </c>
      <c r="C626" s="10">
        <f t="shared" si="11"/>
        <v>3.9949750000000002</v>
      </c>
      <c r="D626" s="10">
        <f t="shared" si="11"/>
        <v>3.9960583333333339</v>
      </c>
      <c r="E626" s="10">
        <f t="shared" si="11"/>
        <v>4.4979333333333331</v>
      </c>
      <c r="F626" s="10">
        <f t="shared" si="11"/>
        <v>4.4979333333333331</v>
      </c>
      <c r="G626" s="10">
        <f t="shared" si="11"/>
        <v>4.5016000000000007</v>
      </c>
      <c r="H626" s="10">
        <f t="shared" si="11"/>
        <v>4.968208333333334</v>
      </c>
      <c r="I626" s="10">
        <f t="shared" si="11"/>
        <v>4.9718666666666662</v>
      </c>
      <c r="J626" s="10">
        <f t="shared" si="11"/>
        <v>4.968208333333334</v>
      </c>
      <c r="K626" s="10">
        <f t="shared" si="11"/>
        <v>4.9718666666666662</v>
      </c>
      <c r="L626" s="10">
        <f t="shared" si="11"/>
        <v>4.4979333333333331</v>
      </c>
      <c r="M626" s="10">
        <f t="shared" si="11"/>
        <v>4.5016000000000007</v>
      </c>
      <c r="N626" s="10">
        <f t="shared" si="11"/>
        <v>4.4979333333333331</v>
      </c>
      <c r="O626" s="10">
        <f t="shared" si="11"/>
        <v>4.5016000000000007</v>
      </c>
    </row>
    <row r="627" spans="1:15" ht="15" x14ac:dyDescent="0.2">
      <c r="A627" s="11">
        <v>2024</v>
      </c>
      <c r="B627" s="10">
        <f t="shared" ref="B627:O627" si="12">AVERAGE(B158:B169)</f>
        <v>4.0674500000000009</v>
      </c>
      <c r="C627" s="10">
        <f t="shared" si="12"/>
        <v>4.0674500000000009</v>
      </c>
      <c r="D627" s="10">
        <f t="shared" si="12"/>
        <v>4.0685500000000001</v>
      </c>
      <c r="E627" s="10">
        <f t="shared" si="12"/>
        <v>4.5426416666666665</v>
      </c>
      <c r="F627" s="10">
        <f t="shared" si="12"/>
        <v>4.5426416666666665</v>
      </c>
      <c r="G627" s="10">
        <f t="shared" si="12"/>
        <v>4.5463166666666668</v>
      </c>
      <c r="H627" s="10">
        <f t="shared" si="12"/>
        <v>5.0885833333333332</v>
      </c>
      <c r="I627" s="10">
        <f t="shared" si="12"/>
        <v>5.0922833333333335</v>
      </c>
      <c r="J627" s="10">
        <f t="shared" si="12"/>
        <v>5.0885833333333332</v>
      </c>
      <c r="K627" s="10">
        <f t="shared" si="12"/>
        <v>5.0922833333333335</v>
      </c>
      <c r="L627" s="10">
        <f t="shared" si="12"/>
        <v>4.5426416666666665</v>
      </c>
      <c r="M627" s="10">
        <f t="shared" si="12"/>
        <v>4.5463166666666668</v>
      </c>
      <c r="N627" s="10">
        <f t="shared" si="12"/>
        <v>4.5426416666666665</v>
      </c>
      <c r="O627" s="10">
        <f t="shared" si="12"/>
        <v>4.5463166666666668</v>
      </c>
    </row>
    <row r="628" spans="1:15" ht="15" x14ac:dyDescent="0.2">
      <c r="A628" s="11">
        <v>2025</v>
      </c>
      <c r="B628" s="10">
        <f t="shared" ref="B628:O628" si="13">AVERAGE(B170:B181)</f>
        <v>4.1597999999999997</v>
      </c>
      <c r="C628" s="10">
        <f t="shared" si="13"/>
        <v>4.1597999999999997</v>
      </c>
      <c r="D628" s="10">
        <f t="shared" si="13"/>
        <v>4.1608999999999989</v>
      </c>
      <c r="E628" s="10">
        <f t="shared" si="13"/>
        <v>4.595416666666666</v>
      </c>
      <c r="F628" s="10">
        <f t="shared" si="13"/>
        <v>4.595416666666666</v>
      </c>
      <c r="G628" s="10">
        <f t="shared" si="13"/>
        <v>4.5991083333333336</v>
      </c>
      <c r="H628" s="10">
        <f t="shared" si="13"/>
        <v>5.2132083333333332</v>
      </c>
      <c r="I628" s="10">
        <f t="shared" si="13"/>
        <v>5.2168916666666671</v>
      </c>
      <c r="J628" s="10">
        <f t="shared" si="13"/>
        <v>5.2132083333333332</v>
      </c>
      <c r="K628" s="10">
        <f t="shared" si="13"/>
        <v>5.2168916666666671</v>
      </c>
      <c r="L628" s="10">
        <f t="shared" si="13"/>
        <v>4.595416666666666</v>
      </c>
      <c r="M628" s="10">
        <f t="shared" si="13"/>
        <v>4.5991083333333336</v>
      </c>
      <c r="N628" s="10">
        <f t="shared" si="13"/>
        <v>4.595416666666666</v>
      </c>
      <c r="O628" s="10">
        <f t="shared" si="13"/>
        <v>4.5991083333333336</v>
      </c>
    </row>
    <row r="629" spans="1:15" ht="15" x14ac:dyDescent="0.2">
      <c r="A629" s="11">
        <v>2026</v>
      </c>
      <c r="B629" s="10">
        <f t="shared" ref="B629:O629" si="14">AVERAGE(B182:B193)</f>
        <v>4.2534333333333336</v>
      </c>
      <c r="C629" s="10">
        <f t="shared" si="14"/>
        <v>4.2534333333333336</v>
      </c>
      <c r="D629" s="10">
        <f t="shared" si="14"/>
        <v>4.2545250000000001</v>
      </c>
      <c r="E629" s="10">
        <f t="shared" si="14"/>
        <v>4.6719666666666662</v>
      </c>
      <c r="F629" s="10">
        <f t="shared" si="14"/>
        <v>4.6719666666666662</v>
      </c>
      <c r="G629" s="10">
        <f t="shared" si="14"/>
        <v>4.6756416666666665</v>
      </c>
      <c r="H629" s="10">
        <f t="shared" si="14"/>
        <v>5.337133333333334</v>
      </c>
      <c r="I629" s="10">
        <f t="shared" si="14"/>
        <v>5.3408333333333324</v>
      </c>
      <c r="J629" s="10">
        <f t="shared" si="14"/>
        <v>5.337133333333334</v>
      </c>
      <c r="K629" s="10">
        <f t="shared" si="14"/>
        <v>5.3408333333333324</v>
      </c>
      <c r="L629" s="10">
        <f t="shared" si="14"/>
        <v>4.6719666666666662</v>
      </c>
      <c r="M629" s="10">
        <f t="shared" si="14"/>
        <v>4.6756416666666665</v>
      </c>
      <c r="N629" s="10">
        <f t="shared" si="14"/>
        <v>4.6719666666666662</v>
      </c>
      <c r="O629" s="10">
        <f t="shared" si="14"/>
        <v>4.6756416666666665</v>
      </c>
    </row>
    <row r="630" spans="1:15" ht="15" x14ac:dyDescent="0.2">
      <c r="A630" s="11">
        <v>2027</v>
      </c>
      <c r="B630" s="10">
        <f t="shared" ref="B630:O630" si="15">AVERAGE(B194:B205)</f>
        <v>4.3583500000000006</v>
      </c>
      <c r="C630" s="10">
        <f t="shared" si="15"/>
        <v>4.3583500000000006</v>
      </c>
      <c r="D630" s="10">
        <f t="shared" si="15"/>
        <v>4.3594416666666671</v>
      </c>
      <c r="E630" s="10">
        <f t="shared" si="15"/>
        <v>4.7393416666666672</v>
      </c>
      <c r="F630" s="10">
        <f t="shared" si="15"/>
        <v>4.7393416666666672</v>
      </c>
      <c r="G630" s="10">
        <f t="shared" si="15"/>
        <v>4.7430166666666667</v>
      </c>
      <c r="H630" s="10">
        <f t="shared" si="15"/>
        <v>5.4625583333333338</v>
      </c>
      <c r="I630" s="10">
        <f t="shared" si="15"/>
        <v>5.4662166666666669</v>
      </c>
      <c r="J630" s="10">
        <f t="shared" si="15"/>
        <v>5.4625583333333338</v>
      </c>
      <c r="K630" s="10">
        <f t="shared" si="15"/>
        <v>5.4662166666666669</v>
      </c>
      <c r="L630" s="10">
        <f t="shared" si="15"/>
        <v>4.7393416666666672</v>
      </c>
      <c r="M630" s="10">
        <f t="shared" si="15"/>
        <v>4.7430166666666667</v>
      </c>
      <c r="N630" s="10">
        <f t="shared" si="15"/>
        <v>4.7393416666666672</v>
      </c>
      <c r="O630" s="10">
        <f t="shared" si="15"/>
        <v>4.7430166666666667</v>
      </c>
    </row>
    <row r="631" spans="1:15" ht="15" x14ac:dyDescent="0.2">
      <c r="A631" s="11">
        <v>2028</v>
      </c>
      <c r="B631" s="10">
        <f t="shared" ref="B631:O631" si="16">AVERAGE(B206:B217)</f>
        <v>4.4605500000000005</v>
      </c>
      <c r="C631" s="10">
        <f t="shared" si="16"/>
        <v>4.4605500000000005</v>
      </c>
      <c r="D631" s="10">
        <f t="shared" si="16"/>
        <v>4.4616416666666661</v>
      </c>
      <c r="E631" s="10">
        <f t="shared" si="16"/>
        <v>4.8055500000000011</v>
      </c>
      <c r="F631" s="10">
        <f t="shared" si="16"/>
        <v>4.8055500000000011</v>
      </c>
      <c r="G631" s="10">
        <f t="shared" si="16"/>
        <v>4.8092416666666669</v>
      </c>
      <c r="H631" s="10">
        <f t="shared" si="16"/>
        <v>5.5855333333333341</v>
      </c>
      <c r="I631" s="10">
        <f t="shared" si="16"/>
        <v>5.5892333333333326</v>
      </c>
      <c r="J631" s="10">
        <f t="shared" si="16"/>
        <v>5.5855333333333341</v>
      </c>
      <c r="K631" s="10">
        <f t="shared" si="16"/>
        <v>5.5892333333333326</v>
      </c>
      <c r="L631" s="10">
        <f t="shared" si="16"/>
        <v>4.8055500000000011</v>
      </c>
      <c r="M631" s="10">
        <f t="shared" si="16"/>
        <v>4.8092416666666669</v>
      </c>
      <c r="N631" s="10">
        <f t="shared" si="16"/>
        <v>4.8055500000000011</v>
      </c>
      <c r="O631" s="10">
        <f t="shared" si="16"/>
        <v>4.8092416666666669</v>
      </c>
    </row>
    <row r="632" spans="1:15" ht="15" x14ac:dyDescent="0.2">
      <c r="A632" s="11">
        <v>2029</v>
      </c>
      <c r="B632" s="10">
        <f t="shared" ref="B632:O632" si="17">AVERAGE(B218:B229)</f>
        <v>4.5807083333333329</v>
      </c>
      <c r="C632" s="10">
        <f t="shared" si="17"/>
        <v>4.5807083333333329</v>
      </c>
      <c r="D632" s="10">
        <f t="shared" si="17"/>
        <v>4.5818083333333339</v>
      </c>
      <c r="E632" s="10">
        <f t="shared" si="17"/>
        <v>4.8855250000000003</v>
      </c>
      <c r="F632" s="10">
        <f t="shared" si="17"/>
        <v>4.8855250000000003</v>
      </c>
      <c r="G632" s="10">
        <f t="shared" si="17"/>
        <v>4.8892083333333334</v>
      </c>
      <c r="H632" s="10">
        <f t="shared" si="17"/>
        <v>5.7230333333333334</v>
      </c>
      <c r="I632" s="10">
        <f t="shared" si="17"/>
        <v>5.7266916666666674</v>
      </c>
      <c r="J632" s="10">
        <f t="shared" si="17"/>
        <v>5.7230333333333334</v>
      </c>
      <c r="K632" s="10">
        <f t="shared" si="17"/>
        <v>5.7266916666666674</v>
      </c>
      <c r="L632" s="10">
        <f t="shared" si="17"/>
        <v>4.8855250000000003</v>
      </c>
      <c r="M632" s="10">
        <f t="shared" si="17"/>
        <v>4.8892083333333334</v>
      </c>
      <c r="N632" s="10">
        <f t="shared" si="17"/>
        <v>4.8855250000000003</v>
      </c>
      <c r="O632" s="10">
        <f t="shared" si="17"/>
        <v>4.8892083333333334</v>
      </c>
    </row>
    <row r="633" spans="1:15" ht="15" x14ac:dyDescent="0.2">
      <c r="A633" s="11">
        <v>2030</v>
      </c>
      <c r="B633" s="10">
        <f t="shared" ref="B633:O633" si="18">AVERAGE(B230:B241)</f>
        <v>4.6823666666666659</v>
      </c>
      <c r="C633" s="10">
        <f t="shared" si="18"/>
        <v>4.6823666666666659</v>
      </c>
      <c r="D633" s="10">
        <f t="shared" si="18"/>
        <v>4.6834583333333342</v>
      </c>
      <c r="E633" s="10">
        <f t="shared" si="18"/>
        <v>4.9560333333333331</v>
      </c>
      <c r="F633" s="10">
        <f t="shared" si="18"/>
        <v>4.9560333333333331</v>
      </c>
      <c r="G633" s="10">
        <f t="shared" si="18"/>
        <v>4.9597083333333343</v>
      </c>
      <c r="H633" s="10">
        <f t="shared" si="18"/>
        <v>5.8493833333333329</v>
      </c>
      <c r="I633" s="10">
        <f t="shared" si="18"/>
        <v>5.8530583333333333</v>
      </c>
      <c r="J633" s="10">
        <f t="shared" si="18"/>
        <v>5.8493833333333329</v>
      </c>
      <c r="K633" s="10">
        <f t="shared" si="18"/>
        <v>5.8530583333333333</v>
      </c>
      <c r="L633" s="10">
        <f t="shared" si="18"/>
        <v>4.9560333333333331</v>
      </c>
      <c r="M633" s="10">
        <f t="shared" si="18"/>
        <v>4.9597083333333343</v>
      </c>
      <c r="N633" s="10">
        <f t="shared" si="18"/>
        <v>4.9560333333333331</v>
      </c>
      <c r="O633" s="10">
        <f t="shared" si="18"/>
        <v>4.9597083333333343</v>
      </c>
    </row>
    <row r="634" spans="1:15" ht="15" x14ac:dyDescent="0.2">
      <c r="A634" s="11">
        <v>2031</v>
      </c>
      <c r="B634" s="10">
        <f t="shared" ref="B634:O634" si="19">AVERAGE(B242:B253)</f>
        <v>4.7983416666666656</v>
      </c>
      <c r="C634" s="10">
        <f t="shared" si="19"/>
        <v>4.7983416666666656</v>
      </c>
      <c r="D634" s="10">
        <f t="shared" si="19"/>
        <v>4.7994500000000002</v>
      </c>
      <c r="E634" s="10">
        <f t="shared" si="19"/>
        <v>5.0305666666666662</v>
      </c>
      <c r="F634" s="10">
        <f t="shared" si="19"/>
        <v>5.0305666666666662</v>
      </c>
      <c r="G634" s="10">
        <f t="shared" si="19"/>
        <v>5.0342499999999992</v>
      </c>
      <c r="H634" s="10">
        <f t="shared" si="19"/>
        <v>5.9874583333333335</v>
      </c>
      <c r="I634" s="10">
        <f t="shared" si="19"/>
        <v>5.991108333333333</v>
      </c>
      <c r="J634" s="10">
        <f t="shared" si="19"/>
        <v>5.9874583333333335</v>
      </c>
      <c r="K634" s="10">
        <f t="shared" si="19"/>
        <v>5.991108333333333</v>
      </c>
      <c r="L634" s="10">
        <f t="shared" si="19"/>
        <v>5.0305666666666662</v>
      </c>
      <c r="M634" s="10">
        <f t="shared" si="19"/>
        <v>5.0342499999999992</v>
      </c>
      <c r="N634" s="10">
        <f t="shared" si="19"/>
        <v>5.0305666666666662</v>
      </c>
      <c r="O634" s="10">
        <f t="shared" si="19"/>
        <v>5.0342499999999992</v>
      </c>
    </row>
    <row r="635" spans="1:15" ht="15" x14ac:dyDescent="0.2">
      <c r="A635" s="11">
        <v>2032</v>
      </c>
      <c r="B635" s="10">
        <f t="shared" ref="B635:O635" si="20">AVERAGE(B254:B265)</f>
        <v>4.9174749999999996</v>
      </c>
      <c r="C635" s="10">
        <f t="shared" si="20"/>
        <v>4.9174749999999996</v>
      </c>
      <c r="D635" s="10">
        <f t="shared" si="20"/>
        <v>4.9185749999999997</v>
      </c>
      <c r="E635" s="10">
        <f t="shared" si="20"/>
        <v>5.0972999999999997</v>
      </c>
      <c r="F635" s="10">
        <f t="shared" si="20"/>
        <v>5.0972999999999997</v>
      </c>
      <c r="G635" s="10">
        <f t="shared" si="20"/>
        <v>5.1009833333333328</v>
      </c>
      <c r="H635" s="10">
        <f t="shared" si="20"/>
        <v>6.1279333333333321</v>
      </c>
      <c r="I635" s="10">
        <f t="shared" si="20"/>
        <v>6.1316083333333333</v>
      </c>
      <c r="J635" s="10">
        <f t="shared" si="20"/>
        <v>6.1279333333333321</v>
      </c>
      <c r="K635" s="10">
        <f t="shared" si="20"/>
        <v>6.1316083333333333</v>
      </c>
      <c r="L635" s="10">
        <f t="shared" si="20"/>
        <v>5.0972999999999997</v>
      </c>
      <c r="M635" s="10">
        <f t="shared" si="20"/>
        <v>5.1009833333333328</v>
      </c>
      <c r="N635" s="10">
        <f t="shared" si="20"/>
        <v>5.0972999999999997</v>
      </c>
      <c r="O635" s="10">
        <f t="shared" si="20"/>
        <v>5.1009833333333328</v>
      </c>
    </row>
    <row r="636" spans="1:15" ht="15" x14ac:dyDescent="0.2">
      <c r="A636" s="11">
        <v>2033</v>
      </c>
      <c r="B636" s="10">
        <f t="shared" ref="B636:O636" si="21">AVERAGE(B266:B277)</f>
        <v>5.0398166666666668</v>
      </c>
      <c r="C636" s="10">
        <f t="shared" si="21"/>
        <v>5.0398166666666668</v>
      </c>
      <c r="D636" s="10">
        <f t="shared" si="21"/>
        <v>5.0409000000000006</v>
      </c>
      <c r="E636" s="10">
        <f t="shared" si="21"/>
        <v>5.1623166666666664</v>
      </c>
      <c r="F636" s="10">
        <f t="shared" si="21"/>
        <v>5.1623166666666664</v>
      </c>
      <c r="G636" s="10">
        <f t="shared" si="21"/>
        <v>5.1659916666666668</v>
      </c>
      <c r="H636" s="10">
        <f t="shared" si="21"/>
        <v>6.270058333333334</v>
      </c>
      <c r="I636" s="10">
        <f t="shared" si="21"/>
        <v>6.2737583333333342</v>
      </c>
      <c r="J636" s="10">
        <f t="shared" si="21"/>
        <v>6.270058333333334</v>
      </c>
      <c r="K636" s="10">
        <f t="shared" si="21"/>
        <v>6.2737583333333342</v>
      </c>
      <c r="L636" s="10">
        <f t="shared" si="21"/>
        <v>5.1623166666666664</v>
      </c>
      <c r="M636" s="10">
        <f t="shared" si="21"/>
        <v>5.1659916666666668</v>
      </c>
      <c r="N636" s="10">
        <f t="shared" si="21"/>
        <v>5.1623166666666664</v>
      </c>
      <c r="O636" s="10">
        <f t="shared" si="21"/>
        <v>5.1659916666666668</v>
      </c>
    </row>
    <row r="637" spans="1:15" ht="15" x14ac:dyDescent="0.2">
      <c r="A637" s="11">
        <v>2034</v>
      </c>
      <c r="B637" s="10">
        <f t="shared" ref="B637:O637" si="22">AVERAGE(B278:B289)</f>
        <v>5.1680333333333328</v>
      </c>
      <c r="C637" s="10">
        <f t="shared" si="22"/>
        <v>5.1680333333333328</v>
      </c>
      <c r="D637" s="10">
        <f t="shared" si="22"/>
        <v>5.1691249999999993</v>
      </c>
      <c r="E637" s="10">
        <f t="shared" si="22"/>
        <v>5.2323416666666667</v>
      </c>
      <c r="F637" s="10">
        <f t="shared" si="22"/>
        <v>5.2323416666666667</v>
      </c>
      <c r="G637" s="10">
        <f t="shared" si="22"/>
        <v>5.236016666666667</v>
      </c>
      <c r="H637" s="10">
        <f t="shared" si="22"/>
        <v>6.4185083333333326</v>
      </c>
      <c r="I637" s="10">
        <f t="shared" si="22"/>
        <v>6.4221916666666674</v>
      </c>
      <c r="J637" s="10">
        <f t="shared" si="22"/>
        <v>6.4185083333333326</v>
      </c>
      <c r="K637" s="10">
        <f t="shared" si="22"/>
        <v>6.4221916666666674</v>
      </c>
      <c r="L637" s="10">
        <f t="shared" si="22"/>
        <v>5.2323416666666667</v>
      </c>
      <c r="M637" s="10">
        <f t="shared" si="22"/>
        <v>5.236016666666667</v>
      </c>
      <c r="N637" s="10">
        <f t="shared" si="22"/>
        <v>5.2323416666666667</v>
      </c>
      <c r="O637" s="10">
        <f t="shared" si="22"/>
        <v>5.236016666666667</v>
      </c>
    </row>
    <row r="638" spans="1:15" ht="15" x14ac:dyDescent="0.2">
      <c r="A638" s="11">
        <v>2035</v>
      </c>
      <c r="B638" s="10">
        <f t="shared" ref="B638:O638" si="23">AVERAGE(B290:B301)</f>
        <v>5.3069999999999995</v>
      </c>
      <c r="C638" s="10">
        <f t="shared" si="23"/>
        <v>5.3069999999999995</v>
      </c>
      <c r="D638" s="10">
        <f t="shared" si="23"/>
        <v>5.3080999999999996</v>
      </c>
      <c r="E638" s="10">
        <f t="shared" si="23"/>
        <v>5.3044499999999992</v>
      </c>
      <c r="F638" s="10">
        <f t="shared" si="23"/>
        <v>5.3044499999999992</v>
      </c>
      <c r="G638" s="10">
        <f t="shared" si="23"/>
        <v>5.3081083333333341</v>
      </c>
      <c r="H638" s="10">
        <f t="shared" si="23"/>
        <v>6.5744083333333334</v>
      </c>
      <c r="I638" s="10">
        <f t="shared" si="23"/>
        <v>6.5780666666666674</v>
      </c>
      <c r="J638" s="10">
        <f t="shared" si="23"/>
        <v>6.5744083333333334</v>
      </c>
      <c r="K638" s="10">
        <f t="shared" si="23"/>
        <v>6.5780666666666674</v>
      </c>
      <c r="L638" s="10">
        <f t="shared" si="23"/>
        <v>5.3044499999999992</v>
      </c>
      <c r="M638" s="10">
        <f t="shared" si="23"/>
        <v>5.3081083333333341</v>
      </c>
      <c r="N638" s="10">
        <f t="shared" si="23"/>
        <v>5.3044499999999992</v>
      </c>
      <c r="O638" s="10">
        <f t="shared" si="23"/>
        <v>5.3081083333333341</v>
      </c>
    </row>
    <row r="639" spans="1:15" ht="15" x14ac:dyDescent="0.2">
      <c r="A639" s="11">
        <v>2036</v>
      </c>
      <c r="B639" s="10">
        <f t="shared" ref="B639:O639" si="24">AVERAGE(B302:B313)</f>
        <v>5.4434583333333331</v>
      </c>
      <c r="C639" s="10">
        <f t="shared" si="24"/>
        <v>5.4434583333333331</v>
      </c>
      <c r="D639" s="10">
        <f t="shared" si="24"/>
        <v>5.4445499999999996</v>
      </c>
      <c r="E639" s="10">
        <f t="shared" si="24"/>
        <v>5.399258333333333</v>
      </c>
      <c r="F639" s="10">
        <f t="shared" si="24"/>
        <v>5.399258333333333</v>
      </c>
      <c r="G639" s="10">
        <f t="shared" si="24"/>
        <v>5.402941666666667</v>
      </c>
      <c r="H639" s="10">
        <f t="shared" si="24"/>
        <v>6.7515916666666671</v>
      </c>
      <c r="I639" s="10">
        <f t="shared" si="24"/>
        <v>6.7552666666666665</v>
      </c>
      <c r="J639" s="10">
        <f t="shared" si="24"/>
        <v>6.7515916666666671</v>
      </c>
      <c r="K639" s="10">
        <f t="shared" si="24"/>
        <v>6.7552666666666665</v>
      </c>
      <c r="L639" s="10">
        <f t="shared" si="24"/>
        <v>5.399258333333333</v>
      </c>
      <c r="M639" s="10">
        <f t="shared" si="24"/>
        <v>5.402941666666667</v>
      </c>
      <c r="N639" s="10">
        <f t="shared" si="24"/>
        <v>5.399258333333333</v>
      </c>
      <c r="O639" s="10">
        <f t="shared" si="24"/>
        <v>5.402941666666667</v>
      </c>
    </row>
    <row r="640" spans="1:15" ht="15" x14ac:dyDescent="0.2">
      <c r="A640" s="11">
        <v>2037</v>
      </c>
      <c r="B640" s="10">
        <f t="shared" ref="B640:O640" si="25">AVERAGE(B314:B325)</f>
        <v>5.5810416666666667</v>
      </c>
      <c r="C640" s="10">
        <f t="shared" si="25"/>
        <v>5.5810416666666667</v>
      </c>
      <c r="D640" s="10">
        <f t="shared" si="25"/>
        <v>5.5821416666666677</v>
      </c>
      <c r="E640" s="10">
        <f t="shared" si="25"/>
        <v>5.4959749999999987</v>
      </c>
      <c r="F640" s="10">
        <f t="shared" si="25"/>
        <v>5.4959749999999987</v>
      </c>
      <c r="G640" s="10">
        <f t="shared" si="25"/>
        <v>5.4996333333333327</v>
      </c>
      <c r="H640" s="10">
        <f t="shared" si="25"/>
        <v>6.8911333333333351</v>
      </c>
      <c r="I640" s="10">
        <f t="shared" si="25"/>
        <v>6.8948166666666673</v>
      </c>
      <c r="J640" s="10">
        <f t="shared" si="25"/>
        <v>6.8911333333333351</v>
      </c>
      <c r="K640" s="10">
        <f t="shared" si="25"/>
        <v>6.8948166666666673</v>
      </c>
      <c r="L640" s="10">
        <f t="shared" si="25"/>
        <v>5.4959749999999987</v>
      </c>
      <c r="M640" s="10">
        <f t="shared" si="25"/>
        <v>5.4996333333333327</v>
      </c>
      <c r="N640" s="10">
        <f t="shared" si="25"/>
        <v>5.4959749999999987</v>
      </c>
      <c r="O640" s="10">
        <f t="shared" si="25"/>
        <v>5.4996333333333327</v>
      </c>
    </row>
    <row r="641" spans="1:15" ht="15" x14ac:dyDescent="0.2">
      <c r="A641" s="11">
        <f t="shared" ref="A641:A664" si="26">A640+1</f>
        <v>2038</v>
      </c>
      <c r="B641" s="10">
        <f t="shared" ref="B641:O641" si="27">AVERAGE(B326:B337)</f>
        <v>5.7221166666666674</v>
      </c>
      <c r="C641" s="10">
        <f t="shared" si="27"/>
        <v>5.7221166666666674</v>
      </c>
      <c r="D641" s="10">
        <f t="shared" si="27"/>
        <v>5.723233333333333</v>
      </c>
      <c r="E641" s="10">
        <f t="shared" si="27"/>
        <v>5.5971916666666672</v>
      </c>
      <c r="F641" s="10">
        <f t="shared" si="27"/>
        <v>5.5971916666666672</v>
      </c>
      <c r="G641" s="10">
        <f t="shared" si="27"/>
        <v>5.6008416666666676</v>
      </c>
      <c r="H641" s="10">
        <f t="shared" si="27"/>
        <v>7.0551833333333329</v>
      </c>
      <c r="I641" s="10">
        <f t="shared" si="27"/>
        <v>7.0588416666666669</v>
      </c>
      <c r="J641" s="10">
        <f t="shared" si="27"/>
        <v>7.0551833333333329</v>
      </c>
      <c r="K641" s="10">
        <f t="shared" si="27"/>
        <v>7.0588416666666669</v>
      </c>
      <c r="L641" s="10">
        <f t="shared" si="27"/>
        <v>5.5971916666666672</v>
      </c>
      <c r="M641" s="10">
        <f t="shared" si="27"/>
        <v>5.6008416666666676</v>
      </c>
      <c r="N641" s="10">
        <f t="shared" si="27"/>
        <v>5.5971916666666672</v>
      </c>
      <c r="O641" s="10">
        <f t="shared" si="27"/>
        <v>5.6008416666666676</v>
      </c>
    </row>
    <row r="642" spans="1:15" ht="15" x14ac:dyDescent="0.2">
      <c r="A642" s="11">
        <f t="shared" si="26"/>
        <v>2039</v>
      </c>
      <c r="B642" s="10">
        <f t="shared" ref="B642:O642" si="28">AVERAGE(B338:B349)</f>
        <v>5.8667833333333332</v>
      </c>
      <c r="C642" s="10">
        <f t="shared" si="28"/>
        <v>5.8667833333333332</v>
      </c>
      <c r="D642" s="10">
        <f t="shared" si="28"/>
        <v>5.8678833333333325</v>
      </c>
      <c r="E642" s="10">
        <f t="shared" si="28"/>
        <v>5.6951416666666654</v>
      </c>
      <c r="F642" s="10">
        <f t="shared" si="28"/>
        <v>5.6951416666666654</v>
      </c>
      <c r="G642" s="10">
        <f t="shared" si="28"/>
        <v>5.6988083333333348</v>
      </c>
      <c r="H642" s="10">
        <f t="shared" si="28"/>
        <v>7.223158333333334</v>
      </c>
      <c r="I642" s="10">
        <f t="shared" si="28"/>
        <v>7.2268416666666653</v>
      </c>
      <c r="J642" s="10">
        <f t="shared" si="28"/>
        <v>7.223158333333334</v>
      </c>
      <c r="K642" s="10">
        <f t="shared" si="28"/>
        <v>7.2268416666666653</v>
      </c>
      <c r="L642" s="10">
        <f t="shared" si="28"/>
        <v>5.6951416666666654</v>
      </c>
      <c r="M642" s="10">
        <f t="shared" si="28"/>
        <v>5.6988083333333348</v>
      </c>
      <c r="N642" s="10">
        <f t="shared" si="28"/>
        <v>5.6951416666666654</v>
      </c>
      <c r="O642" s="10">
        <f t="shared" si="28"/>
        <v>5.6988083333333348</v>
      </c>
    </row>
    <row r="643" spans="1:15" ht="15" x14ac:dyDescent="0.2">
      <c r="A643" s="11">
        <f t="shared" si="26"/>
        <v>2040</v>
      </c>
      <c r="B643" s="10">
        <f t="shared" ref="B643:O643" si="29">AVERAGE(B350:B361)</f>
        <v>6.0150916666666667</v>
      </c>
      <c r="C643" s="10">
        <f t="shared" si="29"/>
        <v>6.0150916666666667</v>
      </c>
      <c r="D643" s="10">
        <f t="shared" si="29"/>
        <v>6.0161750000000005</v>
      </c>
      <c r="E643" s="10">
        <f t="shared" si="29"/>
        <v>5.7976999999999999</v>
      </c>
      <c r="F643" s="10">
        <f t="shared" si="29"/>
        <v>5.7976999999999999</v>
      </c>
      <c r="G643" s="10">
        <f t="shared" si="29"/>
        <v>5.8013666666666666</v>
      </c>
      <c r="H643" s="10">
        <f t="shared" si="29"/>
        <v>7.3951833333333328</v>
      </c>
      <c r="I643" s="10">
        <f t="shared" si="29"/>
        <v>7.3988583333333322</v>
      </c>
      <c r="J643" s="10">
        <f t="shared" si="29"/>
        <v>7.3951833333333328</v>
      </c>
      <c r="K643" s="10">
        <f t="shared" si="29"/>
        <v>7.3988583333333322</v>
      </c>
      <c r="L643" s="10">
        <f t="shared" si="29"/>
        <v>5.7976999999999999</v>
      </c>
      <c r="M643" s="10">
        <f t="shared" si="29"/>
        <v>5.8013666666666666</v>
      </c>
      <c r="N643" s="10">
        <f t="shared" si="29"/>
        <v>5.7976999999999999</v>
      </c>
      <c r="O643" s="10">
        <f t="shared" si="29"/>
        <v>5.8013666666666666</v>
      </c>
    </row>
    <row r="644" spans="1:15" ht="15" x14ac:dyDescent="0.2">
      <c r="A644" s="11">
        <f t="shared" si="26"/>
        <v>2041</v>
      </c>
      <c r="B644" s="10">
        <f t="shared" ref="B644:O644" si="30">AVERAGE(B362:B373)</f>
        <v>6.1671583333333331</v>
      </c>
      <c r="C644" s="10">
        <f t="shared" si="30"/>
        <v>6.1671583333333331</v>
      </c>
      <c r="D644" s="10">
        <f t="shared" si="30"/>
        <v>6.1682666666666668</v>
      </c>
      <c r="E644" s="10">
        <f t="shared" si="30"/>
        <v>5.902308333333333</v>
      </c>
      <c r="F644" s="10">
        <f t="shared" si="30"/>
        <v>5.902308333333333</v>
      </c>
      <c r="G644" s="10">
        <f t="shared" si="30"/>
        <v>5.9059833333333325</v>
      </c>
      <c r="H644" s="10">
        <f t="shared" si="30"/>
        <v>7.5713083333333344</v>
      </c>
      <c r="I644" s="10">
        <f t="shared" si="30"/>
        <v>7.5750083333333329</v>
      </c>
      <c r="J644" s="10">
        <f t="shared" si="30"/>
        <v>7.5713083333333344</v>
      </c>
      <c r="K644" s="10">
        <f t="shared" si="30"/>
        <v>7.5750083333333329</v>
      </c>
      <c r="L644" s="10">
        <f t="shared" si="30"/>
        <v>5.902308333333333</v>
      </c>
      <c r="M644" s="10">
        <f t="shared" si="30"/>
        <v>5.9059833333333325</v>
      </c>
      <c r="N644" s="10">
        <f t="shared" si="30"/>
        <v>5.902308333333333</v>
      </c>
      <c r="O644" s="10">
        <f t="shared" si="30"/>
        <v>5.9059833333333325</v>
      </c>
    </row>
    <row r="645" spans="1:15" ht="15" x14ac:dyDescent="0.2">
      <c r="A645" s="11">
        <f t="shared" si="26"/>
        <v>2042</v>
      </c>
      <c r="B645" s="10">
        <f t="shared" ref="B645:O645" si="31">AVERAGE(B374:B385)</f>
        <v>6.3230916666666666</v>
      </c>
      <c r="C645" s="10">
        <f t="shared" si="31"/>
        <v>6.3230916666666666</v>
      </c>
      <c r="D645" s="10">
        <f t="shared" si="31"/>
        <v>6.3241916666666649</v>
      </c>
      <c r="E645" s="10">
        <f t="shared" si="31"/>
        <v>6.0090250000000003</v>
      </c>
      <c r="F645" s="10">
        <f t="shared" si="31"/>
        <v>6.0090250000000003</v>
      </c>
      <c r="G645" s="10">
        <f t="shared" si="31"/>
        <v>6.0126999999999988</v>
      </c>
      <c r="H645" s="10">
        <f t="shared" si="31"/>
        <v>7.7516333333333343</v>
      </c>
      <c r="I645" s="10">
        <f t="shared" si="31"/>
        <v>7.7553333333333319</v>
      </c>
      <c r="J645" s="10">
        <f t="shared" si="31"/>
        <v>7.7516333333333343</v>
      </c>
      <c r="K645" s="10">
        <f t="shared" si="31"/>
        <v>7.7553333333333319</v>
      </c>
      <c r="L645" s="10">
        <f t="shared" si="31"/>
        <v>6.0090250000000003</v>
      </c>
      <c r="M645" s="10">
        <f t="shared" si="31"/>
        <v>6.0126999999999988</v>
      </c>
      <c r="N645" s="10">
        <f t="shared" si="31"/>
        <v>6.0090250000000003</v>
      </c>
      <c r="O645" s="10">
        <f t="shared" si="31"/>
        <v>6.0126999999999988</v>
      </c>
    </row>
    <row r="646" spans="1:15" ht="15" x14ac:dyDescent="0.2">
      <c r="A646" s="11">
        <f t="shared" si="26"/>
        <v>2043</v>
      </c>
      <c r="B646" s="10">
        <f t="shared" ref="B646:O646" si="32">AVERAGE(B386:B397)</f>
        <v>6.4829833333333342</v>
      </c>
      <c r="C646" s="10">
        <f t="shared" si="32"/>
        <v>6.4829833333333342</v>
      </c>
      <c r="D646" s="10">
        <f t="shared" si="32"/>
        <v>6.4840583333333344</v>
      </c>
      <c r="E646" s="10">
        <f t="shared" si="32"/>
        <v>6.1178750000000006</v>
      </c>
      <c r="F646" s="10">
        <f t="shared" si="32"/>
        <v>6.1178750000000006</v>
      </c>
      <c r="G646" s="10">
        <f t="shared" si="32"/>
        <v>6.1215333333333328</v>
      </c>
      <c r="H646" s="10">
        <f t="shared" si="32"/>
        <v>7.9362833333333329</v>
      </c>
      <c r="I646" s="10">
        <f t="shared" si="32"/>
        <v>7.9399583333333323</v>
      </c>
      <c r="J646" s="10">
        <f t="shared" si="32"/>
        <v>7.9362833333333329</v>
      </c>
      <c r="K646" s="10">
        <f t="shared" si="32"/>
        <v>7.9399583333333323</v>
      </c>
      <c r="L646" s="10">
        <f t="shared" si="32"/>
        <v>6.1178750000000006</v>
      </c>
      <c r="M646" s="10">
        <f t="shared" si="32"/>
        <v>6.1215333333333328</v>
      </c>
      <c r="N646" s="10">
        <f t="shared" si="32"/>
        <v>6.1178750000000006</v>
      </c>
      <c r="O646" s="10">
        <f t="shared" si="32"/>
        <v>6.1215333333333328</v>
      </c>
    </row>
    <row r="647" spans="1:15" ht="15" x14ac:dyDescent="0.2">
      <c r="A647" s="11">
        <f t="shared" si="26"/>
        <v>2044</v>
      </c>
      <c r="B647" s="10">
        <f t="shared" ref="B647:O647" si="33">AVERAGE(B398:B409)</f>
        <v>6.646891666666666</v>
      </c>
      <c r="C647" s="10">
        <f t="shared" si="33"/>
        <v>6.646891666666666</v>
      </c>
      <c r="D647" s="10">
        <f t="shared" si="33"/>
        <v>6.6479749999999997</v>
      </c>
      <c r="E647" s="10">
        <f t="shared" si="33"/>
        <v>6.2289000000000003</v>
      </c>
      <c r="F647" s="10">
        <f t="shared" si="33"/>
        <v>6.2289000000000003</v>
      </c>
      <c r="G647" s="10">
        <f t="shared" si="33"/>
        <v>6.2325833333333343</v>
      </c>
      <c r="H647" s="10">
        <f t="shared" si="33"/>
        <v>8.1253833333333336</v>
      </c>
      <c r="I647" s="10">
        <f t="shared" si="33"/>
        <v>8.1290583333333348</v>
      </c>
      <c r="J647" s="10">
        <f t="shared" si="33"/>
        <v>8.1253833333333336</v>
      </c>
      <c r="K647" s="10">
        <f t="shared" si="33"/>
        <v>8.1290583333333348</v>
      </c>
      <c r="L647" s="10">
        <f t="shared" si="33"/>
        <v>6.2289000000000003</v>
      </c>
      <c r="M647" s="10">
        <f t="shared" si="33"/>
        <v>6.2325833333333343</v>
      </c>
      <c r="N647" s="10">
        <f t="shared" si="33"/>
        <v>6.2289000000000003</v>
      </c>
      <c r="O647" s="10">
        <f t="shared" si="33"/>
        <v>6.2325833333333343</v>
      </c>
    </row>
    <row r="648" spans="1:15" ht="15" x14ac:dyDescent="0.2">
      <c r="A648" s="11">
        <f t="shared" si="26"/>
        <v>2045</v>
      </c>
      <c r="B648" s="10">
        <f t="shared" ref="B648:O648" si="34">AVERAGE(B410:B421)</f>
        <v>6.8149666666666668</v>
      </c>
      <c r="C648" s="10">
        <f t="shared" si="34"/>
        <v>6.8149666666666668</v>
      </c>
      <c r="D648" s="10">
        <f t="shared" si="34"/>
        <v>6.8160666666666678</v>
      </c>
      <c r="E648" s="10">
        <f t="shared" si="34"/>
        <v>6.3421750000000001</v>
      </c>
      <c r="F648" s="10">
        <f t="shared" si="34"/>
        <v>6.3421750000000001</v>
      </c>
      <c r="G648" s="10">
        <f t="shared" si="34"/>
        <v>6.3458416666666677</v>
      </c>
      <c r="H648" s="10">
        <f t="shared" si="34"/>
        <v>8.3189833333333336</v>
      </c>
      <c r="I648" s="10">
        <f t="shared" si="34"/>
        <v>8.322658333333333</v>
      </c>
      <c r="J648" s="10">
        <f t="shared" si="34"/>
        <v>8.3189833333333336</v>
      </c>
      <c r="K648" s="10">
        <f t="shared" si="34"/>
        <v>8.322658333333333</v>
      </c>
      <c r="L648" s="10">
        <f t="shared" si="34"/>
        <v>6.3421750000000001</v>
      </c>
      <c r="M648" s="10">
        <f t="shared" si="34"/>
        <v>6.3458416666666677</v>
      </c>
      <c r="N648" s="10">
        <f t="shared" si="34"/>
        <v>6.3421750000000001</v>
      </c>
      <c r="O648" s="10">
        <f t="shared" si="34"/>
        <v>6.3458416666666677</v>
      </c>
    </row>
    <row r="649" spans="1:15" ht="15" x14ac:dyDescent="0.2">
      <c r="A649" s="11">
        <f t="shared" si="26"/>
        <v>2046</v>
      </c>
      <c r="B649" s="10">
        <f t="shared" ref="B649:O649" si="35">AVERAGE(B422:B433)</f>
        <v>6.9873083333333321</v>
      </c>
      <c r="C649" s="10">
        <f t="shared" si="35"/>
        <v>6.9873083333333321</v>
      </c>
      <c r="D649" s="10">
        <f t="shared" si="35"/>
        <v>6.9883999999999986</v>
      </c>
      <c r="E649" s="10">
        <f t="shared" si="35"/>
        <v>6.4577249999999999</v>
      </c>
      <c r="F649" s="10">
        <f t="shared" si="35"/>
        <v>6.4577249999999999</v>
      </c>
      <c r="G649" s="10">
        <f t="shared" si="35"/>
        <v>6.4614083333333339</v>
      </c>
      <c r="H649" s="10">
        <f t="shared" si="35"/>
        <v>8.5172333333333334</v>
      </c>
      <c r="I649" s="10">
        <f t="shared" si="35"/>
        <v>8.5209333333333337</v>
      </c>
      <c r="J649" s="10">
        <f t="shared" si="35"/>
        <v>8.5172333333333334</v>
      </c>
      <c r="K649" s="10">
        <f t="shared" si="35"/>
        <v>8.5209333333333337</v>
      </c>
      <c r="L649" s="10">
        <f t="shared" si="35"/>
        <v>6.4577249999999999</v>
      </c>
      <c r="M649" s="10">
        <f t="shared" si="35"/>
        <v>6.4614083333333339</v>
      </c>
      <c r="N649" s="10">
        <f t="shared" si="35"/>
        <v>6.4577249999999999</v>
      </c>
      <c r="O649" s="10">
        <f t="shared" si="35"/>
        <v>6.4614083333333339</v>
      </c>
    </row>
    <row r="650" spans="1:15" ht="15" x14ac:dyDescent="0.2">
      <c r="A650" s="11">
        <f t="shared" si="26"/>
        <v>2047</v>
      </c>
      <c r="B650" s="10">
        <f t="shared" ref="B650:O650" si="36">AVERAGE(B434:B445)</f>
        <v>7.1640166666666678</v>
      </c>
      <c r="C650" s="10">
        <f t="shared" si="36"/>
        <v>7.1640166666666678</v>
      </c>
      <c r="D650" s="10">
        <f t="shared" si="36"/>
        <v>7.1651083333333352</v>
      </c>
      <c r="E650" s="10">
        <f t="shared" si="36"/>
        <v>6.5756333333333323</v>
      </c>
      <c r="F650" s="10">
        <f t="shared" si="36"/>
        <v>6.5756333333333323</v>
      </c>
      <c r="G650" s="10">
        <f t="shared" si="36"/>
        <v>6.5792999999999999</v>
      </c>
      <c r="H650" s="10">
        <f t="shared" si="36"/>
        <v>8.7202083333333338</v>
      </c>
      <c r="I650" s="10">
        <f t="shared" si="36"/>
        <v>8.7239083333333323</v>
      </c>
      <c r="J650" s="10">
        <f t="shared" si="36"/>
        <v>8.7202083333333338</v>
      </c>
      <c r="K650" s="10">
        <f t="shared" si="36"/>
        <v>8.7239083333333323</v>
      </c>
      <c r="L650" s="10">
        <f t="shared" si="36"/>
        <v>6.5756333333333323</v>
      </c>
      <c r="M650" s="10">
        <f t="shared" si="36"/>
        <v>6.5792999999999999</v>
      </c>
      <c r="N650" s="10">
        <f t="shared" si="36"/>
        <v>6.5756333333333323</v>
      </c>
      <c r="O650" s="10">
        <f t="shared" si="36"/>
        <v>6.5792999999999999</v>
      </c>
    </row>
    <row r="651" spans="1:15" ht="15" x14ac:dyDescent="0.2">
      <c r="A651" s="11">
        <f t="shared" si="26"/>
        <v>2048</v>
      </c>
      <c r="B651" s="10">
        <f t="shared" ref="B651:O651" si="37">AVERAGE(B446:B457)</f>
        <v>7.3451916666666683</v>
      </c>
      <c r="C651" s="10">
        <f t="shared" si="37"/>
        <v>7.3451916666666683</v>
      </c>
      <c r="D651" s="10">
        <f t="shared" si="37"/>
        <v>7.3462916666666667</v>
      </c>
      <c r="E651" s="10">
        <f t="shared" si="37"/>
        <v>6.6959000000000009</v>
      </c>
      <c r="F651" s="10">
        <f t="shared" si="37"/>
        <v>6.6959000000000009</v>
      </c>
      <c r="G651" s="10">
        <f t="shared" si="37"/>
        <v>6.6995749999999994</v>
      </c>
      <c r="H651" s="10">
        <f t="shared" si="37"/>
        <v>8.9280583333333343</v>
      </c>
      <c r="I651" s="10">
        <f t="shared" si="37"/>
        <v>8.9317583333333328</v>
      </c>
      <c r="J651" s="10">
        <f t="shared" si="37"/>
        <v>8.9280583333333343</v>
      </c>
      <c r="K651" s="10">
        <f t="shared" si="37"/>
        <v>8.9317583333333328</v>
      </c>
      <c r="L651" s="10">
        <f t="shared" si="37"/>
        <v>6.6959000000000009</v>
      </c>
      <c r="M651" s="10">
        <f t="shared" si="37"/>
        <v>6.6995749999999994</v>
      </c>
      <c r="N651" s="10">
        <f t="shared" si="37"/>
        <v>6.6959000000000009</v>
      </c>
      <c r="O651" s="10">
        <f t="shared" si="37"/>
        <v>6.6995749999999994</v>
      </c>
    </row>
    <row r="652" spans="1:15" ht="15" x14ac:dyDescent="0.2">
      <c r="A652" s="11">
        <f t="shared" si="26"/>
        <v>2049</v>
      </c>
      <c r="B652" s="10">
        <f t="shared" ref="B652:O652" si="38">AVERAGE(B458:B469)</f>
        <v>7.5309666666666679</v>
      </c>
      <c r="C652" s="10">
        <f t="shared" si="38"/>
        <v>7.5309666666666679</v>
      </c>
      <c r="D652" s="10">
        <f t="shared" si="38"/>
        <v>7.532074999999999</v>
      </c>
      <c r="E652" s="10">
        <f t="shared" si="38"/>
        <v>6.8186249999999999</v>
      </c>
      <c r="F652" s="10">
        <f t="shared" si="38"/>
        <v>6.8186249999999999</v>
      </c>
      <c r="G652" s="10">
        <f t="shared" si="38"/>
        <v>6.822308333333333</v>
      </c>
      <c r="H652" s="10">
        <f t="shared" si="38"/>
        <v>9.1409083333333339</v>
      </c>
      <c r="I652" s="10">
        <f t="shared" si="38"/>
        <v>9.144541666666667</v>
      </c>
      <c r="J652" s="10">
        <f t="shared" si="38"/>
        <v>9.1409083333333339</v>
      </c>
      <c r="K652" s="10">
        <f t="shared" si="38"/>
        <v>9.144541666666667</v>
      </c>
      <c r="L652" s="10">
        <f t="shared" si="38"/>
        <v>6.8186249999999999</v>
      </c>
      <c r="M652" s="10">
        <f t="shared" si="38"/>
        <v>6.822308333333333</v>
      </c>
      <c r="N652" s="10">
        <f t="shared" si="38"/>
        <v>6.8186249999999999</v>
      </c>
      <c r="O652" s="10">
        <f t="shared" si="38"/>
        <v>6.822308333333333</v>
      </c>
    </row>
    <row r="653" spans="1:15" ht="15" x14ac:dyDescent="0.2">
      <c r="A653" s="11">
        <f t="shared" si="26"/>
        <v>2050</v>
      </c>
      <c r="B653" s="10">
        <f t="shared" ref="B653:O653" si="39">AVERAGE(B470:B481)</f>
        <v>7.7214666666666645</v>
      </c>
      <c r="C653" s="10">
        <f t="shared" si="39"/>
        <v>7.7214666666666645</v>
      </c>
      <c r="D653" s="10">
        <f t="shared" si="39"/>
        <v>7.7225666666666664</v>
      </c>
      <c r="E653" s="10">
        <f t="shared" si="39"/>
        <v>6.9438583333333339</v>
      </c>
      <c r="F653" s="10">
        <f t="shared" si="39"/>
        <v>6.9438583333333339</v>
      </c>
      <c r="G653" s="10">
        <f t="shared" si="39"/>
        <v>6.9475583333333342</v>
      </c>
      <c r="H653" s="10">
        <f t="shared" si="39"/>
        <v>9.3588083333333341</v>
      </c>
      <c r="I653" s="10">
        <f t="shared" si="39"/>
        <v>9.3625083333333325</v>
      </c>
      <c r="J653" s="10">
        <f t="shared" si="39"/>
        <v>9.3588083333333341</v>
      </c>
      <c r="K653" s="10">
        <f t="shared" si="39"/>
        <v>9.3625083333333325</v>
      </c>
      <c r="L653" s="10">
        <f t="shared" si="39"/>
        <v>6.9438583333333339</v>
      </c>
      <c r="M653" s="10">
        <f t="shared" si="39"/>
        <v>6.9475583333333342</v>
      </c>
      <c r="N653" s="10">
        <f t="shared" si="39"/>
        <v>6.9438583333333339</v>
      </c>
      <c r="O653" s="10">
        <f t="shared" si="39"/>
        <v>6.9475583333333342</v>
      </c>
    </row>
    <row r="654" spans="1:15" ht="15" x14ac:dyDescent="0.2">
      <c r="A654" s="11">
        <f t="shared" si="26"/>
        <v>2051</v>
      </c>
      <c r="B654" s="10">
        <f t="shared" ref="B654:O654" si="40">AVERAGE(B482:B493)</f>
        <v>7.9167750000000003</v>
      </c>
      <c r="C654" s="10">
        <f t="shared" si="40"/>
        <v>7.9167750000000003</v>
      </c>
      <c r="D654" s="10">
        <f t="shared" si="40"/>
        <v>7.9178666666666677</v>
      </c>
      <c r="E654" s="10">
        <f t="shared" si="40"/>
        <v>7.0716499999999991</v>
      </c>
      <c r="F654" s="10">
        <f t="shared" si="40"/>
        <v>7.0716499999999991</v>
      </c>
      <c r="G654" s="10">
        <f t="shared" si="40"/>
        <v>7.0753166666666685</v>
      </c>
      <c r="H654" s="10">
        <f t="shared" si="40"/>
        <v>9.5819583333333327</v>
      </c>
      <c r="I654" s="10">
        <f t="shared" si="40"/>
        <v>9.5856333333333339</v>
      </c>
      <c r="J654" s="10">
        <f t="shared" si="40"/>
        <v>9.5819583333333327</v>
      </c>
      <c r="K654" s="10">
        <f t="shared" si="40"/>
        <v>9.5856333333333339</v>
      </c>
      <c r="L654" s="10">
        <f t="shared" si="40"/>
        <v>7.0716499999999991</v>
      </c>
      <c r="M654" s="10">
        <f t="shared" si="40"/>
        <v>7.0753166666666685</v>
      </c>
      <c r="N654" s="10">
        <f t="shared" si="40"/>
        <v>7.0716499999999991</v>
      </c>
      <c r="O654" s="10">
        <f t="shared" si="40"/>
        <v>7.0753166666666685</v>
      </c>
    </row>
    <row r="655" spans="1:15" ht="15" x14ac:dyDescent="0.2">
      <c r="A655" s="11">
        <f t="shared" si="26"/>
        <v>2052</v>
      </c>
      <c r="B655" s="10">
        <f t="shared" ref="B655:O655" si="41">AVERAGE(B494:B505)</f>
        <v>8.1170416666666672</v>
      </c>
      <c r="C655" s="10">
        <f t="shared" si="41"/>
        <v>8.1170416666666672</v>
      </c>
      <c r="D655" s="10">
        <f t="shared" si="41"/>
        <v>8.11815</v>
      </c>
      <c r="E655" s="10">
        <f t="shared" si="41"/>
        <v>7.2020499999999998</v>
      </c>
      <c r="F655" s="10">
        <f t="shared" si="41"/>
        <v>7.2020499999999998</v>
      </c>
      <c r="G655" s="10">
        <f t="shared" si="41"/>
        <v>7.2057416666666656</v>
      </c>
      <c r="H655" s="10">
        <f t="shared" si="41"/>
        <v>9.810433333333334</v>
      </c>
      <c r="I655" s="10">
        <f t="shared" si="41"/>
        <v>9.8141333333333325</v>
      </c>
      <c r="J655" s="10">
        <f t="shared" si="41"/>
        <v>9.810433333333334</v>
      </c>
      <c r="K655" s="10">
        <f t="shared" si="41"/>
        <v>9.8141333333333325</v>
      </c>
      <c r="L655" s="10">
        <f t="shared" si="41"/>
        <v>7.2020499999999998</v>
      </c>
      <c r="M655" s="10">
        <f t="shared" si="41"/>
        <v>7.2057416666666656</v>
      </c>
      <c r="N655" s="10">
        <f t="shared" si="41"/>
        <v>7.2020499999999998</v>
      </c>
      <c r="O655" s="10">
        <f t="shared" si="41"/>
        <v>7.2057416666666656</v>
      </c>
    </row>
    <row r="656" spans="1:15" ht="15" x14ac:dyDescent="0.2">
      <c r="A656" s="11">
        <f t="shared" si="26"/>
        <v>2053</v>
      </c>
      <c r="B656" s="10">
        <f t="shared" ref="B656:O656" si="42">AVERAGE(B506:B517)</f>
        <v>8.322375000000001</v>
      </c>
      <c r="C656" s="10">
        <f t="shared" si="42"/>
        <v>8.322375000000001</v>
      </c>
      <c r="D656" s="10">
        <f t="shared" si="42"/>
        <v>8.3234666666666666</v>
      </c>
      <c r="E656" s="10">
        <f t="shared" si="42"/>
        <v>7.3351333333333324</v>
      </c>
      <c r="F656" s="10">
        <f t="shared" si="42"/>
        <v>7.3351333333333324</v>
      </c>
      <c r="G656" s="10">
        <f t="shared" si="42"/>
        <v>7.3388249999999999</v>
      </c>
      <c r="H656" s="10">
        <f t="shared" si="42"/>
        <v>10.044408333333333</v>
      </c>
      <c r="I656" s="10">
        <f t="shared" si="42"/>
        <v>10.048091666666666</v>
      </c>
      <c r="J656" s="10">
        <f t="shared" si="42"/>
        <v>10.044408333333333</v>
      </c>
      <c r="K656" s="10">
        <f t="shared" si="42"/>
        <v>10.048091666666666</v>
      </c>
      <c r="L656" s="10">
        <f t="shared" si="42"/>
        <v>7.3351333333333324</v>
      </c>
      <c r="M656" s="10">
        <f t="shared" si="42"/>
        <v>7.3388249999999999</v>
      </c>
      <c r="N656" s="10">
        <f t="shared" si="42"/>
        <v>7.3351333333333324</v>
      </c>
      <c r="O656" s="10">
        <f t="shared" si="42"/>
        <v>7.3388249999999999</v>
      </c>
    </row>
    <row r="657" spans="1:15" ht="15" x14ac:dyDescent="0.2">
      <c r="A657" s="11">
        <f t="shared" si="26"/>
        <v>2054</v>
      </c>
      <c r="B657" s="10">
        <f t="shared" ref="B657:O657" si="43">AVERAGE(B518:B529)</f>
        <v>8.5329166666666669</v>
      </c>
      <c r="C657" s="10">
        <f t="shared" si="43"/>
        <v>8.5329166666666669</v>
      </c>
      <c r="D657" s="10">
        <f t="shared" si="43"/>
        <v>8.5340166666666679</v>
      </c>
      <c r="E657" s="10">
        <f t="shared" si="43"/>
        <v>7.4709583333333329</v>
      </c>
      <c r="F657" s="10">
        <f t="shared" si="43"/>
        <v>7.4709583333333329</v>
      </c>
      <c r="G657" s="10">
        <f t="shared" si="43"/>
        <v>7.4746499999999996</v>
      </c>
      <c r="H657" s="10">
        <f t="shared" si="43"/>
        <v>10.284008333333334</v>
      </c>
      <c r="I657" s="10">
        <f t="shared" si="43"/>
        <v>10.287683333333336</v>
      </c>
      <c r="J657" s="10">
        <f t="shared" si="43"/>
        <v>10.284008333333334</v>
      </c>
      <c r="K657" s="10">
        <f t="shared" si="43"/>
        <v>10.287683333333336</v>
      </c>
      <c r="L657" s="10">
        <f t="shared" si="43"/>
        <v>7.4709583333333329</v>
      </c>
      <c r="M657" s="10">
        <f t="shared" si="43"/>
        <v>7.4746499999999996</v>
      </c>
      <c r="N657" s="10">
        <f t="shared" si="43"/>
        <v>7.4709583333333329</v>
      </c>
      <c r="O657" s="10">
        <f t="shared" si="43"/>
        <v>7.4746499999999996</v>
      </c>
    </row>
    <row r="658" spans="1:15" ht="15" x14ac:dyDescent="0.2">
      <c r="A658" s="11">
        <f t="shared" si="26"/>
        <v>2055</v>
      </c>
      <c r="B658" s="10">
        <f t="shared" ref="B658:O658" si="44">AVERAGE(B30:B541)</f>
        <v>5.3655509765624991</v>
      </c>
      <c r="C658" s="10">
        <f t="shared" si="44"/>
        <v>5.3668812500000005</v>
      </c>
      <c r="D658" s="10">
        <f t="shared" si="44"/>
        <v>5.3695382812500032</v>
      </c>
      <c r="E658" s="10">
        <f t="shared" si="44"/>
        <v>5.4135345703124989</v>
      </c>
      <c r="F658" s="10">
        <f t="shared" si="44"/>
        <v>5.4035539062499991</v>
      </c>
      <c r="G658" s="10">
        <f t="shared" si="44"/>
        <v>5.4076171874999961</v>
      </c>
      <c r="H658" s="10">
        <f t="shared" si="44"/>
        <v>6.7129777343749977</v>
      </c>
      <c r="I658" s="10">
        <f t="shared" si="44"/>
        <v>6.7170435546875025</v>
      </c>
      <c r="J658" s="10">
        <f t="shared" si="44"/>
        <v>6.7129777343749977</v>
      </c>
      <c r="K658" s="10">
        <f t="shared" si="44"/>
        <v>6.7170435546875025</v>
      </c>
      <c r="L658" s="10">
        <f t="shared" si="44"/>
        <v>5.4135345703124989</v>
      </c>
      <c r="M658" s="10">
        <f t="shared" si="44"/>
        <v>5.4175955078124964</v>
      </c>
      <c r="N658" s="10">
        <f t="shared" si="44"/>
        <v>5.4135345703124989</v>
      </c>
      <c r="O658" s="10">
        <f t="shared" si="44"/>
        <v>5.4175955078124964</v>
      </c>
    </row>
    <row r="659" spans="1:15" ht="15" x14ac:dyDescent="0.2">
      <c r="A659" s="11">
        <f t="shared" si="26"/>
        <v>2056</v>
      </c>
      <c r="B659" s="10">
        <f t="shared" ref="B659:O659" si="45">AVERAGE(B542:B553)</f>
        <v>8.9701749999999993</v>
      </c>
      <c r="C659" s="10">
        <f t="shared" si="45"/>
        <v>8.9701749999999993</v>
      </c>
      <c r="D659" s="10">
        <f t="shared" si="45"/>
        <v>8.9712666666666667</v>
      </c>
      <c r="E659" s="10">
        <f t="shared" si="45"/>
        <v>7.7510833333333338</v>
      </c>
      <c r="F659" s="10">
        <f t="shared" si="45"/>
        <v>7.7510833333333338</v>
      </c>
      <c r="G659" s="10">
        <f t="shared" si="45"/>
        <v>7.7547583333333323</v>
      </c>
      <c r="H659" s="10">
        <f t="shared" si="45"/>
        <v>10.780508333333332</v>
      </c>
      <c r="I659" s="10">
        <f t="shared" si="45"/>
        <v>10.784191666666667</v>
      </c>
      <c r="J659" s="10">
        <f t="shared" si="45"/>
        <v>10.780508333333332</v>
      </c>
      <c r="K659" s="10">
        <f t="shared" si="45"/>
        <v>10.784191666666667</v>
      </c>
      <c r="L659" s="10">
        <f t="shared" si="45"/>
        <v>7.7510833333333338</v>
      </c>
      <c r="M659" s="10">
        <f t="shared" si="45"/>
        <v>7.7547583333333323</v>
      </c>
      <c r="N659" s="10">
        <f t="shared" si="45"/>
        <v>7.7510833333333338</v>
      </c>
      <c r="O659" s="10">
        <f t="shared" si="45"/>
        <v>7.7547583333333323</v>
      </c>
    </row>
    <row r="660" spans="1:15" ht="15" x14ac:dyDescent="0.2">
      <c r="A660" s="11">
        <f t="shared" si="26"/>
        <v>2057</v>
      </c>
      <c r="B660" s="10">
        <f t="shared" ref="B660:O660" si="46">AVERAGE(B554:B565)</f>
        <v>9.197141666666667</v>
      </c>
      <c r="C660" s="10">
        <f t="shared" si="46"/>
        <v>9.197141666666667</v>
      </c>
      <c r="D660" s="10">
        <f t="shared" si="46"/>
        <v>9.1982250000000025</v>
      </c>
      <c r="E660" s="10">
        <f t="shared" si="46"/>
        <v>7.8955083333333347</v>
      </c>
      <c r="F660" s="10">
        <f t="shared" si="46"/>
        <v>7.8955083333333347</v>
      </c>
      <c r="G660" s="10">
        <f t="shared" si="46"/>
        <v>7.8991750000000005</v>
      </c>
      <c r="H660" s="10">
        <f t="shared" si="46"/>
        <v>11.037733333333335</v>
      </c>
      <c r="I660" s="10">
        <f t="shared" si="46"/>
        <v>11.041433333333332</v>
      </c>
      <c r="J660" s="10">
        <f t="shared" si="46"/>
        <v>11.037733333333335</v>
      </c>
      <c r="K660" s="10">
        <f t="shared" si="46"/>
        <v>11.041433333333332</v>
      </c>
      <c r="L660" s="10">
        <f t="shared" si="46"/>
        <v>7.8955083333333347</v>
      </c>
      <c r="M660" s="10">
        <f t="shared" si="46"/>
        <v>7.8991750000000005</v>
      </c>
      <c r="N660" s="10">
        <f t="shared" si="46"/>
        <v>7.8955083333333347</v>
      </c>
      <c r="O660" s="10">
        <f t="shared" si="46"/>
        <v>7.8991750000000005</v>
      </c>
    </row>
    <row r="661" spans="1:15" ht="15" x14ac:dyDescent="0.2">
      <c r="A661" s="11">
        <f t="shared" si="26"/>
        <v>2058</v>
      </c>
      <c r="B661" s="10">
        <f t="shared" ref="B661:O661" si="47">AVERAGE(B566:B577)</f>
        <v>9.4298583333333319</v>
      </c>
      <c r="C661" s="10">
        <f t="shared" si="47"/>
        <v>9.4298583333333319</v>
      </c>
      <c r="D661" s="10">
        <f t="shared" si="47"/>
        <v>9.4309499999999993</v>
      </c>
      <c r="E661" s="10">
        <f t="shared" si="47"/>
        <v>8.0429416666666675</v>
      </c>
      <c r="F661" s="10">
        <f t="shared" si="47"/>
        <v>8.0429416666666675</v>
      </c>
      <c r="G661" s="10">
        <f t="shared" si="47"/>
        <v>8.0466333333333324</v>
      </c>
      <c r="H661" s="10">
        <f t="shared" si="47"/>
        <v>11.301133333333333</v>
      </c>
      <c r="I661" s="10">
        <f t="shared" si="47"/>
        <v>11.304791666666667</v>
      </c>
      <c r="J661" s="10">
        <f t="shared" si="47"/>
        <v>11.301133333333333</v>
      </c>
      <c r="K661" s="10">
        <f t="shared" si="47"/>
        <v>11.304791666666667</v>
      </c>
      <c r="L661" s="10">
        <f t="shared" si="47"/>
        <v>8.0429416666666675</v>
      </c>
      <c r="M661" s="10">
        <f t="shared" si="47"/>
        <v>8.0466333333333324</v>
      </c>
      <c r="N661" s="10">
        <f t="shared" si="47"/>
        <v>8.0429416666666675</v>
      </c>
      <c r="O661" s="10">
        <f t="shared" si="47"/>
        <v>8.0466333333333324</v>
      </c>
    </row>
    <row r="662" spans="1:15" ht="15" x14ac:dyDescent="0.2">
      <c r="A662" s="11">
        <f t="shared" si="26"/>
        <v>2059</v>
      </c>
      <c r="B662" s="10">
        <f t="shared" ref="B662:O662" si="48">AVERAGE(B578:B589)</f>
        <v>9.6684833333333344</v>
      </c>
      <c r="C662" s="10">
        <f t="shared" si="48"/>
        <v>9.6684833333333344</v>
      </c>
      <c r="D662" s="10">
        <f t="shared" si="48"/>
        <v>9.669575</v>
      </c>
      <c r="E662" s="10">
        <f t="shared" si="48"/>
        <v>8.1934416666666667</v>
      </c>
      <c r="F662" s="10">
        <f t="shared" si="48"/>
        <v>8.1934416666666667</v>
      </c>
      <c r="G662" s="10">
        <f t="shared" si="48"/>
        <v>8.1971166666666662</v>
      </c>
      <c r="H662" s="10">
        <f t="shared" si="48"/>
        <v>11.570833333333333</v>
      </c>
      <c r="I662" s="10">
        <f t="shared" si="48"/>
        <v>11.574533333333333</v>
      </c>
      <c r="J662" s="10">
        <f t="shared" si="48"/>
        <v>11.570833333333333</v>
      </c>
      <c r="K662" s="10">
        <f t="shared" si="48"/>
        <v>11.574533333333333</v>
      </c>
      <c r="L662" s="10">
        <f t="shared" si="48"/>
        <v>8.1934416666666667</v>
      </c>
      <c r="M662" s="10">
        <f t="shared" si="48"/>
        <v>8.1971166666666662</v>
      </c>
      <c r="N662" s="10">
        <f t="shared" si="48"/>
        <v>8.1934416666666667</v>
      </c>
      <c r="O662" s="10">
        <f t="shared" si="48"/>
        <v>8.1971166666666662</v>
      </c>
    </row>
    <row r="663" spans="1:15" ht="15" x14ac:dyDescent="0.2">
      <c r="A663" s="11">
        <f t="shared" si="26"/>
        <v>2060</v>
      </c>
      <c r="B663" s="10">
        <f t="shared" ref="B663:O663" si="49">AVERAGE(B590:B601)</f>
        <v>9.9131416666666663</v>
      </c>
      <c r="C663" s="10">
        <f t="shared" si="49"/>
        <v>9.9131416666666663</v>
      </c>
      <c r="D663" s="10">
        <f t="shared" si="49"/>
        <v>9.9142499999999991</v>
      </c>
      <c r="E663" s="10">
        <f t="shared" si="49"/>
        <v>8.3470750000000002</v>
      </c>
      <c r="F663" s="10">
        <f t="shared" si="49"/>
        <v>8.3470750000000002</v>
      </c>
      <c r="G663" s="10">
        <f t="shared" si="49"/>
        <v>8.3507583333333333</v>
      </c>
      <c r="H663" s="10">
        <f t="shared" si="49"/>
        <v>11.847033333333336</v>
      </c>
      <c r="I663" s="10">
        <f t="shared" si="49"/>
        <v>11.850691666666668</v>
      </c>
      <c r="J663" s="10">
        <f t="shared" si="49"/>
        <v>11.847033333333336</v>
      </c>
      <c r="K663" s="10">
        <f t="shared" si="49"/>
        <v>11.850691666666668</v>
      </c>
      <c r="L663" s="10">
        <f t="shared" si="49"/>
        <v>8.3470750000000002</v>
      </c>
      <c r="M663" s="10">
        <f t="shared" si="49"/>
        <v>8.3507583333333333</v>
      </c>
      <c r="N663" s="10">
        <f t="shared" si="49"/>
        <v>8.3470750000000002</v>
      </c>
      <c r="O663" s="10">
        <f t="shared" si="49"/>
        <v>8.3507583333333333</v>
      </c>
    </row>
    <row r="664" spans="1:15" ht="15" x14ac:dyDescent="0.2">
      <c r="A664" s="11">
        <f t="shared" si="26"/>
        <v>2061</v>
      </c>
      <c r="B664" s="10">
        <f t="shared" ref="B664:O664" si="50">AVERAGE(B602:B613)</f>
        <v>10.164025000000001</v>
      </c>
      <c r="C664" s="10">
        <f t="shared" si="50"/>
        <v>10.164025000000001</v>
      </c>
      <c r="D664" s="10">
        <f t="shared" si="50"/>
        <v>10.165125000000002</v>
      </c>
      <c r="E664" s="10">
        <f t="shared" si="50"/>
        <v>8.5039333333333342</v>
      </c>
      <c r="F664" s="10">
        <f t="shared" si="50"/>
        <v>8.5039333333333342</v>
      </c>
      <c r="G664" s="10">
        <f t="shared" si="50"/>
        <v>8.5076249999999991</v>
      </c>
      <c r="H664" s="10">
        <f t="shared" si="50"/>
        <v>12.129808333333331</v>
      </c>
      <c r="I664" s="10">
        <f t="shared" si="50"/>
        <v>12.133508333333337</v>
      </c>
      <c r="J664" s="10">
        <f t="shared" si="50"/>
        <v>12.129808333333331</v>
      </c>
      <c r="K664" s="10">
        <f t="shared" si="50"/>
        <v>12.133508333333337</v>
      </c>
      <c r="L664" s="10">
        <f t="shared" si="50"/>
        <v>8.5039333333333342</v>
      </c>
      <c r="M664" s="10">
        <f t="shared" si="50"/>
        <v>8.5076249999999991</v>
      </c>
      <c r="N664" s="10">
        <f t="shared" si="50"/>
        <v>8.5039333333333342</v>
      </c>
      <c r="O664" s="10">
        <f t="shared" si="50"/>
        <v>8.5076249999999991</v>
      </c>
    </row>
    <row r="665" spans="1:15" ht="15" x14ac:dyDescent="0.2">
      <c r="B665" s="10"/>
      <c r="C665" s="10"/>
      <c r="D665" s="10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</row>
  </sheetData>
  <mergeCells count="7">
    <mergeCell ref="B10:D10"/>
    <mergeCell ref="P10:Q10"/>
    <mergeCell ref="R10:S10"/>
    <mergeCell ref="P9:S9"/>
    <mergeCell ref="E10:G10"/>
    <mergeCell ref="H10:K10"/>
    <mergeCell ref="L10:O10"/>
  </mergeCells>
  <pageMargins left="0.5" right="0.25" top="0.5" bottom="0.5" header="0.25" footer="0.25"/>
  <pageSetup paperSize="17" scale="60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5</xdr:col>
                    <xdr:colOff>371475</xdr:colOff>
                    <xdr:row>7</xdr:row>
                    <xdr:rowOff>28575</xdr:rowOff>
                  </from>
                  <to>
                    <xdr:col>6</xdr:col>
                    <xdr:colOff>381000</xdr:colOff>
                    <xdr:row>8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/>
  <dimension ref="A1:Q721"/>
  <sheetViews>
    <sheetView zoomScale="75" workbookViewId="0">
      <pane xSplit="1" ySplit="11" topLeftCell="B12" activePane="bottomRight" state="frozen"/>
      <selection activeCell="A7" sqref="A7"/>
      <selection pane="topRight" activeCell="A7" sqref="A7"/>
      <selection pane="bottomLeft" activeCell="A7" sqref="A7"/>
      <selection pane="bottomRight" activeCell="B12" sqref="B12"/>
    </sheetView>
  </sheetViews>
  <sheetFormatPr defaultColWidth="7.109375" defaultRowHeight="12.75" x14ac:dyDescent="0.2"/>
  <cols>
    <col min="1" max="1" width="19.77734375" style="33" customWidth="1"/>
    <col min="2" max="4" width="16.109375" style="33" customWidth="1"/>
    <col min="5" max="5" width="21" style="33" customWidth="1"/>
    <col min="6" max="9" width="16.109375" style="33" customWidth="1"/>
    <col min="10" max="10" width="12.33203125" style="8" customWidth="1"/>
    <col min="11" max="11" width="10.77734375" style="8" customWidth="1"/>
    <col min="12" max="12" width="11.6640625" style="8" customWidth="1"/>
    <col min="13" max="16384" width="7.109375" style="8"/>
  </cols>
  <sheetData>
    <row r="1" spans="1:17" ht="15.75" x14ac:dyDescent="0.25">
      <c r="A1" s="112" t="s">
        <v>90</v>
      </c>
    </row>
    <row r="2" spans="1:17" ht="15.75" x14ac:dyDescent="0.25">
      <c r="A2" s="112" t="s">
        <v>91</v>
      </c>
    </row>
    <row r="3" spans="1:17" ht="15.75" x14ac:dyDescent="0.25">
      <c r="A3" s="112" t="s">
        <v>92</v>
      </c>
    </row>
    <row r="4" spans="1:17" ht="15.75" x14ac:dyDescent="0.25">
      <c r="A4" s="112" t="s">
        <v>93</v>
      </c>
    </row>
    <row r="5" spans="1:17" ht="15.75" x14ac:dyDescent="0.25">
      <c r="A5" s="112" t="s">
        <v>95</v>
      </c>
    </row>
    <row r="6" spans="1:17" ht="15.75" x14ac:dyDescent="0.25">
      <c r="A6" s="112" t="s">
        <v>97</v>
      </c>
    </row>
    <row r="7" spans="1:17" ht="15.75" x14ac:dyDescent="0.25">
      <c r="A7" s="112"/>
    </row>
    <row r="8" spans="1:17" s="25" customFormat="1" ht="15.75" x14ac:dyDescent="0.25">
      <c r="A8" s="46" t="s">
        <v>27</v>
      </c>
    </row>
    <row r="9" spans="1:17" ht="15.75" x14ac:dyDescent="0.25">
      <c r="A9" s="42"/>
      <c r="B9" s="41"/>
      <c r="C9" s="40" t="s">
        <v>25</v>
      </c>
      <c r="D9" s="39">
        <f>1-0.278</f>
        <v>0.72199999999999998</v>
      </c>
      <c r="E9" s="40" t="s">
        <v>24</v>
      </c>
      <c r="F9" s="39">
        <v>1.278</v>
      </c>
      <c r="G9" s="8"/>
      <c r="H9" s="8"/>
      <c r="I9" s="8"/>
    </row>
    <row r="10" spans="1:17" s="35" customFormat="1" ht="13.15" customHeight="1" x14ac:dyDescent="0.25">
      <c r="B10" s="36" t="s">
        <v>38</v>
      </c>
      <c r="C10" s="36" t="s">
        <v>37</v>
      </c>
      <c r="D10" s="36" t="s">
        <v>36</v>
      </c>
      <c r="E10" s="38" t="s">
        <v>35</v>
      </c>
      <c r="F10" s="36" t="s">
        <v>34</v>
      </c>
      <c r="G10" s="38" t="s">
        <v>33</v>
      </c>
      <c r="H10" s="38" t="s">
        <v>32</v>
      </c>
      <c r="I10" s="36" t="s">
        <v>31</v>
      </c>
      <c r="J10" s="36" t="s">
        <v>30</v>
      </c>
      <c r="K10" s="36" t="s">
        <v>29</v>
      </c>
      <c r="L10" s="36" t="s">
        <v>28</v>
      </c>
    </row>
    <row r="11" spans="1:17" s="35" customFormat="1" ht="13.15" customHeight="1" x14ac:dyDescent="0.25">
      <c r="A11" s="37" t="s">
        <v>15</v>
      </c>
      <c r="B11" s="36" t="s">
        <v>14</v>
      </c>
      <c r="C11" s="36" t="s">
        <v>14</v>
      </c>
      <c r="D11" s="36" t="s">
        <v>14</v>
      </c>
      <c r="E11" s="36" t="s">
        <v>14</v>
      </c>
      <c r="F11" s="36" t="s">
        <v>14</v>
      </c>
      <c r="G11" s="36" t="s">
        <v>14</v>
      </c>
      <c r="H11" s="36" t="s">
        <v>14</v>
      </c>
      <c r="I11" s="36" t="s">
        <v>14</v>
      </c>
      <c r="J11" s="36" t="s">
        <v>14</v>
      </c>
      <c r="K11" s="36" t="s">
        <v>14</v>
      </c>
      <c r="L11" s="36" t="s">
        <v>14</v>
      </c>
    </row>
    <row r="12" spans="1:17" ht="15" x14ac:dyDescent="0.2">
      <c r="A12" s="16">
        <v>40909</v>
      </c>
      <c r="B12" s="17">
        <v>23.400826157804499</v>
      </c>
      <c r="C12" s="17">
        <v>23.400826157804499</v>
      </c>
      <c r="D12" s="17">
        <v>23.400826157804499</v>
      </c>
      <c r="E12" s="17">
        <v>23.400826157804499</v>
      </c>
      <c r="F12" s="17">
        <v>23.400826157804499</v>
      </c>
      <c r="G12" s="17">
        <v>23.390740394511202</v>
      </c>
      <c r="H12" s="17">
        <v>23.400826157804499</v>
      </c>
      <c r="I12" s="17">
        <v>23.400826157804499</v>
      </c>
      <c r="J12" s="17">
        <v>23.400826157804499</v>
      </c>
      <c r="K12" s="17">
        <v>23.400826157804499</v>
      </c>
      <c r="L12" s="17">
        <v>23.400826157804499</v>
      </c>
      <c r="M12" s="34"/>
      <c r="N12" s="34"/>
      <c r="O12" s="34"/>
      <c r="P12" s="34"/>
      <c r="Q12" s="34"/>
    </row>
    <row r="13" spans="1:17" ht="15" x14ac:dyDescent="0.2">
      <c r="A13" s="16">
        <v>40940</v>
      </c>
      <c r="B13" s="17">
        <v>24.514175017744101</v>
      </c>
      <c r="C13" s="17">
        <v>24.514175017744101</v>
      </c>
      <c r="D13" s="17">
        <v>24.514175017744101</v>
      </c>
      <c r="E13" s="17">
        <v>24.514175017744101</v>
      </c>
      <c r="F13" s="17">
        <v>24.514175017744101</v>
      </c>
      <c r="G13" s="17">
        <v>24.5040892544508</v>
      </c>
      <c r="H13" s="17">
        <v>24.514175017744101</v>
      </c>
      <c r="I13" s="17">
        <v>24.514175017744101</v>
      </c>
      <c r="J13" s="17">
        <v>24.514175017744101</v>
      </c>
      <c r="K13" s="17">
        <v>24.514175017744101</v>
      </c>
      <c r="L13" s="17">
        <v>24.514175017744101</v>
      </c>
      <c r="M13" s="34"/>
      <c r="N13" s="34"/>
      <c r="O13" s="34"/>
      <c r="P13" s="34"/>
      <c r="Q13" s="34"/>
    </row>
    <row r="14" spans="1:17" ht="15" x14ac:dyDescent="0.2">
      <c r="A14" s="16">
        <v>40969</v>
      </c>
      <c r="B14" s="17">
        <v>25.101757675814699</v>
      </c>
      <c r="C14" s="17">
        <v>25.101757675814699</v>
      </c>
      <c r="D14" s="17">
        <v>25.101757675814699</v>
      </c>
      <c r="E14" s="17">
        <v>25.101757675814699</v>
      </c>
      <c r="F14" s="17">
        <v>25.101757675814699</v>
      </c>
      <c r="G14" s="17">
        <v>25.091671912521399</v>
      </c>
      <c r="H14" s="17">
        <v>25.101757675814699</v>
      </c>
      <c r="I14" s="17">
        <v>25.101757675814699</v>
      </c>
      <c r="J14" s="17">
        <v>25.101757675814699</v>
      </c>
      <c r="K14" s="17">
        <v>25.101757675814699</v>
      </c>
      <c r="L14" s="17">
        <v>25.101757675814699</v>
      </c>
      <c r="M14" s="34"/>
      <c r="N14" s="34"/>
      <c r="O14" s="34"/>
      <c r="P14" s="34"/>
      <c r="Q14" s="34"/>
    </row>
    <row r="15" spans="1:17" ht="15" x14ac:dyDescent="0.2">
      <c r="A15" s="16">
        <v>41000</v>
      </c>
      <c r="B15" s="17">
        <v>24.622683919382499</v>
      </c>
      <c r="C15" s="17">
        <v>24.622683919382499</v>
      </c>
      <c r="D15" s="17">
        <v>24.622683919382499</v>
      </c>
      <c r="E15" s="17">
        <v>24.622683919382499</v>
      </c>
      <c r="F15" s="17">
        <v>24.622683919382499</v>
      </c>
      <c r="G15" s="17">
        <v>24.612598156089199</v>
      </c>
      <c r="H15" s="17">
        <v>24.622683919382499</v>
      </c>
      <c r="I15" s="17">
        <v>24.622683919382499</v>
      </c>
      <c r="J15" s="17">
        <v>24.622683919382499</v>
      </c>
      <c r="K15" s="17">
        <v>24.622683919382499</v>
      </c>
      <c r="L15" s="17">
        <v>24.622683919382499</v>
      </c>
      <c r="M15" s="34"/>
      <c r="N15" s="34"/>
      <c r="O15" s="34"/>
      <c r="P15" s="34"/>
      <c r="Q15" s="34"/>
    </row>
    <row r="16" spans="1:17" ht="15" x14ac:dyDescent="0.2">
      <c r="A16" s="16">
        <v>41030</v>
      </c>
      <c r="B16" s="17">
        <v>22.811568996569498</v>
      </c>
      <c r="C16" s="17">
        <v>22.811568996569498</v>
      </c>
      <c r="D16" s="17">
        <v>22.811568996569498</v>
      </c>
      <c r="E16" s="17">
        <v>22.811568996569498</v>
      </c>
      <c r="F16" s="17">
        <v>22.811568996569498</v>
      </c>
      <c r="G16" s="17">
        <v>22.801483233276201</v>
      </c>
      <c r="H16" s="17">
        <v>22.811568996569498</v>
      </c>
      <c r="I16" s="17">
        <v>22.811568996569498</v>
      </c>
      <c r="J16" s="17">
        <v>22.811568996569498</v>
      </c>
      <c r="K16" s="17">
        <v>22.811568996569498</v>
      </c>
      <c r="L16" s="17">
        <v>22.811568996569498</v>
      </c>
      <c r="M16" s="34"/>
      <c r="N16" s="34"/>
      <c r="O16" s="34"/>
      <c r="P16" s="34"/>
      <c r="Q16" s="34"/>
    </row>
    <row r="17" spans="1:17" ht="15" x14ac:dyDescent="0.2">
      <c r="A17" s="16">
        <v>41061</v>
      </c>
      <c r="B17" s="17">
        <v>20.881586149228099</v>
      </c>
      <c r="C17" s="17">
        <v>20.881586149228099</v>
      </c>
      <c r="D17" s="17">
        <v>20.881586149228099</v>
      </c>
      <c r="E17" s="17">
        <v>20.881586149228099</v>
      </c>
      <c r="F17" s="17">
        <v>20.881586149228099</v>
      </c>
      <c r="G17" s="17">
        <v>20.871500385934802</v>
      </c>
      <c r="H17" s="17">
        <v>20.881586149228099</v>
      </c>
      <c r="I17" s="17">
        <v>20.881586149228099</v>
      </c>
      <c r="J17" s="17">
        <v>20.881586149228099</v>
      </c>
      <c r="K17" s="17">
        <v>20.881586149228099</v>
      </c>
      <c r="L17" s="17">
        <v>20.881586149228099</v>
      </c>
      <c r="M17" s="34"/>
      <c r="N17" s="34"/>
      <c r="O17" s="34"/>
      <c r="P17" s="34"/>
      <c r="Q17" s="34"/>
    </row>
    <row r="18" spans="1:17" ht="15" x14ac:dyDescent="0.2">
      <c r="A18" s="16">
        <v>41091</v>
      </c>
      <c r="B18" s="17">
        <v>23.274951972555701</v>
      </c>
      <c r="C18" s="17">
        <v>22.842704974271001</v>
      </c>
      <c r="D18" s="17">
        <v>22.842704974271001</v>
      </c>
      <c r="E18" s="17">
        <v>22.706046483704998</v>
      </c>
      <c r="F18" s="17">
        <v>22.706046483704998</v>
      </c>
      <c r="G18" s="17">
        <v>22.977421955403099</v>
      </c>
      <c r="H18" s="17">
        <v>22.842704974271001</v>
      </c>
      <c r="I18" s="17">
        <v>22.842704974271001</v>
      </c>
      <c r="J18" s="17">
        <v>22.842704974271001</v>
      </c>
      <c r="K18" s="17">
        <v>22.842704974271001</v>
      </c>
      <c r="L18" s="17">
        <v>22.842704974271001</v>
      </c>
      <c r="M18" s="34"/>
      <c r="N18" s="34"/>
      <c r="O18" s="34"/>
      <c r="P18" s="34"/>
      <c r="Q18" s="34"/>
    </row>
    <row r="19" spans="1:17" ht="15" x14ac:dyDescent="0.2">
      <c r="A19" s="16">
        <v>41122</v>
      </c>
      <c r="B19" s="17">
        <v>25.124969125214399</v>
      </c>
      <c r="C19" s="17">
        <v>24.692722126929699</v>
      </c>
      <c r="D19" s="17">
        <v>24.692722126929699</v>
      </c>
      <c r="E19" s="17">
        <v>24.5560636363636</v>
      </c>
      <c r="F19" s="17">
        <v>24.5560636363636</v>
      </c>
      <c r="G19" s="17">
        <v>24.8274391080617</v>
      </c>
      <c r="H19" s="17">
        <v>24.692722126929699</v>
      </c>
      <c r="I19" s="17">
        <v>24.692722126929699</v>
      </c>
      <c r="J19" s="17">
        <v>24.692722126929699</v>
      </c>
      <c r="K19" s="17">
        <v>24.692722126929699</v>
      </c>
      <c r="L19" s="17">
        <v>24.692722126929699</v>
      </c>
      <c r="M19" s="34"/>
      <c r="N19" s="34"/>
      <c r="O19" s="34"/>
      <c r="P19" s="34"/>
      <c r="Q19" s="34"/>
    </row>
    <row r="20" spans="1:17" ht="15" x14ac:dyDescent="0.2">
      <c r="A20" s="16">
        <v>41153</v>
      </c>
      <c r="B20" s="17">
        <v>25.637181818181801</v>
      </c>
      <c r="C20" s="17">
        <v>25.204934819897101</v>
      </c>
      <c r="D20" s="17">
        <v>25.204934819897101</v>
      </c>
      <c r="E20" s="17">
        <v>25.068276329330999</v>
      </c>
      <c r="F20" s="17">
        <v>25.068276329330999</v>
      </c>
      <c r="G20" s="17">
        <v>25.339651801029198</v>
      </c>
      <c r="H20" s="17">
        <v>25.204934819897101</v>
      </c>
      <c r="I20" s="17">
        <v>25.204934819897101</v>
      </c>
      <c r="J20" s="17">
        <v>25.204934819897101</v>
      </c>
      <c r="K20" s="17">
        <v>25.204934819897101</v>
      </c>
      <c r="L20" s="17">
        <v>25.204934819897101</v>
      </c>
      <c r="M20" s="34"/>
      <c r="N20" s="34"/>
      <c r="O20" s="34"/>
      <c r="P20" s="34"/>
      <c r="Q20" s="34"/>
    </row>
    <row r="21" spans="1:17" ht="15" x14ac:dyDescent="0.2">
      <c r="A21" s="16">
        <v>41183</v>
      </c>
      <c r="B21" s="17">
        <v>25.6033224699828</v>
      </c>
      <c r="C21" s="17">
        <v>25.171075471698099</v>
      </c>
      <c r="D21" s="17">
        <v>25.171075471698099</v>
      </c>
      <c r="E21" s="17">
        <v>25.0344169811321</v>
      </c>
      <c r="F21" s="17">
        <v>25.0344169811321</v>
      </c>
      <c r="G21" s="17">
        <v>25.3057924528302</v>
      </c>
      <c r="H21" s="17">
        <v>25.171075471698099</v>
      </c>
      <c r="I21" s="17">
        <v>25.171075471698099</v>
      </c>
      <c r="J21" s="17">
        <v>25.171075471698099</v>
      </c>
      <c r="K21" s="17">
        <v>25.171075471698099</v>
      </c>
      <c r="L21" s="17">
        <v>25.171075471698099</v>
      </c>
      <c r="M21" s="34"/>
      <c r="N21" s="34"/>
      <c r="O21" s="34"/>
      <c r="P21" s="34"/>
      <c r="Q21" s="34"/>
    </row>
    <row r="22" spans="1:17" ht="15" x14ac:dyDescent="0.2">
      <c r="A22" s="16">
        <v>41214</v>
      </c>
      <c r="B22" s="17">
        <v>24.738828473413399</v>
      </c>
      <c r="C22" s="17">
        <v>24.306581475128599</v>
      </c>
      <c r="D22" s="17">
        <v>24.306581475128599</v>
      </c>
      <c r="E22" s="17">
        <v>24.1699229845626</v>
      </c>
      <c r="F22" s="17">
        <v>24.1699229845626</v>
      </c>
      <c r="G22" s="17">
        <v>24.4412984562607</v>
      </c>
      <c r="H22" s="17">
        <v>24.306581475128599</v>
      </c>
      <c r="I22" s="17">
        <v>24.306581475128599</v>
      </c>
      <c r="J22" s="17">
        <v>24.306581475128599</v>
      </c>
      <c r="K22" s="17">
        <v>24.306581475128599</v>
      </c>
      <c r="L22" s="17">
        <v>24.306581475128599</v>
      </c>
      <c r="M22" s="34"/>
      <c r="N22" s="34"/>
      <c r="O22" s="34"/>
      <c r="P22" s="34"/>
      <c r="Q22" s="34"/>
    </row>
    <row r="23" spans="1:17" ht="15" x14ac:dyDescent="0.2">
      <c r="A23" s="16">
        <v>41244</v>
      </c>
      <c r="B23" s="17">
        <v>25.044283018867901</v>
      </c>
      <c r="C23" s="17">
        <v>24.612036020583201</v>
      </c>
      <c r="D23" s="17">
        <v>24.612036020583201</v>
      </c>
      <c r="E23" s="17">
        <v>24.475377530017202</v>
      </c>
      <c r="F23" s="17">
        <v>24.475377530017202</v>
      </c>
      <c r="G23" s="17">
        <v>24.746753001715302</v>
      </c>
      <c r="H23" s="17">
        <v>24.612036020583201</v>
      </c>
      <c r="I23" s="17">
        <v>24.612036020583201</v>
      </c>
      <c r="J23" s="17">
        <v>24.612036020583201</v>
      </c>
      <c r="K23" s="17">
        <v>24.612036020583201</v>
      </c>
      <c r="L23" s="17">
        <v>24.612036020583201</v>
      </c>
      <c r="M23" s="34"/>
      <c r="N23" s="34"/>
      <c r="O23" s="34"/>
      <c r="P23" s="34"/>
      <c r="Q23" s="34"/>
    </row>
    <row r="24" spans="1:17" ht="15" x14ac:dyDescent="0.2">
      <c r="A24" s="16">
        <v>41275</v>
      </c>
      <c r="B24" s="17">
        <f>24.3096 * CHOOSE(CONTROL!$C$9, $D$9, 100%, $F$9) + CHOOSE(CONTROL!$C$27, 0.0021, 0)</f>
        <v>24.311699999999998</v>
      </c>
      <c r="C24" s="17">
        <f>23.8773 * CHOOSE(CONTROL!$C$9, $D$9, 100%, $F$9) + CHOOSE(CONTROL!$C$27, 0.0021, 0)</f>
        <v>23.8794</v>
      </c>
      <c r="D24" s="17">
        <f>23.8773 * CHOOSE(CONTROL!$C$9, $D$9, 100%, $F$9) + CHOOSE(CONTROL!$C$27, 0.0021, 0)</f>
        <v>23.8794</v>
      </c>
      <c r="E24" s="17">
        <f>23.7407 * CHOOSE(CONTROL!$C$9, $D$9, 100%, $F$9) + CHOOSE(CONTROL!$C$27, 0.0021, 0)</f>
        <v>23.742799999999999</v>
      </c>
      <c r="F24" s="17">
        <f>23.7407 * CHOOSE(CONTROL!$C$9, $D$9, 100%, $F$9) + CHOOSE(CONTROL!$C$27, 0.0021, 0)</f>
        <v>23.742799999999999</v>
      </c>
      <c r="G24" s="17">
        <f>24.012 * CHOOSE(CONTROL!$C$9, $D$9, 100%, $F$9) + CHOOSE(CONTROL!$C$27, 0.0021, 0)</f>
        <v>24.014099999999999</v>
      </c>
      <c r="H24" s="17">
        <f>23.8773 * CHOOSE(CONTROL!$C$9, $D$9, 100%, $F$9) + CHOOSE(CONTROL!$C$27, 0.0021, 0)</f>
        <v>23.8794</v>
      </c>
      <c r="I24" s="17">
        <f>23.8773 * CHOOSE(CONTROL!$C$9, $D$9, 100%, $F$9) + CHOOSE(CONTROL!$C$27, 0.0021, 0)</f>
        <v>23.8794</v>
      </c>
      <c r="J24" s="17">
        <f>23.5171 * CHOOSE(CONTROL!$C$9, $D$9, 100%, $F$9) + CHOOSE(CONTROL!$C$27, 0.0021, 0)</f>
        <v>23.519199999999998</v>
      </c>
      <c r="K24" s="17">
        <f>23.8773 * CHOOSE(CONTROL!$C$9, $D$9, 100%, $F$9) + CHOOSE(CONTROL!$C$27, 0.0021, 0)</f>
        <v>23.8794</v>
      </c>
      <c r="L24" s="17"/>
      <c r="M24" s="34"/>
      <c r="N24" s="34"/>
      <c r="O24" s="34"/>
      <c r="P24" s="34"/>
      <c r="Q24" s="34"/>
    </row>
    <row r="25" spans="1:17" ht="15" x14ac:dyDescent="0.2">
      <c r="A25" s="16">
        <v>41306</v>
      </c>
      <c r="B25" s="17">
        <f>24.3694 * CHOOSE(CONTROL!$C$9, $D$9, 100%, $F$9) + CHOOSE(CONTROL!$C$27, 0.0021, 0)</f>
        <v>24.371499999999997</v>
      </c>
      <c r="C25" s="17">
        <f>23.9371 * CHOOSE(CONTROL!$C$9, $D$9, 100%, $F$9) + CHOOSE(CONTROL!$C$27, 0.0021, 0)</f>
        <v>23.9392</v>
      </c>
      <c r="D25" s="17">
        <f>23.9371 * CHOOSE(CONTROL!$C$9, $D$9, 100%, $F$9) + CHOOSE(CONTROL!$C$27, 0.0021, 0)</f>
        <v>23.9392</v>
      </c>
      <c r="E25" s="17">
        <f>23.8005 * CHOOSE(CONTROL!$C$9, $D$9, 100%, $F$9) + CHOOSE(CONTROL!$C$27, 0.0021, 0)</f>
        <v>23.802599999999998</v>
      </c>
      <c r="F25" s="17">
        <f>23.8005 * CHOOSE(CONTROL!$C$9, $D$9, 100%, $F$9) + CHOOSE(CONTROL!$C$27, 0.0021, 0)</f>
        <v>23.802599999999998</v>
      </c>
      <c r="G25" s="17">
        <f>24.0718 * CHOOSE(CONTROL!$C$9, $D$9, 100%, $F$9) + CHOOSE(CONTROL!$C$27, 0.0021, 0)</f>
        <v>24.073899999999998</v>
      </c>
      <c r="H25" s="17">
        <f>23.9371 * CHOOSE(CONTROL!$C$9, $D$9, 100%, $F$9) + CHOOSE(CONTROL!$C$27, 0.0021, 0)</f>
        <v>23.9392</v>
      </c>
      <c r="I25" s="17">
        <f>23.9371 * CHOOSE(CONTROL!$C$9, $D$9, 100%, $F$9) + CHOOSE(CONTROL!$C$27, 0.0021, 0)</f>
        <v>23.9392</v>
      </c>
      <c r="J25" s="17">
        <f>23.5769 * CHOOSE(CONTROL!$C$9, $D$9, 100%, $F$9) + CHOOSE(CONTROL!$C$27, 0.0021, 0)</f>
        <v>23.578999999999997</v>
      </c>
      <c r="K25" s="17">
        <f>23.9371 * CHOOSE(CONTROL!$C$9, $D$9, 100%, $F$9) + CHOOSE(CONTROL!$C$27, 0.0021, 0)</f>
        <v>23.9392</v>
      </c>
      <c r="L25" s="17"/>
      <c r="M25" s="34"/>
      <c r="N25" s="34"/>
      <c r="O25" s="34"/>
      <c r="P25" s="34"/>
      <c r="Q25" s="34"/>
    </row>
    <row r="26" spans="1:17" ht="15" x14ac:dyDescent="0.2">
      <c r="A26" s="16">
        <v>41334</v>
      </c>
      <c r="B26" s="17">
        <f>24.329 * CHOOSE(CONTROL!$C$9, $D$9, 100%, $F$9) + CHOOSE(CONTROL!$C$27, 0.0021, 0)</f>
        <v>24.331099999999999</v>
      </c>
      <c r="C26" s="17">
        <f>23.8968 * CHOOSE(CONTROL!$C$9, $D$9, 100%, $F$9) + CHOOSE(CONTROL!$C$27, 0.0021, 0)</f>
        <v>23.898899999999998</v>
      </c>
      <c r="D26" s="17">
        <f>23.8968 * CHOOSE(CONTROL!$C$9, $D$9, 100%, $F$9) + CHOOSE(CONTROL!$C$27, 0.0021, 0)</f>
        <v>23.898899999999998</v>
      </c>
      <c r="E26" s="17">
        <f>23.7601 * CHOOSE(CONTROL!$C$9, $D$9, 100%, $F$9) + CHOOSE(CONTROL!$C$27, 0.0021, 0)</f>
        <v>23.7622</v>
      </c>
      <c r="F26" s="17">
        <f>23.7601 * CHOOSE(CONTROL!$C$9, $D$9, 100%, $F$9) + CHOOSE(CONTROL!$C$27, 0.0021, 0)</f>
        <v>23.7622</v>
      </c>
      <c r="G26" s="17">
        <f>24.0315 * CHOOSE(CONTROL!$C$9, $D$9, 100%, $F$9) + CHOOSE(CONTROL!$C$27, 0.0021, 0)</f>
        <v>24.0336</v>
      </c>
      <c r="H26" s="17">
        <f>23.8968 * CHOOSE(CONTROL!$C$9, $D$9, 100%, $F$9) + CHOOSE(CONTROL!$C$27, 0.0021, 0)</f>
        <v>23.898899999999998</v>
      </c>
      <c r="I26" s="17">
        <f>23.8968 * CHOOSE(CONTROL!$C$9, $D$9, 100%, $F$9) + CHOOSE(CONTROL!$C$27, 0.0021, 0)</f>
        <v>23.898899999999998</v>
      </c>
      <c r="J26" s="17">
        <f>23.5366 * CHOOSE(CONTROL!$C$9, $D$9, 100%, $F$9) + CHOOSE(CONTROL!$C$27, 0.0021, 0)</f>
        <v>23.538699999999999</v>
      </c>
      <c r="K26" s="17">
        <f>23.8968 * CHOOSE(CONTROL!$C$9, $D$9, 100%, $F$9) + CHOOSE(CONTROL!$C$27, 0.0021, 0)</f>
        <v>23.898899999999998</v>
      </c>
      <c r="L26" s="17"/>
      <c r="M26" s="34"/>
      <c r="N26" s="34"/>
      <c r="O26" s="34"/>
      <c r="P26" s="34"/>
      <c r="Q26" s="34"/>
    </row>
    <row r="27" spans="1:17" ht="15" x14ac:dyDescent="0.2">
      <c r="A27" s="16">
        <v>41365</v>
      </c>
      <c r="B27" s="17">
        <f>24.19 * CHOOSE(CONTROL!$C$9, $D$9, 100%, $F$9) + CHOOSE(CONTROL!$C$27, 0.0021, 0)</f>
        <v>24.1921</v>
      </c>
      <c r="C27" s="17">
        <f>23.7577 * CHOOSE(CONTROL!$C$9, $D$9, 100%, $F$9) + CHOOSE(CONTROL!$C$27, 0.0021, 0)</f>
        <v>23.759799999999998</v>
      </c>
      <c r="D27" s="17">
        <f>23.7577 * CHOOSE(CONTROL!$C$9, $D$9, 100%, $F$9) + CHOOSE(CONTROL!$C$27, 0.0021, 0)</f>
        <v>23.759799999999998</v>
      </c>
      <c r="E27" s="17">
        <f>23.6211 * CHOOSE(CONTROL!$C$9, $D$9, 100%, $F$9) + CHOOSE(CONTROL!$C$27, 0.0021, 0)</f>
        <v>23.623199999999997</v>
      </c>
      <c r="F27" s="17">
        <f>23.6211 * CHOOSE(CONTROL!$C$9, $D$9, 100%, $F$9) + CHOOSE(CONTROL!$C$27, 0.0021, 0)</f>
        <v>23.623199999999997</v>
      </c>
      <c r="G27" s="17">
        <f>23.8925 * CHOOSE(CONTROL!$C$9, $D$9, 100%, $F$9) + CHOOSE(CONTROL!$C$27, 0.0021, 0)</f>
        <v>23.894599999999997</v>
      </c>
      <c r="H27" s="17">
        <f>23.7577 * CHOOSE(CONTROL!$C$9, $D$9, 100%, $F$9) + CHOOSE(CONTROL!$C$27, 0.0021, 0)</f>
        <v>23.759799999999998</v>
      </c>
      <c r="I27" s="17">
        <f>23.7577 * CHOOSE(CONTROL!$C$9, $D$9, 100%, $F$9) + CHOOSE(CONTROL!$C$27, 0.0021, 0)</f>
        <v>23.759799999999998</v>
      </c>
      <c r="J27" s="17">
        <f>23.3975 * CHOOSE(CONTROL!$C$9, $D$9, 100%, $F$9) + CHOOSE(CONTROL!$C$27, 0.0021, 0)</f>
        <v>23.3996</v>
      </c>
      <c r="K27" s="17">
        <f>23.7577 * CHOOSE(CONTROL!$C$9, $D$9, 100%, $F$9) + CHOOSE(CONTROL!$C$27, 0.0021, 0)</f>
        <v>23.759799999999998</v>
      </c>
      <c r="L27" s="17"/>
      <c r="M27" s="34"/>
      <c r="N27" s="34"/>
      <c r="O27" s="34"/>
      <c r="P27" s="34"/>
      <c r="Q27" s="34"/>
    </row>
    <row r="28" spans="1:17" ht="15" x14ac:dyDescent="0.2">
      <c r="A28" s="16">
        <v>41395</v>
      </c>
      <c r="B28" s="17">
        <f>24.3434 * CHOOSE(CONTROL!$C$9, $D$9, 100%, $F$9) + CHOOSE(CONTROL!$C$27, 0.0021, 0)</f>
        <v>24.345499999999998</v>
      </c>
      <c r="C28" s="17">
        <f>23.9112 * CHOOSE(CONTROL!$C$9, $D$9, 100%, $F$9) + CHOOSE(CONTROL!$C$27, 0.0021, 0)</f>
        <v>23.9133</v>
      </c>
      <c r="D28" s="17">
        <f>23.9112 * CHOOSE(CONTROL!$C$9, $D$9, 100%, $F$9) + CHOOSE(CONTROL!$C$27, 0.0021, 0)</f>
        <v>23.9133</v>
      </c>
      <c r="E28" s="17">
        <f>23.7745 * CHOOSE(CONTROL!$C$9, $D$9, 100%, $F$9) + CHOOSE(CONTROL!$C$27, 0.0021, 0)</f>
        <v>23.776599999999998</v>
      </c>
      <c r="F28" s="17">
        <f>23.7745 * CHOOSE(CONTROL!$C$9, $D$9, 100%, $F$9) + CHOOSE(CONTROL!$C$27, 0.0021, 0)</f>
        <v>23.776599999999998</v>
      </c>
      <c r="G28" s="17">
        <f>24.0459 * CHOOSE(CONTROL!$C$9, $D$9, 100%, $F$9) + CHOOSE(CONTROL!$C$27, 0.0021, 0)</f>
        <v>24.047999999999998</v>
      </c>
      <c r="H28" s="17">
        <f>23.9112 * CHOOSE(CONTROL!$C$9, $D$9, 100%, $F$9) + CHOOSE(CONTROL!$C$27, 0.0021, 0)</f>
        <v>23.9133</v>
      </c>
      <c r="I28" s="17">
        <f>23.9112 * CHOOSE(CONTROL!$C$9, $D$9, 100%, $F$9) + CHOOSE(CONTROL!$C$27, 0.0021, 0)</f>
        <v>23.9133</v>
      </c>
      <c r="J28" s="17">
        <f>23.551 * CHOOSE(CONTROL!$C$9, $D$9, 100%, $F$9) + CHOOSE(CONTROL!$C$27, 0.0021, 0)</f>
        <v>23.553099999999997</v>
      </c>
      <c r="K28" s="17">
        <f>23.9112 * CHOOSE(CONTROL!$C$9, $D$9, 100%, $F$9) + CHOOSE(CONTROL!$C$27, 0.0021, 0)</f>
        <v>23.9133</v>
      </c>
      <c r="L28" s="17"/>
      <c r="M28" s="34"/>
      <c r="N28" s="34"/>
      <c r="O28" s="34"/>
      <c r="P28" s="34"/>
      <c r="Q28" s="34"/>
    </row>
    <row r="29" spans="1:17" ht="15" x14ac:dyDescent="0.2">
      <c r="A29" s="16">
        <v>41426</v>
      </c>
      <c r="B29" s="17">
        <f>24.2037 * CHOOSE(CONTROL!$C$9, $D$9, 100%, $F$9) + CHOOSE(CONTROL!$C$27, 0.0021, 0)</f>
        <v>24.2058</v>
      </c>
      <c r="C29" s="17">
        <f>23.7714 * CHOOSE(CONTROL!$C$9, $D$9, 100%, $F$9) + CHOOSE(CONTROL!$C$27, 0.0021, 0)</f>
        <v>23.773499999999999</v>
      </c>
      <c r="D29" s="17">
        <f>23.7714 * CHOOSE(CONTROL!$C$9, $D$9, 100%, $F$9) + CHOOSE(CONTROL!$C$27, 0.0021, 0)</f>
        <v>23.773499999999999</v>
      </c>
      <c r="E29" s="17">
        <f>23.6348 * CHOOSE(CONTROL!$C$9, $D$9, 100%, $F$9) + CHOOSE(CONTROL!$C$27, 0.0021, 0)</f>
        <v>23.636899999999997</v>
      </c>
      <c r="F29" s="17">
        <f>23.6348 * CHOOSE(CONTROL!$C$9, $D$9, 100%, $F$9) + CHOOSE(CONTROL!$C$27, 0.0021, 0)</f>
        <v>23.636899999999997</v>
      </c>
      <c r="G29" s="17">
        <f>23.9061 * CHOOSE(CONTROL!$C$9, $D$9, 100%, $F$9) + CHOOSE(CONTROL!$C$27, 0.0021, 0)</f>
        <v>23.908199999999997</v>
      </c>
      <c r="H29" s="17">
        <f>23.7714 * CHOOSE(CONTROL!$C$9, $D$9, 100%, $F$9) + CHOOSE(CONTROL!$C$27, 0.0021, 0)</f>
        <v>23.773499999999999</v>
      </c>
      <c r="I29" s="17">
        <f>23.7714 * CHOOSE(CONTROL!$C$9, $D$9, 100%, $F$9) + CHOOSE(CONTROL!$C$27, 0.0021, 0)</f>
        <v>23.773499999999999</v>
      </c>
      <c r="J29" s="17">
        <f>23.4112 * CHOOSE(CONTROL!$C$9, $D$9, 100%, $F$9) + CHOOSE(CONTROL!$C$27, 0.0021, 0)</f>
        <v>23.4133</v>
      </c>
      <c r="K29" s="17">
        <f>23.7714 * CHOOSE(CONTROL!$C$9, $D$9, 100%, $F$9) + CHOOSE(CONTROL!$C$27, 0.0021, 0)</f>
        <v>23.773499999999999</v>
      </c>
      <c r="L29" s="17"/>
      <c r="M29" s="34"/>
      <c r="N29" s="34"/>
      <c r="O29" s="34"/>
      <c r="P29" s="34"/>
      <c r="Q29" s="34"/>
    </row>
    <row r="30" spans="1:17" ht="15" x14ac:dyDescent="0.2">
      <c r="A30" s="16">
        <v>41456</v>
      </c>
      <c r="B30" s="17">
        <f>24.1316 * CHOOSE(CONTROL!$C$9, $D$9, 100%, $F$9) + CHOOSE(CONTROL!$C$27, 0.0021, 0)</f>
        <v>24.133699999999997</v>
      </c>
      <c r="C30" s="17">
        <f>23.6994 * CHOOSE(CONTROL!$C$9, $D$9, 100%, $F$9) + CHOOSE(CONTROL!$C$27, 0.0021, 0)</f>
        <v>23.701499999999999</v>
      </c>
      <c r="D30" s="17">
        <f>23.6994 * CHOOSE(CONTROL!$C$9, $D$9, 100%, $F$9) + CHOOSE(CONTROL!$C$27, 0.0021, 0)</f>
        <v>23.701499999999999</v>
      </c>
      <c r="E30" s="17">
        <f>23.5627 * CHOOSE(CONTROL!$C$9, $D$9, 100%, $F$9) + CHOOSE(CONTROL!$C$27, 0.0021, 0)</f>
        <v>23.564799999999998</v>
      </c>
      <c r="F30" s="17">
        <f>23.5627 * CHOOSE(CONTROL!$C$9, $D$9, 100%, $F$9) + CHOOSE(CONTROL!$C$27, 0.0021, 0)</f>
        <v>23.564799999999998</v>
      </c>
      <c r="G30" s="17">
        <f>23.8341 * CHOOSE(CONTROL!$C$9, $D$9, 100%, $F$9) + CHOOSE(CONTROL!$C$27, 0.0021, 0)</f>
        <v>23.836199999999998</v>
      </c>
      <c r="H30" s="17">
        <f>23.6994 * CHOOSE(CONTROL!$C$9, $D$9, 100%, $F$9) + CHOOSE(CONTROL!$C$27, 0.0021, 0)</f>
        <v>23.701499999999999</v>
      </c>
      <c r="I30" s="17">
        <f>23.6994 * CHOOSE(CONTROL!$C$9, $D$9, 100%, $F$9) + CHOOSE(CONTROL!$C$27, 0.0021, 0)</f>
        <v>23.701499999999999</v>
      </c>
      <c r="J30" s="17">
        <f>23.3392 * CHOOSE(CONTROL!$C$9, $D$9, 100%, $F$9) + CHOOSE(CONTROL!$C$27, 0.0021, 0)</f>
        <v>23.3413</v>
      </c>
      <c r="K30" s="17">
        <f>23.6994 * CHOOSE(CONTROL!$C$9, $D$9, 100%, $F$9) + CHOOSE(CONTROL!$C$27, 0.0021, 0)</f>
        <v>23.701499999999999</v>
      </c>
      <c r="L30" s="17"/>
      <c r="M30" s="34"/>
      <c r="N30" s="34"/>
      <c r="O30" s="34"/>
      <c r="P30" s="34"/>
      <c r="Q30" s="34"/>
    </row>
    <row r="31" spans="1:17" ht="15" x14ac:dyDescent="0.2">
      <c r="A31" s="16">
        <v>41487</v>
      </c>
      <c r="B31" s="17">
        <f>24.0862 * CHOOSE(CONTROL!$C$9, $D$9, 100%, $F$9) + CHOOSE(CONTROL!$C$27, 0.0021, 0)</f>
        <v>24.0883</v>
      </c>
      <c r="C31" s="17">
        <f>23.654 * CHOOSE(CONTROL!$C$9, $D$9, 100%, $F$9) + CHOOSE(CONTROL!$C$27, 0.0021, 0)</f>
        <v>23.656099999999999</v>
      </c>
      <c r="D31" s="17">
        <f>23.654 * CHOOSE(CONTROL!$C$9, $D$9, 100%, $F$9) + CHOOSE(CONTROL!$C$27, 0.0021, 0)</f>
        <v>23.656099999999999</v>
      </c>
      <c r="E31" s="17">
        <f>23.5173 * CHOOSE(CONTROL!$C$9, $D$9, 100%, $F$9) + CHOOSE(CONTROL!$C$27, 0.0021, 0)</f>
        <v>23.519399999999997</v>
      </c>
      <c r="F31" s="17">
        <f>23.5173 * CHOOSE(CONTROL!$C$9, $D$9, 100%, $F$9) + CHOOSE(CONTROL!$C$27, 0.0021, 0)</f>
        <v>23.519399999999997</v>
      </c>
      <c r="G31" s="17">
        <f>23.7887 * CHOOSE(CONTROL!$C$9, $D$9, 100%, $F$9) + CHOOSE(CONTROL!$C$27, 0.0021, 0)</f>
        <v>23.790799999999997</v>
      </c>
      <c r="H31" s="17">
        <f>23.654 * CHOOSE(CONTROL!$C$9, $D$9, 100%, $F$9) + CHOOSE(CONTROL!$C$27, 0.0021, 0)</f>
        <v>23.656099999999999</v>
      </c>
      <c r="I31" s="17">
        <f>23.654 * CHOOSE(CONTROL!$C$9, $D$9, 100%, $F$9) + CHOOSE(CONTROL!$C$27, 0.0021, 0)</f>
        <v>23.656099999999999</v>
      </c>
      <c r="J31" s="17">
        <f>23.2938 * CHOOSE(CONTROL!$C$9, $D$9, 100%, $F$9) + CHOOSE(CONTROL!$C$27, 0.0021, 0)</f>
        <v>23.2959</v>
      </c>
      <c r="K31" s="17">
        <f>23.654 * CHOOSE(CONTROL!$C$9, $D$9, 100%, $F$9) + CHOOSE(CONTROL!$C$27, 0.0021, 0)</f>
        <v>23.656099999999999</v>
      </c>
      <c r="L31" s="17"/>
      <c r="M31" s="34"/>
      <c r="N31" s="34"/>
      <c r="O31" s="34"/>
      <c r="P31" s="34"/>
      <c r="Q31" s="34"/>
    </row>
    <row r="32" spans="1:17" ht="15" x14ac:dyDescent="0.2">
      <c r="A32" s="16">
        <v>41518</v>
      </c>
      <c r="B32" s="17">
        <f>24.0553 * CHOOSE(CONTROL!$C$9, $D$9, 100%, $F$9) + CHOOSE(CONTROL!$C$27, 0.0021, 0)</f>
        <v>24.057399999999998</v>
      </c>
      <c r="C32" s="17">
        <f>23.623 * CHOOSE(CONTROL!$C$9, $D$9, 100%, $F$9) + CHOOSE(CONTROL!$C$27, 0.0021, 0)</f>
        <v>23.6251</v>
      </c>
      <c r="D32" s="17">
        <f>23.623 * CHOOSE(CONTROL!$C$9, $D$9, 100%, $F$9) + CHOOSE(CONTROL!$C$27, 0.0021, 0)</f>
        <v>23.6251</v>
      </c>
      <c r="E32" s="17">
        <f>23.4864 * CHOOSE(CONTROL!$C$9, $D$9, 100%, $F$9) + CHOOSE(CONTROL!$C$27, 0.0021, 0)</f>
        <v>23.488499999999998</v>
      </c>
      <c r="F32" s="17">
        <f>23.4864 * CHOOSE(CONTROL!$C$9, $D$9, 100%, $F$9) + CHOOSE(CONTROL!$C$27, 0.0021, 0)</f>
        <v>23.488499999999998</v>
      </c>
      <c r="G32" s="17">
        <f>23.7577 * CHOOSE(CONTROL!$C$9, $D$9, 100%, $F$9) + CHOOSE(CONTROL!$C$27, 0.0021, 0)</f>
        <v>23.759799999999998</v>
      </c>
      <c r="H32" s="17">
        <f>23.623 * CHOOSE(CONTROL!$C$9, $D$9, 100%, $F$9) + CHOOSE(CONTROL!$C$27, 0.0021, 0)</f>
        <v>23.6251</v>
      </c>
      <c r="I32" s="17">
        <f>23.623 * CHOOSE(CONTROL!$C$9, $D$9, 100%, $F$9) + CHOOSE(CONTROL!$C$27, 0.0021, 0)</f>
        <v>23.6251</v>
      </c>
      <c r="J32" s="17">
        <f>23.2628 * CHOOSE(CONTROL!$C$9, $D$9, 100%, $F$9) + CHOOSE(CONTROL!$C$27, 0.0021, 0)</f>
        <v>23.264899999999997</v>
      </c>
      <c r="K32" s="17">
        <f>23.623 * CHOOSE(CONTROL!$C$9, $D$9, 100%, $F$9) + CHOOSE(CONTROL!$C$27, 0.0021, 0)</f>
        <v>23.6251</v>
      </c>
      <c r="L32" s="17"/>
      <c r="M32" s="34"/>
      <c r="N32" s="34"/>
      <c r="O32" s="34"/>
      <c r="P32" s="34"/>
      <c r="Q32" s="34"/>
    </row>
    <row r="33" spans="1:17" ht="15" x14ac:dyDescent="0.2">
      <c r="A33" s="16">
        <v>41548</v>
      </c>
      <c r="B33" s="17">
        <f>24.0365 * CHOOSE(CONTROL!$C$9, $D$9, 100%, $F$9) + CHOOSE(CONTROL!$C$27, 0.0021, 0)</f>
        <v>24.038599999999999</v>
      </c>
      <c r="C33" s="17">
        <f>23.6043 * CHOOSE(CONTROL!$C$9, $D$9, 100%, $F$9) + CHOOSE(CONTROL!$C$27, 0.0021, 0)</f>
        <v>23.606399999999997</v>
      </c>
      <c r="D33" s="17">
        <f>23.6043 * CHOOSE(CONTROL!$C$9, $D$9, 100%, $F$9) + CHOOSE(CONTROL!$C$27, 0.0021, 0)</f>
        <v>23.606399999999997</v>
      </c>
      <c r="E33" s="17">
        <f>23.4676 * CHOOSE(CONTROL!$C$9, $D$9, 100%, $F$9) + CHOOSE(CONTROL!$C$27, 0.0021, 0)</f>
        <v>23.4697</v>
      </c>
      <c r="F33" s="17">
        <f>23.4676 * CHOOSE(CONTROL!$C$9, $D$9, 100%, $F$9) + CHOOSE(CONTROL!$C$27, 0.0021, 0)</f>
        <v>23.4697</v>
      </c>
      <c r="G33" s="17">
        <f>23.739 * CHOOSE(CONTROL!$C$9, $D$9, 100%, $F$9) + CHOOSE(CONTROL!$C$27, 0.0021, 0)</f>
        <v>23.741099999999999</v>
      </c>
      <c r="H33" s="17">
        <f>23.6043 * CHOOSE(CONTROL!$C$9, $D$9, 100%, $F$9) + CHOOSE(CONTROL!$C$27, 0.0021, 0)</f>
        <v>23.606399999999997</v>
      </c>
      <c r="I33" s="17">
        <f>23.6043 * CHOOSE(CONTROL!$C$9, $D$9, 100%, $F$9) + CHOOSE(CONTROL!$C$27, 0.0021, 0)</f>
        <v>23.606399999999997</v>
      </c>
      <c r="J33" s="17">
        <f>23.2441 * CHOOSE(CONTROL!$C$9, $D$9, 100%, $F$9) + CHOOSE(CONTROL!$C$27, 0.0021, 0)</f>
        <v>23.246199999999998</v>
      </c>
      <c r="K33" s="17">
        <f>23.6043 * CHOOSE(CONTROL!$C$9, $D$9, 100%, $F$9) + CHOOSE(CONTROL!$C$27, 0.0021, 0)</f>
        <v>23.606399999999997</v>
      </c>
      <c r="L33" s="17"/>
      <c r="M33" s="34"/>
      <c r="N33" s="34"/>
      <c r="O33" s="34"/>
      <c r="P33" s="34"/>
      <c r="Q33" s="34"/>
    </row>
    <row r="34" spans="1:17" ht="15" x14ac:dyDescent="0.2">
      <c r="A34" s="16">
        <v>41579</v>
      </c>
      <c r="B34" s="17">
        <f>24.0279 * CHOOSE(CONTROL!$C$9, $D$9, 100%, $F$9) + CHOOSE(CONTROL!$C$27, 0.0021, 0)</f>
        <v>24.029999999999998</v>
      </c>
      <c r="C34" s="17">
        <f>23.5956 * CHOOSE(CONTROL!$C$9, $D$9, 100%, $F$9) + CHOOSE(CONTROL!$C$27, 0.0021, 0)</f>
        <v>23.5977</v>
      </c>
      <c r="D34" s="17">
        <f>23.5956 * CHOOSE(CONTROL!$C$9, $D$9, 100%, $F$9) + CHOOSE(CONTROL!$C$27, 0.0021, 0)</f>
        <v>23.5977</v>
      </c>
      <c r="E34" s="17">
        <f>23.459 * CHOOSE(CONTROL!$C$9, $D$9, 100%, $F$9) + CHOOSE(CONTROL!$C$27, 0.0021, 0)</f>
        <v>23.461099999999998</v>
      </c>
      <c r="F34" s="17">
        <f>23.459 * CHOOSE(CONTROL!$C$9, $D$9, 100%, $F$9) + CHOOSE(CONTROL!$C$27, 0.0021, 0)</f>
        <v>23.461099999999998</v>
      </c>
      <c r="G34" s="17">
        <f>23.7304 * CHOOSE(CONTROL!$C$9, $D$9, 100%, $F$9) + CHOOSE(CONTROL!$C$27, 0.0021, 0)</f>
        <v>23.732499999999998</v>
      </c>
      <c r="H34" s="17">
        <f>23.5956 * CHOOSE(CONTROL!$C$9, $D$9, 100%, $F$9) + CHOOSE(CONTROL!$C$27, 0.0021, 0)</f>
        <v>23.5977</v>
      </c>
      <c r="I34" s="17">
        <f>23.5956 * CHOOSE(CONTROL!$C$9, $D$9, 100%, $F$9) + CHOOSE(CONTROL!$C$27, 0.0021, 0)</f>
        <v>23.5977</v>
      </c>
      <c r="J34" s="17">
        <f>23.2354 * CHOOSE(CONTROL!$C$9, $D$9, 100%, $F$9) + CHOOSE(CONTROL!$C$27, 0.0021, 0)</f>
        <v>23.237499999999997</v>
      </c>
      <c r="K34" s="17">
        <f>23.5956 * CHOOSE(CONTROL!$C$9, $D$9, 100%, $F$9) + CHOOSE(CONTROL!$C$27, 0.0021, 0)</f>
        <v>23.5977</v>
      </c>
      <c r="L34" s="17"/>
      <c r="M34" s="34"/>
      <c r="N34" s="34"/>
      <c r="O34" s="34"/>
      <c r="P34" s="34"/>
      <c r="Q34" s="34"/>
    </row>
    <row r="35" spans="1:17" ht="15" x14ac:dyDescent="0.2">
      <c r="A35" s="16">
        <v>41609</v>
      </c>
      <c r="B35" s="17">
        <f>24.0099 * CHOOSE(CONTROL!$C$9, $D$9, 100%, $F$9) + CHOOSE(CONTROL!$C$27, 0.0021, 0)</f>
        <v>24.011999999999997</v>
      </c>
      <c r="C35" s="17">
        <f>23.5776 * CHOOSE(CONTROL!$C$9, $D$9, 100%, $F$9) + CHOOSE(CONTROL!$C$27, 0.0021, 0)</f>
        <v>23.579699999999999</v>
      </c>
      <c r="D35" s="17">
        <f>23.5776 * CHOOSE(CONTROL!$C$9, $D$9, 100%, $F$9) + CHOOSE(CONTROL!$C$27, 0.0021, 0)</f>
        <v>23.579699999999999</v>
      </c>
      <c r="E35" s="17">
        <f>23.441 * CHOOSE(CONTROL!$C$9, $D$9, 100%, $F$9) + CHOOSE(CONTROL!$C$27, 0.0021, 0)</f>
        <v>23.443099999999998</v>
      </c>
      <c r="F35" s="17">
        <f>23.441 * CHOOSE(CONTROL!$C$9, $D$9, 100%, $F$9) + CHOOSE(CONTROL!$C$27, 0.0021, 0)</f>
        <v>23.443099999999998</v>
      </c>
      <c r="G35" s="17">
        <f>23.7123 * CHOOSE(CONTROL!$C$9, $D$9, 100%, $F$9) + CHOOSE(CONTROL!$C$27, 0.0021, 0)</f>
        <v>23.714399999999998</v>
      </c>
      <c r="H35" s="17">
        <f>23.5776 * CHOOSE(CONTROL!$C$9, $D$9, 100%, $F$9) + CHOOSE(CONTROL!$C$27, 0.0021, 0)</f>
        <v>23.579699999999999</v>
      </c>
      <c r="I35" s="17">
        <f>23.5776 * CHOOSE(CONTROL!$C$9, $D$9, 100%, $F$9) + CHOOSE(CONTROL!$C$27, 0.0021, 0)</f>
        <v>23.579699999999999</v>
      </c>
      <c r="J35" s="17">
        <f>23.2174 * CHOOSE(CONTROL!$C$9, $D$9, 100%, $F$9) + CHOOSE(CONTROL!$C$27, 0.0021, 0)</f>
        <v>23.2195</v>
      </c>
      <c r="K35" s="17">
        <f>23.5776 * CHOOSE(CONTROL!$C$9, $D$9, 100%, $F$9) + CHOOSE(CONTROL!$C$27, 0.0021, 0)</f>
        <v>23.579699999999999</v>
      </c>
      <c r="L35" s="17"/>
      <c r="M35" s="34"/>
      <c r="N35" s="34"/>
      <c r="O35" s="34"/>
      <c r="P35" s="34"/>
      <c r="Q35" s="34"/>
    </row>
    <row r="36" spans="1:17" ht="15" x14ac:dyDescent="0.2">
      <c r="A36" s="16">
        <v>41640</v>
      </c>
      <c r="B36" s="17">
        <f>23.9847 * CHOOSE(CONTROL!$C$9, $D$9, 100%, $F$9) + CHOOSE(CONTROL!$C$27, 0.0021, 0)</f>
        <v>23.986799999999999</v>
      </c>
      <c r="C36" s="17">
        <f>23.5524 * CHOOSE(CONTROL!$C$9, $D$9, 100%, $F$9) + CHOOSE(CONTROL!$C$27, 0.0021, 0)</f>
        <v>23.554499999999997</v>
      </c>
      <c r="D36" s="17">
        <f>23.5524 * CHOOSE(CONTROL!$C$9, $D$9, 100%, $F$9) + CHOOSE(CONTROL!$C$27, 0.0021, 0)</f>
        <v>23.554499999999997</v>
      </c>
      <c r="E36" s="17">
        <f>23.4158 * CHOOSE(CONTROL!$C$9, $D$9, 100%, $F$9) + CHOOSE(CONTROL!$C$27, 0.0021, 0)</f>
        <v>23.417899999999999</v>
      </c>
      <c r="F36" s="17">
        <f>23.4158 * CHOOSE(CONTROL!$C$9, $D$9, 100%, $F$9) + CHOOSE(CONTROL!$C$27, 0.0021, 0)</f>
        <v>23.417899999999999</v>
      </c>
      <c r="G36" s="17">
        <f>23.6871 * CHOOSE(CONTROL!$C$9, $D$9, 100%, $F$9) + CHOOSE(CONTROL!$C$27, 0.0021, 0)</f>
        <v>23.6892</v>
      </c>
      <c r="H36" s="17">
        <f>23.5524 * CHOOSE(CONTROL!$C$9, $D$9, 100%, $F$9) + CHOOSE(CONTROL!$C$27, 0.0021, 0)</f>
        <v>23.554499999999997</v>
      </c>
      <c r="I36" s="17">
        <f>23.5524 * CHOOSE(CONTROL!$C$9, $D$9, 100%, $F$9) + CHOOSE(CONTROL!$C$27, 0.0021, 0)</f>
        <v>23.554499999999997</v>
      </c>
      <c r="J36" s="17">
        <f>23.1922 * CHOOSE(CONTROL!$C$9, $D$9, 100%, $F$9) + CHOOSE(CONTROL!$C$27, 0.0021, 0)</f>
        <v>23.194299999999998</v>
      </c>
      <c r="K36" s="17">
        <f>23.5524 * CHOOSE(CONTROL!$C$9, $D$9, 100%, $F$9) + CHOOSE(CONTROL!$C$27, 0.0021, 0)</f>
        <v>23.554499999999997</v>
      </c>
      <c r="L36" s="17"/>
      <c r="M36" s="34"/>
      <c r="N36" s="34"/>
      <c r="O36" s="34"/>
      <c r="P36" s="34"/>
      <c r="Q36" s="34"/>
    </row>
    <row r="37" spans="1:17" ht="15" x14ac:dyDescent="0.2">
      <c r="A37" s="16">
        <v>41671</v>
      </c>
      <c r="B37" s="17">
        <f>23.9414 * CHOOSE(CONTROL!$C$9, $D$9, 100%, $F$9) + CHOOSE(CONTROL!$C$27, 0.0021, 0)</f>
        <v>23.9435</v>
      </c>
      <c r="C37" s="17">
        <f>23.5092 * CHOOSE(CONTROL!$C$9, $D$9, 100%, $F$9) + CHOOSE(CONTROL!$C$27, 0.0021, 0)</f>
        <v>23.511299999999999</v>
      </c>
      <c r="D37" s="17">
        <f>23.5092 * CHOOSE(CONTROL!$C$9, $D$9, 100%, $F$9) + CHOOSE(CONTROL!$C$27, 0.0021, 0)</f>
        <v>23.511299999999999</v>
      </c>
      <c r="E37" s="17">
        <f>23.3725 * CHOOSE(CONTROL!$C$9, $D$9, 100%, $F$9) + CHOOSE(CONTROL!$C$27, 0.0021, 0)</f>
        <v>23.374599999999997</v>
      </c>
      <c r="F37" s="17">
        <f>23.3725 * CHOOSE(CONTROL!$C$9, $D$9, 100%, $F$9) + CHOOSE(CONTROL!$C$27, 0.0021, 0)</f>
        <v>23.374599999999997</v>
      </c>
      <c r="G37" s="17">
        <f>23.6439 * CHOOSE(CONTROL!$C$9, $D$9, 100%, $F$9) + CHOOSE(CONTROL!$C$27, 0.0021, 0)</f>
        <v>23.645999999999997</v>
      </c>
      <c r="H37" s="17">
        <f>23.5092 * CHOOSE(CONTROL!$C$9, $D$9, 100%, $F$9) + CHOOSE(CONTROL!$C$27, 0.0021, 0)</f>
        <v>23.511299999999999</v>
      </c>
      <c r="I37" s="17">
        <f>23.5092 * CHOOSE(CONTROL!$C$9, $D$9, 100%, $F$9) + CHOOSE(CONTROL!$C$27, 0.0021, 0)</f>
        <v>23.511299999999999</v>
      </c>
      <c r="J37" s="17">
        <f>23.149 * CHOOSE(CONTROL!$C$9, $D$9, 100%, $F$9) + CHOOSE(CONTROL!$C$27, 0.0021, 0)</f>
        <v>23.1511</v>
      </c>
      <c r="K37" s="17">
        <f>23.5092 * CHOOSE(CONTROL!$C$9, $D$9, 100%, $F$9) + CHOOSE(CONTROL!$C$27, 0.0021, 0)</f>
        <v>23.511299999999999</v>
      </c>
      <c r="L37" s="17"/>
      <c r="M37" s="34"/>
      <c r="N37" s="34"/>
      <c r="O37" s="34"/>
      <c r="P37" s="34"/>
      <c r="Q37" s="34"/>
    </row>
    <row r="38" spans="1:17" ht="15" x14ac:dyDescent="0.2">
      <c r="A38" s="16">
        <v>41699</v>
      </c>
      <c r="B38" s="17">
        <f>23.8478 * CHOOSE(CONTROL!$C$9, $D$9, 100%, $F$9) + CHOOSE(CONTROL!$C$27, 0.0021, 0)</f>
        <v>23.849899999999998</v>
      </c>
      <c r="C38" s="17">
        <f>23.4155 * CHOOSE(CONTROL!$C$9, $D$9, 100%, $F$9) + CHOOSE(CONTROL!$C$27, 0.0021, 0)</f>
        <v>23.4176</v>
      </c>
      <c r="D38" s="17">
        <f>23.4155 * CHOOSE(CONTROL!$C$9, $D$9, 100%, $F$9) + CHOOSE(CONTROL!$C$27, 0.0021, 0)</f>
        <v>23.4176</v>
      </c>
      <c r="E38" s="17">
        <f>23.2789 * CHOOSE(CONTROL!$C$9, $D$9, 100%, $F$9) + CHOOSE(CONTROL!$C$27, 0.0021, 0)</f>
        <v>23.280999999999999</v>
      </c>
      <c r="F38" s="17">
        <f>23.2789 * CHOOSE(CONTROL!$C$9, $D$9, 100%, $F$9) + CHOOSE(CONTROL!$C$27, 0.0021, 0)</f>
        <v>23.280999999999999</v>
      </c>
      <c r="G38" s="17">
        <f>23.5503 * CHOOSE(CONTROL!$C$9, $D$9, 100%, $F$9) + CHOOSE(CONTROL!$C$27, 0.0021, 0)</f>
        <v>23.552399999999999</v>
      </c>
      <c r="H38" s="17">
        <f>23.4155 * CHOOSE(CONTROL!$C$9, $D$9, 100%, $F$9) + CHOOSE(CONTROL!$C$27, 0.0021, 0)</f>
        <v>23.4176</v>
      </c>
      <c r="I38" s="17">
        <f>23.4155 * CHOOSE(CONTROL!$C$9, $D$9, 100%, $F$9) + CHOOSE(CONTROL!$C$27, 0.0021, 0)</f>
        <v>23.4176</v>
      </c>
      <c r="J38" s="17">
        <f>23.0553 * CHOOSE(CONTROL!$C$9, $D$9, 100%, $F$9) + CHOOSE(CONTROL!$C$27, 0.0021, 0)</f>
        <v>23.057399999999998</v>
      </c>
      <c r="K38" s="17">
        <f>23.4155 * CHOOSE(CONTROL!$C$9, $D$9, 100%, $F$9) + CHOOSE(CONTROL!$C$27, 0.0021, 0)</f>
        <v>23.4176</v>
      </c>
      <c r="L38" s="17"/>
      <c r="M38" s="34"/>
      <c r="N38" s="34"/>
      <c r="O38" s="34"/>
      <c r="P38" s="34"/>
      <c r="Q38" s="34"/>
    </row>
    <row r="39" spans="1:17" ht="15" x14ac:dyDescent="0.2">
      <c r="A39" s="16">
        <v>41730</v>
      </c>
      <c r="B39" s="17">
        <f>23.6893 * CHOOSE(CONTROL!$C$9, $D$9, 100%, $F$9) + CHOOSE(CONTROL!$C$27, 0.0021, 0)</f>
        <v>23.691399999999998</v>
      </c>
      <c r="C39" s="17">
        <f>23.257 * CHOOSE(CONTROL!$C$9, $D$9, 100%, $F$9) + CHOOSE(CONTROL!$C$27, 0.0021, 0)</f>
        <v>23.2591</v>
      </c>
      <c r="D39" s="17">
        <f>23.257 * CHOOSE(CONTROL!$C$9, $D$9, 100%, $F$9) + CHOOSE(CONTROL!$C$27, 0.0021, 0)</f>
        <v>23.2591</v>
      </c>
      <c r="E39" s="17">
        <f>23.1204 * CHOOSE(CONTROL!$C$9, $D$9, 100%, $F$9) + CHOOSE(CONTROL!$C$27, 0.0021, 0)</f>
        <v>23.122499999999999</v>
      </c>
      <c r="F39" s="17">
        <f>23.1204 * CHOOSE(CONTROL!$C$9, $D$9, 100%, $F$9) + CHOOSE(CONTROL!$C$27, 0.0021, 0)</f>
        <v>23.122499999999999</v>
      </c>
      <c r="G39" s="17">
        <f>23.3918 * CHOOSE(CONTROL!$C$9, $D$9, 100%, $F$9) + CHOOSE(CONTROL!$C$27, 0.0021, 0)</f>
        <v>23.393899999999999</v>
      </c>
      <c r="H39" s="17">
        <f>23.257 * CHOOSE(CONTROL!$C$9, $D$9, 100%, $F$9) + CHOOSE(CONTROL!$C$27, 0.0021, 0)</f>
        <v>23.2591</v>
      </c>
      <c r="I39" s="17">
        <f>23.257 * CHOOSE(CONTROL!$C$9, $D$9, 100%, $F$9) + CHOOSE(CONTROL!$C$27, 0.0021, 0)</f>
        <v>23.2591</v>
      </c>
      <c r="J39" s="17">
        <f>22.8968 * CHOOSE(CONTROL!$C$9, $D$9, 100%, $F$9) + CHOOSE(CONTROL!$C$27, 0.0021, 0)</f>
        <v>22.898899999999998</v>
      </c>
      <c r="K39" s="17">
        <f>23.257 * CHOOSE(CONTROL!$C$9, $D$9, 100%, $F$9) + CHOOSE(CONTROL!$C$27, 0.0021, 0)</f>
        <v>23.2591</v>
      </c>
      <c r="L39" s="17"/>
      <c r="M39" s="34"/>
      <c r="N39" s="34"/>
      <c r="O39" s="34"/>
      <c r="P39" s="34"/>
      <c r="Q39" s="34"/>
    </row>
    <row r="40" spans="1:17" ht="15" x14ac:dyDescent="0.2">
      <c r="A40" s="16">
        <v>41760</v>
      </c>
      <c r="B40" s="17">
        <f>23.5308 * CHOOSE(CONTROL!$C$9, $D$9, 100%, $F$9) + CHOOSE(CONTROL!$C$27, 0.0021, 0)</f>
        <v>23.532899999999998</v>
      </c>
      <c r="C40" s="17">
        <f>23.0986 * CHOOSE(CONTROL!$C$9, $D$9, 100%, $F$9) + CHOOSE(CONTROL!$C$27, 0.0021, 0)</f>
        <v>23.1007</v>
      </c>
      <c r="D40" s="17">
        <f>23.0986 * CHOOSE(CONTROL!$C$9, $D$9, 100%, $F$9) + CHOOSE(CONTROL!$C$27, 0.0021, 0)</f>
        <v>23.1007</v>
      </c>
      <c r="E40" s="17">
        <f>22.9619 * CHOOSE(CONTROL!$C$9, $D$9, 100%, $F$9) + CHOOSE(CONTROL!$C$27, 0.0021, 0)</f>
        <v>22.963999999999999</v>
      </c>
      <c r="F40" s="17">
        <f>22.9619 * CHOOSE(CONTROL!$C$9, $D$9, 100%, $F$9) + CHOOSE(CONTROL!$C$27, 0.0021, 0)</f>
        <v>22.963999999999999</v>
      </c>
      <c r="G40" s="17">
        <f>23.2333 * CHOOSE(CONTROL!$C$9, $D$9, 100%, $F$9) + CHOOSE(CONTROL!$C$27, 0.0021, 0)</f>
        <v>23.235399999999998</v>
      </c>
      <c r="H40" s="17">
        <f>23.0986 * CHOOSE(CONTROL!$C$9, $D$9, 100%, $F$9) + CHOOSE(CONTROL!$C$27, 0.0021, 0)</f>
        <v>23.1007</v>
      </c>
      <c r="I40" s="17">
        <f>23.0986 * CHOOSE(CONTROL!$C$9, $D$9, 100%, $F$9) + CHOOSE(CONTROL!$C$27, 0.0021, 0)</f>
        <v>23.1007</v>
      </c>
      <c r="J40" s="17">
        <f>22.7384 * CHOOSE(CONTROL!$C$9, $D$9, 100%, $F$9) + CHOOSE(CONTROL!$C$27, 0.0021, 0)</f>
        <v>22.740499999999997</v>
      </c>
      <c r="K40" s="17">
        <f>23.0986 * CHOOSE(CONTROL!$C$9, $D$9, 100%, $F$9) + CHOOSE(CONTROL!$C$27, 0.0021, 0)</f>
        <v>23.1007</v>
      </c>
      <c r="L40" s="17"/>
      <c r="M40" s="34"/>
      <c r="N40" s="34"/>
      <c r="O40" s="34"/>
      <c r="P40" s="34"/>
      <c r="Q40" s="34"/>
    </row>
    <row r="41" spans="1:17" ht="15" x14ac:dyDescent="0.2">
      <c r="A41" s="16">
        <v>41791</v>
      </c>
      <c r="B41" s="17">
        <f>23.3975 * CHOOSE(CONTROL!$C$9, $D$9, 100%, $F$9) + CHOOSE(CONTROL!$C$27, 0.0021, 0)</f>
        <v>23.3996</v>
      </c>
      <c r="C41" s="17">
        <f>22.9653 * CHOOSE(CONTROL!$C$9, $D$9, 100%, $F$9) + CHOOSE(CONTROL!$C$27, 0.0021, 0)</f>
        <v>22.967399999999998</v>
      </c>
      <c r="D41" s="17">
        <f>22.9653 * CHOOSE(CONTROL!$C$9, $D$9, 100%, $F$9) + CHOOSE(CONTROL!$C$27, 0.0021, 0)</f>
        <v>22.967399999999998</v>
      </c>
      <c r="E41" s="17">
        <f>22.8286 * CHOOSE(CONTROL!$C$9, $D$9, 100%, $F$9) + CHOOSE(CONTROL!$C$27, 0.0021, 0)</f>
        <v>22.8307</v>
      </c>
      <c r="F41" s="17">
        <f>22.8286 * CHOOSE(CONTROL!$C$9, $D$9, 100%, $F$9) + CHOOSE(CONTROL!$C$27, 0.0021, 0)</f>
        <v>22.8307</v>
      </c>
      <c r="G41" s="17">
        <f>23.1 * CHOOSE(CONTROL!$C$9, $D$9, 100%, $F$9) + CHOOSE(CONTROL!$C$27, 0.0021, 0)</f>
        <v>23.1021</v>
      </c>
      <c r="H41" s="17">
        <f>22.9653 * CHOOSE(CONTROL!$C$9, $D$9, 100%, $F$9) + CHOOSE(CONTROL!$C$27, 0.0021, 0)</f>
        <v>22.967399999999998</v>
      </c>
      <c r="I41" s="17">
        <f>22.9653 * CHOOSE(CONTROL!$C$9, $D$9, 100%, $F$9) + CHOOSE(CONTROL!$C$27, 0.0021, 0)</f>
        <v>22.967399999999998</v>
      </c>
      <c r="J41" s="17">
        <f>22.6051 * CHOOSE(CONTROL!$C$9, $D$9, 100%, $F$9) + CHOOSE(CONTROL!$C$27, 0.0021, 0)</f>
        <v>22.607199999999999</v>
      </c>
      <c r="K41" s="17">
        <f>22.9653 * CHOOSE(CONTROL!$C$9, $D$9, 100%, $F$9) + CHOOSE(CONTROL!$C$27, 0.0021, 0)</f>
        <v>22.967399999999998</v>
      </c>
      <c r="L41" s="17"/>
      <c r="M41" s="34"/>
      <c r="N41" s="34"/>
      <c r="O41" s="34"/>
      <c r="P41" s="34"/>
      <c r="Q41" s="34"/>
    </row>
    <row r="42" spans="1:17" ht="15" x14ac:dyDescent="0.2">
      <c r="A42" s="16">
        <v>41821</v>
      </c>
      <c r="B42" s="17">
        <f>23.3687 * CHOOSE(CONTROL!$C$9, $D$9, 100%, $F$9) + CHOOSE(CONTROL!$C$27, 0.0021, 0)</f>
        <v>23.370799999999999</v>
      </c>
      <c r="C42" s="17">
        <f>22.9365 * CHOOSE(CONTROL!$C$9, $D$9, 100%, $F$9) + CHOOSE(CONTROL!$C$27, 0.0021, 0)</f>
        <v>22.938599999999997</v>
      </c>
      <c r="D42" s="17">
        <f>22.9365 * CHOOSE(CONTROL!$C$9, $D$9, 100%, $F$9) + CHOOSE(CONTROL!$C$27, 0.0021, 0)</f>
        <v>22.938599999999997</v>
      </c>
      <c r="E42" s="17">
        <f>22.7998 * CHOOSE(CONTROL!$C$9, $D$9, 100%, $F$9) + CHOOSE(CONTROL!$C$27, 0.0021, 0)</f>
        <v>22.8019</v>
      </c>
      <c r="F42" s="17">
        <f>22.7998 * CHOOSE(CONTROL!$C$9, $D$9, 100%, $F$9) + CHOOSE(CONTROL!$C$27, 0.0021, 0)</f>
        <v>22.8019</v>
      </c>
      <c r="G42" s="17">
        <f>23.0712 * CHOOSE(CONTROL!$C$9, $D$9, 100%, $F$9) + CHOOSE(CONTROL!$C$27, 0.0021, 0)</f>
        <v>23.0733</v>
      </c>
      <c r="H42" s="17">
        <f>22.9365 * CHOOSE(CONTROL!$C$9, $D$9, 100%, $F$9) + CHOOSE(CONTROL!$C$27, 0.0021, 0)</f>
        <v>22.938599999999997</v>
      </c>
      <c r="I42" s="17">
        <f>22.9365 * CHOOSE(CONTROL!$C$9, $D$9, 100%, $F$9) + CHOOSE(CONTROL!$C$27, 0.0021, 0)</f>
        <v>22.938599999999997</v>
      </c>
      <c r="J42" s="17">
        <f>22.5763 * CHOOSE(CONTROL!$C$9, $D$9, 100%, $F$9) + CHOOSE(CONTROL!$C$27, 0.0021, 0)</f>
        <v>22.578399999999998</v>
      </c>
      <c r="K42" s="17">
        <f>22.9365 * CHOOSE(CONTROL!$C$9, $D$9, 100%, $F$9) + CHOOSE(CONTROL!$C$27, 0.0021, 0)</f>
        <v>22.938599999999997</v>
      </c>
      <c r="L42" s="17"/>
      <c r="M42" s="34"/>
      <c r="N42" s="34"/>
      <c r="O42" s="34"/>
      <c r="P42" s="34"/>
      <c r="Q42" s="34"/>
    </row>
    <row r="43" spans="1:17" ht="15" x14ac:dyDescent="0.2">
      <c r="A43" s="16">
        <v>41852</v>
      </c>
      <c r="B43" s="17">
        <f>23.3507 * CHOOSE(CONTROL!$C$9, $D$9, 100%, $F$9) + CHOOSE(CONTROL!$C$27, 0.0021, 0)</f>
        <v>23.352799999999998</v>
      </c>
      <c r="C43" s="17">
        <f>22.9185 * CHOOSE(CONTROL!$C$9, $D$9, 100%, $F$9) + CHOOSE(CONTROL!$C$27, 0.0021, 0)</f>
        <v>22.9206</v>
      </c>
      <c r="D43" s="17">
        <f>22.9185 * CHOOSE(CONTROL!$C$9, $D$9, 100%, $F$9) + CHOOSE(CONTROL!$C$27, 0.0021, 0)</f>
        <v>22.9206</v>
      </c>
      <c r="E43" s="17">
        <f>22.7818 * CHOOSE(CONTROL!$C$9, $D$9, 100%, $F$9) + CHOOSE(CONTROL!$C$27, 0.0021, 0)</f>
        <v>22.783899999999999</v>
      </c>
      <c r="F43" s="17">
        <f>22.7818 * CHOOSE(CONTROL!$C$9, $D$9, 100%, $F$9) + CHOOSE(CONTROL!$C$27, 0.0021, 0)</f>
        <v>22.783899999999999</v>
      </c>
      <c r="G43" s="17">
        <f>23.0532 * CHOOSE(CONTROL!$C$9, $D$9, 100%, $F$9) + CHOOSE(CONTROL!$C$27, 0.0021, 0)</f>
        <v>23.055299999999999</v>
      </c>
      <c r="H43" s="17">
        <f>22.9185 * CHOOSE(CONTROL!$C$9, $D$9, 100%, $F$9) + CHOOSE(CONTROL!$C$27, 0.0021, 0)</f>
        <v>22.9206</v>
      </c>
      <c r="I43" s="17">
        <f>22.9185 * CHOOSE(CONTROL!$C$9, $D$9, 100%, $F$9) + CHOOSE(CONTROL!$C$27, 0.0021, 0)</f>
        <v>22.9206</v>
      </c>
      <c r="J43" s="17">
        <f>22.5583 * CHOOSE(CONTROL!$C$9, $D$9, 100%, $F$9) + CHOOSE(CONTROL!$C$27, 0.0021, 0)</f>
        <v>22.560399999999998</v>
      </c>
      <c r="K43" s="17">
        <f>22.9185 * CHOOSE(CONTROL!$C$9, $D$9, 100%, $F$9) + CHOOSE(CONTROL!$C$27, 0.0021, 0)</f>
        <v>22.9206</v>
      </c>
      <c r="L43" s="17"/>
      <c r="M43" s="34"/>
      <c r="N43" s="34"/>
      <c r="O43" s="34"/>
      <c r="P43" s="34"/>
      <c r="Q43" s="34"/>
    </row>
    <row r="44" spans="1:17" ht="15" x14ac:dyDescent="0.2">
      <c r="A44" s="16">
        <v>41883</v>
      </c>
      <c r="B44" s="17">
        <f>23.3327 * CHOOSE(CONTROL!$C$9, $D$9, 100%, $F$9) + CHOOSE(CONTROL!$C$27, 0.0021, 0)</f>
        <v>23.334799999999998</v>
      </c>
      <c r="C44" s="17">
        <f>22.9004 * CHOOSE(CONTROL!$C$9, $D$9, 100%, $F$9) + CHOOSE(CONTROL!$C$27, 0.0021, 0)</f>
        <v>22.9025</v>
      </c>
      <c r="D44" s="17">
        <f>22.9004 * CHOOSE(CONTROL!$C$9, $D$9, 100%, $F$9) + CHOOSE(CONTROL!$C$27, 0.0021, 0)</f>
        <v>22.9025</v>
      </c>
      <c r="E44" s="17">
        <f>22.7638 * CHOOSE(CONTROL!$C$9, $D$9, 100%, $F$9) + CHOOSE(CONTROL!$C$27, 0.0021, 0)</f>
        <v>22.765899999999998</v>
      </c>
      <c r="F44" s="17">
        <f>22.7638 * CHOOSE(CONTROL!$C$9, $D$9, 100%, $F$9) + CHOOSE(CONTROL!$C$27, 0.0021, 0)</f>
        <v>22.765899999999998</v>
      </c>
      <c r="G44" s="17">
        <f>23.0352 * CHOOSE(CONTROL!$C$9, $D$9, 100%, $F$9) + CHOOSE(CONTROL!$C$27, 0.0021, 0)</f>
        <v>23.037299999999998</v>
      </c>
      <c r="H44" s="17">
        <f>22.9004 * CHOOSE(CONTROL!$C$9, $D$9, 100%, $F$9) + CHOOSE(CONTROL!$C$27, 0.0021, 0)</f>
        <v>22.9025</v>
      </c>
      <c r="I44" s="17">
        <f>22.9004 * CHOOSE(CONTROL!$C$9, $D$9, 100%, $F$9) + CHOOSE(CONTROL!$C$27, 0.0021, 0)</f>
        <v>22.9025</v>
      </c>
      <c r="J44" s="17">
        <f>22.5402 * CHOOSE(CONTROL!$C$9, $D$9, 100%, $F$9) + CHOOSE(CONTROL!$C$27, 0.0021, 0)</f>
        <v>22.542299999999997</v>
      </c>
      <c r="K44" s="17">
        <f>22.9004 * CHOOSE(CONTROL!$C$9, $D$9, 100%, $F$9) + CHOOSE(CONTROL!$C$27, 0.0021, 0)</f>
        <v>22.9025</v>
      </c>
      <c r="L44" s="17"/>
      <c r="M44" s="34"/>
      <c r="N44" s="34"/>
      <c r="O44" s="34"/>
      <c r="P44" s="34"/>
      <c r="Q44" s="34"/>
    </row>
    <row r="45" spans="1:17" ht="15" x14ac:dyDescent="0.2">
      <c r="A45" s="16">
        <v>41913</v>
      </c>
      <c r="B45" s="17">
        <f>23.3183 * CHOOSE(CONTROL!$C$9, $D$9, 100%, $F$9) + CHOOSE(CONTROL!$C$27, 0.0021, 0)</f>
        <v>23.320399999999999</v>
      </c>
      <c r="C45" s="17">
        <f>22.886 * CHOOSE(CONTROL!$C$9, $D$9, 100%, $F$9) + CHOOSE(CONTROL!$C$27, 0.0021, 0)</f>
        <v>22.888099999999998</v>
      </c>
      <c r="D45" s="17">
        <f>22.886 * CHOOSE(CONTROL!$C$9, $D$9, 100%, $F$9) + CHOOSE(CONTROL!$C$27, 0.0021, 0)</f>
        <v>22.888099999999998</v>
      </c>
      <c r="E45" s="17">
        <f>22.7494 * CHOOSE(CONTROL!$C$9, $D$9, 100%, $F$9) + CHOOSE(CONTROL!$C$27, 0.0021, 0)</f>
        <v>22.7515</v>
      </c>
      <c r="F45" s="17">
        <f>22.7494 * CHOOSE(CONTROL!$C$9, $D$9, 100%, $F$9) + CHOOSE(CONTROL!$C$27, 0.0021, 0)</f>
        <v>22.7515</v>
      </c>
      <c r="G45" s="17">
        <f>23.0208 * CHOOSE(CONTROL!$C$9, $D$9, 100%, $F$9) + CHOOSE(CONTROL!$C$27, 0.0021, 0)</f>
        <v>23.0229</v>
      </c>
      <c r="H45" s="17">
        <f>22.886 * CHOOSE(CONTROL!$C$9, $D$9, 100%, $F$9) + CHOOSE(CONTROL!$C$27, 0.0021, 0)</f>
        <v>22.888099999999998</v>
      </c>
      <c r="I45" s="17">
        <f>22.886 * CHOOSE(CONTROL!$C$9, $D$9, 100%, $F$9) + CHOOSE(CONTROL!$C$27, 0.0021, 0)</f>
        <v>22.888099999999998</v>
      </c>
      <c r="J45" s="17">
        <f>22.5258 * CHOOSE(CONTROL!$C$9, $D$9, 100%, $F$9) + CHOOSE(CONTROL!$C$27, 0.0021, 0)</f>
        <v>22.527899999999999</v>
      </c>
      <c r="K45" s="17">
        <f>22.886 * CHOOSE(CONTROL!$C$9, $D$9, 100%, $F$9) + CHOOSE(CONTROL!$C$27, 0.0021, 0)</f>
        <v>22.888099999999998</v>
      </c>
      <c r="L45" s="17"/>
      <c r="M45" s="34"/>
      <c r="N45" s="34"/>
      <c r="O45" s="34"/>
      <c r="P45" s="34"/>
      <c r="Q45" s="34"/>
    </row>
    <row r="46" spans="1:17" ht="15" x14ac:dyDescent="0.2">
      <c r="A46" s="16">
        <v>41944</v>
      </c>
      <c r="B46" s="17">
        <f>23.3039 * CHOOSE(CONTROL!$C$9, $D$9, 100%, $F$9) + CHOOSE(CONTROL!$C$27, 0.0021, 0)</f>
        <v>23.305999999999997</v>
      </c>
      <c r="C46" s="17">
        <f>22.8716 * CHOOSE(CONTROL!$C$9, $D$9, 100%, $F$9) + CHOOSE(CONTROL!$C$27, 0.0021, 0)</f>
        <v>22.873699999999999</v>
      </c>
      <c r="D46" s="17">
        <f>22.8716 * CHOOSE(CONTROL!$C$9, $D$9, 100%, $F$9) + CHOOSE(CONTROL!$C$27, 0.0021, 0)</f>
        <v>22.873699999999999</v>
      </c>
      <c r="E46" s="17">
        <f>22.735 * CHOOSE(CONTROL!$C$9, $D$9, 100%, $F$9) + CHOOSE(CONTROL!$C$27, 0.0021, 0)</f>
        <v>22.737099999999998</v>
      </c>
      <c r="F46" s="17">
        <f>22.735 * CHOOSE(CONTROL!$C$9, $D$9, 100%, $F$9) + CHOOSE(CONTROL!$C$27, 0.0021, 0)</f>
        <v>22.737099999999998</v>
      </c>
      <c r="G46" s="17">
        <f>23.0063 * CHOOSE(CONTROL!$C$9, $D$9, 100%, $F$9) + CHOOSE(CONTROL!$C$27, 0.0021, 0)</f>
        <v>23.008399999999998</v>
      </c>
      <c r="H46" s="17">
        <f>22.8716 * CHOOSE(CONTROL!$C$9, $D$9, 100%, $F$9) + CHOOSE(CONTROL!$C$27, 0.0021, 0)</f>
        <v>22.873699999999999</v>
      </c>
      <c r="I46" s="17">
        <f>22.8716 * CHOOSE(CONTROL!$C$9, $D$9, 100%, $F$9) + CHOOSE(CONTROL!$C$27, 0.0021, 0)</f>
        <v>22.873699999999999</v>
      </c>
      <c r="J46" s="17">
        <f>22.5114 * CHOOSE(CONTROL!$C$9, $D$9, 100%, $F$9) + CHOOSE(CONTROL!$C$27, 0.0021, 0)</f>
        <v>22.513499999999997</v>
      </c>
      <c r="K46" s="17">
        <f>22.8716 * CHOOSE(CONTROL!$C$9, $D$9, 100%, $F$9) + CHOOSE(CONTROL!$C$27, 0.0021, 0)</f>
        <v>22.873699999999999</v>
      </c>
      <c r="L46" s="17"/>
      <c r="M46" s="34"/>
      <c r="N46" s="34"/>
      <c r="O46" s="34"/>
      <c r="P46" s="34"/>
      <c r="Q46" s="34"/>
    </row>
    <row r="47" spans="1:17" ht="15" x14ac:dyDescent="0.2">
      <c r="A47" s="16">
        <v>41974</v>
      </c>
      <c r="B47" s="17">
        <f>23.2895 * CHOOSE(CONTROL!$C$9, $D$9, 100%, $F$9) + CHOOSE(CONTROL!$C$27, 0.0021, 0)</f>
        <v>23.291599999999999</v>
      </c>
      <c r="C47" s="17">
        <f>22.8572 * CHOOSE(CONTROL!$C$9, $D$9, 100%, $F$9) + CHOOSE(CONTROL!$C$27, 0.0021, 0)</f>
        <v>22.859299999999998</v>
      </c>
      <c r="D47" s="17">
        <f>22.8572 * CHOOSE(CONTROL!$C$9, $D$9, 100%, $F$9) + CHOOSE(CONTROL!$C$27, 0.0021, 0)</f>
        <v>22.859299999999998</v>
      </c>
      <c r="E47" s="17">
        <f>22.7206 * CHOOSE(CONTROL!$C$9, $D$9, 100%, $F$9) + CHOOSE(CONTROL!$C$27, 0.0021, 0)</f>
        <v>22.7227</v>
      </c>
      <c r="F47" s="17">
        <f>22.7206 * CHOOSE(CONTROL!$C$9, $D$9, 100%, $F$9) + CHOOSE(CONTROL!$C$27, 0.0021, 0)</f>
        <v>22.7227</v>
      </c>
      <c r="G47" s="17">
        <f>22.9919 * CHOOSE(CONTROL!$C$9, $D$9, 100%, $F$9) + CHOOSE(CONTROL!$C$27, 0.0021, 0)</f>
        <v>22.994</v>
      </c>
      <c r="H47" s="17">
        <f>22.8572 * CHOOSE(CONTROL!$C$9, $D$9, 100%, $F$9) + CHOOSE(CONTROL!$C$27, 0.0021, 0)</f>
        <v>22.859299999999998</v>
      </c>
      <c r="I47" s="17">
        <f>22.8572 * CHOOSE(CONTROL!$C$9, $D$9, 100%, $F$9) + CHOOSE(CONTROL!$C$27, 0.0021, 0)</f>
        <v>22.859299999999998</v>
      </c>
      <c r="J47" s="17">
        <f>22.497 * CHOOSE(CONTROL!$C$9, $D$9, 100%, $F$9) + CHOOSE(CONTROL!$C$27, 0.0021, 0)</f>
        <v>22.499099999999999</v>
      </c>
      <c r="K47" s="17">
        <f>22.8572 * CHOOSE(CONTROL!$C$9, $D$9, 100%, $F$9) + CHOOSE(CONTROL!$C$27, 0.0021, 0)</f>
        <v>22.859299999999998</v>
      </c>
      <c r="L47" s="17"/>
      <c r="M47" s="34"/>
      <c r="N47" s="34"/>
      <c r="O47" s="34"/>
      <c r="P47" s="34"/>
      <c r="Q47" s="34"/>
    </row>
    <row r="48" spans="1:17" ht="15" x14ac:dyDescent="0.2">
      <c r="A48" s="16">
        <v>42005</v>
      </c>
      <c r="B48" s="17">
        <f>23.3042 * CHOOSE(CONTROL!$C$9, $D$9, 100%, $F$9) + CHOOSE(CONTROL!$C$27, 0.0021, 0)</f>
        <v>23.3063</v>
      </c>
      <c r="C48" s="17">
        <f>22.8719 * CHOOSE(CONTROL!$C$9, $D$9, 100%, $F$9) + CHOOSE(CONTROL!$C$27, 0.0021, 0)</f>
        <v>22.873999999999999</v>
      </c>
      <c r="D48" s="17">
        <f>22.8719 * CHOOSE(CONTROL!$C$9, $D$9, 100%, $F$9) + CHOOSE(CONTROL!$C$27, 0.0021, 0)</f>
        <v>22.873999999999999</v>
      </c>
      <c r="E48" s="17">
        <f>22.7353 * CHOOSE(CONTROL!$C$9, $D$9, 100%, $F$9) + CHOOSE(CONTROL!$C$27, 0.0021, 0)</f>
        <v>22.737399999999997</v>
      </c>
      <c r="F48" s="17">
        <f>22.7353 * CHOOSE(CONTROL!$C$9, $D$9, 100%, $F$9) + CHOOSE(CONTROL!$C$27, 0.0021, 0)</f>
        <v>22.737399999999997</v>
      </c>
      <c r="G48" s="17">
        <f>23.0066 * CHOOSE(CONTROL!$C$9, $D$9, 100%, $F$9) + CHOOSE(CONTROL!$C$27, 0.0021, 0)</f>
        <v>23.008699999999997</v>
      </c>
      <c r="H48" s="17">
        <f>22.8719 * CHOOSE(CONTROL!$C$9, $D$9, 100%, $F$9) + CHOOSE(CONTROL!$C$27, 0.0021, 0)</f>
        <v>22.873999999999999</v>
      </c>
      <c r="I48" s="17">
        <f>22.8719 * CHOOSE(CONTROL!$C$9, $D$9, 100%, $F$9) + CHOOSE(CONTROL!$C$27, 0.0021, 0)</f>
        <v>22.873999999999999</v>
      </c>
      <c r="J48" s="17">
        <f>22.8719 * CHOOSE(CONTROL!$C$9, $D$9, 100%, $F$9) + CHOOSE(CONTROL!$C$27, 0.0021, 0)</f>
        <v>22.873999999999999</v>
      </c>
      <c r="K48" s="17">
        <f>22.8719 * CHOOSE(CONTROL!$C$9, $D$9, 100%, $F$9) + CHOOSE(CONTROL!$C$27, 0.0021, 0)</f>
        <v>22.873999999999999</v>
      </c>
      <c r="L48" s="17"/>
      <c r="M48" s="34"/>
      <c r="N48" s="34"/>
      <c r="O48" s="34"/>
      <c r="P48" s="34"/>
      <c r="Q48" s="34"/>
    </row>
    <row r="49" spans="1:17" ht="15" x14ac:dyDescent="0.2">
      <c r="A49" s="16">
        <v>42036</v>
      </c>
      <c r="B49" s="17">
        <f>22.7519 * CHOOSE(CONTROL!$C$9, $D$9, 100%, $F$9) + CHOOSE(CONTROL!$C$27, 0.0021, 0)</f>
        <v>22.753999999999998</v>
      </c>
      <c r="C49" s="17">
        <f>22.3196 * CHOOSE(CONTROL!$C$9, $D$9, 100%, $F$9) + CHOOSE(CONTROL!$C$27, 0.0021, 0)</f>
        <v>22.3217</v>
      </c>
      <c r="D49" s="17">
        <f>22.3196 * CHOOSE(CONTROL!$C$9, $D$9, 100%, $F$9) + CHOOSE(CONTROL!$C$27, 0.0021, 0)</f>
        <v>22.3217</v>
      </c>
      <c r="E49" s="17">
        <f>22.183 * CHOOSE(CONTROL!$C$9, $D$9, 100%, $F$9) + CHOOSE(CONTROL!$C$27, 0.0021, 0)</f>
        <v>22.185099999999998</v>
      </c>
      <c r="F49" s="17">
        <f>22.183 * CHOOSE(CONTROL!$C$9, $D$9, 100%, $F$9) + CHOOSE(CONTROL!$C$27, 0.0021, 0)</f>
        <v>22.185099999999998</v>
      </c>
      <c r="G49" s="17">
        <f>22.4544 * CHOOSE(CONTROL!$C$9, $D$9, 100%, $F$9) + CHOOSE(CONTROL!$C$27, 0.0021, 0)</f>
        <v>22.456499999999998</v>
      </c>
      <c r="H49" s="17">
        <f>22.3196 * CHOOSE(CONTROL!$C$9, $D$9, 100%, $F$9) + CHOOSE(CONTROL!$C$27, 0.0021, 0)</f>
        <v>22.3217</v>
      </c>
      <c r="I49" s="17">
        <f>22.3196 * CHOOSE(CONTROL!$C$9, $D$9, 100%, $F$9) + CHOOSE(CONTROL!$C$27, 0.0021, 0)</f>
        <v>22.3217</v>
      </c>
      <c r="J49" s="17">
        <f>22.3196 * CHOOSE(CONTROL!$C$9, $D$9, 100%, $F$9) + CHOOSE(CONTROL!$C$27, 0.0021, 0)</f>
        <v>22.3217</v>
      </c>
      <c r="K49" s="17">
        <f>22.3196 * CHOOSE(CONTROL!$C$9, $D$9, 100%, $F$9) + CHOOSE(CONTROL!$C$27, 0.0021, 0)</f>
        <v>22.3217</v>
      </c>
      <c r="L49" s="17"/>
      <c r="M49" s="34"/>
      <c r="N49" s="34"/>
      <c r="O49" s="34"/>
      <c r="P49" s="34"/>
      <c r="Q49" s="34"/>
    </row>
    <row r="50" spans="1:17" ht="15" x14ac:dyDescent="0.2">
      <c r="A50" s="16">
        <v>42064</v>
      </c>
      <c r="B50" s="17">
        <f>22.5477 * CHOOSE(CONTROL!$C$9, $D$9, 100%, $F$9) + CHOOSE(CONTROL!$C$27, 0.0021, 0)</f>
        <v>22.549799999999998</v>
      </c>
      <c r="C50" s="17">
        <f>22.1154 * CHOOSE(CONTROL!$C$9, $D$9, 100%, $F$9) + CHOOSE(CONTROL!$C$27, 0.0021, 0)</f>
        <v>22.1175</v>
      </c>
      <c r="D50" s="17">
        <f>22.1154 * CHOOSE(CONTROL!$C$9, $D$9, 100%, $F$9) + CHOOSE(CONTROL!$C$27, 0.0021, 0)</f>
        <v>22.1175</v>
      </c>
      <c r="E50" s="17">
        <f>21.9788 * CHOOSE(CONTROL!$C$9, $D$9, 100%, $F$9) + CHOOSE(CONTROL!$C$27, 0.0021, 0)</f>
        <v>21.980899999999998</v>
      </c>
      <c r="F50" s="17">
        <f>21.9788 * CHOOSE(CONTROL!$C$9, $D$9, 100%, $F$9) + CHOOSE(CONTROL!$C$27, 0.0021, 0)</f>
        <v>21.980899999999998</v>
      </c>
      <c r="G50" s="17">
        <f>22.2502 * CHOOSE(CONTROL!$C$9, $D$9, 100%, $F$9) + CHOOSE(CONTROL!$C$27, 0.0021, 0)</f>
        <v>22.252299999999998</v>
      </c>
      <c r="H50" s="17">
        <f>22.1154 * CHOOSE(CONTROL!$C$9, $D$9, 100%, $F$9) + CHOOSE(CONTROL!$C$27, 0.0021, 0)</f>
        <v>22.1175</v>
      </c>
      <c r="I50" s="17">
        <f>22.1154 * CHOOSE(CONTROL!$C$9, $D$9, 100%, $F$9) + CHOOSE(CONTROL!$C$27, 0.0021, 0)</f>
        <v>22.1175</v>
      </c>
      <c r="J50" s="17">
        <f>22.1154 * CHOOSE(CONTROL!$C$9, $D$9, 100%, $F$9) + CHOOSE(CONTROL!$C$27, 0.0021, 0)</f>
        <v>22.1175</v>
      </c>
      <c r="K50" s="17">
        <f>22.1154 * CHOOSE(CONTROL!$C$9, $D$9, 100%, $F$9) + CHOOSE(CONTROL!$C$27, 0.0021, 0)</f>
        <v>22.1175</v>
      </c>
      <c r="L50" s="17"/>
      <c r="M50" s="34"/>
      <c r="N50" s="34"/>
      <c r="O50" s="34"/>
      <c r="P50" s="34"/>
      <c r="Q50" s="34"/>
    </row>
    <row r="51" spans="1:17" ht="15" x14ac:dyDescent="0.2">
      <c r="A51" s="16">
        <v>42095</v>
      </c>
      <c r="B51" s="17">
        <f>22.2947 * CHOOSE(CONTROL!$C$9, $D$9, 100%, $F$9) + CHOOSE(CONTROL!$C$27, 0.0021, 0)</f>
        <v>22.296799999999998</v>
      </c>
      <c r="C51" s="17">
        <f>21.8624 * CHOOSE(CONTROL!$C$9, $D$9, 100%, $F$9) + CHOOSE(CONTROL!$C$27, 0.0021, 0)</f>
        <v>21.8645</v>
      </c>
      <c r="D51" s="17">
        <f>21.8624 * CHOOSE(CONTROL!$C$9, $D$9, 100%, $F$9) + CHOOSE(CONTROL!$C$27, 0.0021, 0)</f>
        <v>21.8645</v>
      </c>
      <c r="E51" s="17">
        <f>21.7258 * CHOOSE(CONTROL!$C$9, $D$9, 100%, $F$9) + CHOOSE(CONTROL!$C$27, 0.0021, 0)</f>
        <v>21.727899999999998</v>
      </c>
      <c r="F51" s="17">
        <f>21.7258 * CHOOSE(CONTROL!$C$9, $D$9, 100%, $F$9) + CHOOSE(CONTROL!$C$27, 0.0021, 0)</f>
        <v>21.727899999999998</v>
      </c>
      <c r="G51" s="17">
        <f>21.9971 * CHOOSE(CONTROL!$C$9, $D$9, 100%, $F$9) + CHOOSE(CONTROL!$C$27, 0.0021, 0)</f>
        <v>21.999199999999998</v>
      </c>
      <c r="H51" s="17">
        <f>21.8624 * CHOOSE(CONTROL!$C$9, $D$9, 100%, $F$9) + CHOOSE(CONTROL!$C$27, 0.0021, 0)</f>
        <v>21.8645</v>
      </c>
      <c r="I51" s="17">
        <f>21.8624 * CHOOSE(CONTROL!$C$9, $D$9, 100%, $F$9) + CHOOSE(CONTROL!$C$27, 0.0021, 0)</f>
        <v>21.8645</v>
      </c>
      <c r="J51" s="17">
        <f>21.8624 * CHOOSE(CONTROL!$C$9, $D$9, 100%, $F$9) + CHOOSE(CONTROL!$C$27, 0.0021, 0)</f>
        <v>21.8645</v>
      </c>
      <c r="K51" s="17">
        <f>21.8624 * CHOOSE(CONTROL!$C$9, $D$9, 100%, $F$9) + CHOOSE(CONTROL!$C$27, 0.0021, 0)</f>
        <v>21.8645</v>
      </c>
      <c r="L51" s="17"/>
      <c r="M51" s="34"/>
      <c r="N51" s="34"/>
      <c r="O51" s="34"/>
      <c r="P51" s="34"/>
      <c r="Q51" s="34"/>
    </row>
    <row r="52" spans="1:17" ht="15" x14ac:dyDescent="0.2">
      <c r="A52" s="16">
        <v>42125</v>
      </c>
      <c r="B52" s="17">
        <f>22.7568 * CHOOSE(CONTROL!$C$9, $D$9, 100%, $F$9) + CHOOSE(CONTROL!$C$27, 0.0021, 0)</f>
        <v>22.758899999999997</v>
      </c>
      <c r="C52" s="17">
        <f>22.3245 * CHOOSE(CONTROL!$C$9, $D$9, 100%, $F$9) + CHOOSE(CONTROL!$C$27, 0.0021, 0)</f>
        <v>22.326599999999999</v>
      </c>
      <c r="D52" s="17">
        <f>22.3245 * CHOOSE(CONTROL!$C$9, $D$9, 100%, $F$9) + CHOOSE(CONTROL!$C$27, 0.0021, 0)</f>
        <v>22.326599999999999</v>
      </c>
      <c r="E52" s="17">
        <f>22.1879 * CHOOSE(CONTROL!$C$9, $D$9, 100%, $F$9) + CHOOSE(CONTROL!$C$27, 0.0021, 0)</f>
        <v>22.189999999999998</v>
      </c>
      <c r="F52" s="17">
        <f>22.1879 * CHOOSE(CONTROL!$C$9, $D$9, 100%, $F$9) + CHOOSE(CONTROL!$C$27, 0.0021, 0)</f>
        <v>22.189999999999998</v>
      </c>
      <c r="G52" s="17">
        <f>22.4593 * CHOOSE(CONTROL!$C$9, $D$9, 100%, $F$9) + CHOOSE(CONTROL!$C$27, 0.0021, 0)</f>
        <v>22.461399999999998</v>
      </c>
      <c r="H52" s="17">
        <f>22.3245 * CHOOSE(CONTROL!$C$9, $D$9, 100%, $F$9) + CHOOSE(CONTROL!$C$27, 0.0021, 0)</f>
        <v>22.326599999999999</v>
      </c>
      <c r="I52" s="17">
        <f>22.3245 * CHOOSE(CONTROL!$C$9, $D$9, 100%, $F$9) + CHOOSE(CONTROL!$C$27, 0.0021, 0)</f>
        <v>22.326599999999999</v>
      </c>
      <c r="J52" s="17">
        <f>22.3245 * CHOOSE(CONTROL!$C$9, $D$9, 100%, $F$9) + CHOOSE(CONTROL!$C$27, 0.0021, 0)</f>
        <v>22.326599999999999</v>
      </c>
      <c r="K52" s="17">
        <f>22.3245 * CHOOSE(CONTROL!$C$9, $D$9, 100%, $F$9) + CHOOSE(CONTROL!$C$27, 0.0021, 0)</f>
        <v>22.326599999999999</v>
      </c>
      <c r="L52" s="17"/>
      <c r="M52" s="34"/>
      <c r="N52" s="34"/>
      <c r="O52" s="34"/>
      <c r="P52" s="34"/>
      <c r="Q52" s="34"/>
    </row>
    <row r="53" spans="1:17" ht="15" x14ac:dyDescent="0.2">
      <c r="A53" s="16">
        <v>42156</v>
      </c>
      <c r="B53" s="17">
        <f>23.0516 * CHOOSE(CONTROL!$C$9, $D$9, 100%, $F$9) + CHOOSE(CONTROL!$C$27, 0.0021, 0)</f>
        <v>23.053699999999999</v>
      </c>
      <c r="C53" s="17">
        <f>22.6193 * CHOOSE(CONTROL!$C$9, $D$9, 100%, $F$9) + CHOOSE(CONTROL!$C$27, 0.0021, 0)</f>
        <v>22.621399999999998</v>
      </c>
      <c r="D53" s="17">
        <f>22.6193 * CHOOSE(CONTROL!$C$9, $D$9, 100%, $F$9) + CHOOSE(CONTROL!$C$27, 0.0021, 0)</f>
        <v>22.621399999999998</v>
      </c>
      <c r="E53" s="17">
        <f>22.4827 * CHOOSE(CONTROL!$C$9, $D$9, 100%, $F$9) + CHOOSE(CONTROL!$C$27, 0.0021, 0)</f>
        <v>22.4848</v>
      </c>
      <c r="F53" s="17">
        <f>22.4827 * CHOOSE(CONTROL!$C$9, $D$9, 100%, $F$9) + CHOOSE(CONTROL!$C$27, 0.0021, 0)</f>
        <v>22.4848</v>
      </c>
      <c r="G53" s="17">
        <f>22.754 * CHOOSE(CONTROL!$C$9, $D$9, 100%, $F$9) + CHOOSE(CONTROL!$C$27, 0.0021, 0)</f>
        <v>22.7561</v>
      </c>
      <c r="H53" s="17">
        <f>22.6193 * CHOOSE(CONTROL!$C$9, $D$9, 100%, $F$9) + CHOOSE(CONTROL!$C$27, 0.0021, 0)</f>
        <v>22.621399999999998</v>
      </c>
      <c r="I53" s="17">
        <f>22.6193 * CHOOSE(CONTROL!$C$9, $D$9, 100%, $F$9) + CHOOSE(CONTROL!$C$27, 0.0021, 0)</f>
        <v>22.621399999999998</v>
      </c>
      <c r="J53" s="17">
        <f>22.6193 * CHOOSE(CONTROL!$C$9, $D$9, 100%, $F$9) + CHOOSE(CONTROL!$C$27, 0.0021, 0)</f>
        <v>22.621399999999998</v>
      </c>
      <c r="K53" s="17">
        <f>22.6193 * CHOOSE(CONTROL!$C$9, $D$9, 100%, $F$9) + CHOOSE(CONTROL!$C$27, 0.0021, 0)</f>
        <v>22.621399999999998</v>
      </c>
      <c r="L53" s="17"/>
      <c r="M53" s="34"/>
      <c r="N53" s="34"/>
      <c r="O53" s="34"/>
      <c r="P53" s="34"/>
      <c r="Q53" s="34"/>
    </row>
    <row r="54" spans="1:17" ht="15" x14ac:dyDescent="0.2">
      <c r="A54" s="16">
        <v>42186</v>
      </c>
      <c r="B54" s="17">
        <f>23.5119 * CHOOSE(CONTROL!$C$9, $D$9, 100%, $F$9) + CHOOSE(CONTROL!$C$27, 0.0021, 0)</f>
        <v>23.513999999999999</v>
      </c>
      <c r="C54" s="17">
        <f>23.0797 * CHOOSE(CONTROL!$C$9, $D$9, 100%, $F$9) + CHOOSE(CONTROL!$C$27, 0.0021, 0)</f>
        <v>23.081799999999998</v>
      </c>
      <c r="D54" s="17">
        <f>23.0797 * CHOOSE(CONTROL!$C$9, $D$9, 100%, $F$9) + CHOOSE(CONTROL!$C$27, 0.0021, 0)</f>
        <v>23.081799999999998</v>
      </c>
      <c r="E54" s="17">
        <f>22.943 * CHOOSE(CONTROL!$C$9, $D$9, 100%, $F$9) + CHOOSE(CONTROL!$C$27, 0.0021, 0)</f>
        <v>22.9451</v>
      </c>
      <c r="F54" s="17">
        <f>22.943 * CHOOSE(CONTROL!$C$9, $D$9, 100%, $F$9) + CHOOSE(CONTROL!$C$27, 0.0021, 0)</f>
        <v>22.9451</v>
      </c>
      <c r="G54" s="17">
        <f>23.2144 * CHOOSE(CONTROL!$C$9, $D$9, 100%, $F$9) + CHOOSE(CONTROL!$C$27, 0.0021, 0)</f>
        <v>23.2165</v>
      </c>
      <c r="H54" s="17">
        <f>23.0797 * CHOOSE(CONTROL!$C$9, $D$9, 100%, $F$9) + CHOOSE(CONTROL!$C$27, 0.0021, 0)</f>
        <v>23.081799999999998</v>
      </c>
      <c r="I54" s="17">
        <f>23.0797 * CHOOSE(CONTROL!$C$9, $D$9, 100%, $F$9) + CHOOSE(CONTROL!$C$27, 0.0021, 0)</f>
        <v>23.081799999999998</v>
      </c>
      <c r="J54" s="17">
        <f>23.0797 * CHOOSE(CONTROL!$C$9, $D$9, 100%, $F$9) + CHOOSE(CONTROL!$C$27, 0.0021, 0)</f>
        <v>23.081799999999998</v>
      </c>
      <c r="K54" s="17">
        <f>23.0797 * CHOOSE(CONTROL!$C$9, $D$9, 100%, $F$9) + CHOOSE(CONTROL!$C$27, 0.0021, 0)</f>
        <v>23.081799999999998</v>
      </c>
      <c r="L54" s="17"/>
      <c r="M54" s="34"/>
      <c r="N54" s="34"/>
      <c r="O54" s="34"/>
      <c r="P54" s="34"/>
      <c r="Q54" s="34"/>
    </row>
    <row r="55" spans="1:17" ht="15" x14ac:dyDescent="0.2">
      <c r="A55" s="16">
        <v>42217</v>
      </c>
      <c r="B55" s="17">
        <f>23.6834 * CHOOSE(CONTROL!$C$9, $D$9, 100%, $F$9) + CHOOSE(CONTROL!$C$27, 0.0021, 0)</f>
        <v>23.685499999999998</v>
      </c>
      <c r="C55" s="17">
        <f>23.2511 * CHOOSE(CONTROL!$C$9, $D$9, 100%, $F$9) + CHOOSE(CONTROL!$C$27, 0.0021, 0)</f>
        <v>23.2532</v>
      </c>
      <c r="D55" s="17">
        <f>23.2511 * CHOOSE(CONTROL!$C$9, $D$9, 100%, $F$9) + CHOOSE(CONTROL!$C$27, 0.0021, 0)</f>
        <v>23.2532</v>
      </c>
      <c r="E55" s="17">
        <f>23.1145 * CHOOSE(CONTROL!$C$9, $D$9, 100%, $F$9) + CHOOSE(CONTROL!$C$27, 0.0021, 0)</f>
        <v>23.116599999999998</v>
      </c>
      <c r="F55" s="17">
        <f>23.1145 * CHOOSE(CONTROL!$C$9, $D$9, 100%, $F$9) + CHOOSE(CONTROL!$C$27, 0.0021, 0)</f>
        <v>23.116599999999998</v>
      </c>
      <c r="G55" s="17">
        <f>23.3859 * CHOOSE(CONTROL!$C$9, $D$9, 100%, $F$9) + CHOOSE(CONTROL!$C$27, 0.0021, 0)</f>
        <v>23.387999999999998</v>
      </c>
      <c r="H55" s="17">
        <f>23.2511 * CHOOSE(CONTROL!$C$9, $D$9, 100%, $F$9) + CHOOSE(CONTROL!$C$27, 0.0021, 0)</f>
        <v>23.2532</v>
      </c>
      <c r="I55" s="17">
        <f>23.2511 * CHOOSE(CONTROL!$C$9, $D$9, 100%, $F$9) + CHOOSE(CONTROL!$C$27, 0.0021, 0)</f>
        <v>23.2532</v>
      </c>
      <c r="J55" s="17">
        <f>23.2511 * CHOOSE(CONTROL!$C$9, $D$9, 100%, $F$9) + CHOOSE(CONTROL!$C$27, 0.0021, 0)</f>
        <v>23.2532</v>
      </c>
      <c r="K55" s="17">
        <f>23.2511 * CHOOSE(CONTROL!$C$9, $D$9, 100%, $F$9) + CHOOSE(CONTROL!$C$27, 0.0021, 0)</f>
        <v>23.2532</v>
      </c>
      <c r="L55" s="17"/>
      <c r="M55" s="34"/>
      <c r="N55" s="34"/>
      <c r="O55" s="34"/>
      <c r="P55" s="34"/>
      <c r="Q55" s="34"/>
    </row>
    <row r="56" spans="1:17" ht="15" x14ac:dyDescent="0.2">
      <c r="A56" s="16">
        <v>42248</v>
      </c>
      <c r="B56" s="17">
        <f>24.1633 * CHOOSE(CONTROL!$C$9, $D$9, 100%, $F$9) + CHOOSE(CONTROL!$C$27, 0.0021, 0)</f>
        <v>24.165399999999998</v>
      </c>
      <c r="C56" s="17">
        <f>23.7311 * CHOOSE(CONTROL!$C$9, $D$9, 100%, $F$9) + CHOOSE(CONTROL!$C$27, 0.0021, 0)</f>
        <v>23.7332</v>
      </c>
      <c r="D56" s="17">
        <f>23.7311 * CHOOSE(CONTROL!$C$9, $D$9, 100%, $F$9) + CHOOSE(CONTROL!$C$27, 0.0021, 0)</f>
        <v>23.7332</v>
      </c>
      <c r="E56" s="17">
        <f>23.5944 * CHOOSE(CONTROL!$C$9, $D$9, 100%, $F$9) + CHOOSE(CONTROL!$C$27, 0.0021, 0)</f>
        <v>23.596499999999999</v>
      </c>
      <c r="F56" s="17">
        <f>23.5944 * CHOOSE(CONTROL!$C$9, $D$9, 100%, $F$9) + CHOOSE(CONTROL!$C$27, 0.0021, 0)</f>
        <v>23.596499999999999</v>
      </c>
      <c r="G56" s="17">
        <f>23.8658 * CHOOSE(CONTROL!$C$9, $D$9, 100%, $F$9) + CHOOSE(CONTROL!$C$27, 0.0021, 0)</f>
        <v>23.867899999999999</v>
      </c>
      <c r="H56" s="17">
        <f>23.7311 * CHOOSE(CONTROL!$C$9, $D$9, 100%, $F$9) + CHOOSE(CONTROL!$C$27, 0.0021, 0)</f>
        <v>23.7332</v>
      </c>
      <c r="I56" s="17">
        <f>23.7311 * CHOOSE(CONTROL!$C$9, $D$9, 100%, $F$9) + CHOOSE(CONTROL!$C$27, 0.0021, 0)</f>
        <v>23.7332</v>
      </c>
      <c r="J56" s="17">
        <f>23.7311 * CHOOSE(CONTROL!$C$9, $D$9, 100%, $F$9) + CHOOSE(CONTROL!$C$27, 0.0021, 0)</f>
        <v>23.7332</v>
      </c>
      <c r="K56" s="17">
        <f>23.7311 * CHOOSE(CONTROL!$C$9, $D$9, 100%, $F$9) + CHOOSE(CONTROL!$C$27, 0.0021, 0)</f>
        <v>23.7332</v>
      </c>
      <c r="L56" s="17"/>
      <c r="M56" s="34"/>
      <c r="N56" s="34"/>
      <c r="O56" s="34"/>
      <c r="P56" s="34"/>
      <c r="Q56" s="34"/>
    </row>
    <row r="57" spans="1:17" ht="15" x14ac:dyDescent="0.2">
      <c r="A57" s="16">
        <v>42278</v>
      </c>
      <c r="B57" s="17">
        <f>24.7613 * CHOOSE(CONTROL!$C$9, $D$9, 100%, $F$9) + CHOOSE(CONTROL!$C$27, 0.0021, 0)</f>
        <v>24.763399999999997</v>
      </c>
      <c r="C57" s="17">
        <f>24.329 * CHOOSE(CONTROL!$C$9, $D$9, 100%, $F$9) + CHOOSE(CONTROL!$C$27, 0.0021, 0)</f>
        <v>24.331099999999999</v>
      </c>
      <c r="D57" s="17">
        <f>24.329 * CHOOSE(CONTROL!$C$9, $D$9, 100%, $F$9) + CHOOSE(CONTROL!$C$27, 0.0021, 0)</f>
        <v>24.331099999999999</v>
      </c>
      <c r="E57" s="17">
        <f>24.1924 * CHOOSE(CONTROL!$C$9, $D$9, 100%, $F$9) + CHOOSE(CONTROL!$C$27, 0.0021, 0)</f>
        <v>24.194499999999998</v>
      </c>
      <c r="F57" s="17">
        <f>24.1924 * CHOOSE(CONTROL!$C$9, $D$9, 100%, $F$9) + CHOOSE(CONTROL!$C$27, 0.0021, 0)</f>
        <v>24.194499999999998</v>
      </c>
      <c r="G57" s="17">
        <f>24.4637 * CHOOSE(CONTROL!$C$9, $D$9, 100%, $F$9) + CHOOSE(CONTROL!$C$27, 0.0021, 0)</f>
        <v>24.465799999999998</v>
      </c>
      <c r="H57" s="17">
        <f>24.329 * CHOOSE(CONTROL!$C$9, $D$9, 100%, $F$9) + CHOOSE(CONTROL!$C$27, 0.0021, 0)</f>
        <v>24.331099999999999</v>
      </c>
      <c r="I57" s="17">
        <f>24.329 * CHOOSE(CONTROL!$C$9, $D$9, 100%, $F$9) + CHOOSE(CONTROL!$C$27, 0.0021, 0)</f>
        <v>24.331099999999999</v>
      </c>
      <c r="J57" s="17">
        <f>24.329 * CHOOSE(CONTROL!$C$9, $D$9, 100%, $F$9) + CHOOSE(CONTROL!$C$27, 0.0021, 0)</f>
        <v>24.331099999999999</v>
      </c>
      <c r="K57" s="17">
        <f>24.329 * CHOOSE(CONTROL!$C$9, $D$9, 100%, $F$9) + CHOOSE(CONTROL!$C$27, 0.0021, 0)</f>
        <v>24.331099999999999</v>
      </c>
      <c r="L57" s="17"/>
      <c r="M57" s="34"/>
      <c r="N57" s="34"/>
      <c r="O57" s="34"/>
      <c r="P57" s="34"/>
      <c r="Q57" s="34"/>
    </row>
    <row r="58" spans="1:17" ht="15" x14ac:dyDescent="0.2">
      <c r="A58" s="16">
        <v>42309</v>
      </c>
      <c r="B58" s="17">
        <f>24.8596 * CHOOSE(CONTROL!$C$9, $D$9, 100%, $F$9) + CHOOSE(CONTROL!$C$27, 0.0021, 0)</f>
        <v>24.861699999999999</v>
      </c>
      <c r="C58" s="17">
        <f>24.4273 * CHOOSE(CONTROL!$C$9, $D$9, 100%, $F$9) + CHOOSE(CONTROL!$C$27, 0.0021, 0)</f>
        <v>24.429399999999998</v>
      </c>
      <c r="D58" s="17">
        <f>24.4273 * CHOOSE(CONTROL!$C$9, $D$9, 100%, $F$9) + CHOOSE(CONTROL!$C$27, 0.0021, 0)</f>
        <v>24.429399999999998</v>
      </c>
      <c r="E58" s="17">
        <f>24.2907 * CHOOSE(CONTROL!$C$9, $D$9, 100%, $F$9) + CHOOSE(CONTROL!$C$27, 0.0021, 0)</f>
        <v>24.2928</v>
      </c>
      <c r="F58" s="17">
        <f>24.2907 * CHOOSE(CONTROL!$C$9, $D$9, 100%, $F$9) + CHOOSE(CONTROL!$C$27, 0.0021, 0)</f>
        <v>24.2928</v>
      </c>
      <c r="G58" s="17">
        <f>24.562 * CHOOSE(CONTROL!$C$9, $D$9, 100%, $F$9) + CHOOSE(CONTROL!$C$27, 0.0021, 0)</f>
        <v>24.5641</v>
      </c>
      <c r="H58" s="17">
        <f>24.4273 * CHOOSE(CONTROL!$C$9, $D$9, 100%, $F$9) + CHOOSE(CONTROL!$C$27, 0.0021, 0)</f>
        <v>24.429399999999998</v>
      </c>
      <c r="I58" s="17">
        <f>24.4273 * CHOOSE(CONTROL!$C$9, $D$9, 100%, $F$9) + CHOOSE(CONTROL!$C$27, 0.0021, 0)</f>
        <v>24.429399999999998</v>
      </c>
      <c r="J58" s="17">
        <f>24.4273 * CHOOSE(CONTROL!$C$9, $D$9, 100%, $F$9) + CHOOSE(CONTROL!$C$27, 0.0021, 0)</f>
        <v>24.429399999999998</v>
      </c>
      <c r="K58" s="17">
        <f>24.4273 * CHOOSE(CONTROL!$C$9, $D$9, 100%, $F$9) + CHOOSE(CONTROL!$C$27, 0.0021, 0)</f>
        <v>24.429399999999998</v>
      </c>
      <c r="L58" s="17"/>
      <c r="M58" s="34"/>
      <c r="N58" s="34"/>
      <c r="O58" s="34"/>
      <c r="P58" s="34"/>
      <c r="Q58" s="34"/>
    </row>
    <row r="59" spans="1:17" ht="15" x14ac:dyDescent="0.2">
      <c r="A59" s="16">
        <v>42339</v>
      </c>
      <c r="B59" s="17">
        <f>24.4626 * CHOOSE(CONTROL!$C$9, $D$9, 100%, $F$9) + CHOOSE(CONTROL!$C$27, 0.0021, 0)</f>
        <v>24.464699999999997</v>
      </c>
      <c r="C59" s="17">
        <f>24.0304 * CHOOSE(CONTROL!$C$9, $D$9, 100%, $F$9) + CHOOSE(CONTROL!$C$27, 0.0021, 0)</f>
        <v>24.032499999999999</v>
      </c>
      <c r="D59" s="17">
        <f>24.0304 * CHOOSE(CONTROL!$C$9, $D$9, 100%, $F$9) + CHOOSE(CONTROL!$C$27, 0.0021, 0)</f>
        <v>24.032499999999999</v>
      </c>
      <c r="E59" s="17">
        <f>23.8937 * CHOOSE(CONTROL!$C$9, $D$9, 100%, $F$9) + CHOOSE(CONTROL!$C$27, 0.0021, 0)</f>
        <v>23.895799999999998</v>
      </c>
      <c r="F59" s="17">
        <f>23.8937 * CHOOSE(CONTROL!$C$9, $D$9, 100%, $F$9) + CHOOSE(CONTROL!$C$27, 0.0021, 0)</f>
        <v>23.895799999999998</v>
      </c>
      <c r="G59" s="17">
        <f>24.1651 * CHOOSE(CONTROL!$C$9, $D$9, 100%, $F$9) + CHOOSE(CONTROL!$C$27, 0.0021, 0)</f>
        <v>24.167199999999998</v>
      </c>
      <c r="H59" s="17">
        <f>24.0304 * CHOOSE(CONTROL!$C$9, $D$9, 100%, $F$9) + CHOOSE(CONTROL!$C$27, 0.0021, 0)</f>
        <v>24.032499999999999</v>
      </c>
      <c r="I59" s="17">
        <f>24.0304 * CHOOSE(CONTROL!$C$9, $D$9, 100%, $F$9) + CHOOSE(CONTROL!$C$27, 0.0021, 0)</f>
        <v>24.032499999999999</v>
      </c>
      <c r="J59" s="17">
        <f>24.0304 * CHOOSE(CONTROL!$C$9, $D$9, 100%, $F$9) + CHOOSE(CONTROL!$C$27, 0.0021, 0)</f>
        <v>24.032499999999999</v>
      </c>
      <c r="K59" s="17">
        <f>24.0304 * CHOOSE(CONTROL!$C$9, $D$9, 100%, $F$9) + CHOOSE(CONTROL!$C$27, 0.0021, 0)</f>
        <v>24.032499999999999</v>
      </c>
      <c r="L59" s="17"/>
      <c r="M59" s="34"/>
      <c r="N59" s="34"/>
      <c r="O59" s="34"/>
      <c r="P59" s="34"/>
      <c r="Q59" s="34"/>
    </row>
    <row r="60" spans="1:17" ht="15" x14ac:dyDescent="0.2">
      <c r="A60" s="16">
        <v>42370</v>
      </c>
      <c r="B60" s="17">
        <f>23.421 * CHOOSE(CONTROL!$C$9, $D$9, 100%, $F$9) + CHOOSE(CONTROL!$C$27, 0.0021, 0)</f>
        <v>23.423099999999998</v>
      </c>
      <c r="C60" s="17">
        <f>22.9887 * CHOOSE(CONTROL!$C$9, $D$9, 100%, $F$9) + CHOOSE(CONTROL!$C$27, 0.0021, 0)</f>
        <v>22.9908</v>
      </c>
      <c r="D60" s="17">
        <f>22.9887 * CHOOSE(CONTROL!$C$9, $D$9, 100%, $F$9) + CHOOSE(CONTROL!$C$27, 0.0021, 0)</f>
        <v>22.9908</v>
      </c>
      <c r="E60" s="17">
        <f>22.8521 * CHOOSE(CONTROL!$C$9, $D$9, 100%, $F$9) + CHOOSE(CONTROL!$C$27, 0.0021, 0)</f>
        <v>22.854199999999999</v>
      </c>
      <c r="F60" s="17">
        <f>22.8521 * CHOOSE(CONTROL!$C$9, $D$9, 100%, $F$9) + CHOOSE(CONTROL!$C$27, 0.0021, 0)</f>
        <v>22.854199999999999</v>
      </c>
      <c r="G60" s="17">
        <f>23.1234 * CHOOSE(CONTROL!$C$9, $D$9, 100%, $F$9) + CHOOSE(CONTROL!$C$27, 0.0021, 0)</f>
        <v>23.125499999999999</v>
      </c>
      <c r="H60" s="17">
        <f>22.9887 * CHOOSE(CONTROL!$C$9, $D$9, 100%, $F$9) + CHOOSE(CONTROL!$C$27, 0.0021, 0)</f>
        <v>22.9908</v>
      </c>
      <c r="I60" s="17">
        <f>22.9887 * CHOOSE(CONTROL!$C$9, $D$9, 100%, $F$9) + CHOOSE(CONTROL!$C$27, 0.0021, 0)</f>
        <v>22.9908</v>
      </c>
      <c r="J60" s="17">
        <f>22.9887 * CHOOSE(CONTROL!$C$9, $D$9, 100%, $F$9) + CHOOSE(CONTROL!$C$27, 0.0021, 0)</f>
        <v>22.9908</v>
      </c>
      <c r="K60" s="17">
        <f>22.9887 * CHOOSE(CONTROL!$C$9, $D$9, 100%, $F$9) + CHOOSE(CONTROL!$C$27, 0.0021, 0)</f>
        <v>22.9908</v>
      </c>
      <c r="L60" s="17"/>
    </row>
    <row r="61" spans="1:17" ht="15" x14ac:dyDescent="0.2">
      <c r="A61" s="16">
        <v>42401</v>
      </c>
      <c r="B61" s="17">
        <f>22.8656 * CHOOSE(CONTROL!$C$9, $D$9, 100%, $F$9) + CHOOSE(CONTROL!$C$27, 0.0021, 0)</f>
        <v>22.867699999999999</v>
      </c>
      <c r="C61" s="17">
        <f>22.4334 * CHOOSE(CONTROL!$C$9, $D$9, 100%, $F$9) + CHOOSE(CONTROL!$C$27, 0.0021, 0)</f>
        <v>22.435499999999998</v>
      </c>
      <c r="D61" s="17">
        <f>22.4334 * CHOOSE(CONTROL!$C$9, $D$9, 100%, $F$9) + CHOOSE(CONTROL!$C$27, 0.0021, 0)</f>
        <v>22.435499999999998</v>
      </c>
      <c r="E61" s="17">
        <f>22.2967 * CHOOSE(CONTROL!$C$9, $D$9, 100%, $F$9) + CHOOSE(CONTROL!$C$27, 0.0021, 0)</f>
        <v>22.2988</v>
      </c>
      <c r="F61" s="17">
        <f>22.2967 * CHOOSE(CONTROL!$C$9, $D$9, 100%, $F$9) + CHOOSE(CONTROL!$C$27, 0.0021, 0)</f>
        <v>22.2988</v>
      </c>
      <c r="G61" s="17">
        <f>22.5681 * CHOOSE(CONTROL!$C$9, $D$9, 100%, $F$9) + CHOOSE(CONTROL!$C$27, 0.0021, 0)</f>
        <v>22.5702</v>
      </c>
      <c r="H61" s="17">
        <f>22.4334 * CHOOSE(CONTROL!$C$9, $D$9, 100%, $F$9) + CHOOSE(CONTROL!$C$27, 0.0021, 0)</f>
        <v>22.435499999999998</v>
      </c>
      <c r="I61" s="17">
        <f>22.4334 * CHOOSE(CONTROL!$C$9, $D$9, 100%, $F$9) + CHOOSE(CONTROL!$C$27, 0.0021, 0)</f>
        <v>22.435499999999998</v>
      </c>
      <c r="J61" s="17">
        <f>22.4334 * CHOOSE(CONTROL!$C$9, $D$9, 100%, $F$9) + CHOOSE(CONTROL!$C$27, 0.0021, 0)</f>
        <v>22.435499999999998</v>
      </c>
      <c r="K61" s="17">
        <f>22.4334 * CHOOSE(CONTROL!$C$9, $D$9, 100%, $F$9) + CHOOSE(CONTROL!$C$27, 0.0021, 0)</f>
        <v>22.435499999999998</v>
      </c>
      <c r="L61" s="17"/>
    </row>
    <row r="62" spans="1:17" ht="15" x14ac:dyDescent="0.2">
      <c r="A62" s="16">
        <v>42430</v>
      </c>
      <c r="B62" s="17">
        <f>22.6603 * CHOOSE(CONTROL!$C$9, $D$9, 100%, $F$9) + CHOOSE(CONTROL!$C$27, 0.0021, 0)</f>
        <v>22.662399999999998</v>
      </c>
      <c r="C62" s="17">
        <f>22.228 * CHOOSE(CONTROL!$C$9, $D$9, 100%, $F$9) + CHOOSE(CONTROL!$C$27, 0.0021, 0)</f>
        <v>22.2301</v>
      </c>
      <c r="D62" s="17">
        <f>22.228 * CHOOSE(CONTROL!$C$9, $D$9, 100%, $F$9) + CHOOSE(CONTROL!$C$27, 0.0021, 0)</f>
        <v>22.2301</v>
      </c>
      <c r="E62" s="17">
        <f>22.0914 * CHOOSE(CONTROL!$C$9, $D$9, 100%, $F$9) + CHOOSE(CONTROL!$C$27, 0.0021, 0)</f>
        <v>22.093499999999999</v>
      </c>
      <c r="F62" s="17">
        <f>22.0914 * CHOOSE(CONTROL!$C$9, $D$9, 100%, $F$9) + CHOOSE(CONTROL!$C$27, 0.0021, 0)</f>
        <v>22.093499999999999</v>
      </c>
      <c r="G62" s="17">
        <f>22.3628 * CHOOSE(CONTROL!$C$9, $D$9, 100%, $F$9) + CHOOSE(CONTROL!$C$27, 0.0021, 0)</f>
        <v>22.364899999999999</v>
      </c>
      <c r="H62" s="17">
        <f>22.228 * CHOOSE(CONTROL!$C$9, $D$9, 100%, $F$9) + CHOOSE(CONTROL!$C$27, 0.0021, 0)</f>
        <v>22.2301</v>
      </c>
      <c r="I62" s="17">
        <f>22.228 * CHOOSE(CONTROL!$C$9, $D$9, 100%, $F$9) + CHOOSE(CONTROL!$C$27, 0.0021, 0)</f>
        <v>22.2301</v>
      </c>
      <c r="J62" s="17">
        <f>22.228 * CHOOSE(CONTROL!$C$9, $D$9, 100%, $F$9) + CHOOSE(CONTROL!$C$27, 0.0021, 0)</f>
        <v>22.2301</v>
      </c>
      <c r="K62" s="17">
        <f>22.228 * CHOOSE(CONTROL!$C$9, $D$9, 100%, $F$9) + CHOOSE(CONTROL!$C$27, 0.0021, 0)</f>
        <v>22.2301</v>
      </c>
      <c r="L62" s="17"/>
    </row>
    <row r="63" spans="1:17" ht="15" x14ac:dyDescent="0.2">
      <c r="A63" s="16">
        <v>42461</v>
      </c>
      <c r="B63" s="17">
        <f>22.4059 * CHOOSE(CONTROL!$C$9, $D$9, 100%, $F$9) + CHOOSE(CONTROL!$C$27, 0.0021, 0)</f>
        <v>22.407999999999998</v>
      </c>
      <c r="C63" s="17">
        <f>21.9736 * CHOOSE(CONTROL!$C$9, $D$9, 100%, $F$9) + CHOOSE(CONTROL!$C$27, 0.0021, 0)</f>
        <v>21.9757</v>
      </c>
      <c r="D63" s="17">
        <f>21.9736 * CHOOSE(CONTROL!$C$9, $D$9, 100%, $F$9) + CHOOSE(CONTROL!$C$27, 0.0021, 0)</f>
        <v>21.9757</v>
      </c>
      <c r="E63" s="17">
        <f>21.8369 * CHOOSE(CONTROL!$C$9, $D$9, 100%, $F$9) + CHOOSE(CONTROL!$C$27, 0.0021, 0)</f>
        <v>21.838999999999999</v>
      </c>
      <c r="F63" s="17">
        <f>21.8369 * CHOOSE(CONTROL!$C$9, $D$9, 100%, $F$9) + CHOOSE(CONTROL!$C$27, 0.0021, 0)</f>
        <v>21.838999999999999</v>
      </c>
      <c r="G63" s="17">
        <f>22.1083 * CHOOSE(CONTROL!$C$9, $D$9, 100%, $F$9) + CHOOSE(CONTROL!$C$27, 0.0021, 0)</f>
        <v>22.110399999999998</v>
      </c>
      <c r="H63" s="17">
        <f>21.9736 * CHOOSE(CONTROL!$C$9, $D$9, 100%, $F$9) + CHOOSE(CONTROL!$C$27, 0.0021, 0)</f>
        <v>21.9757</v>
      </c>
      <c r="I63" s="17">
        <f>21.9736 * CHOOSE(CONTROL!$C$9, $D$9, 100%, $F$9) + CHOOSE(CONTROL!$C$27, 0.0021, 0)</f>
        <v>21.9757</v>
      </c>
      <c r="J63" s="17">
        <f>21.9736 * CHOOSE(CONTROL!$C$9, $D$9, 100%, $F$9) + CHOOSE(CONTROL!$C$27, 0.0021, 0)</f>
        <v>21.9757</v>
      </c>
      <c r="K63" s="17">
        <f>21.9736 * CHOOSE(CONTROL!$C$9, $D$9, 100%, $F$9) + CHOOSE(CONTROL!$C$27, 0.0021, 0)</f>
        <v>21.9757</v>
      </c>
      <c r="L63" s="17"/>
    </row>
    <row r="64" spans="1:17" ht="15" x14ac:dyDescent="0.2">
      <c r="A64" s="16">
        <v>42491</v>
      </c>
      <c r="B64" s="17">
        <f>22.8705 * CHOOSE(CONTROL!$C$9, $D$9, 100%, $F$9) + CHOOSE(CONTROL!$C$27, 0.0021, 0)</f>
        <v>22.872599999999998</v>
      </c>
      <c r="C64" s="17">
        <f>22.4383 * CHOOSE(CONTROL!$C$9, $D$9, 100%, $F$9) + CHOOSE(CONTROL!$C$27, 0.0021, 0)</f>
        <v>22.4404</v>
      </c>
      <c r="D64" s="17">
        <f>22.4383 * CHOOSE(CONTROL!$C$9, $D$9, 100%, $F$9) + CHOOSE(CONTROL!$C$27, 0.0021, 0)</f>
        <v>22.4404</v>
      </c>
      <c r="E64" s="17">
        <f>22.3016 * CHOOSE(CONTROL!$C$9, $D$9, 100%, $F$9) + CHOOSE(CONTROL!$C$27, 0.0021, 0)</f>
        <v>22.303699999999999</v>
      </c>
      <c r="F64" s="17">
        <f>22.3016 * CHOOSE(CONTROL!$C$9, $D$9, 100%, $F$9) + CHOOSE(CONTROL!$C$27, 0.0021, 0)</f>
        <v>22.303699999999999</v>
      </c>
      <c r="G64" s="17">
        <f>22.573 * CHOOSE(CONTROL!$C$9, $D$9, 100%, $F$9) + CHOOSE(CONTROL!$C$27, 0.0021, 0)</f>
        <v>22.575099999999999</v>
      </c>
      <c r="H64" s="17">
        <f>22.4383 * CHOOSE(CONTROL!$C$9, $D$9, 100%, $F$9) + CHOOSE(CONTROL!$C$27, 0.0021, 0)</f>
        <v>22.4404</v>
      </c>
      <c r="I64" s="17">
        <f>22.4383 * CHOOSE(CONTROL!$C$9, $D$9, 100%, $F$9) + CHOOSE(CONTROL!$C$27, 0.0021, 0)</f>
        <v>22.4404</v>
      </c>
      <c r="J64" s="17">
        <f>22.4383 * CHOOSE(CONTROL!$C$9, $D$9, 100%, $F$9) + CHOOSE(CONTROL!$C$27, 0.0021, 0)</f>
        <v>22.4404</v>
      </c>
      <c r="K64" s="17">
        <f>22.4383 * CHOOSE(CONTROL!$C$9, $D$9, 100%, $F$9) + CHOOSE(CONTROL!$C$27, 0.0021, 0)</f>
        <v>22.4404</v>
      </c>
      <c r="L64" s="17"/>
    </row>
    <row r="65" spans="1:12" ht="15" x14ac:dyDescent="0.2">
      <c r="A65" s="16">
        <v>42522</v>
      </c>
      <c r="B65" s="17">
        <f>23.167 * CHOOSE(CONTROL!$C$9, $D$9, 100%, $F$9) + CHOOSE(CONTROL!$C$27, 0.0021, 0)</f>
        <v>23.1691</v>
      </c>
      <c r="C65" s="17">
        <f>22.7347 * CHOOSE(CONTROL!$C$9, $D$9, 100%, $F$9) + CHOOSE(CONTROL!$C$27, 0.0021, 0)</f>
        <v>22.736799999999999</v>
      </c>
      <c r="D65" s="17">
        <f>22.7347 * CHOOSE(CONTROL!$C$9, $D$9, 100%, $F$9) + CHOOSE(CONTROL!$C$27, 0.0021, 0)</f>
        <v>22.736799999999999</v>
      </c>
      <c r="E65" s="17">
        <f>22.5981 * CHOOSE(CONTROL!$C$9, $D$9, 100%, $F$9) + CHOOSE(CONTROL!$C$27, 0.0021, 0)</f>
        <v>22.600199999999997</v>
      </c>
      <c r="F65" s="17">
        <f>22.5981 * CHOOSE(CONTROL!$C$9, $D$9, 100%, $F$9) + CHOOSE(CONTROL!$C$27, 0.0021, 0)</f>
        <v>22.600199999999997</v>
      </c>
      <c r="G65" s="17">
        <f>22.8694 * CHOOSE(CONTROL!$C$9, $D$9, 100%, $F$9) + CHOOSE(CONTROL!$C$27, 0.0021, 0)</f>
        <v>22.871499999999997</v>
      </c>
      <c r="H65" s="17">
        <f>22.7347 * CHOOSE(CONTROL!$C$9, $D$9, 100%, $F$9) + CHOOSE(CONTROL!$C$27, 0.0021, 0)</f>
        <v>22.736799999999999</v>
      </c>
      <c r="I65" s="17">
        <f>22.7347 * CHOOSE(CONTROL!$C$9, $D$9, 100%, $F$9) + CHOOSE(CONTROL!$C$27, 0.0021, 0)</f>
        <v>22.736799999999999</v>
      </c>
      <c r="J65" s="17">
        <f>22.7347 * CHOOSE(CONTROL!$C$9, $D$9, 100%, $F$9) + CHOOSE(CONTROL!$C$27, 0.0021, 0)</f>
        <v>22.736799999999999</v>
      </c>
      <c r="K65" s="17">
        <f>22.7347 * CHOOSE(CONTROL!$C$9, $D$9, 100%, $F$9) + CHOOSE(CONTROL!$C$27, 0.0021, 0)</f>
        <v>22.736799999999999</v>
      </c>
      <c r="L65" s="17"/>
    </row>
    <row r="66" spans="1:12" ht="15" x14ac:dyDescent="0.2">
      <c r="A66" s="16">
        <v>42552</v>
      </c>
      <c r="B66" s="17">
        <f>23.6299 * CHOOSE(CONTROL!$C$9, $D$9, 100%, $F$9) + CHOOSE(CONTROL!$C$27, 0.0021, 0)</f>
        <v>23.631999999999998</v>
      </c>
      <c r="C66" s="17">
        <f>23.1977 * CHOOSE(CONTROL!$C$9, $D$9, 100%, $F$9) + CHOOSE(CONTROL!$C$27, 0.0021, 0)</f>
        <v>23.1998</v>
      </c>
      <c r="D66" s="17">
        <f>23.1977 * CHOOSE(CONTROL!$C$9, $D$9, 100%, $F$9) + CHOOSE(CONTROL!$C$27, 0.0021, 0)</f>
        <v>23.1998</v>
      </c>
      <c r="E66" s="17">
        <f>23.061 * CHOOSE(CONTROL!$C$9, $D$9, 100%, $F$9) + CHOOSE(CONTROL!$C$27, 0.0021, 0)</f>
        <v>23.063099999999999</v>
      </c>
      <c r="F66" s="17">
        <f>23.061 * CHOOSE(CONTROL!$C$9, $D$9, 100%, $F$9) + CHOOSE(CONTROL!$C$27, 0.0021, 0)</f>
        <v>23.063099999999999</v>
      </c>
      <c r="G66" s="17">
        <f>23.3324 * CHOOSE(CONTROL!$C$9, $D$9, 100%, $F$9) + CHOOSE(CONTROL!$C$27, 0.0021, 0)</f>
        <v>23.334499999999998</v>
      </c>
      <c r="H66" s="17">
        <f>23.1977 * CHOOSE(CONTROL!$C$9, $D$9, 100%, $F$9) + CHOOSE(CONTROL!$C$27, 0.0021, 0)</f>
        <v>23.1998</v>
      </c>
      <c r="I66" s="17">
        <f>23.1977 * CHOOSE(CONTROL!$C$9, $D$9, 100%, $F$9) + CHOOSE(CONTROL!$C$27, 0.0021, 0)</f>
        <v>23.1998</v>
      </c>
      <c r="J66" s="17">
        <f>23.1977 * CHOOSE(CONTROL!$C$9, $D$9, 100%, $F$9) + CHOOSE(CONTROL!$C$27, 0.0021, 0)</f>
        <v>23.1998</v>
      </c>
      <c r="K66" s="17">
        <f>23.1977 * CHOOSE(CONTROL!$C$9, $D$9, 100%, $F$9) + CHOOSE(CONTROL!$C$27, 0.0021, 0)</f>
        <v>23.1998</v>
      </c>
      <c r="L66" s="17"/>
    </row>
    <row r="67" spans="1:12" ht="15" x14ac:dyDescent="0.2">
      <c r="A67" s="16">
        <v>42583</v>
      </c>
      <c r="B67" s="17">
        <f>23.8023 * CHOOSE(CONTROL!$C$9, $D$9, 100%, $F$9) + CHOOSE(CONTROL!$C$27, 0.0021, 0)</f>
        <v>23.804399999999998</v>
      </c>
      <c r="C67" s="17">
        <f>23.3701 * CHOOSE(CONTROL!$C$9, $D$9, 100%, $F$9) + CHOOSE(CONTROL!$C$27, 0.0021, 0)</f>
        <v>23.372199999999999</v>
      </c>
      <c r="D67" s="17">
        <f>23.3701 * CHOOSE(CONTROL!$C$9, $D$9, 100%, $F$9) + CHOOSE(CONTROL!$C$27, 0.0021, 0)</f>
        <v>23.372199999999999</v>
      </c>
      <c r="E67" s="17">
        <f>23.2334 * CHOOSE(CONTROL!$C$9, $D$9, 100%, $F$9) + CHOOSE(CONTROL!$C$27, 0.0021, 0)</f>
        <v>23.235499999999998</v>
      </c>
      <c r="F67" s="17">
        <f>23.2334 * CHOOSE(CONTROL!$C$9, $D$9, 100%, $F$9) + CHOOSE(CONTROL!$C$27, 0.0021, 0)</f>
        <v>23.235499999999998</v>
      </c>
      <c r="G67" s="17">
        <f>23.5048 * CHOOSE(CONTROL!$C$9, $D$9, 100%, $F$9) + CHOOSE(CONTROL!$C$27, 0.0021, 0)</f>
        <v>23.506899999999998</v>
      </c>
      <c r="H67" s="17">
        <f>23.3701 * CHOOSE(CONTROL!$C$9, $D$9, 100%, $F$9) + CHOOSE(CONTROL!$C$27, 0.0021, 0)</f>
        <v>23.372199999999999</v>
      </c>
      <c r="I67" s="17">
        <f>23.3701 * CHOOSE(CONTROL!$C$9, $D$9, 100%, $F$9) + CHOOSE(CONTROL!$C$27, 0.0021, 0)</f>
        <v>23.372199999999999</v>
      </c>
      <c r="J67" s="17">
        <f>23.3701 * CHOOSE(CONTROL!$C$9, $D$9, 100%, $F$9) + CHOOSE(CONTROL!$C$27, 0.0021, 0)</f>
        <v>23.372199999999999</v>
      </c>
      <c r="K67" s="17">
        <f>23.3701 * CHOOSE(CONTROL!$C$9, $D$9, 100%, $F$9) + CHOOSE(CONTROL!$C$27, 0.0021, 0)</f>
        <v>23.372199999999999</v>
      </c>
      <c r="L67" s="17"/>
    </row>
    <row r="68" spans="1:12" ht="15" x14ac:dyDescent="0.2">
      <c r="A68" s="16">
        <v>42614</v>
      </c>
      <c r="B68" s="17">
        <f>24.2849 * CHOOSE(CONTROL!$C$9, $D$9, 100%, $F$9) + CHOOSE(CONTROL!$C$27, 0.0021, 0)</f>
        <v>24.286999999999999</v>
      </c>
      <c r="C68" s="17">
        <f>23.8527 * CHOOSE(CONTROL!$C$9, $D$9, 100%, $F$9) + CHOOSE(CONTROL!$C$27, 0.0021, 0)</f>
        <v>23.854799999999997</v>
      </c>
      <c r="D68" s="17">
        <f>23.8527 * CHOOSE(CONTROL!$C$9, $D$9, 100%, $F$9) + CHOOSE(CONTROL!$C$27, 0.0021, 0)</f>
        <v>23.854799999999997</v>
      </c>
      <c r="E68" s="17">
        <f>23.716 * CHOOSE(CONTROL!$C$9, $D$9, 100%, $F$9) + CHOOSE(CONTROL!$C$27, 0.0021, 0)</f>
        <v>23.7181</v>
      </c>
      <c r="F68" s="17">
        <f>23.716 * CHOOSE(CONTROL!$C$9, $D$9, 100%, $F$9) + CHOOSE(CONTROL!$C$27, 0.0021, 0)</f>
        <v>23.7181</v>
      </c>
      <c r="G68" s="17">
        <f>23.9874 * CHOOSE(CONTROL!$C$9, $D$9, 100%, $F$9) + CHOOSE(CONTROL!$C$27, 0.0021, 0)</f>
        <v>23.9895</v>
      </c>
      <c r="H68" s="17">
        <f>23.8527 * CHOOSE(CONTROL!$C$9, $D$9, 100%, $F$9) + CHOOSE(CONTROL!$C$27, 0.0021, 0)</f>
        <v>23.854799999999997</v>
      </c>
      <c r="I68" s="17">
        <f>23.8527 * CHOOSE(CONTROL!$C$9, $D$9, 100%, $F$9) + CHOOSE(CONTROL!$C$27, 0.0021, 0)</f>
        <v>23.854799999999997</v>
      </c>
      <c r="J68" s="17">
        <f>23.8527 * CHOOSE(CONTROL!$C$9, $D$9, 100%, $F$9) + CHOOSE(CONTROL!$C$27, 0.0021, 0)</f>
        <v>23.854799999999997</v>
      </c>
      <c r="K68" s="17">
        <f>23.8527 * CHOOSE(CONTROL!$C$9, $D$9, 100%, $F$9) + CHOOSE(CONTROL!$C$27, 0.0021, 0)</f>
        <v>23.854799999999997</v>
      </c>
      <c r="L68" s="17"/>
    </row>
    <row r="69" spans="1:12" ht="15" x14ac:dyDescent="0.2">
      <c r="A69" s="16">
        <v>42644</v>
      </c>
      <c r="B69" s="17">
        <f>24.8862 * CHOOSE(CONTROL!$C$9, $D$9, 100%, $F$9) + CHOOSE(CONTROL!$C$27, 0.0021, 0)</f>
        <v>24.888299999999997</v>
      </c>
      <c r="C69" s="17">
        <f>24.4539 * CHOOSE(CONTROL!$C$9, $D$9, 100%, $F$9) + CHOOSE(CONTROL!$C$27, 0.0021, 0)</f>
        <v>24.456</v>
      </c>
      <c r="D69" s="17">
        <f>24.4539 * CHOOSE(CONTROL!$C$9, $D$9, 100%, $F$9) + CHOOSE(CONTROL!$C$27, 0.0021, 0)</f>
        <v>24.456</v>
      </c>
      <c r="E69" s="17">
        <f>24.3173 * CHOOSE(CONTROL!$C$9, $D$9, 100%, $F$9) + CHOOSE(CONTROL!$C$27, 0.0021, 0)</f>
        <v>24.319399999999998</v>
      </c>
      <c r="F69" s="17">
        <f>24.3173 * CHOOSE(CONTROL!$C$9, $D$9, 100%, $F$9) + CHOOSE(CONTROL!$C$27, 0.0021, 0)</f>
        <v>24.319399999999998</v>
      </c>
      <c r="G69" s="17">
        <f>24.5886 * CHOOSE(CONTROL!$C$9, $D$9, 100%, $F$9) + CHOOSE(CONTROL!$C$27, 0.0021, 0)</f>
        <v>24.590699999999998</v>
      </c>
      <c r="H69" s="17">
        <f>24.4539 * CHOOSE(CONTROL!$C$9, $D$9, 100%, $F$9) + CHOOSE(CONTROL!$C$27, 0.0021, 0)</f>
        <v>24.456</v>
      </c>
      <c r="I69" s="17">
        <f>24.4539 * CHOOSE(CONTROL!$C$9, $D$9, 100%, $F$9) + CHOOSE(CONTROL!$C$27, 0.0021, 0)</f>
        <v>24.456</v>
      </c>
      <c r="J69" s="17">
        <f>24.4539 * CHOOSE(CONTROL!$C$9, $D$9, 100%, $F$9) + CHOOSE(CONTROL!$C$27, 0.0021, 0)</f>
        <v>24.456</v>
      </c>
      <c r="K69" s="17">
        <f>24.4539 * CHOOSE(CONTROL!$C$9, $D$9, 100%, $F$9) + CHOOSE(CONTROL!$C$27, 0.0021, 0)</f>
        <v>24.456</v>
      </c>
      <c r="L69" s="17"/>
    </row>
    <row r="70" spans="1:12" ht="15" x14ac:dyDescent="0.2">
      <c r="A70" s="16">
        <v>42675</v>
      </c>
      <c r="B70" s="17">
        <f>24.985 * CHOOSE(CONTROL!$C$9, $D$9, 100%, $F$9) + CHOOSE(CONTROL!$C$27, 0.0021, 0)</f>
        <v>24.987099999999998</v>
      </c>
      <c r="C70" s="17">
        <f>24.5528 * CHOOSE(CONTROL!$C$9, $D$9, 100%, $F$9) + CHOOSE(CONTROL!$C$27, 0.0021, 0)</f>
        <v>24.5549</v>
      </c>
      <c r="D70" s="17">
        <f>24.5528 * CHOOSE(CONTROL!$C$9, $D$9, 100%, $F$9) + CHOOSE(CONTROL!$C$27, 0.0021, 0)</f>
        <v>24.5549</v>
      </c>
      <c r="E70" s="17">
        <f>24.4161 * CHOOSE(CONTROL!$C$9, $D$9, 100%, $F$9) + CHOOSE(CONTROL!$C$27, 0.0021, 0)</f>
        <v>24.418199999999999</v>
      </c>
      <c r="F70" s="17">
        <f>24.4161 * CHOOSE(CONTROL!$C$9, $D$9, 100%, $F$9) + CHOOSE(CONTROL!$C$27, 0.0021, 0)</f>
        <v>24.418199999999999</v>
      </c>
      <c r="G70" s="17">
        <f>24.6875 * CHOOSE(CONTROL!$C$9, $D$9, 100%, $F$9) + CHOOSE(CONTROL!$C$27, 0.0021, 0)</f>
        <v>24.689599999999999</v>
      </c>
      <c r="H70" s="17">
        <f>24.5528 * CHOOSE(CONTROL!$C$9, $D$9, 100%, $F$9) + CHOOSE(CONTROL!$C$27, 0.0021, 0)</f>
        <v>24.5549</v>
      </c>
      <c r="I70" s="17">
        <f>24.5528 * CHOOSE(CONTROL!$C$9, $D$9, 100%, $F$9) + CHOOSE(CONTROL!$C$27, 0.0021, 0)</f>
        <v>24.5549</v>
      </c>
      <c r="J70" s="17">
        <f>24.5528 * CHOOSE(CONTROL!$C$9, $D$9, 100%, $F$9) + CHOOSE(CONTROL!$C$27, 0.0021, 0)</f>
        <v>24.5549</v>
      </c>
      <c r="K70" s="17">
        <f>24.5528 * CHOOSE(CONTROL!$C$9, $D$9, 100%, $F$9) + CHOOSE(CONTROL!$C$27, 0.0021, 0)</f>
        <v>24.5549</v>
      </c>
      <c r="L70" s="17"/>
    </row>
    <row r="71" spans="1:12" ht="15" x14ac:dyDescent="0.2">
      <c r="A71" s="16">
        <v>42705</v>
      </c>
      <c r="B71" s="17">
        <f>24.5859 * CHOOSE(CONTROL!$C$9, $D$9, 100%, $F$9) + CHOOSE(CONTROL!$C$27, 0.0021, 0)</f>
        <v>24.587999999999997</v>
      </c>
      <c r="C71" s="17">
        <f>24.1536 * CHOOSE(CONTROL!$C$9, $D$9, 100%, $F$9) + CHOOSE(CONTROL!$C$27, 0.0021, 0)</f>
        <v>24.1557</v>
      </c>
      <c r="D71" s="17">
        <f>24.1536 * CHOOSE(CONTROL!$C$9, $D$9, 100%, $F$9) + CHOOSE(CONTROL!$C$27, 0.0021, 0)</f>
        <v>24.1557</v>
      </c>
      <c r="E71" s="17">
        <f>24.017 * CHOOSE(CONTROL!$C$9, $D$9, 100%, $F$9) + CHOOSE(CONTROL!$C$27, 0.0021, 0)</f>
        <v>24.019099999999998</v>
      </c>
      <c r="F71" s="17">
        <f>24.017 * CHOOSE(CONTROL!$C$9, $D$9, 100%, $F$9) + CHOOSE(CONTROL!$C$27, 0.0021, 0)</f>
        <v>24.019099999999998</v>
      </c>
      <c r="G71" s="17">
        <f>24.2884 * CHOOSE(CONTROL!$C$9, $D$9, 100%, $F$9) + CHOOSE(CONTROL!$C$27, 0.0021, 0)</f>
        <v>24.290499999999998</v>
      </c>
      <c r="H71" s="17">
        <f>24.1536 * CHOOSE(CONTROL!$C$9, $D$9, 100%, $F$9) + CHOOSE(CONTROL!$C$27, 0.0021, 0)</f>
        <v>24.1557</v>
      </c>
      <c r="I71" s="17">
        <f>24.1536 * CHOOSE(CONTROL!$C$9, $D$9, 100%, $F$9) + CHOOSE(CONTROL!$C$27, 0.0021, 0)</f>
        <v>24.1557</v>
      </c>
      <c r="J71" s="17">
        <f>24.1536 * CHOOSE(CONTROL!$C$9, $D$9, 100%, $F$9) + CHOOSE(CONTROL!$C$27, 0.0021, 0)</f>
        <v>24.1557</v>
      </c>
      <c r="K71" s="17">
        <f>24.1536 * CHOOSE(CONTROL!$C$9, $D$9, 100%, $F$9) + CHOOSE(CONTROL!$C$27, 0.0021, 0)</f>
        <v>24.1557</v>
      </c>
      <c r="L71" s="17"/>
    </row>
    <row r="72" spans="1:12" ht="15" x14ac:dyDescent="0.2">
      <c r="A72" s="16">
        <v>42736</v>
      </c>
      <c r="B72" s="17">
        <f>24.5141 * CHOOSE(CONTROL!$C$9, $D$9, 100%, $F$9) + CHOOSE(CONTROL!$C$27, 0.0021, 0)</f>
        <v>24.516199999999998</v>
      </c>
      <c r="C72" s="17">
        <f>24.0818 * CHOOSE(CONTROL!$C$9, $D$9, 100%, $F$9) + CHOOSE(CONTROL!$C$27, 0.0021, 0)</f>
        <v>24.0839</v>
      </c>
      <c r="D72" s="17">
        <f>24.0818 * CHOOSE(CONTROL!$C$9, $D$9, 100%, $F$9) + CHOOSE(CONTROL!$C$27, 0.0021, 0)</f>
        <v>24.0839</v>
      </c>
      <c r="E72" s="17">
        <f>23.9451 * CHOOSE(CONTROL!$C$9, $D$9, 100%, $F$9) + CHOOSE(CONTROL!$C$27, 0.0021, 0)</f>
        <v>23.947199999999999</v>
      </c>
      <c r="F72" s="17">
        <f>23.9451 * CHOOSE(CONTROL!$C$9, $D$9, 100%, $F$9) + CHOOSE(CONTROL!$C$27, 0.0021, 0)</f>
        <v>23.947199999999999</v>
      </c>
      <c r="G72" s="17">
        <f>24.2165 * CHOOSE(CONTROL!$C$9, $D$9, 100%, $F$9) + CHOOSE(CONTROL!$C$27, 0.0021, 0)</f>
        <v>24.218599999999999</v>
      </c>
      <c r="H72" s="17">
        <f>24.0818 * CHOOSE(CONTROL!$C$9, $D$9, 100%, $F$9) + CHOOSE(CONTROL!$C$27, 0.0021, 0)</f>
        <v>24.0839</v>
      </c>
      <c r="I72" s="17">
        <f>24.0818 * CHOOSE(CONTROL!$C$9, $D$9, 100%, $F$9) + CHOOSE(CONTROL!$C$27, 0.0021, 0)</f>
        <v>24.0839</v>
      </c>
      <c r="J72" s="17">
        <f>24.0818 * CHOOSE(CONTROL!$C$9, $D$9, 100%, $F$9) + CHOOSE(CONTROL!$C$27, 0.0021, 0)</f>
        <v>24.0839</v>
      </c>
      <c r="K72" s="17">
        <f>24.0818 * CHOOSE(CONTROL!$C$9, $D$9, 100%, $F$9) + CHOOSE(CONTROL!$C$27, 0.0021, 0)</f>
        <v>24.0839</v>
      </c>
      <c r="L72" s="17"/>
    </row>
    <row r="73" spans="1:12" ht="15" x14ac:dyDescent="0.2">
      <c r="A73" s="16">
        <v>42767</v>
      </c>
      <c r="B73" s="17">
        <f>23.93 * CHOOSE(CONTROL!$C$9, $D$9, 100%, $F$9) + CHOOSE(CONTROL!$C$27, 0.0021, 0)</f>
        <v>23.932099999999998</v>
      </c>
      <c r="C73" s="17">
        <f>23.4977 * CHOOSE(CONTROL!$C$9, $D$9, 100%, $F$9) + CHOOSE(CONTROL!$C$27, 0.0021, 0)</f>
        <v>23.499799999999997</v>
      </c>
      <c r="D73" s="17">
        <f>23.4977 * CHOOSE(CONTROL!$C$9, $D$9, 100%, $F$9) + CHOOSE(CONTROL!$C$27, 0.0021, 0)</f>
        <v>23.499799999999997</v>
      </c>
      <c r="E73" s="17">
        <f>23.3611 * CHOOSE(CONTROL!$C$9, $D$9, 100%, $F$9) + CHOOSE(CONTROL!$C$27, 0.0021, 0)</f>
        <v>23.363199999999999</v>
      </c>
      <c r="F73" s="17">
        <f>23.3611 * CHOOSE(CONTROL!$C$9, $D$9, 100%, $F$9) + CHOOSE(CONTROL!$C$27, 0.0021, 0)</f>
        <v>23.363199999999999</v>
      </c>
      <c r="G73" s="17">
        <f>23.6324 * CHOOSE(CONTROL!$C$9, $D$9, 100%, $F$9) + CHOOSE(CONTROL!$C$27, 0.0021, 0)</f>
        <v>23.634499999999999</v>
      </c>
      <c r="H73" s="17">
        <f>23.4977 * CHOOSE(CONTROL!$C$9, $D$9, 100%, $F$9) + CHOOSE(CONTROL!$C$27, 0.0021, 0)</f>
        <v>23.499799999999997</v>
      </c>
      <c r="I73" s="17">
        <f>23.4977 * CHOOSE(CONTROL!$C$9, $D$9, 100%, $F$9) + CHOOSE(CONTROL!$C$27, 0.0021, 0)</f>
        <v>23.499799999999997</v>
      </c>
      <c r="J73" s="17">
        <f>23.4977 * CHOOSE(CONTROL!$C$9, $D$9, 100%, $F$9) + CHOOSE(CONTROL!$C$27, 0.0021, 0)</f>
        <v>23.499799999999997</v>
      </c>
      <c r="K73" s="17">
        <f>23.4977 * CHOOSE(CONTROL!$C$9, $D$9, 100%, $F$9) + CHOOSE(CONTROL!$C$27, 0.0021, 0)</f>
        <v>23.499799999999997</v>
      </c>
      <c r="L73" s="17"/>
    </row>
    <row r="74" spans="1:12" ht="15" x14ac:dyDescent="0.2">
      <c r="A74" s="16">
        <v>42795</v>
      </c>
      <c r="B74" s="17">
        <f>23.714 * CHOOSE(CONTROL!$C$9, $D$9, 100%, $F$9) + CHOOSE(CONTROL!$C$27, 0.0021, 0)</f>
        <v>23.716099999999997</v>
      </c>
      <c r="C74" s="17">
        <f>23.2818 * CHOOSE(CONTROL!$C$9, $D$9, 100%, $F$9) + CHOOSE(CONTROL!$C$27, 0.0021, 0)</f>
        <v>23.283899999999999</v>
      </c>
      <c r="D74" s="17">
        <f>23.2818 * CHOOSE(CONTROL!$C$9, $D$9, 100%, $F$9) + CHOOSE(CONTROL!$C$27, 0.0021, 0)</f>
        <v>23.283899999999999</v>
      </c>
      <c r="E74" s="17">
        <f>23.1451 * CHOOSE(CONTROL!$C$9, $D$9, 100%, $F$9) + CHOOSE(CONTROL!$C$27, 0.0021, 0)</f>
        <v>23.147199999999998</v>
      </c>
      <c r="F74" s="17">
        <f>23.1451 * CHOOSE(CONTROL!$C$9, $D$9, 100%, $F$9) + CHOOSE(CONTROL!$C$27, 0.0021, 0)</f>
        <v>23.147199999999998</v>
      </c>
      <c r="G74" s="17">
        <f>23.4165 * CHOOSE(CONTROL!$C$9, $D$9, 100%, $F$9) + CHOOSE(CONTROL!$C$27, 0.0021, 0)</f>
        <v>23.418599999999998</v>
      </c>
      <c r="H74" s="17">
        <f>23.2818 * CHOOSE(CONTROL!$C$9, $D$9, 100%, $F$9) + CHOOSE(CONTROL!$C$27, 0.0021, 0)</f>
        <v>23.283899999999999</v>
      </c>
      <c r="I74" s="17">
        <f>23.2818 * CHOOSE(CONTROL!$C$9, $D$9, 100%, $F$9) + CHOOSE(CONTROL!$C$27, 0.0021, 0)</f>
        <v>23.283899999999999</v>
      </c>
      <c r="J74" s="17">
        <f>23.2818 * CHOOSE(CONTROL!$C$9, $D$9, 100%, $F$9) + CHOOSE(CONTROL!$C$27, 0.0021, 0)</f>
        <v>23.283899999999999</v>
      </c>
      <c r="K74" s="17">
        <f>23.2818 * CHOOSE(CONTROL!$C$9, $D$9, 100%, $F$9) + CHOOSE(CONTROL!$C$27, 0.0021, 0)</f>
        <v>23.283899999999999</v>
      </c>
      <c r="L74" s="17"/>
    </row>
    <row r="75" spans="1:12" ht="15" x14ac:dyDescent="0.2">
      <c r="A75" s="16">
        <v>42826</v>
      </c>
      <c r="B75" s="17">
        <f>23.4464 * CHOOSE(CONTROL!$C$9, $D$9, 100%, $F$9) + CHOOSE(CONTROL!$C$27, 0.0021, 0)</f>
        <v>23.448499999999999</v>
      </c>
      <c r="C75" s="17">
        <f>23.0142 * CHOOSE(CONTROL!$C$9, $D$9, 100%, $F$9) + CHOOSE(CONTROL!$C$27, 0.0021, 0)</f>
        <v>23.016299999999998</v>
      </c>
      <c r="D75" s="17">
        <f>23.0142 * CHOOSE(CONTROL!$C$9, $D$9, 100%, $F$9) + CHOOSE(CONTROL!$C$27, 0.0021, 0)</f>
        <v>23.016299999999998</v>
      </c>
      <c r="E75" s="17">
        <f>22.8775 * CHOOSE(CONTROL!$C$9, $D$9, 100%, $F$9) + CHOOSE(CONTROL!$C$27, 0.0021, 0)</f>
        <v>22.8796</v>
      </c>
      <c r="F75" s="17">
        <f>22.8775 * CHOOSE(CONTROL!$C$9, $D$9, 100%, $F$9) + CHOOSE(CONTROL!$C$27, 0.0021, 0)</f>
        <v>22.8796</v>
      </c>
      <c r="G75" s="17">
        <f>23.1489 * CHOOSE(CONTROL!$C$9, $D$9, 100%, $F$9) + CHOOSE(CONTROL!$C$27, 0.0021, 0)</f>
        <v>23.151</v>
      </c>
      <c r="H75" s="17">
        <f>23.0142 * CHOOSE(CONTROL!$C$9, $D$9, 100%, $F$9) + CHOOSE(CONTROL!$C$27, 0.0021, 0)</f>
        <v>23.016299999999998</v>
      </c>
      <c r="I75" s="17">
        <f>23.0142 * CHOOSE(CONTROL!$C$9, $D$9, 100%, $F$9) + CHOOSE(CONTROL!$C$27, 0.0021, 0)</f>
        <v>23.016299999999998</v>
      </c>
      <c r="J75" s="17">
        <f>23.0142 * CHOOSE(CONTROL!$C$9, $D$9, 100%, $F$9) + CHOOSE(CONTROL!$C$27, 0.0021, 0)</f>
        <v>23.016299999999998</v>
      </c>
      <c r="K75" s="17">
        <f>23.0142 * CHOOSE(CONTROL!$C$9, $D$9, 100%, $F$9) + CHOOSE(CONTROL!$C$27, 0.0021, 0)</f>
        <v>23.016299999999998</v>
      </c>
      <c r="L75" s="17"/>
    </row>
    <row r="76" spans="1:12" ht="15" x14ac:dyDescent="0.2">
      <c r="A76" s="16">
        <v>42856</v>
      </c>
      <c r="B76" s="17">
        <f>23.9351 * CHOOSE(CONTROL!$C$9, $D$9, 100%, $F$9) + CHOOSE(CONTROL!$C$27, 0.0021, 0)</f>
        <v>23.937199999999997</v>
      </c>
      <c r="C76" s="17">
        <f>23.5029 * CHOOSE(CONTROL!$C$9, $D$9, 100%, $F$9) + CHOOSE(CONTROL!$C$27, 0.0021, 0)</f>
        <v>23.504999999999999</v>
      </c>
      <c r="D76" s="17">
        <f>23.5029 * CHOOSE(CONTROL!$C$9, $D$9, 100%, $F$9) + CHOOSE(CONTROL!$C$27, 0.0021, 0)</f>
        <v>23.504999999999999</v>
      </c>
      <c r="E76" s="17">
        <f>23.3662 * CHOOSE(CONTROL!$C$9, $D$9, 100%, $F$9) + CHOOSE(CONTROL!$C$27, 0.0021, 0)</f>
        <v>23.368299999999998</v>
      </c>
      <c r="F76" s="17">
        <f>23.3662 * CHOOSE(CONTROL!$C$9, $D$9, 100%, $F$9) + CHOOSE(CONTROL!$C$27, 0.0021, 0)</f>
        <v>23.368299999999998</v>
      </c>
      <c r="G76" s="17">
        <f>23.6376 * CHOOSE(CONTROL!$C$9, $D$9, 100%, $F$9) + CHOOSE(CONTROL!$C$27, 0.0021, 0)</f>
        <v>23.639699999999998</v>
      </c>
      <c r="H76" s="17">
        <f>23.5029 * CHOOSE(CONTROL!$C$9, $D$9, 100%, $F$9) + CHOOSE(CONTROL!$C$27, 0.0021, 0)</f>
        <v>23.504999999999999</v>
      </c>
      <c r="I76" s="17">
        <f>23.5029 * CHOOSE(CONTROL!$C$9, $D$9, 100%, $F$9) + CHOOSE(CONTROL!$C$27, 0.0021, 0)</f>
        <v>23.504999999999999</v>
      </c>
      <c r="J76" s="17">
        <f>23.5029 * CHOOSE(CONTROL!$C$9, $D$9, 100%, $F$9) + CHOOSE(CONTROL!$C$27, 0.0021, 0)</f>
        <v>23.504999999999999</v>
      </c>
      <c r="K76" s="17">
        <f>23.5029 * CHOOSE(CONTROL!$C$9, $D$9, 100%, $F$9) + CHOOSE(CONTROL!$C$27, 0.0021, 0)</f>
        <v>23.504999999999999</v>
      </c>
      <c r="L76" s="17"/>
    </row>
    <row r="77" spans="1:12" ht="15" x14ac:dyDescent="0.2">
      <c r="A77" s="16">
        <v>42887</v>
      </c>
      <c r="B77" s="17">
        <f>24.2469 * CHOOSE(CONTROL!$C$9, $D$9, 100%, $F$9) + CHOOSE(CONTROL!$C$27, 0.0021, 0)</f>
        <v>24.248999999999999</v>
      </c>
      <c r="C77" s="17">
        <f>23.8147 * CHOOSE(CONTROL!$C$9, $D$9, 100%, $F$9) + CHOOSE(CONTROL!$C$27, 0.0021, 0)</f>
        <v>23.816799999999997</v>
      </c>
      <c r="D77" s="17">
        <f>23.8147 * CHOOSE(CONTROL!$C$9, $D$9, 100%, $F$9) + CHOOSE(CONTROL!$C$27, 0.0021, 0)</f>
        <v>23.816799999999997</v>
      </c>
      <c r="E77" s="17">
        <f>23.678 * CHOOSE(CONTROL!$C$9, $D$9, 100%, $F$9) + CHOOSE(CONTROL!$C$27, 0.0021, 0)</f>
        <v>23.680099999999999</v>
      </c>
      <c r="F77" s="17">
        <f>23.678 * CHOOSE(CONTROL!$C$9, $D$9, 100%, $F$9) + CHOOSE(CONTROL!$C$27, 0.0021, 0)</f>
        <v>23.680099999999999</v>
      </c>
      <c r="G77" s="17">
        <f>23.9494 * CHOOSE(CONTROL!$C$9, $D$9, 100%, $F$9) + CHOOSE(CONTROL!$C$27, 0.0021, 0)</f>
        <v>23.951499999999999</v>
      </c>
      <c r="H77" s="17">
        <f>23.8147 * CHOOSE(CONTROL!$C$9, $D$9, 100%, $F$9) + CHOOSE(CONTROL!$C$27, 0.0021, 0)</f>
        <v>23.816799999999997</v>
      </c>
      <c r="I77" s="17">
        <f>23.8147 * CHOOSE(CONTROL!$C$9, $D$9, 100%, $F$9) + CHOOSE(CONTROL!$C$27, 0.0021, 0)</f>
        <v>23.816799999999997</v>
      </c>
      <c r="J77" s="17">
        <f>23.8147 * CHOOSE(CONTROL!$C$9, $D$9, 100%, $F$9) + CHOOSE(CONTROL!$C$27, 0.0021, 0)</f>
        <v>23.816799999999997</v>
      </c>
      <c r="K77" s="17">
        <f>23.8147 * CHOOSE(CONTROL!$C$9, $D$9, 100%, $F$9) + CHOOSE(CONTROL!$C$27, 0.0021, 0)</f>
        <v>23.816799999999997</v>
      </c>
      <c r="L77" s="17"/>
    </row>
    <row r="78" spans="1:12" ht="15" x14ac:dyDescent="0.2">
      <c r="A78" s="16">
        <v>42917</v>
      </c>
      <c r="B78" s="17">
        <f>24.7338 * CHOOSE(CONTROL!$C$9, $D$9, 100%, $F$9) + CHOOSE(CONTROL!$C$27, 0.0021, 0)</f>
        <v>24.735899999999997</v>
      </c>
      <c r="C78" s="17">
        <f>24.3015 * CHOOSE(CONTROL!$C$9, $D$9, 100%, $F$9) + CHOOSE(CONTROL!$C$27, 0.0021, 0)</f>
        <v>24.303599999999999</v>
      </c>
      <c r="D78" s="17">
        <f>24.3015 * CHOOSE(CONTROL!$C$9, $D$9, 100%, $F$9) + CHOOSE(CONTROL!$C$27, 0.0021, 0)</f>
        <v>24.303599999999999</v>
      </c>
      <c r="E78" s="17">
        <f>24.1649 * CHOOSE(CONTROL!$C$9, $D$9, 100%, $F$9) + CHOOSE(CONTROL!$C$27, 0.0021, 0)</f>
        <v>24.166999999999998</v>
      </c>
      <c r="F78" s="17">
        <f>24.1649 * CHOOSE(CONTROL!$C$9, $D$9, 100%, $F$9) + CHOOSE(CONTROL!$C$27, 0.0021, 0)</f>
        <v>24.166999999999998</v>
      </c>
      <c r="G78" s="17">
        <f>24.4363 * CHOOSE(CONTROL!$C$9, $D$9, 100%, $F$9) + CHOOSE(CONTROL!$C$27, 0.0021, 0)</f>
        <v>24.438399999999998</v>
      </c>
      <c r="H78" s="17">
        <f>24.3015 * CHOOSE(CONTROL!$C$9, $D$9, 100%, $F$9) + CHOOSE(CONTROL!$C$27, 0.0021, 0)</f>
        <v>24.303599999999999</v>
      </c>
      <c r="I78" s="17">
        <f>24.3015 * CHOOSE(CONTROL!$C$9, $D$9, 100%, $F$9) + CHOOSE(CONTROL!$C$27, 0.0021, 0)</f>
        <v>24.303599999999999</v>
      </c>
      <c r="J78" s="17">
        <f>24.3015 * CHOOSE(CONTROL!$C$9, $D$9, 100%, $F$9) + CHOOSE(CONTROL!$C$27, 0.0021, 0)</f>
        <v>24.303599999999999</v>
      </c>
      <c r="K78" s="17">
        <f>24.3015 * CHOOSE(CONTROL!$C$9, $D$9, 100%, $F$9) + CHOOSE(CONTROL!$C$27, 0.0021, 0)</f>
        <v>24.303599999999999</v>
      </c>
      <c r="L78" s="17"/>
    </row>
    <row r="79" spans="1:12" ht="15" x14ac:dyDescent="0.2">
      <c r="A79" s="16">
        <v>42948</v>
      </c>
      <c r="B79" s="17">
        <f>24.9151 * CHOOSE(CONTROL!$C$9, $D$9, 100%, $F$9) + CHOOSE(CONTROL!$C$27, 0.0021, 0)</f>
        <v>24.917199999999998</v>
      </c>
      <c r="C79" s="17">
        <f>24.4829 * CHOOSE(CONTROL!$C$9, $D$9, 100%, $F$9) + CHOOSE(CONTROL!$C$27, 0.0021, 0)</f>
        <v>24.484999999999999</v>
      </c>
      <c r="D79" s="17">
        <f>24.4829 * CHOOSE(CONTROL!$C$9, $D$9, 100%, $F$9) + CHOOSE(CONTROL!$C$27, 0.0021, 0)</f>
        <v>24.484999999999999</v>
      </c>
      <c r="E79" s="17">
        <f>24.3462 * CHOOSE(CONTROL!$C$9, $D$9, 100%, $F$9) + CHOOSE(CONTROL!$C$27, 0.0021, 0)</f>
        <v>24.348299999999998</v>
      </c>
      <c r="F79" s="17">
        <f>24.3462 * CHOOSE(CONTROL!$C$9, $D$9, 100%, $F$9) + CHOOSE(CONTROL!$C$27, 0.0021, 0)</f>
        <v>24.348299999999998</v>
      </c>
      <c r="G79" s="17">
        <f>24.6176 * CHOOSE(CONTROL!$C$9, $D$9, 100%, $F$9) + CHOOSE(CONTROL!$C$27, 0.0021, 0)</f>
        <v>24.619699999999998</v>
      </c>
      <c r="H79" s="17">
        <f>24.4829 * CHOOSE(CONTROL!$C$9, $D$9, 100%, $F$9) + CHOOSE(CONTROL!$C$27, 0.0021, 0)</f>
        <v>24.484999999999999</v>
      </c>
      <c r="I79" s="17">
        <f>24.4829 * CHOOSE(CONTROL!$C$9, $D$9, 100%, $F$9) + CHOOSE(CONTROL!$C$27, 0.0021, 0)</f>
        <v>24.484999999999999</v>
      </c>
      <c r="J79" s="17">
        <f>24.4829 * CHOOSE(CONTROL!$C$9, $D$9, 100%, $F$9) + CHOOSE(CONTROL!$C$27, 0.0021, 0)</f>
        <v>24.484999999999999</v>
      </c>
      <c r="K79" s="17">
        <f>24.4829 * CHOOSE(CONTROL!$C$9, $D$9, 100%, $F$9) + CHOOSE(CONTROL!$C$27, 0.0021, 0)</f>
        <v>24.484999999999999</v>
      </c>
      <c r="L79" s="17"/>
    </row>
    <row r="80" spans="1:12" ht="15" x14ac:dyDescent="0.2">
      <c r="A80" s="16">
        <v>42979</v>
      </c>
      <c r="B80" s="17">
        <f>25.4227 * CHOOSE(CONTROL!$C$9, $D$9, 100%, $F$9) + CHOOSE(CONTROL!$C$27, 0.0021, 0)</f>
        <v>25.424799999999998</v>
      </c>
      <c r="C80" s="17">
        <f>24.9904 * CHOOSE(CONTROL!$C$9, $D$9, 100%, $F$9) + CHOOSE(CONTROL!$C$27, 0.0021, 0)</f>
        <v>24.9925</v>
      </c>
      <c r="D80" s="17">
        <f>24.9904 * CHOOSE(CONTROL!$C$9, $D$9, 100%, $F$9) + CHOOSE(CONTROL!$C$27, 0.0021, 0)</f>
        <v>24.9925</v>
      </c>
      <c r="E80" s="17">
        <f>24.8538 * CHOOSE(CONTROL!$C$9, $D$9, 100%, $F$9) + CHOOSE(CONTROL!$C$27, 0.0021, 0)</f>
        <v>24.855899999999998</v>
      </c>
      <c r="F80" s="17">
        <f>24.8538 * CHOOSE(CONTROL!$C$9, $D$9, 100%, $F$9) + CHOOSE(CONTROL!$C$27, 0.0021, 0)</f>
        <v>24.855899999999998</v>
      </c>
      <c r="G80" s="17">
        <f>25.1252 * CHOOSE(CONTROL!$C$9, $D$9, 100%, $F$9) + CHOOSE(CONTROL!$C$27, 0.0021, 0)</f>
        <v>25.127299999999998</v>
      </c>
      <c r="H80" s="17">
        <f>24.9904 * CHOOSE(CONTROL!$C$9, $D$9, 100%, $F$9) + CHOOSE(CONTROL!$C$27, 0.0021, 0)</f>
        <v>24.9925</v>
      </c>
      <c r="I80" s="17">
        <f>24.9904 * CHOOSE(CONTROL!$C$9, $D$9, 100%, $F$9) + CHOOSE(CONTROL!$C$27, 0.0021, 0)</f>
        <v>24.9925</v>
      </c>
      <c r="J80" s="17">
        <f>24.9904 * CHOOSE(CONTROL!$C$9, $D$9, 100%, $F$9) + CHOOSE(CONTROL!$C$27, 0.0021, 0)</f>
        <v>24.9925</v>
      </c>
      <c r="K80" s="17">
        <f>24.9904 * CHOOSE(CONTROL!$C$9, $D$9, 100%, $F$9) + CHOOSE(CONTROL!$C$27, 0.0021, 0)</f>
        <v>24.9925</v>
      </c>
      <c r="L80" s="17"/>
    </row>
    <row r="81" spans="1:12" ht="15" x14ac:dyDescent="0.2">
      <c r="A81" s="16">
        <v>43009</v>
      </c>
      <c r="B81" s="17">
        <f>26.0551 * CHOOSE(CONTROL!$C$9, $D$9, 100%, $F$9) + CHOOSE(CONTROL!$C$27, 0.0021, 0)</f>
        <v>26.057199999999998</v>
      </c>
      <c r="C81" s="17">
        <f>25.6228 * CHOOSE(CONTROL!$C$9, $D$9, 100%, $F$9) + CHOOSE(CONTROL!$C$27, 0.0021, 0)</f>
        <v>25.6249</v>
      </c>
      <c r="D81" s="17">
        <f>25.6228 * CHOOSE(CONTROL!$C$9, $D$9, 100%, $F$9) + CHOOSE(CONTROL!$C$27, 0.0021, 0)</f>
        <v>25.6249</v>
      </c>
      <c r="E81" s="17">
        <f>25.4861 * CHOOSE(CONTROL!$C$9, $D$9, 100%, $F$9) + CHOOSE(CONTROL!$C$27, 0.0021, 0)</f>
        <v>25.488199999999999</v>
      </c>
      <c r="F81" s="17">
        <f>25.4861 * CHOOSE(CONTROL!$C$9, $D$9, 100%, $F$9) + CHOOSE(CONTROL!$C$27, 0.0021, 0)</f>
        <v>25.488199999999999</v>
      </c>
      <c r="G81" s="17">
        <f>25.7575 * CHOOSE(CONTROL!$C$9, $D$9, 100%, $F$9) + CHOOSE(CONTROL!$C$27, 0.0021, 0)</f>
        <v>25.759599999999999</v>
      </c>
      <c r="H81" s="17">
        <f>25.6228 * CHOOSE(CONTROL!$C$9, $D$9, 100%, $F$9) + CHOOSE(CONTROL!$C$27, 0.0021, 0)</f>
        <v>25.6249</v>
      </c>
      <c r="I81" s="17">
        <f>25.6228 * CHOOSE(CONTROL!$C$9, $D$9, 100%, $F$9) + CHOOSE(CONTROL!$C$27, 0.0021, 0)</f>
        <v>25.6249</v>
      </c>
      <c r="J81" s="17">
        <f>25.6228 * CHOOSE(CONTROL!$C$9, $D$9, 100%, $F$9) + CHOOSE(CONTROL!$C$27, 0.0021, 0)</f>
        <v>25.6249</v>
      </c>
      <c r="K81" s="17">
        <f>25.6228 * CHOOSE(CONTROL!$C$9, $D$9, 100%, $F$9) + CHOOSE(CONTROL!$C$27, 0.0021, 0)</f>
        <v>25.6249</v>
      </c>
      <c r="L81" s="17"/>
    </row>
    <row r="82" spans="1:12" ht="15" x14ac:dyDescent="0.2">
      <c r="A82" s="16">
        <v>43040</v>
      </c>
      <c r="B82" s="17">
        <f>26.159 * CHOOSE(CONTROL!$C$9, $D$9, 100%, $F$9) + CHOOSE(CONTROL!$C$27, 0.0021, 0)</f>
        <v>26.161099999999998</v>
      </c>
      <c r="C82" s="17">
        <f>25.7268 * CHOOSE(CONTROL!$C$9, $D$9, 100%, $F$9) + CHOOSE(CONTROL!$C$27, 0.0021, 0)</f>
        <v>25.728899999999999</v>
      </c>
      <c r="D82" s="17">
        <f>25.7268 * CHOOSE(CONTROL!$C$9, $D$9, 100%, $F$9) + CHOOSE(CONTROL!$C$27, 0.0021, 0)</f>
        <v>25.728899999999999</v>
      </c>
      <c r="E82" s="17">
        <f>25.5901 * CHOOSE(CONTROL!$C$9, $D$9, 100%, $F$9) + CHOOSE(CONTROL!$C$27, 0.0021, 0)</f>
        <v>25.592199999999998</v>
      </c>
      <c r="F82" s="17">
        <f>25.5901 * CHOOSE(CONTROL!$C$9, $D$9, 100%, $F$9) + CHOOSE(CONTROL!$C$27, 0.0021, 0)</f>
        <v>25.592199999999998</v>
      </c>
      <c r="G82" s="17">
        <f>25.8615 * CHOOSE(CONTROL!$C$9, $D$9, 100%, $F$9) + CHOOSE(CONTROL!$C$27, 0.0021, 0)</f>
        <v>25.863599999999998</v>
      </c>
      <c r="H82" s="17">
        <f>25.7268 * CHOOSE(CONTROL!$C$9, $D$9, 100%, $F$9) + CHOOSE(CONTROL!$C$27, 0.0021, 0)</f>
        <v>25.728899999999999</v>
      </c>
      <c r="I82" s="17">
        <f>25.7268 * CHOOSE(CONTROL!$C$9, $D$9, 100%, $F$9) + CHOOSE(CONTROL!$C$27, 0.0021, 0)</f>
        <v>25.728899999999999</v>
      </c>
      <c r="J82" s="17">
        <f>25.7268 * CHOOSE(CONTROL!$C$9, $D$9, 100%, $F$9) + CHOOSE(CONTROL!$C$27, 0.0021, 0)</f>
        <v>25.728899999999999</v>
      </c>
      <c r="K82" s="17">
        <f>25.7268 * CHOOSE(CONTROL!$C$9, $D$9, 100%, $F$9) + CHOOSE(CONTROL!$C$27, 0.0021, 0)</f>
        <v>25.728899999999999</v>
      </c>
      <c r="L82" s="17"/>
    </row>
    <row r="83" spans="1:12" ht="15" x14ac:dyDescent="0.2">
      <c r="A83" s="16">
        <v>43070</v>
      </c>
      <c r="B83" s="17">
        <f>25.7392 * CHOOSE(CONTROL!$C$9, $D$9, 100%, $F$9) + CHOOSE(CONTROL!$C$27, 0.0021, 0)</f>
        <v>25.741299999999999</v>
      </c>
      <c r="C83" s="17">
        <f>25.307 * CHOOSE(CONTROL!$C$9, $D$9, 100%, $F$9) + CHOOSE(CONTROL!$C$27, 0.0021, 0)</f>
        <v>25.309099999999997</v>
      </c>
      <c r="D83" s="17">
        <f>25.307 * CHOOSE(CONTROL!$C$9, $D$9, 100%, $F$9) + CHOOSE(CONTROL!$C$27, 0.0021, 0)</f>
        <v>25.309099999999997</v>
      </c>
      <c r="E83" s="17">
        <f>25.1703 * CHOOSE(CONTROL!$C$9, $D$9, 100%, $F$9) + CHOOSE(CONTROL!$C$27, 0.0021, 0)</f>
        <v>25.1724</v>
      </c>
      <c r="F83" s="17">
        <f>25.1703 * CHOOSE(CONTROL!$C$9, $D$9, 100%, $F$9) + CHOOSE(CONTROL!$C$27, 0.0021, 0)</f>
        <v>25.1724</v>
      </c>
      <c r="G83" s="17">
        <f>25.4417 * CHOOSE(CONTROL!$C$9, $D$9, 100%, $F$9) + CHOOSE(CONTROL!$C$27, 0.0021, 0)</f>
        <v>25.4438</v>
      </c>
      <c r="H83" s="17">
        <f>25.307 * CHOOSE(CONTROL!$C$9, $D$9, 100%, $F$9) + CHOOSE(CONTROL!$C$27, 0.0021, 0)</f>
        <v>25.309099999999997</v>
      </c>
      <c r="I83" s="17">
        <f>25.307 * CHOOSE(CONTROL!$C$9, $D$9, 100%, $F$9) + CHOOSE(CONTROL!$C$27, 0.0021, 0)</f>
        <v>25.309099999999997</v>
      </c>
      <c r="J83" s="17">
        <f>25.307 * CHOOSE(CONTROL!$C$9, $D$9, 100%, $F$9) + CHOOSE(CONTROL!$C$27, 0.0021, 0)</f>
        <v>25.309099999999997</v>
      </c>
      <c r="K83" s="17">
        <f>25.307 * CHOOSE(CONTROL!$C$9, $D$9, 100%, $F$9) + CHOOSE(CONTROL!$C$27, 0.0021, 0)</f>
        <v>25.309099999999997</v>
      </c>
      <c r="L83" s="17"/>
    </row>
    <row r="84" spans="1:12" ht="15" x14ac:dyDescent="0.2">
      <c r="A84" s="16">
        <v>43101</v>
      </c>
      <c r="B84" s="17">
        <f>25.1269 * CHOOSE(CONTROL!$C$9, $D$9, 100%, $F$9) + CHOOSE(CONTROL!$C$27, 0.0021, 0)</f>
        <v>25.128999999999998</v>
      </c>
      <c r="C84" s="17">
        <f>24.6946 * CHOOSE(CONTROL!$C$9, $D$9, 100%, $F$9) + CHOOSE(CONTROL!$C$27, 0.0021, 0)</f>
        <v>24.6967</v>
      </c>
      <c r="D84" s="17">
        <f>24.6946 * CHOOSE(CONTROL!$C$9, $D$9, 100%, $F$9) + CHOOSE(CONTROL!$C$27, 0.0021, 0)</f>
        <v>24.6967</v>
      </c>
      <c r="E84" s="17">
        <f>24.558 * CHOOSE(CONTROL!$C$9, $D$9, 100%, $F$9) + CHOOSE(CONTROL!$C$27, 0.0021, 0)</f>
        <v>24.560099999999998</v>
      </c>
      <c r="F84" s="17">
        <f>24.558 * CHOOSE(CONTROL!$C$9, $D$9, 100%, $F$9) + CHOOSE(CONTROL!$C$27, 0.0021, 0)</f>
        <v>24.560099999999998</v>
      </c>
      <c r="G84" s="17">
        <f>24.8293 * CHOOSE(CONTROL!$C$9, $D$9, 100%, $F$9) + CHOOSE(CONTROL!$C$27, 0.0021, 0)</f>
        <v>24.831399999999999</v>
      </c>
      <c r="H84" s="17">
        <f>24.6946 * CHOOSE(CONTROL!$C$9, $D$9, 100%, $F$9) + CHOOSE(CONTROL!$C$27, 0.0021, 0)</f>
        <v>24.6967</v>
      </c>
      <c r="I84" s="17">
        <f>24.6946 * CHOOSE(CONTROL!$C$9, $D$9, 100%, $F$9) + CHOOSE(CONTROL!$C$27, 0.0021, 0)</f>
        <v>24.6967</v>
      </c>
      <c r="J84" s="17">
        <f>24.6946 * CHOOSE(CONTROL!$C$9, $D$9, 100%, $F$9) + CHOOSE(CONTROL!$C$27, 0.0021, 0)</f>
        <v>24.6967</v>
      </c>
      <c r="K84" s="17">
        <f>24.6946 * CHOOSE(CONTROL!$C$9, $D$9, 100%, $F$9) + CHOOSE(CONTROL!$C$27, 0.0021, 0)</f>
        <v>24.6967</v>
      </c>
      <c r="L84" s="17"/>
    </row>
    <row r="85" spans="1:12" ht="15" x14ac:dyDescent="0.2">
      <c r="A85" s="16">
        <v>43132</v>
      </c>
      <c r="B85" s="17">
        <f>24.5267 * CHOOSE(CONTROL!$C$9, $D$9, 100%, $F$9) + CHOOSE(CONTROL!$C$27, 0.0021, 0)</f>
        <v>24.5288</v>
      </c>
      <c r="C85" s="17">
        <f>24.0944 * CHOOSE(CONTROL!$C$9, $D$9, 100%, $F$9) + CHOOSE(CONTROL!$C$27, 0.0021, 0)</f>
        <v>24.096499999999999</v>
      </c>
      <c r="D85" s="17">
        <f>24.0944 * CHOOSE(CONTROL!$C$9, $D$9, 100%, $F$9) + CHOOSE(CONTROL!$C$27, 0.0021, 0)</f>
        <v>24.096499999999999</v>
      </c>
      <c r="E85" s="17">
        <f>23.9578 * CHOOSE(CONTROL!$C$9, $D$9, 100%, $F$9) + CHOOSE(CONTROL!$C$27, 0.0021, 0)</f>
        <v>23.959899999999998</v>
      </c>
      <c r="F85" s="17">
        <f>23.9578 * CHOOSE(CONTROL!$C$9, $D$9, 100%, $F$9) + CHOOSE(CONTROL!$C$27, 0.0021, 0)</f>
        <v>23.959899999999998</v>
      </c>
      <c r="G85" s="17">
        <f>24.2292 * CHOOSE(CONTROL!$C$9, $D$9, 100%, $F$9) + CHOOSE(CONTROL!$C$27, 0.0021, 0)</f>
        <v>24.231299999999997</v>
      </c>
      <c r="H85" s="17">
        <f>24.0944 * CHOOSE(CONTROL!$C$9, $D$9, 100%, $F$9) + CHOOSE(CONTROL!$C$27, 0.0021, 0)</f>
        <v>24.096499999999999</v>
      </c>
      <c r="I85" s="17">
        <f>24.0944 * CHOOSE(CONTROL!$C$9, $D$9, 100%, $F$9) + CHOOSE(CONTROL!$C$27, 0.0021, 0)</f>
        <v>24.096499999999999</v>
      </c>
      <c r="J85" s="17">
        <f>24.0944 * CHOOSE(CONTROL!$C$9, $D$9, 100%, $F$9) + CHOOSE(CONTROL!$C$27, 0.0021, 0)</f>
        <v>24.096499999999999</v>
      </c>
      <c r="K85" s="17">
        <f>24.0944 * CHOOSE(CONTROL!$C$9, $D$9, 100%, $F$9) + CHOOSE(CONTROL!$C$27, 0.0021, 0)</f>
        <v>24.096499999999999</v>
      </c>
      <c r="L85" s="17"/>
    </row>
    <row r="86" spans="1:12" ht="15" x14ac:dyDescent="0.2">
      <c r="A86" s="16">
        <v>43160</v>
      </c>
      <c r="B86" s="17">
        <f>24.3048 * CHOOSE(CONTROL!$C$9, $D$9, 100%, $F$9) + CHOOSE(CONTROL!$C$27, 0.0021, 0)</f>
        <v>24.306899999999999</v>
      </c>
      <c r="C86" s="17">
        <f>23.8725 * CHOOSE(CONTROL!$C$9, $D$9, 100%, $F$9) + CHOOSE(CONTROL!$C$27, 0.0021, 0)</f>
        <v>23.874599999999997</v>
      </c>
      <c r="D86" s="17">
        <f>23.8725 * CHOOSE(CONTROL!$C$9, $D$9, 100%, $F$9) + CHOOSE(CONTROL!$C$27, 0.0021, 0)</f>
        <v>23.874599999999997</v>
      </c>
      <c r="E86" s="17">
        <f>23.7359 * CHOOSE(CONTROL!$C$9, $D$9, 100%, $F$9) + CHOOSE(CONTROL!$C$27, 0.0021, 0)</f>
        <v>23.738</v>
      </c>
      <c r="F86" s="17">
        <f>23.7359 * CHOOSE(CONTROL!$C$9, $D$9, 100%, $F$9) + CHOOSE(CONTROL!$C$27, 0.0021, 0)</f>
        <v>23.738</v>
      </c>
      <c r="G86" s="17">
        <f>24.0072 * CHOOSE(CONTROL!$C$9, $D$9, 100%, $F$9) + CHOOSE(CONTROL!$C$27, 0.0021, 0)</f>
        <v>24.0093</v>
      </c>
      <c r="H86" s="17">
        <f>23.8725 * CHOOSE(CONTROL!$C$9, $D$9, 100%, $F$9) + CHOOSE(CONTROL!$C$27, 0.0021, 0)</f>
        <v>23.874599999999997</v>
      </c>
      <c r="I86" s="17">
        <f>23.8725 * CHOOSE(CONTROL!$C$9, $D$9, 100%, $F$9) + CHOOSE(CONTROL!$C$27, 0.0021, 0)</f>
        <v>23.874599999999997</v>
      </c>
      <c r="J86" s="17">
        <f>23.8725 * CHOOSE(CONTROL!$C$9, $D$9, 100%, $F$9) + CHOOSE(CONTROL!$C$27, 0.0021, 0)</f>
        <v>23.874599999999997</v>
      </c>
      <c r="K86" s="17">
        <f>23.8725 * CHOOSE(CONTROL!$C$9, $D$9, 100%, $F$9) + CHOOSE(CONTROL!$C$27, 0.0021, 0)</f>
        <v>23.874599999999997</v>
      </c>
      <c r="L86" s="17"/>
    </row>
    <row r="87" spans="1:12" ht="15" x14ac:dyDescent="0.2">
      <c r="A87" s="16">
        <v>43191</v>
      </c>
      <c r="B87" s="17">
        <f>24.0298 * CHOOSE(CONTROL!$C$9, $D$9, 100%, $F$9) + CHOOSE(CONTROL!$C$27, 0.0021, 0)</f>
        <v>24.0319</v>
      </c>
      <c r="C87" s="17">
        <f>23.5975 * CHOOSE(CONTROL!$C$9, $D$9, 100%, $F$9) + CHOOSE(CONTROL!$C$27, 0.0021, 0)</f>
        <v>23.599599999999999</v>
      </c>
      <c r="D87" s="17">
        <f>23.5975 * CHOOSE(CONTROL!$C$9, $D$9, 100%, $F$9) + CHOOSE(CONTROL!$C$27, 0.0021, 0)</f>
        <v>23.599599999999999</v>
      </c>
      <c r="E87" s="17">
        <f>23.4609 * CHOOSE(CONTROL!$C$9, $D$9, 100%, $F$9) + CHOOSE(CONTROL!$C$27, 0.0021, 0)</f>
        <v>23.462999999999997</v>
      </c>
      <c r="F87" s="17">
        <f>23.4609 * CHOOSE(CONTROL!$C$9, $D$9, 100%, $F$9) + CHOOSE(CONTROL!$C$27, 0.0021, 0)</f>
        <v>23.462999999999997</v>
      </c>
      <c r="G87" s="17">
        <f>23.7323 * CHOOSE(CONTROL!$C$9, $D$9, 100%, $F$9) + CHOOSE(CONTROL!$C$27, 0.0021, 0)</f>
        <v>23.734399999999997</v>
      </c>
      <c r="H87" s="17">
        <f>23.5975 * CHOOSE(CONTROL!$C$9, $D$9, 100%, $F$9) + CHOOSE(CONTROL!$C$27, 0.0021, 0)</f>
        <v>23.599599999999999</v>
      </c>
      <c r="I87" s="17">
        <f>23.5975 * CHOOSE(CONTROL!$C$9, $D$9, 100%, $F$9) + CHOOSE(CONTROL!$C$27, 0.0021, 0)</f>
        <v>23.599599999999999</v>
      </c>
      <c r="J87" s="17">
        <f>23.5975 * CHOOSE(CONTROL!$C$9, $D$9, 100%, $F$9) + CHOOSE(CONTROL!$C$27, 0.0021, 0)</f>
        <v>23.599599999999999</v>
      </c>
      <c r="K87" s="17">
        <f>23.5975 * CHOOSE(CONTROL!$C$9, $D$9, 100%, $F$9) + CHOOSE(CONTROL!$C$27, 0.0021, 0)</f>
        <v>23.599599999999999</v>
      </c>
      <c r="L87" s="17"/>
    </row>
    <row r="88" spans="1:12" ht="15" x14ac:dyDescent="0.2">
      <c r="A88" s="16">
        <v>43221</v>
      </c>
      <c r="B88" s="17">
        <f>24.532 * CHOOSE(CONTROL!$C$9, $D$9, 100%, $F$9) + CHOOSE(CONTROL!$C$27, 0.0021, 0)</f>
        <v>24.534099999999999</v>
      </c>
      <c r="C88" s="17">
        <f>24.0998 * CHOOSE(CONTROL!$C$9, $D$9, 100%, $F$9) + CHOOSE(CONTROL!$C$27, 0.0021, 0)</f>
        <v>24.101899999999997</v>
      </c>
      <c r="D88" s="17">
        <f>24.0998 * CHOOSE(CONTROL!$C$9, $D$9, 100%, $F$9) + CHOOSE(CONTROL!$C$27, 0.0021, 0)</f>
        <v>24.101899999999997</v>
      </c>
      <c r="E88" s="17">
        <f>23.9631 * CHOOSE(CONTROL!$C$9, $D$9, 100%, $F$9) + CHOOSE(CONTROL!$C$27, 0.0021, 0)</f>
        <v>23.965199999999999</v>
      </c>
      <c r="F88" s="17">
        <f>23.9631 * CHOOSE(CONTROL!$C$9, $D$9, 100%, $F$9) + CHOOSE(CONTROL!$C$27, 0.0021, 0)</f>
        <v>23.965199999999999</v>
      </c>
      <c r="G88" s="17">
        <f>24.2345 * CHOOSE(CONTROL!$C$9, $D$9, 100%, $F$9) + CHOOSE(CONTROL!$C$27, 0.0021, 0)</f>
        <v>24.236599999999999</v>
      </c>
      <c r="H88" s="17">
        <f>24.0998 * CHOOSE(CONTROL!$C$9, $D$9, 100%, $F$9) + CHOOSE(CONTROL!$C$27, 0.0021, 0)</f>
        <v>24.101899999999997</v>
      </c>
      <c r="I88" s="17">
        <f>24.0998 * CHOOSE(CONTROL!$C$9, $D$9, 100%, $F$9) + CHOOSE(CONTROL!$C$27, 0.0021, 0)</f>
        <v>24.101899999999997</v>
      </c>
      <c r="J88" s="17">
        <f>24.0998 * CHOOSE(CONTROL!$C$9, $D$9, 100%, $F$9) + CHOOSE(CONTROL!$C$27, 0.0021, 0)</f>
        <v>24.101899999999997</v>
      </c>
      <c r="K88" s="17">
        <f>24.0998 * CHOOSE(CONTROL!$C$9, $D$9, 100%, $F$9) + CHOOSE(CONTROL!$C$27, 0.0021, 0)</f>
        <v>24.101899999999997</v>
      </c>
      <c r="L88" s="17"/>
    </row>
    <row r="89" spans="1:12" ht="15" x14ac:dyDescent="0.2">
      <c r="A89" s="16">
        <v>43252</v>
      </c>
      <c r="B89" s="17">
        <f>24.8524 * CHOOSE(CONTROL!$C$9, $D$9, 100%, $F$9) + CHOOSE(CONTROL!$C$27, 0.0021, 0)</f>
        <v>24.854499999999998</v>
      </c>
      <c r="C89" s="17">
        <f>24.4201 * CHOOSE(CONTROL!$C$9, $D$9, 100%, $F$9) + CHOOSE(CONTROL!$C$27, 0.0021, 0)</f>
        <v>24.4222</v>
      </c>
      <c r="D89" s="17">
        <f>24.4201 * CHOOSE(CONTROL!$C$9, $D$9, 100%, $F$9) + CHOOSE(CONTROL!$C$27, 0.0021, 0)</f>
        <v>24.4222</v>
      </c>
      <c r="E89" s="17">
        <f>24.2835 * CHOOSE(CONTROL!$C$9, $D$9, 100%, $F$9) + CHOOSE(CONTROL!$C$27, 0.0021, 0)</f>
        <v>24.285599999999999</v>
      </c>
      <c r="F89" s="17">
        <f>24.2835 * CHOOSE(CONTROL!$C$9, $D$9, 100%, $F$9) + CHOOSE(CONTROL!$C$27, 0.0021, 0)</f>
        <v>24.285599999999999</v>
      </c>
      <c r="G89" s="17">
        <f>24.5548 * CHOOSE(CONTROL!$C$9, $D$9, 100%, $F$9) + CHOOSE(CONTROL!$C$27, 0.0021, 0)</f>
        <v>24.556899999999999</v>
      </c>
      <c r="H89" s="17">
        <f>24.4201 * CHOOSE(CONTROL!$C$9, $D$9, 100%, $F$9) + CHOOSE(CONTROL!$C$27, 0.0021, 0)</f>
        <v>24.4222</v>
      </c>
      <c r="I89" s="17">
        <f>24.4201 * CHOOSE(CONTROL!$C$9, $D$9, 100%, $F$9) + CHOOSE(CONTROL!$C$27, 0.0021, 0)</f>
        <v>24.4222</v>
      </c>
      <c r="J89" s="17">
        <f>24.4201 * CHOOSE(CONTROL!$C$9, $D$9, 100%, $F$9) + CHOOSE(CONTROL!$C$27, 0.0021, 0)</f>
        <v>24.4222</v>
      </c>
      <c r="K89" s="17">
        <f>24.4201 * CHOOSE(CONTROL!$C$9, $D$9, 100%, $F$9) + CHOOSE(CONTROL!$C$27, 0.0021, 0)</f>
        <v>24.4222</v>
      </c>
      <c r="L89" s="17"/>
    </row>
    <row r="90" spans="1:12" ht="15" x14ac:dyDescent="0.2">
      <c r="A90" s="16">
        <v>43282</v>
      </c>
      <c r="B90" s="17">
        <f>25.3527 * CHOOSE(CONTROL!$C$9, $D$9, 100%, $F$9) + CHOOSE(CONTROL!$C$27, 0.0021, 0)</f>
        <v>25.354799999999997</v>
      </c>
      <c r="C90" s="17">
        <f>24.9204 * CHOOSE(CONTROL!$C$9, $D$9, 100%, $F$9) + CHOOSE(CONTROL!$C$27, 0.0021, 0)</f>
        <v>24.922499999999999</v>
      </c>
      <c r="D90" s="17">
        <f>24.9204 * CHOOSE(CONTROL!$C$9, $D$9, 100%, $F$9) + CHOOSE(CONTROL!$C$27, 0.0021, 0)</f>
        <v>24.922499999999999</v>
      </c>
      <c r="E90" s="17">
        <f>24.7838 * CHOOSE(CONTROL!$C$9, $D$9, 100%, $F$9) + CHOOSE(CONTROL!$C$27, 0.0021, 0)</f>
        <v>24.785899999999998</v>
      </c>
      <c r="F90" s="17">
        <f>24.7838 * CHOOSE(CONTROL!$C$9, $D$9, 100%, $F$9) + CHOOSE(CONTROL!$C$27, 0.0021, 0)</f>
        <v>24.785899999999998</v>
      </c>
      <c r="G90" s="17">
        <f>25.0551 * CHOOSE(CONTROL!$C$9, $D$9, 100%, $F$9) + CHOOSE(CONTROL!$C$27, 0.0021, 0)</f>
        <v>25.057199999999998</v>
      </c>
      <c r="H90" s="17">
        <f>24.9204 * CHOOSE(CONTROL!$C$9, $D$9, 100%, $F$9) + CHOOSE(CONTROL!$C$27, 0.0021, 0)</f>
        <v>24.922499999999999</v>
      </c>
      <c r="I90" s="17">
        <f>24.9204 * CHOOSE(CONTROL!$C$9, $D$9, 100%, $F$9) + CHOOSE(CONTROL!$C$27, 0.0021, 0)</f>
        <v>24.922499999999999</v>
      </c>
      <c r="J90" s="17">
        <f>24.9204 * CHOOSE(CONTROL!$C$9, $D$9, 100%, $F$9) + CHOOSE(CONTROL!$C$27, 0.0021, 0)</f>
        <v>24.922499999999999</v>
      </c>
      <c r="K90" s="17">
        <f>24.9204 * CHOOSE(CONTROL!$C$9, $D$9, 100%, $F$9) + CHOOSE(CONTROL!$C$27, 0.0021, 0)</f>
        <v>24.922499999999999</v>
      </c>
      <c r="L90" s="17"/>
    </row>
    <row r="91" spans="1:12" ht="15" x14ac:dyDescent="0.2">
      <c r="A91" s="16">
        <v>43313</v>
      </c>
      <c r="B91" s="17">
        <f>25.539 * CHOOSE(CONTROL!$C$9, $D$9, 100%, $F$9) + CHOOSE(CONTROL!$C$27, 0.0021, 0)</f>
        <v>25.5411</v>
      </c>
      <c r="C91" s="17">
        <f>25.1067 * CHOOSE(CONTROL!$C$9, $D$9, 100%, $F$9) + CHOOSE(CONTROL!$C$27, 0.0021, 0)</f>
        <v>25.108799999999999</v>
      </c>
      <c r="D91" s="17">
        <f>25.1067 * CHOOSE(CONTROL!$C$9, $D$9, 100%, $F$9) + CHOOSE(CONTROL!$C$27, 0.0021, 0)</f>
        <v>25.108799999999999</v>
      </c>
      <c r="E91" s="17">
        <f>24.9701 * CHOOSE(CONTROL!$C$9, $D$9, 100%, $F$9) + CHOOSE(CONTROL!$C$27, 0.0021, 0)</f>
        <v>24.972199999999997</v>
      </c>
      <c r="F91" s="17">
        <f>24.9701 * CHOOSE(CONTROL!$C$9, $D$9, 100%, $F$9) + CHOOSE(CONTROL!$C$27, 0.0021, 0)</f>
        <v>24.972199999999997</v>
      </c>
      <c r="G91" s="17">
        <f>25.2415 * CHOOSE(CONTROL!$C$9, $D$9, 100%, $F$9) + CHOOSE(CONTROL!$C$27, 0.0021, 0)</f>
        <v>25.243599999999997</v>
      </c>
      <c r="H91" s="17">
        <f>25.1067 * CHOOSE(CONTROL!$C$9, $D$9, 100%, $F$9) + CHOOSE(CONTROL!$C$27, 0.0021, 0)</f>
        <v>25.108799999999999</v>
      </c>
      <c r="I91" s="17">
        <f>25.1067 * CHOOSE(CONTROL!$C$9, $D$9, 100%, $F$9) + CHOOSE(CONTROL!$C$27, 0.0021, 0)</f>
        <v>25.108799999999999</v>
      </c>
      <c r="J91" s="17">
        <f>25.1067 * CHOOSE(CONTROL!$C$9, $D$9, 100%, $F$9) + CHOOSE(CONTROL!$C$27, 0.0021, 0)</f>
        <v>25.108799999999999</v>
      </c>
      <c r="K91" s="17">
        <f>25.1067 * CHOOSE(CONTROL!$C$9, $D$9, 100%, $F$9) + CHOOSE(CONTROL!$C$27, 0.0021, 0)</f>
        <v>25.108799999999999</v>
      </c>
      <c r="L91" s="17"/>
    </row>
    <row r="92" spans="1:12" ht="15" x14ac:dyDescent="0.2">
      <c r="A92" s="16">
        <v>43344</v>
      </c>
      <c r="B92" s="17">
        <f>26.0606 * CHOOSE(CONTROL!$C$9, $D$9, 100%, $F$9) + CHOOSE(CONTROL!$C$27, 0.0021, 0)</f>
        <v>26.0627</v>
      </c>
      <c r="C92" s="17">
        <f>25.6283 * CHOOSE(CONTROL!$C$9, $D$9, 100%, $F$9) + CHOOSE(CONTROL!$C$27, 0.0021, 0)</f>
        <v>25.630399999999998</v>
      </c>
      <c r="D92" s="17">
        <f>25.6283 * CHOOSE(CONTROL!$C$9, $D$9, 100%, $F$9) + CHOOSE(CONTROL!$C$27, 0.0021, 0)</f>
        <v>25.630399999999998</v>
      </c>
      <c r="E92" s="17">
        <f>25.4917 * CHOOSE(CONTROL!$C$9, $D$9, 100%, $F$9) + CHOOSE(CONTROL!$C$27, 0.0021, 0)</f>
        <v>25.4938</v>
      </c>
      <c r="F92" s="17">
        <f>25.4917 * CHOOSE(CONTROL!$C$9, $D$9, 100%, $F$9) + CHOOSE(CONTROL!$C$27, 0.0021, 0)</f>
        <v>25.4938</v>
      </c>
      <c r="G92" s="17">
        <f>25.763 * CHOOSE(CONTROL!$C$9, $D$9, 100%, $F$9) + CHOOSE(CONTROL!$C$27, 0.0021, 0)</f>
        <v>25.7651</v>
      </c>
      <c r="H92" s="17">
        <f>25.6283 * CHOOSE(CONTROL!$C$9, $D$9, 100%, $F$9) + CHOOSE(CONTROL!$C$27, 0.0021, 0)</f>
        <v>25.630399999999998</v>
      </c>
      <c r="I92" s="17">
        <f>25.6283 * CHOOSE(CONTROL!$C$9, $D$9, 100%, $F$9) + CHOOSE(CONTROL!$C$27, 0.0021, 0)</f>
        <v>25.630399999999998</v>
      </c>
      <c r="J92" s="17">
        <f>25.6283 * CHOOSE(CONTROL!$C$9, $D$9, 100%, $F$9) + CHOOSE(CONTROL!$C$27, 0.0021, 0)</f>
        <v>25.630399999999998</v>
      </c>
      <c r="K92" s="17">
        <f>25.6283 * CHOOSE(CONTROL!$C$9, $D$9, 100%, $F$9) + CHOOSE(CONTROL!$C$27, 0.0021, 0)</f>
        <v>25.630399999999998</v>
      </c>
      <c r="L92" s="17"/>
    </row>
    <row r="93" spans="1:12" ht="15" x14ac:dyDescent="0.2">
      <c r="A93" s="16">
        <v>43374</v>
      </c>
      <c r="B93" s="17">
        <f>26.7104 * CHOOSE(CONTROL!$C$9, $D$9, 100%, $F$9) + CHOOSE(CONTROL!$C$27, 0.0021, 0)</f>
        <v>26.712499999999999</v>
      </c>
      <c r="C93" s="17">
        <f>26.2781 * CHOOSE(CONTROL!$C$9, $D$9, 100%, $F$9) + CHOOSE(CONTROL!$C$27, 0.0021, 0)</f>
        <v>26.280199999999997</v>
      </c>
      <c r="D93" s="17">
        <f>26.2781 * CHOOSE(CONTROL!$C$9, $D$9, 100%, $F$9) + CHOOSE(CONTROL!$C$27, 0.0021, 0)</f>
        <v>26.280199999999997</v>
      </c>
      <c r="E93" s="17">
        <f>26.1415 * CHOOSE(CONTROL!$C$9, $D$9, 100%, $F$9) + CHOOSE(CONTROL!$C$27, 0.0021, 0)</f>
        <v>26.143599999999999</v>
      </c>
      <c r="F93" s="17">
        <f>26.1415 * CHOOSE(CONTROL!$C$9, $D$9, 100%, $F$9) + CHOOSE(CONTROL!$C$27, 0.0021, 0)</f>
        <v>26.143599999999999</v>
      </c>
      <c r="G93" s="17">
        <f>26.4128 * CHOOSE(CONTROL!$C$9, $D$9, 100%, $F$9) + CHOOSE(CONTROL!$C$27, 0.0021, 0)</f>
        <v>26.414899999999999</v>
      </c>
      <c r="H93" s="17">
        <f>26.2781 * CHOOSE(CONTROL!$C$9, $D$9, 100%, $F$9) + CHOOSE(CONTROL!$C$27, 0.0021, 0)</f>
        <v>26.280199999999997</v>
      </c>
      <c r="I93" s="17">
        <f>26.2781 * CHOOSE(CONTROL!$C$9, $D$9, 100%, $F$9) + CHOOSE(CONTROL!$C$27, 0.0021, 0)</f>
        <v>26.280199999999997</v>
      </c>
      <c r="J93" s="17">
        <f>26.2781 * CHOOSE(CONTROL!$C$9, $D$9, 100%, $F$9) + CHOOSE(CONTROL!$C$27, 0.0021, 0)</f>
        <v>26.280199999999997</v>
      </c>
      <c r="K93" s="17">
        <f>26.2781 * CHOOSE(CONTROL!$C$9, $D$9, 100%, $F$9) + CHOOSE(CONTROL!$C$27, 0.0021, 0)</f>
        <v>26.280199999999997</v>
      </c>
      <c r="L93" s="17"/>
    </row>
    <row r="94" spans="1:12" ht="15" x14ac:dyDescent="0.2">
      <c r="A94" s="16">
        <v>43405</v>
      </c>
      <c r="B94" s="17">
        <f>26.8172 * CHOOSE(CONTROL!$C$9, $D$9, 100%, $F$9) + CHOOSE(CONTROL!$C$27, 0.0021, 0)</f>
        <v>26.819299999999998</v>
      </c>
      <c r="C94" s="17">
        <f>26.3849 * CHOOSE(CONTROL!$C$9, $D$9, 100%, $F$9) + CHOOSE(CONTROL!$C$27, 0.0021, 0)</f>
        <v>26.386999999999997</v>
      </c>
      <c r="D94" s="17">
        <f>26.3849 * CHOOSE(CONTROL!$C$9, $D$9, 100%, $F$9) + CHOOSE(CONTROL!$C$27, 0.0021, 0)</f>
        <v>26.386999999999997</v>
      </c>
      <c r="E94" s="17">
        <f>26.2483 * CHOOSE(CONTROL!$C$9, $D$9, 100%, $F$9) + CHOOSE(CONTROL!$C$27, 0.0021, 0)</f>
        <v>26.250399999999999</v>
      </c>
      <c r="F94" s="17">
        <f>26.2483 * CHOOSE(CONTROL!$C$9, $D$9, 100%, $F$9) + CHOOSE(CONTROL!$C$27, 0.0021, 0)</f>
        <v>26.250399999999999</v>
      </c>
      <c r="G94" s="17">
        <f>26.5197 * CHOOSE(CONTROL!$C$9, $D$9, 100%, $F$9) + CHOOSE(CONTROL!$C$27, 0.0021, 0)</f>
        <v>26.521799999999999</v>
      </c>
      <c r="H94" s="17">
        <f>26.3849 * CHOOSE(CONTROL!$C$9, $D$9, 100%, $F$9) + CHOOSE(CONTROL!$C$27, 0.0021, 0)</f>
        <v>26.386999999999997</v>
      </c>
      <c r="I94" s="17">
        <f>26.3849 * CHOOSE(CONTROL!$C$9, $D$9, 100%, $F$9) + CHOOSE(CONTROL!$C$27, 0.0021, 0)</f>
        <v>26.386999999999997</v>
      </c>
      <c r="J94" s="17">
        <f>26.3849 * CHOOSE(CONTROL!$C$9, $D$9, 100%, $F$9) + CHOOSE(CONTROL!$C$27, 0.0021, 0)</f>
        <v>26.386999999999997</v>
      </c>
      <c r="K94" s="17">
        <f>26.3849 * CHOOSE(CONTROL!$C$9, $D$9, 100%, $F$9) + CHOOSE(CONTROL!$C$27, 0.0021, 0)</f>
        <v>26.386999999999997</v>
      </c>
      <c r="L94" s="17"/>
    </row>
    <row r="95" spans="1:12" ht="15" x14ac:dyDescent="0.2">
      <c r="A95" s="16">
        <v>43435</v>
      </c>
      <c r="B95" s="17">
        <f>26.3858 * CHOOSE(CONTROL!$C$9, $D$9, 100%, $F$9) + CHOOSE(CONTROL!$C$27, 0.0021, 0)</f>
        <v>26.387899999999998</v>
      </c>
      <c r="C95" s="17">
        <f>25.9536 * CHOOSE(CONTROL!$C$9, $D$9, 100%, $F$9) + CHOOSE(CONTROL!$C$27, 0.0021, 0)</f>
        <v>25.9557</v>
      </c>
      <c r="D95" s="17">
        <f>25.9536 * CHOOSE(CONTROL!$C$9, $D$9, 100%, $F$9) + CHOOSE(CONTROL!$C$27, 0.0021, 0)</f>
        <v>25.9557</v>
      </c>
      <c r="E95" s="17">
        <f>25.8169 * CHOOSE(CONTROL!$C$9, $D$9, 100%, $F$9) + CHOOSE(CONTROL!$C$27, 0.0021, 0)</f>
        <v>25.818999999999999</v>
      </c>
      <c r="F95" s="17">
        <f>25.8169 * CHOOSE(CONTROL!$C$9, $D$9, 100%, $F$9) + CHOOSE(CONTROL!$C$27, 0.0021, 0)</f>
        <v>25.818999999999999</v>
      </c>
      <c r="G95" s="17">
        <f>26.0883 * CHOOSE(CONTROL!$C$9, $D$9, 100%, $F$9) + CHOOSE(CONTROL!$C$27, 0.0021, 0)</f>
        <v>26.090399999999999</v>
      </c>
      <c r="H95" s="17">
        <f>25.9536 * CHOOSE(CONTROL!$C$9, $D$9, 100%, $F$9) + CHOOSE(CONTROL!$C$27, 0.0021, 0)</f>
        <v>25.9557</v>
      </c>
      <c r="I95" s="17">
        <f>25.9536 * CHOOSE(CONTROL!$C$9, $D$9, 100%, $F$9) + CHOOSE(CONTROL!$C$27, 0.0021, 0)</f>
        <v>25.9557</v>
      </c>
      <c r="J95" s="17">
        <f>25.9536 * CHOOSE(CONTROL!$C$9, $D$9, 100%, $F$9) + CHOOSE(CONTROL!$C$27, 0.0021, 0)</f>
        <v>25.9557</v>
      </c>
      <c r="K95" s="17">
        <f>25.9536 * CHOOSE(CONTROL!$C$9, $D$9, 100%, $F$9) + CHOOSE(CONTROL!$C$27, 0.0021, 0)</f>
        <v>25.9557</v>
      </c>
      <c r="L95" s="17"/>
    </row>
    <row r="96" spans="1:12" ht="15" x14ac:dyDescent="0.2">
      <c r="A96" s="16">
        <v>43466</v>
      </c>
      <c r="B96" s="17">
        <f>25.7543 * CHOOSE(CONTROL!$C$9, $D$9, 100%, $F$9) + CHOOSE(CONTROL!$C$27, 0.0021, 0)</f>
        <v>25.756399999999999</v>
      </c>
      <c r="C96" s="17">
        <f>25.3221 * CHOOSE(CONTROL!$C$9, $D$9, 100%, $F$9) + CHOOSE(CONTROL!$C$27, 0.0021, 0)</f>
        <v>25.324199999999998</v>
      </c>
      <c r="D96" s="17">
        <f>25.3221 * CHOOSE(CONTROL!$C$9, $D$9, 100%, $F$9) + CHOOSE(CONTROL!$C$27, 0.0021, 0)</f>
        <v>25.324199999999998</v>
      </c>
      <c r="E96" s="17">
        <f>25.1854 * CHOOSE(CONTROL!$C$9, $D$9, 100%, $F$9) + CHOOSE(CONTROL!$C$27, 0.0021, 0)</f>
        <v>25.1875</v>
      </c>
      <c r="F96" s="17">
        <f>25.1854 * CHOOSE(CONTROL!$C$9, $D$9, 100%, $F$9) + CHOOSE(CONTROL!$C$27, 0.0021, 0)</f>
        <v>25.1875</v>
      </c>
      <c r="G96" s="17">
        <f>25.4568 * CHOOSE(CONTROL!$C$9, $D$9, 100%, $F$9) + CHOOSE(CONTROL!$C$27, 0.0021, 0)</f>
        <v>25.4589</v>
      </c>
      <c r="H96" s="17">
        <f>25.3221 * CHOOSE(CONTROL!$C$9, $D$9, 100%, $F$9) + CHOOSE(CONTROL!$C$27, 0.0021, 0)</f>
        <v>25.324199999999998</v>
      </c>
      <c r="I96" s="17">
        <f>25.3221 * CHOOSE(CONTROL!$C$9, $D$9, 100%, $F$9) + CHOOSE(CONTROL!$C$27, 0.0021, 0)</f>
        <v>25.324199999999998</v>
      </c>
      <c r="J96" s="17">
        <f>25.3221 * CHOOSE(CONTROL!$C$9, $D$9, 100%, $F$9) + CHOOSE(CONTROL!$C$27, 0.0021, 0)</f>
        <v>25.324199999999998</v>
      </c>
      <c r="K96" s="17">
        <f>25.3221 * CHOOSE(CONTROL!$C$9, $D$9, 100%, $F$9) + CHOOSE(CONTROL!$C$27, 0.0021, 0)</f>
        <v>25.324199999999998</v>
      </c>
      <c r="L96" s="17"/>
    </row>
    <row r="97" spans="1:12" ht="15" x14ac:dyDescent="0.2">
      <c r="A97" s="16">
        <v>43497</v>
      </c>
      <c r="B97" s="17">
        <f>25.1376 * CHOOSE(CONTROL!$C$9, $D$9, 100%, $F$9) + CHOOSE(CONTROL!$C$27, 0.0021, 0)</f>
        <v>25.139699999999998</v>
      </c>
      <c r="C97" s="17">
        <f>24.7054 * CHOOSE(CONTROL!$C$9, $D$9, 100%, $F$9) + CHOOSE(CONTROL!$C$27, 0.0021, 0)</f>
        <v>24.7075</v>
      </c>
      <c r="D97" s="17">
        <f>24.7054 * CHOOSE(CONTROL!$C$9, $D$9, 100%, $F$9) + CHOOSE(CONTROL!$C$27, 0.0021, 0)</f>
        <v>24.7075</v>
      </c>
      <c r="E97" s="17">
        <f>24.5687 * CHOOSE(CONTROL!$C$9, $D$9, 100%, $F$9) + CHOOSE(CONTROL!$C$27, 0.0021, 0)</f>
        <v>24.570799999999998</v>
      </c>
      <c r="F97" s="17">
        <f>24.5687 * CHOOSE(CONTROL!$C$9, $D$9, 100%, $F$9) + CHOOSE(CONTROL!$C$27, 0.0021, 0)</f>
        <v>24.570799999999998</v>
      </c>
      <c r="G97" s="17">
        <f>24.8401 * CHOOSE(CONTROL!$C$9, $D$9, 100%, $F$9) + CHOOSE(CONTROL!$C$27, 0.0021, 0)</f>
        <v>24.842199999999998</v>
      </c>
      <c r="H97" s="17">
        <f>24.7054 * CHOOSE(CONTROL!$C$9, $D$9, 100%, $F$9) + CHOOSE(CONTROL!$C$27, 0.0021, 0)</f>
        <v>24.7075</v>
      </c>
      <c r="I97" s="17">
        <f>24.7054 * CHOOSE(CONTROL!$C$9, $D$9, 100%, $F$9) + CHOOSE(CONTROL!$C$27, 0.0021, 0)</f>
        <v>24.7075</v>
      </c>
      <c r="J97" s="17">
        <f>24.7054 * CHOOSE(CONTROL!$C$9, $D$9, 100%, $F$9) + CHOOSE(CONTROL!$C$27, 0.0021, 0)</f>
        <v>24.7075</v>
      </c>
      <c r="K97" s="17">
        <f>24.7054 * CHOOSE(CONTROL!$C$9, $D$9, 100%, $F$9) + CHOOSE(CONTROL!$C$27, 0.0021, 0)</f>
        <v>24.7075</v>
      </c>
      <c r="L97" s="17"/>
    </row>
    <row r="98" spans="1:12" ht="15" x14ac:dyDescent="0.2">
      <c r="A98" s="16">
        <v>43525</v>
      </c>
      <c r="B98" s="17">
        <f>24.9096 * CHOOSE(CONTROL!$C$9, $D$9, 100%, $F$9) + CHOOSE(CONTROL!$C$27, 0.0021, 0)</f>
        <v>24.9117</v>
      </c>
      <c r="C98" s="17">
        <f>24.4774 * CHOOSE(CONTROL!$C$9, $D$9, 100%, $F$9) + CHOOSE(CONTROL!$C$27, 0.0021, 0)</f>
        <v>24.479499999999998</v>
      </c>
      <c r="D98" s="17">
        <f>24.4774 * CHOOSE(CONTROL!$C$9, $D$9, 100%, $F$9) + CHOOSE(CONTROL!$C$27, 0.0021, 0)</f>
        <v>24.479499999999998</v>
      </c>
      <c r="E98" s="17">
        <f>24.3407 * CHOOSE(CONTROL!$C$9, $D$9, 100%, $F$9) + CHOOSE(CONTROL!$C$27, 0.0021, 0)</f>
        <v>24.342799999999997</v>
      </c>
      <c r="F98" s="17">
        <f>24.3407 * CHOOSE(CONTROL!$C$9, $D$9, 100%, $F$9) + CHOOSE(CONTROL!$C$27, 0.0021, 0)</f>
        <v>24.342799999999997</v>
      </c>
      <c r="G98" s="17">
        <f>24.6121 * CHOOSE(CONTROL!$C$9, $D$9, 100%, $F$9) + CHOOSE(CONTROL!$C$27, 0.0021, 0)</f>
        <v>24.6142</v>
      </c>
      <c r="H98" s="17">
        <f>24.4774 * CHOOSE(CONTROL!$C$9, $D$9, 100%, $F$9) + CHOOSE(CONTROL!$C$27, 0.0021, 0)</f>
        <v>24.479499999999998</v>
      </c>
      <c r="I98" s="17">
        <f>24.4774 * CHOOSE(CONTROL!$C$9, $D$9, 100%, $F$9) + CHOOSE(CONTROL!$C$27, 0.0021, 0)</f>
        <v>24.479499999999998</v>
      </c>
      <c r="J98" s="17">
        <f>24.4774 * CHOOSE(CONTROL!$C$9, $D$9, 100%, $F$9) + CHOOSE(CONTROL!$C$27, 0.0021, 0)</f>
        <v>24.479499999999998</v>
      </c>
      <c r="K98" s="17">
        <f>24.4774 * CHOOSE(CONTROL!$C$9, $D$9, 100%, $F$9) + CHOOSE(CONTROL!$C$27, 0.0021, 0)</f>
        <v>24.479499999999998</v>
      </c>
      <c r="L98" s="17"/>
    </row>
    <row r="99" spans="1:12" ht="15" x14ac:dyDescent="0.2">
      <c r="A99" s="16">
        <v>43556</v>
      </c>
      <c r="B99" s="17">
        <f>24.6271 * CHOOSE(CONTROL!$C$9, $D$9, 100%, $F$9) + CHOOSE(CONTROL!$C$27, 0.0021, 0)</f>
        <v>24.629199999999997</v>
      </c>
      <c r="C99" s="17">
        <f>24.1948 * CHOOSE(CONTROL!$C$9, $D$9, 100%, $F$9) + CHOOSE(CONTROL!$C$27, 0.0021, 0)</f>
        <v>24.196899999999999</v>
      </c>
      <c r="D99" s="17">
        <f>24.1948 * CHOOSE(CONTROL!$C$9, $D$9, 100%, $F$9) + CHOOSE(CONTROL!$C$27, 0.0021, 0)</f>
        <v>24.196899999999999</v>
      </c>
      <c r="E99" s="17">
        <f>24.0582 * CHOOSE(CONTROL!$C$9, $D$9, 100%, $F$9) + CHOOSE(CONTROL!$C$27, 0.0021, 0)</f>
        <v>24.060299999999998</v>
      </c>
      <c r="F99" s="17">
        <f>24.0582 * CHOOSE(CONTROL!$C$9, $D$9, 100%, $F$9) + CHOOSE(CONTROL!$C$27, 0.0021, 0)</f>
        <v>24.060299999999998</v>
      </c>
      <c r="G99" s="17">
        <f>24.3296 * CHOOSE(CONTROL!$C$9, $D$9, 100%, $F$9) + CHOOSE(CONTROL!$C$27, 0.0021, 0)</f>
        <v>24.331699999999998</v>
      </c>
      <c r="H99" s="17">
        <f>24.1948 * CHOOSE(CONTROL!$C$9, $D$9, 100%, $F$9) + CHOOSE(CONTROL!$C$27, 0.0021, 0)</f>
        <v>24.196899999999999</v>
      </c>
      <c r="I99" s="17">
        <f>24.1948 * CHOOSE(CONTROL!$C$9, $D$9, 100%, $F$9) + CHOOSE(CONTROL!$C$27, 0.0021, 0)</f>
        <v>24.196899999999999</v>
      </c>
      <c r="J99" s="17">
        <f>24.1948 * CHOOSE(CONTROL!$C$9, $D$9, 100%, $F$9) + CHOOSE(CONTROL!$C$27, 0.0021, 0)</f>
        <v>24.196899999999999</v>
      </c>
      <c r="K99" s="17">
        <f>24.1948 * CHOOSE(CONTROL!$C$9, $D$9, 100%, $F$9) + CHOOSE(CONTROL!$C$27, 0.0021, 0)</f>
        <v>24.196899999999999</v>
      </c>
      <c r="L99" s="17"/>
    </row>
    <row r="100" spans="1:12" ht="15" x14ac:dyDescent="0.2">
      <c r="A100" s="16">
        <v>43586</v>
      </c>
      <c r="B100" s="17">
        <f>25.1431 * CHOOSE(CONTROL!$C$9, $D$9, 100%, $F$9) + CHOOSE(CONTROL!$C$27, 0.0021, 0)</f>
        <v>25.145199999999999</v>
      </c>
      <c r="C100" s="17">
        <f>24.7109 * CHOOSE(CONTROL!$C$9, $D$9, 100%, $F$9) + CHOOSE(CONTROL!$C$27, 0.0021, 0)</f>
        <v>24.712999999999997</v>
      </c>
      <c r="D100" s="17">
        <f>24.7109 * CHOOSE(CONTROL!$C$9, $D$9, 100%, $F$9) + CHOOSE(CONTROL!$C$27, 0.0021, 0)</f>
        <v>24.712999999999997</v>
      </c>
      <c r="E100" s="17">
        <f>24.5742 * CHOOSE(CONTROL!$C$9, $D$9, 100%, $F$9) + CHOOSE(CONTROL!$C$27, 0.0021, 0)</f>
        <v>24.5763</v>
      </c>
      <c r="F100" s="17">
        <f>24.5742 * CHOOSE(CONTROL!$C$9, $D$9, 100%, $F$9) + CHOOSE(CONTROL!$C$27, 0.0021, 0)</f>
        <v>24.5763</v>
      </c>
      <c r="G100" s="17">
        <f>24.8456 * CHOOSE(CONTROL!$C$9, $D$9, 100%, $F$9) + CHOOSE(CONTROL!$C$27, 0.0021, 0)</f>
        <v>24.8477</v>
      </c>
      <c r="H100" s="17">
        <f>24.7109 * CHOOSE(CONTROL!$C$9, $D$9, 100%, $F$9) + CHOOSE(CONTROL!$C$27, 0.0021, 0)</f>
        <v>24.712999999999997</v>
      </c>
      <c r="I100" s="17">
        <f>24.7109 * CHOOSE(CONTROL!$C$9, $D$9, 100%, $F$9) + CHOOSE(CONTROL!$C$27, 0.0021, 0)</f>
        <v>24.712999999999997</v>
      </c>
      <c r="J100" s="17">
        <f>24.7109 * CHOOSE(CONTROL!$C$9, $D$9, 100%, $F$9) + CHOOSE(CONTROL!$C$27, 0.0021, 0)</f>
        <v>24.712999999999997</v>
      </c>
      <c r="K100" s="17">
        <f>24.7109 * CHOOSE(CONTROL!$C$9, $D$9, 100%, $F$9) + CHOOSE(CONTROL!$C$27, 0.0021, 0)</f>
        <v>24.712999999999997</v>
      </c>
      <c r="L100" s="17"/>
    </row>
    <row r="101" spans="1:12" ht="15" x14ac:dyDescent="0.2">
      <c r="A101" s="16">
        <v>43617</v>
      </c>
      <c r="B101" s="17">
        <f>25.4723 * CHOOSE(CONTROL!$C$9, $D$9, 100%, $F$9) + CHOOSE(CONTROL!$C$27, 0.0021, 0)</f>
        <v>25.474399999999999</v>
      </c>
      <c r="C101" s="17">
        <f>25.04 * CHOOSE(CONTROL!$C$9, $D$9, 100%, $F$9) + CHOOSE(CONTROL!$C$27, 0.0021, 0)</f>
        <v>25.042099999999998</v>
      </c>
      <c r="D101" s="17">
        <f>25.04 * CHOOSE(CONTROL!$C$9, $D$9, 100%, $F$9) + CHOOSE(CONTROL!$C$27, 0.0021, 0)</f>
        <v>25.042099999999998</v>
      </c>
      <c r="E101" s="17">
        <f>24.9034 * CHOOSE(CONTROL!$C$9, $D$9, 100%, $F$9) + CHOOSE(CONTROL!$C$27, 0.0021, 0)</f>
        <v>24.9055</v>
      </c>
      <c r="F101" s="17">
        <f>24.9034 * CHOOSE(CONTROL!$C$9, $D$9, 100%, $F$9) + CHOOSE(CONTROL!$C$27, 0.0021, 0)</f>
        <v>24.9055</v>
      </c>
      <c r="G101" s="17">
        <f>25.1747 * CHOOSE(CONTROL!$C$9, $D$9, 100%, $F$9) + CHOOSE(CONTROL!$C$27, 0.0021, 0)</f>
        <v>25.1768</v>
      </c>
      <c r="H101" s="17">
        <f>25.04 * CHOOSE(CONTROL!$C$9, $D$9, 100%, $F$9) + CHOOSE(CONTROL!$C$27, 0.0021, 0)</f>
        <v>25.042099999999998</v>
      </c>
      <c r="I101" s="17">
        <f>25.04 * CHOOSE(CONTROL!$C$9, $D$9, 100%, $F$9) + CHOOSE(CONTROL!$C$27, 0.0021, 0)</f>
        <v>25.042099999999998</v>
      </c>
      <c r="J101" s="17">
        <f>25.04 * CHOOSE(CONTROL!$C$9, $D$9, 100%, $F$9) + CHOOSE(CONTROL!$C$27, 0.0021, 0)</f>
        <v>25.042099999999998</v>
      </c>
      <c r="K101" s="17">
        <f>25.04 * CHOOSE(CONTROL!$C$9, $D$9, 100%, $F$9) + CHOOSE(CONTROL!$C$27, 0.0021, 0)</f>
        <v>25.042099999999998</v>
      </c>
      <c r="L101" s="17"/>
    </row>
    <row r="102" spans="1:12" ht="15" x14ac:dyDescent="0.2">
      <c r="A102" s="16">
        <v>43647</v>
      </c>
      <c r="B102" s="17">
        <f>25.9863 * CHOOSE(CONTROL!$C$9, $D$9, 100%, $F$9) + CHOOSE(CONTROL!$C$27, 0.0021, 0)</f>
        <v>25.988399999999999</v>
      </c>
      <c r="C102" s="17">
        <f>25.5541 * CHOOSE(CONTROL!$C$9, $D$9, 100%, $F$9) + CHOOSE(CONTROL!$C$27, 0.0021, 0)</f>
        <v>25.556199999999997</v>
      </c>
      <c r="D102" s="17">
        <f>25.5541 * CHOOSE(CONTROL!$C$9, $D$9, 100%, $F$9) + CHOOSE(CONTROL!$C$27, 0.0021, 0)</f>
        <v>25.556199999999997</v>
      </c>
      <c r="E102" s="17">
        <f>25.4174 * CHOOSE(CONTROL!$C$9, $D$9, 100%, $F$9) + CHOOSE(CONTROL!$C$27, 0.0021, 0)</f>
        <v>25.419499999999999</v>
      </c>
      <c r="F102" s="17">
        <f>25.4174 * CHOOSE(CONTROL!$C$9, $D$9, 100%, $F$9) + CHOOSE(CONTROL!$C$27, 0.0021, 0)</f>
        <v>25.419499999999999</v>
      </c>
      <c r="G102" s="17">
        <f>25.6888 * CHOOSE(CONTROL!$C$9, $D$9, 100%, $F$9) + CHOOSE(CONTROL!$C$27, 0.0021, 0)</f>
        <v>25.690899999999999</v>
      </c>
      <c r="H102" s="17">
        <f>25.5541 * CHOOSE(CONTROL!$C$9, $D$9, 100%, $F$9) + CHOOSE(CONTROL!$C$27, 0.0021, 0)</f>
        <v>25.556199999999997</v>
      </c>
      <c r="I102" s="17">
        <f>25.5541 * CHOOSE(CONTROL!$C$9, $D$9, 100%, $F$9) + CHOOSE(CONTROL!$C$27, 0.0021, 0)</f>
        <v>25.556199999999997</v>
      </c>
      <c r="J102" s="17">
        <f>25.5541 * CHOOSE(CONTROL!$C$9, $D$9, 100%, $F$9) + CHOOSE(CONTROL!$C$27, 0.0021, 0)</f>
        <v>25.556199999999997</v>
      </c>
      <c r="K102" s="17">
        <f>25.5541 * CHOOSE(CONTROL!$C$9, $D$9, 100%, $F$9) + CHOOSE(CONTROL!$C$27, 0.0021, 0)</f>
        <v>25.556199999999997</v>
      </c>
      <c r="L102" s="17"/>
    </row>
    <row r="103" spans="1:12" ht="15" x14ac:dyDescent="0.2">
      <c r="A103" s="16">
        <v>43678</v>
      </c>
      <c r="B103" s="17">
        <f>26.1777 * CHOOSE(CONTROL!$C$9, $D$9, 100%, $F$9) + CHOOSE(CONTROL!$C$27, 0.0021, 0)</f>
        <v>26.1798</v>
      </c>
      <c r="C103" s="17">
        <f>25.7455 * CHOOSE(CONTROL!$C$9, $D$9, 100%, $F$9) + CHOOSE(CONTROL!$C$27, 0.0021, 0)</f>
        <v>25.747599999999998</v>
      </c>
      <c r="D103" s="17">
        <f>25.7455 * CHOOSE(CONTROL!$C$9, $D$9, 100%, $F$9) + CHOOSE(CONTROL!$C$27, 0.0021, 0)</f>
        <v>25.747599999999998</v>
      </c>
      <c r="E103" s="17">
        <f>25.6088 * CHOOSE(CONTROL!$C$9, $D$9, 100%, $F$9) + CHOOSE(CONTROL!$C$27, 0.0021, 0)</f>
        <v>25.610899999999997</v>
      </c>
      <c r="F103" s="17">
        <f>25.6088 * CHOOSE(CONTROL!$C$9, $D$9, 100%, $F$9) + CHOOSE(CONTROL!$C$27, 0.0021, 0)</f>
        <v>25.610899999999997</v>
      </c>
      <c r="G103" s="17">
        <f>25.8802 * CHOOSE(CONTROL!$C$9, $D$9, 100%, $F$9) + CHOOSE(CONTROL!$C$27, 0.0021, 0)</f>
        <v>25.882299999999997</v>
      </c>
      <c r="H103" s="17">
        <f>25.7455 * CHOOSE(CONTROL!$C$9, $D$9, 100%, $F$9) + CHOOSE(CONTROL!$C$27, 0.0021, 0)</f>
        <v>25.747599999999998</v>
      </c>
      <c r="I103" s="17">
        <f>25.7455 * CHOOSE(CONTROL!$C$9, $D$9, 100%, $F$9) + CHOOSE(CONTROL!$C$27, 0.0021, 0)</f>
        <v>25.747599999999998</v>
      </c>
      <c r="J103" s="17">
        <f>25.7455 * CHOOSE(CONTROL!$C$9, $D$9, 100%, $F$9) + CHOOSE(CONTROL!$C$27, 0.0021, 0)</f>
        <v>25.747599999999998</v>
      </c>
      <c r="K103" s="17">
        <f>25.7455 * CHOOSE(CONTROL!$C$9, $D$9, 100%, $F$9) + CHOOSE(CONTROL!$C$27, 0.0021, 0)</f>
        <v>25.747599999999998</v>
      </c>
      <c r="L103" s="17"/>
    </row>
    <row r="104" spans="1:12" ht="15" x14ac:dyDescent="0.2">
      <c r="A104" s="16">
        <v>43709</v>
      </c>
      <c r="B104" s="17">
        <f>26.7137 * CHOOSE(CONTROL!$C$9, $D$9, 100%, $F$9) + CHOOSE(CONTROL!$C$27, 0.0021, 0)</f>
        <v>26.715799999999998</v>
      </c>
      <c r="C104" s="17">
        <f>26.2814 * CHOOSE(CONTROL!$C$9, $D$9, 100%, $F$9) + CHOOSE(CONTROL!$C$27, 0.0021, 0)</f>
        <v>26.2835</v>
      </c>
      <c r="D104" s="17">
        <f>26.2814 * CHOOSE(CONTROL!$C$9, $D$9, 100%, $F$9) + CHOOSE(CONTROL!$C$27, 0.0021, 0)</f>
        <v>26.2835</v>
      </c>
      <c r="E104" s="17">
        <f>26.1448 * CHOOSE(CONTROL!$C$9, $D$9, 100%, $F$9) + CHOOSE(CONTROL!$C$27, 0.0021, 0)</f>
        <v>26.146899999999999</v>
      </c>
      <c r="F104" s="17">
        <f>26.1448 * CHOOSE(CONTROL!$C$9, $D$9, 100%, $F$9) + CHOOSE(CONTROL!$C$27, 0.0021, 0)</f>
        <v>26.146899999999999</v>
      </c>
      <c r="G104" s="17">
        <f>26.4161 * CHOOSE(CONTROL!$C$9, $D$9, 100%, $F$9) + CHOOSE(CONTROL!$C$27, 0.0021, 0)</f>
        <v>26.418199999999999</v>
      </c>
      <c r="H104" s="17">
        <f>26.2814 * CHOOSE(CONTROL!$C$9, $D$9, 100%, $F$9) + CHOOSE(CONTROL!$C$27, 0.0021, 0)</f>
        <v>26.2835</v>
      </c>
      <c r="I104" s="17">
        <f>26.2814 * CHOOSE(CONTROL!$C$9, $D$9, 100%, $F$9) + CHOOSE(CONTROL!$C$27, 0.0021, 0)</f>
        <v>26.2835</v>
      </c>
      <c r="J104" s="17">
        <f>26.2814 * CHOOSE(CONTROL!$C$9, $D$9, 100%, $F$9) + CHOOSE(CONTROL!$C$27, 0.0021, 0)</f>
        <v>26.2835</v>
      </c>
      <c r="K104" s="17">
        <f>26.2814 * CHOOSE(CONTROL!$C$9, $D$9, 100%, $F$9) + CHOOSE(CONTROL!$C$27, 0.0021, 0)</f>
        <v>26.2835</v>
      </c>
      <c r="L104" s="17"/>
    </row>
    <row r="105" spans="1:12" ht="15" x14ac:dyDescent="0.2">
      <c r="A105" s="16">
        <v>43739</v>
      </c>
      <c r="B105" s="17">
        <f>27.3813 * CHOOSE(CONTROL!$C$9, $D$9, 100%, $F$9) + CHOOSE(CONTROL!$C$27, 0.0021, 0)</f>
        <v>27.383399999999998</v>
      </c>
      <c r="C105" s="17">
        <f>26.9491 * CHOOSE(CONTROL!$C$9, $D$9, 100%, $F$9) + CHOOSE(CONTROL!$C$27, 0.0021, 0)</f>
        <v>26.9512</v>
      </c>
      <c r="D105" s="17">
        <f>26.9491 * CHOOSE(CONTROL!$C$9, $D$9, 100%, $F$9) + CHOOSE(CONTROL!$C$27, 0.0021, 0)</f>
        <v>26.9512</v>
      </c>
      <c r="E105" s="17">
        <f>26.8124 * CHOOSE(CONTROL!$C$9, $D$9, 100%, $F$9) + CHOOSE(CONTROL!$C$27, 0.0021, 0)</f>
        <v>26.814499999999999</v>
      </c>
      <c r="F105" s="17">
        <f>26.8124 * CHOOSE(CONTROL!$C$9, $D$9, 100%, $F$9) + CHOOSE(CONTROL!$C$27, 0.0021, 0)</f>
        <v>26.814499999999999</v>
      </c>
      <c r="G105" s="17">
        <f>27.0838 * CHOOSE(CONTROL!$C$9, $D$9, 100%, $F$9) + CHOOSE(CONTROL!$C$27, 0.0021, 0)</f>
        <v>27.085899999999999</v>
      </c>
      <c r="H105" s="17">
        <f>26.9491 * CHOOSE(CONTROL!$C$9, $D$9, 100%, $F$9) + CHOOSE(CONTROL!$C$27, 0.0021, 0)</f>
        <v>26.9512</v>
      </c>
      <c r="I105" s="17">
        <f>26.9491 * CHOOSE(CONTROL!$C$9, $D$9, 100%, $F$9) + CHOOSE(CONTROL!$C$27, 0.0021, 0)</f>
        <v>26.9512</v>
      </c>
      <c r="J105" s="17">
        <f>26.9491 * CHOOSE(CONTROL!$C$9, $D$9, 100%, $F$9) + CHOOSE(CONTROL!$C$27, 0.0021, 0)</f>
        <v>26.9512</v>
      </c>
      <c r="K105" s="17">
        <f>26.9491 * CHOOSE(CONTROL!$C$9, $D$9, 100%, $F$9) + CHOOSE(CONTROL!$C$27, 0.0021, 0)</f>
        <v>26.9512</v>
      </c>
      <c r="L105" s="17"/>
    </row>
    <row r="106" spans="1:12" ht="15" x14ac:dyDescent="0.2">
      <c r="A106" s="16">
        <v>43770</v>
      </c>
      <c r="B106" s="17">
        <f>27.4911 * CHOOSE(CONTROL!$C$9, $D$9, 100%, $F$9) + CHOOSE(CONTROL!$C$27, 0.0021, 0)</f>
        <v>27.493199999999998</v>
      </c>
      <c r="C106" s="17">
        <f>27.0588 * CHOOSE(CONTROL!$C$9, $D$9, 100%, $F$9) + CHOOSE(CONTROL!$C$27, 0.0021, 0)</f>
        <v>27.0609</v>
      </c>
      <c r="D106" s="17">
        <f>27.0588 * CHOOSE(CONTROL!$C$9, $D$9, 100%, $F$9) + CHOOSE(CONTROL!$C$27, 0.0021, 0)</f>
        <v>27.0609</v>
      </c>
      <c r="E106" s="17">
        <f>26.9222 * CHOOSE(CONTROL!$C$9, $D$9, 100%, $F$9) + CHOOSE(CONTROL!$C$27, 0.0021, 0)</f>
        <v>26.924299999999999</v>
      </c>
      <c r="F106" s="17">
        <f>26.9222 * CHOOSE(CONTROL!$C$9, $D$9, 100%, $F$9) + CHOOSE(CONTROL!$C$27, 0.0021, 0)</f>
        <v>26.924299999999999</v>
      </c>
      <c r="G106" s="17">
        <f>27.1935 * CHOOSE(CONTROL!$C$9, $D$9, 100%, $F$9) + CHOOSE(CONTROL!$C$27, 0.0021, 0)</f>
        <v>27.195599999999999</v>
      </c>
      <c r="H106" s="17">
        <f>27.0588 * CHOOSE(CONTROL!$C$9, $D$9, 100%, $F$9) + CHOOSE(CONTROL!$C$27, 0.0021, 0)</f>
        <v>27.0609</v>
      </c>
      <c r="I106" s="17">
        <f>27.0588 * CHOOSE(CONTROL!$C$9, $D$9, 100%, $F$9) + CHOOSE(CONTROL!$C$27, 0.0021, 0)</f>
        <v>27.0609</v>
      </c>
      <c r="J106" s="17">
        <f>27.0588 * CHOOSE(CONTROL!$C$9, $D$9, 100%, $F$9) + CHOOSE(CONTROL!$C$27, 0.0021, 0)</f>
        <v>27.0609</v>
      </c>
      <c r="K106" s="17">
        <f>27.0588 * CHOOSE(CONTROL!$C$9, $D$9, 100%, $F$9) + CHOOSE(CONTROL!$C$27, 0.0021, 0)</f>
        <v>27.0609</v>
      </c>
      <c r="L106" s="17"/>
    </row>
    <row r="107" spans="1:12" ht="15" x14ac:dyDescent="0.2">
      <c r="A107" s="16">
        <v>43800</v>
      </c>
      <c r="B107" s="17">
        <f>27.0479 * CHOOSE(CONTROL!$C$9, $D$9, 100%, $F$9) + CHOOSE(CONTROL!$C$27, 0.0021, 0)</f>
        <v>27.049999999999997</v>
      </c>
      <c r="C107" s="17">
        <f>26.6156 * CHOOSE(CONTROL!$C$9, $D$9, 100%, $F$9) + CHOOSE(CONTROL!$C$27, 0.0021, 0)</f>
        <v>26.617699999999999</v>
      </c>
      <c r="D107" s="17">
        <f>26.6156 * CHOOSE(CONTROL!$C$9, $D$9, 100%, $F$9) + CHOOSE(CONTROL!$C$27, 0.0021, 0)</f>
        <v>26.617699999999999</v>
      </c>
      <c r="E107" s="17">
        <f>26.479 * CHOOSE(CONTROL!$C$9, $D$9, 100%, $F$9) + CHOOSE(CONTROL!$C$27, 0.0021, 0)</f>
        <v>26.481099999999998</v>
      </c>
      <c r="F107" s="17">
        <f>26.479 * CHOOSE(CONTROL!$C$9, $D$9, 100%, $F$9) + CHOOSE(CONTROL!$C$27, 0.0021, 0)</f>
        <v>26.481099999999998</v>
      </c>
      <c r="G107" s="17">
        <f>26.7503 * CHOOSE(CONTROL!$C$9, $D$9, 100%, $F$9) + CHOOSE(CONTROL!$C$27, 0.0021, 0)</f>
        <v>26.752399999999998</v>
      </c>
      <c r="H107" s="17">
        <f>26.6156 * CHOOSE(CONTROL!$C$9, $D$9, 100%, $F$9) + CHOOSE(CONTROL!$C$27, 0.0021, 0)</f>
        <v>26.617699999999999</v>
      </c>
      <c r="I107" s="17">
        <f>26.6156 * CHOOSE(CONTROL!$C$9, $D$9, 100%, $F$9) + CHOOSE(CONTROL!$C$27, 0.0021, 0)</f>
        <v>26.617699999999999</v>
      </c>
      <c r="J107" s="17">
        <f>26.6156 * CHOOSE(CONTROL!$C$9, $D$9, 100%, $F$9) + CHOOSE(CONTROL!$C$27, 0.0021, 0)</f>
        <v>26.617699999999999</v>
      </c>
      <c r="K107" s="17">
        <f>26.6156 * CHOOSE(CONTROL!$C$9, $D$9, 100%, $F$9) + CHOOSE(CONTROL!$C$27, 0.0021, 0)</f>
        <v>26.617699999999999</v>
      </c>
      <c r="L107" s="17"/>
    </row>
    <row r="108" spans="1:12" ht="15" x14ac:dyDescent="0.2">
      <c r="A108" s="16">
        <v>43831</v>
      </c>
      <c r="B108" s="17">
        <f>26.5345 * CHOOSE(CONTROL!$C$9, $D$9, 100%, $F$9) + CHOOSE(CONTROL!$C$27, 0.0021, 0)</f>
        <v>26.5366</v>
      </c>
      <c r="C108" s="17">
        <f>26.1023 * CHOOSE(CONTROL!$C$9, $D$9, 100%, $F$9) + CHOOSE(CONTROL!$C$27, 0.0021, 0)</f>
        <v>26.104399999999998</v>
      </c>
      <c r="D108" s="17">
        <f>26.1023 * CHOOSE(CONTROL!$C$9, $D$9, 100%, $F$9) + CHOOSE(CONTROL!$C$27, 0.0021, 0)</f>
        <v>26.104399999999998</v>
      </c>
      <c r="E108" s="17">
        <f>25.9656 * CHOOSE(CONTROL!$C$9, $D$9, 100%, $F$9) + CHOOSE(CONTROL!$C$27, 0.0021, 0)</f>
        <v>25.967699999999997</v>
      </c>
      <c r="F108" s="17">
        <f>25.9656 * CHOOSE(CONTROL!$C$9, $D$9, 100%, $F$9) + CHOOSE(CONTROL!$C$27, 0.0021, 0)</f>
        <v>25.967699999999997</v>
      </c>
      <c r="G108" s="17">
        <f>26.237 * CHOOSE(CONTROL!$C$9, $D$9, 100%, $F$9) + CHOOSE(CONTROL!$C$27, 0.0021, 0)</f>
        <v>26.239099999999997</v>
      </c>
      <c r="H108" s="17">
        <f>26.1023 * CHOOSE(CONTROL!$C$9, $D$9, 100%, $F$9) + CHOOSE(CONTROL!$C$27, 0.0021, 0)</f>
        <v>26.104399999999998</v>
      </c>
      <c r="I108" s="17">
        <f>26.1023 * CHOOSE(CONTROL!$C$9, $D$9, 100%, $F$9) + CHOOSE(CONTROL!$C$27, 0.0021, 0)</f>
        <v>26.104399999999998</v>
      </c>
      <c r="J108" s="17">
        <f>26.1023 * CHOOSE(CONTROL!$C$9, $D$9, 100%, $F$9) + CHOOSE(CONTROL!$C$27, 0.0021, 0)</f>
        <v>26.104399999999998</v>
      </c>
      <c r="K108" s="17">
        <f>26.1023 * CHOOSE(CONTROL!$C$9, $D$9, 100%, $F$9) + CHOOSE(CONTROL!$C$27, 0.0021, 0)</f>
        <v>26.104399999999998</v>
      </c>
      <c r="L108" s="17"/>
    </row>
    <row r="109" spans="1:12" ht="15" x14ac:dyDescent="0.2">
      <c r="A109" s="16">
        <v>43862</v>
      </c>
      <c r="B109" s="17">
        <f>25.8973 * CHOOSE(CONTROL!$C$9, $D$9, 100%, $F$9) + CHOOSE(CONTROL!$C$27, 0.0021, 0)</f>
        <v>25.8994</v>
      </c>
      <c r="C109" s="17">
        <f>25.4651 * CHOOSE(CONTROL!$C$9, $D$9, 100%, $F$9) + CHOOSE(CONTROL!$C$27, 0.0021, 0)</f>
        <v>25.467199999999998</v>
      </c>
      <c r="D109" s="17">
        <f>25.4651 * CHOOSE(CONTROL!$C$9, $D$9, 100%, $F$9) + CHOOSE(CONTROL!$C$27, 0.0021, 0)</f>
        <v>25.467199999999998</v>
      </c>
      <c r="E109" s="17">
        <f>25.3284 * CHOOSE(CONTROL!$C$9, $D$9, 100%, $F$9) + CHOOSE(CONTROL!$C$27, 0.0021, 0)</f>
        <v>25.330499999999997</v>
      </c>
      <c r="F109" s="17">
        <f>25.3284 * CHOOSE(CONTROL!$C$9, $D$9, 100%, $F$9) + CHOOSE(CONTROL!$C$27, 0.0021, 0)</f>
        <v>25.330499999999997</v>
      </c>
      <c r="G109" s="17">
        <f>25.5998 * CHOOSE(CONTROL!$C$9, $D$9, 100%, $F$9) + CHOOSE(CONTROL!$C$27, 0.0021, 0)</f>
        <v>25.601899999999997</v>
      </c>
      <c r="H109" s="17">
        <f>25.4651 * CHOOSE(CONTROL!$C$9, $D$9, 100%, $F$9) + CHOOSE(CONTROL!$C$27, 0.0021, 0)</f>
        <v>25.467199999999998</v>
      </c>
      <c r="I109" s="17">
        <f>25.4651 * CHOOSE(CONTROL!$C$9, $D$9, 100%, $F$9) + CHOOSE(CONTROL!$C$27, 0.0021, 0)</f>
        <v>25.467199999999998</v>
      </c>
      <c r="J109" s="17">
        <f>25.4651 * CHOOSE(CONTROL!$C$9, $D$9, 100%, $F$9) + CHOOSE(CONTROL!$C$27, 0.0021, 0)</f>
        <v>25.467199999999998</v>
      </c>
      <c r="K109" s="17">
        <f>25.4651 * CHOOSE(CONTROL!$C$9, $D$9, 100%, $F$9) + CHOOSE(CONTROL!$C$27, 0.0021, 0)</f>
        <v>25.467199999999998</v>
      </c>
      <c r="L109" s="17"/>
    </row>
    <row r="110" spans="1:12" ht="15" x14ac:dyDescent="0.2">
      <c r="A110" s="16">
        <v>43891</v>
      </c>
      <c r="B110" s="17">
        <f>25.6617 * CHOOSE(CONTROL!$C$9, $D$9, 100%, $F$9) + CHOOSE(CONTROL!$C$27, 0.0021, 0)</f>
        <v>25.663799999999998</v>
      </c>
      <c r="C110" s="17">
        <f>25.2295 * CHOOSE(CONTROL!$C$9, $D$9, 100%, $F$9) + CHOOSE(CONTROL!$C$27, 0.0021, 0)</f>
        <v>25.2316</v>
      </c>
      <c r="D110" s="17">
        <f>25.2295 * CHOOSE(CONTROL!$C$9, $D$9, 100%, $F$9) + CHOOSE(CONTROL!$C$27, 0.0021, 0)</f>
        <v>25.2316</v>
      </c>
      <c r="E110" s="17">
        <f>25.0928 * CHOOSE(CONTROL!$C$9, $D$9, 100%, $F$9) + CHOOSE(CONTROL!$C$27, 0.0021, 0)</f>
        <v>25.094899999999999</v>
      </c>
      <c r="F110" s="17">
        <f>25.0928 * CHOOSE(CONTROL!$C$9, $D$9, 100%, $F$9) + CHOOSE(CONTROL!$C$27, 0.0021, 0)</f>
        <v>25.094899999999999</v>
      </c>
      <c r="G110" s="17">
        <f>25.3642 * CHOOSE(CONTROL!$C$9, $D$9, 100%, $F$9) + CHOOSE(CONTROL!$C$27, 0.0021, 0)</f>
        <v>25.366299999999999</v>
      </c>
      <c r="H110" s="17">
        <f>25.2295 * CHOOSE(CONTROL!$C$9, $D$9, 100%, $F$9) + CHOOSE(CONTROL!$C$27, 0.0021, 0)</f>
        <v>25.2316</v>
      </c>
      <c r="I110" s="17">
        <f>25.2295 * CHOOSE(CONTROL!$C$9, $D$9, 100%, $F$9) + CHOOSE(CONTROL!$C$27, 0.0021, 0)</f>
        <v>25.2316</v>
      </c>
      <c r="J110" s="17">
        <f>25.2295 * CHOOSE(CONTROL!$C$9, $D$9, 100%, $F$9) + CHOOSE(CONTROL!$C$27, 0.0021, 0)</f>
        <v>25.2316</v>
      </c>
      <c r="K110" s="17">
        <f>25.2295 * CHOOSE(CONTROL!$C$9, $D$9, 100%, $F$9) + CHOOSE(CONTROL!$C$27, 0.0021, 0)</f>
        <v>25.2316</v>
      </c>
      <c r="L110" s="17"/>
    </row>
    <row r="111" spans="1:12" ht="15" x14ac:dyDescent="0.2">
      <c r="A111" s="16">
        <v>43922</v>
      </c>
      <c r="B111" s="17">
        <f>25.3698 * CHOOSE(CONTROL!$C$9, $D$9, 100%, $F$9) + CHOOSE(CONTROL!$C$27, 0.0021, 0)</f>
        <v>25.3719</v>
      </c>
      <c r="C111" s="17">
        <f>24.9376 * CHOOSE(CONTROL!$C$9, $D$9, 100%, $F$9) + CHOOSE(CONTROL!$C$27, 0.0021, 0)</f>
        <v>24.939699999999998</v>
      </c>
      <c r="D111" s="17">
        <f>24.9376 * CHOOSE(CONTROL!$C$9, $D$9, 100%, $F$9) + CHOOSE(CONTROL!$C$27, 0.0021, 0)</f>
        <v>24.939699999999998</v>
      </c>
      <c r="E111" s="17">
        <f>24.8009 * CHOOSE(CONTROL!$C$9, $D$9, 100%, $F$9) + CHOOSE(CONTROL!$C$27, 0.0021, 0)</f>
        <v>24.802999999999997</v>
      </c>
      <c r="F111" s="17">
        <f>24.8009 * CHOOSE(CONTROL!$C$9, $D$9, 100%, $F$9) + CHOOSE(CONTROL!$C$27, 0.0021, 0)</f>
        <v>24.802999999999997</v>
      </c>
      <c r="G111" s="17">
        <f>25.0723 * CHOOSE(CONTROL!$C$9, $D$9, 100%, $F$9) + CHOOSE(CONTROL!$C$27, 0.0021, 0)</f>
        <v>25.074399999999997</v>
      </c>
      <c r="H111" s="17">
        <f>24.9376 * CHOOSE(CONTROL!$C$9, $D$9, 100%, $F$9) + CHOOSE(CONTROL!$C$27, 0.0021, 0)</f>
        <v>24.939699999999998</v>
      </c>
      <c r="I111" s="17">
        <f>24.9376 * CHOOSE(CONTROL!$C$9, $D$9, 100%, $F$9) + CHOOSE(CONTROL!$C$27, 0.0021, 0)</f>
        <v>24.939699999999998</v>
      </c>
      <c r="J111" s="17">
        <f>24.9376 * CHOOSE(CONTROL!$C$9, $D$9, 100%, $F$9) + CHOOSE(CONTROL!$C$27, 0.0021, 0)</f>
        <v>24.939699999999998</v>
      </c>
      <c r="K111" s="17">
        <f>24.9376 * CHOOSE(CONTROL!$C$9, $D$9, 100%, $F$9) + CHOOSE(CONTROL!$C$27, 0.0021, 0)</f>
        <v>24.939699999999998</v>
      </c>
      <c r="L111" s="17"/>
    </row>
    <row r="112" spans="1:12" ht="15" x14ac:dyDescent="0.2">
      <c r="A112" s="16">
        <v>43952</v>
      </c>
      <c r="B112" s="17">
        <f>25.903 * CHOOSE(CONTROL!$C$9, $D$9, 100%, $F$9) + CHOOSE(CONTROL!$C$27, 0.0021, 0)</f>
        <v>25.905099999999997</v>
      </c>
      <c r="C112" s="17">
        <f>25.4707 * CHOOSE(CONTROL!$C$9, $D$9, 100%, $F$9) + CHOOSE(CONTROL!$C$27, 0.0021, 0)</f>
        <v>25.472799999999999</v>
      </c>
      <c r="D112" s="17">
        <f>25.4707 * CHOOSE(CONTROL!$C$9, $D$9, 100%, $F$9) + CHOOSE(CONTROL!$C$27, 0.0021, 0)</f>
        <v>25.472799999999999</v>
      </c>
      <c r="E112" s="17">
        <f>25.3341 * CHOOSE(CONTROL!$C$9, $D$9, 100%, $F$9) + CHOOSE(CONTROL!$C$27, 0.0021, 0)</f>
        <v>25.336199999999998</v>
      </c>
      <c r="F112" s="17">
        <f>25.3341 * CHOOSE(CONTROL!$C$9, $D$9, 100%, $F$9) + CHOOSE(CONTROL!$C$27, 0.0021, 0)</f>
        <v>25.336199999999998</v>
      </c>
      <c r="G112" s="17">
        <f>25.6054 * CHOOSE(CONTROL!$C$9, $D$9, 100%, $F$9) + CHOOSE(CONTROL!$C$27, 0.0021, 0)</f>
        <v>25.607499999999998</v>
      </c>
      <c r="H112" s="17">
        <f>25.4707 * CHOOSE(CONTROL!$C$9, $D$9, 100%, $F$9) + CHOOSE(CONTROL!$C$27, 0.0021, 0)</f>
        <v>25.472799999999999</v>
      </c>
      <c r="I112" s="17">
        <f>25.4707 * CHOOSE(CONTROL!$C$9, $D$9, 100%, $F$9) + CHOOSE(CONTROL!$C$27, 0.0021, 0)</f>
        <v>25.472799999999999</v>
      </c>
      <c r="J112" s="17">
        <f>25.4707 * CHOOSE(CONTROL!$C$9, $D$9, 100%, $F$9) + CHOOSE(CONTROL!$C$27, 0.0021, 0)</f>
        <v>25.472799999999999</v>
      </c>
      <c r="K112" s="17">
        <f>25.4707 * CHOOSE(CONTROL!$C$9, $D$9, 100%, $F$9) + CHOOSE(CONTROL!$C$27, 0.0021, 0)</f>
        <v>25.472799999999999</v>
      </c>
      <c r="L112" s="17"/>
    </row>
    <row r="113" spans="1:12" ht="15" x14ac:dyDescent="0.2">
      <c r="A113" s="16">
        <v>43983</v>
      </c>
      <c r="B113" s="17">
        <f>26.2431 * CHOOSE(CONTROL!$C$9, $D$9, 100%, $F$9) + CHOOSE(CONTROL!$C$27, 0.0021, 0)</f>
        <v>26.245199999999997</v>
      </c>
      <c r="C113" s="17">
        <f>25.8108 * CHOOSE(CONTROL!$C$9, $D$9, 100%, $F$9) + CHOOSE(CONTROL!$C$27, 0.0021, 0)</f>
        <v>25.812899999999999</v>
      </c>
      <c r="D113" s="17">
        <f>25.8108 * CHOOSE(CONTROL!$C$9, $D$9, 100%, $F$9) + CHOOSE(CONTROL!$C$27, 0.0021, 0)</f>
        <v>25.812899999999999</v>
      </c>
      <c r="E113" s="17">
        <f>25.6742 * CHOOSE(CONTROL!$C$9, $D$9, 100%, $F$9) + CHOOSE(CONTROL!$C$27, 0.0021, 0)</f>
        <v>25.676299999999998</v>
      </c>
      <c r="F113" s="17">
        <f>25.6742 * CHOOSE(CONTROL!$C$9, $D$9, 100%, $F$9) + CHOOSE(CONTROL!$C$27, 0.0021, 0)</f>
        <v>25.676299999999998</v>
      </c>
      <c r="G113" s="17">
        <f>25.9456 * CHOOSE(CONTROL!$C$9, $D$9, 100%, $F$9) + CHOOSE(CONTROL!$C$27, 0.0021, 0)</f>
        <v>25.947699999999998</v>
      </c>
      <c r="H113" s="17">
        <f>25.8108 * CHOOSE(CONTROL!$C$9, $D$9, 100%, $F$9) + CHOOSE(CONTROL!$C$27, 0.0021, 0)</f>
        <v>25.812899999999999</v>
      </c>
      <c r="I113" s="17">
        <f>25.8108 * CHOOSE(CONTROL!$C$9, $D$9, 100%, $F$9) + CHOOSE(CONTROL!$C$27, 0.0021, 0)</f>
        <v>25.812899999999999</v>
      </c>
      <c r="J113" s="17">
        <f>25.8108 * CHOOSE(CONTROL!$C$9, $D$9, 100%, $F$9) + CHOOSE(CONTROL!$C$27, 0.0021, 0)</f>
        <v>25.812899999999999</v>
      </c>
      <c r="K113" s="17">
        <f>25.8108 * CHOOSE(CONTROL!$C$9, $D$9, 100%, $F$9) + CHOOSE(CONTROL!$C$27, 0.0021, 0)</f>
        <v>25.812899999999999</v>
      </c>
      <c r="L113" s="17"/>
    </row>
    <row r="114" spans="1:12" ht="15" x14ac:dyDescent="0.2">
      <c r="A114" s="16">
        <v>44013</v>
      </c>
      <c r="B114" s="17">
        <f>26.7742 * CHOOSE(CONTROL!$C$9, $D$9, 100%, $F$9) + CHOOSE(CONTROL!$C$27, 0.0021, 0)</f>
        <v>26.776299999999999</v>
      </c>
      <c r="C114" s="17">
        <f>26.342 * CHOOSE(CONTROL!$C$9, $D$9, 100%, $F$9) + CHOOSE(CONTROL!$C$27, 0.0021, 0)</f>
        <v>26.344099999999997</v>
      </c>
      <c r="D114" s="17">
        <f>26.342 * CHOOSE(CONTROL!$C$9, $D$9, 100%, $F$9) + CHOOSE(CONTROL!$C$27, 0.0021, 0)</f>
        <v>26.344099999999997</v>
      </c>
      <c r="E114" s="17">
        <f>26.2053 * CHOOSE(CONTROL!$C$9, $D$9, 100%, $F$9) + CHOOSE(CONTROL!$C$27, 0.0021, 0)</f>
        <v>26.2074</v>
      </c>
      <c r="F114" s="17">
        <f>26.2053 * CHOOSE(CONTROL!$C$9, $D$9, 100%, $F$9) + CHOOSE(CONTROL!$C$27, 0.0021, 0)</f>
        <v>26.2074</v>
      </c>
      <c r="G114" s="17">
        <f>26.4767 * CHOOSE(CONTROL!$C$9, $D$9, 100%, $F$9) + CHOOSE(CONTROL!$C$27, 0.0021, 0)</f>
        <v>26.4788</v>
      </c>
      <c r="H114" s="17">
        <f>26.342 * CHOOSE(CONTROL!$C$9, $D$9, 100%, $F$9) + CHOOSE(CONTROL!$C$27, 0.0021, 0)</f>
        <v>26.344099999999997</v>
      </c>
      <c r="I114" s="17">
        <f>26.342 * CHOOSE(CONTROL!$C$9, $D$9, 100%, $F$9) + CHOOSE(CONTROL!$C$27, 0.0021, 0)</f>
        <v>26.344099999999997</v>
      </c>
      <c r="J114" s="17">
        <f>26.342 * CHOOSE(CONTROL!$C$9, $D$9, 100%, $F$9) + CHOOSE(CONTROL!$C$27, 0.0021, 0)</f>
        <v>26.344099999999997</v>
      </c>
      <c r="K114" s="17">
        <f>26.342 * CHOOSE(CONTROL!$C$9, $D$9, 100%, $F$9) + CHOOSE(CONTROL!$C$27, 0.0021, 0)</f>
        <v>26.344099999999997</v>
      </c>
      <c r="L114" s="17"/>
    </row>
    <row r="115" spans="1:12" ht="15" x14ac:dyDescent="0.2">
      <c r="A115" s="16">
        <v>44044</v>
      </c>
      <c r="B115" s="17">
        <f>26.972 * CHOOSE(CONTROL!$C$9, $D$9, 100%, $F$9) + CHOOSE(CONTROL!$C$27, 0.0021, 0)</f>
        <v>26.9741</v>
      </c>
      <c r="C115" s="17">
        <f>26.5398 * CHOOSE(CONTROL!$C$9, $D$9, 100%, $F$9) + CHOOSE(CONTROL!$C$27, 0.0021, 0)</f>
        <v>26.541899999999998</v>
      </c>
      <c r="D115" s="17">
        <f>26.5398 * CHOOSE(CONTROL!$C$9, $D$9, 100%, $F$9) + CHOOSE(CONTROL!$C$27, 0.0021, 0)</f>
        <v>26.541899999999998</v>
      </c>
      <c r="E115" s="17">
        <f>26.4031 * CHOOSE(CONTROL!$C$9, $D$9, 100%, $F$9) + CHOOSE(CONTROL!$C$27, 0.0021, 0)</f>
        <v>26.405199999999997</v>
      </c>
      <c r="F115" s="17">
        <f>26.4031 * CHOOSE(CONTROL!$C$9, $D$9, 100%, $F$9) + CHOOSE(CONTROL!$C$27, 0.0021, 0)</f>
        <v>26.405199999999997</v>
      </c>
      <c r="G115" s="17">
        <f>26.6745 * CHOOSE(CONTROL!$C$9, $D$9, 100%, $F$9) + CHOOSE(CONTROL!$C$27, 0.0021, 0)</f>
        <v>26.676599999999997</v>
      </c>
      <c r="H115" s="17">
        <f>26.5398 * CHOOSE(CONTROL!$C$9, $D$9, 100%, $F$9) + CHOOSE(CONTROL!$C$27, 0.0021, 0)</f>
        <v>26.541899999999998</v>
      </c>
      <c r="I115" s="17">
        <f>26.5398 * CHOOSE(CONTROL!$C$9, $D$9, 100%, $F$9) + CHOOSE(CONTROL!$C$27, 0.0021, 0)</f>
        <v>26.541899999999998</v>
      </c>
      <c r="J115" s="17">
        <f>26.5398 * CHOOSE(CONTROL!$C$9, $D$9, 100%, $F$9) + CHOOSE(CONTROL!$C$27, 0.0021, 0)</f>
        <v>26.541899999999998</v>
      </c>
      <c r="K115" s="17">
        <f>26.5398 * CHOOSE(CONTROL!$C$9, $D$9, 100%, $F$9) + CHOOSE(CONTROL!$C$27, 0.0021, 0)</f>
        <v>26.541899999999998</v>
      </c>
      <c r="L115" s="17"/>
    </row>
    <row r="116" spans="1:12" ht="15" x14ac:dyDescent="0.2">
      <c r="A116" s="16">
        <v>44075</v>
      </c>
      <c r="B116" s="17">
        <f>27.5258 * CHOOSE(CONTROL!$C$9, $D$9, 100%, $F$9) + CHOOSE(CONTROL!$C$27, 0.0021, 0)</f>
        <v>27.527899999999999</v>
      </c>
      <c r="C116" s="17">
        <f>27.0935 * CHOOSE(CONTROL!$C$9, $D$9, 100%, $F$9) + CHOOSE(CONTROL!$C$27, 0.0021, 0)</f>
        <v>27.095599999999997</v>
      </c>
      <c r="D116" s="17">
        <f>27.0935 * CHOOSE(CONTROL!$C$9, $D$9, 100%, $F$9) + CHOOSE(CONTROL!$C$27, 0.0021, 0)</f>
        <v>27.095599999999997</v>
      </c>
      <c r="E116" s="17">
        <f>26.9569 * CHOOSE(CONTROL!$C$9, $D$9, 100%, $F$9) + CHOOSE(CONTROL!$C$27, 0.0021, 0)</f>
        <v>26.959</v>
      </c>
      <c r="F116" s="17">
        <f>26.9569 * CHOOSE(CONTROL!$C$9, $D$9, 100%, $F$9) + CHOOSE(CONTROL!$C$27, 0.0021, 0)</f>
        <v>26.959</v>
      </c>
      <c r="G116" s="17">
        <f>27.2282 * CHOOSE(CONTROL!$C$9, $D$9, 100%, $F$9) + CHOOSE(CONTROL!$C$27, 0.0021, 0)</f>
        <v>27.2303</v>
      </c>
      <c r="H116" s="17">
        <f>27.0935 * CHOOSE(CONTROL!$C$9, $D$9, 100%, $F$9) + CHOOSE(CONTROL!$C$27, 0.0021, 0)</f>
        <v>27.095599999999997</v>
      </c>
      <c r="I116" s="17">
        <f>27.0935 * CHOOSE(CONTROL!$C$9, $D$9, 100%, $F$9) + CHOOSE(CONTROL!$C$27, 0.0021, 0)</f>
        <v>27.095599999999997</v>
      </c>
      <c r="J116" s="17">
        <f>27.0935 * CHOOSE(CONTROL!$C$9, $D$9, 100%, $F$9) + CHOOSE(CONTROL!$C$27, 0.0021, 0)</f>
        <v>27.095599999999997</v>
      </c>
      <c r="K116" s="17">
        <f>27.0935 * CHOOSE(CONTROL!$C$9, $D$9, 100%, $F$9) + CHOOSE(CONTROL!$C$27, 0.0021, 0)</f>
        <v>27.095599999999997</v>
      </c>
      <c r="L116" s="17"/>
    </row>
    <row r="117" spans="1:12" ht="15" x14ac:dyDescent="0.2">
      <c r="A117" s="16">
        <v>44105</v>
      </c>
      <c r="B117" s="17">
        <f>28.2156 * CHOOSE(CONTROL!$C$9, $D$9, 100%, $F$9) + CHOOSE(CONTROL!$C$27, 0.0021, 0)</f>
        <v>28.217699999999997</v>
      </c>
      <c r="C117" s="17">
        <f>27.7834 * CHOOSE(CONTROL!$C$9, $D$9, 100%, $F$9) + CHOOSE(CONTROL!$C$27, 0.0021, 0)</f>
        <v>27.785499999999999</v>
      </c>
      <c r="D117" s="17">
        <f>27.7834 * CHOOSE(CONTROL!$C$9, $D$9, 100%, $F$9) + CHOOSE(CONTROL!$C$27, 0.0021, 0)</f>
        <v>27.785499999999999</v>
      </c>
      <c r="E117" s="17">
        <f>27.6467 * CHOOSE(CONTROL!$C$9, $D$9, 100%, $F$9) + CHOOSE(CONTROL!$C$27, 0.0021, 0)</f>
        <v>27.648799999999998</v>
      </c>
      <c r="F117" s="17">
        <f>27.6467 * CHOOSE(CONTROL!$C$9, $D$9, 100%, $F$9) + CHOOSE(CONTROL!$C$27, 0.0021, 0)</f>
        <v>27.648799999999998</v>
      </c>
      <c r="G117" s="17">
        <f>27.9181 * CHOOSE(CONTROL!$C$9, $D$9, 100%, $F$9) + CHOOSE(CONTROL!$C$27, 0.0021, 0)</f>
        <v>27.920199999999998</v>
      </c>
      <c r="H117" s="17">
        <f>27.7834 * CHOOSE(CONTROL!$C$9, $D$9, 100%, $F$9) + CHOOSE(CONTROL!$C$27, 0.0021, 0)</f>
        <v>27.785499999999999</v>
      </c>
      <c r="I117" s="17">
        <f>27.7834 * CHOOSE(CONTROL!$C$9, $D$9, 100%, $F$9) + CHOOSE(CONTROL!$C$27, 0.0021, 0)</f>
        <v>27.785499999999999</v>
      </c>
      <c r="J117" s="17">
        <f>27.7834 * CHOOSE(CONTROL!$C$9, $D$9, 100%, $F$9) + CHOOSE(CONTROL!$C$27, 0.0021, 0)</f>
        <v>27.785499999999999</v>
      </c>
      <c r="K117" s="17">
        <f>27.7834 * CHOOSE(CONTROL!$C$9, $D$9, 100%, $F$9) + CHOOSE(CONTROL!$C$27, 0.0021, 0)</f>
        <v>27.785499999999999</v>
      </c>
      <c r="L117" s="17"/>
    </row>
    <row r="118" spans="1:12" ht="15" x14ac:dyDescent="0.2">
      <c r="A118" s="16">
        <v>44136</v>
      </c>
      <c r="B118" s="17">
        <f>28.329 * CHOOSE(CONTROL!$C$9, $D$9, 100%, $F$9) + CHOOSE(CONTROL!$C$27, 0.0021, 0)</f>
        <v>28.331099999999999</v>
      </c>
      <c r="C118" s="17">
        <f>27.8968 * CHOOSE(CONTROL!$C$9, $D$9, 100%, $F$9) + CHOOSE(CONTROL!$C$27, 0.0021, 0)</f>
        <v>27.898899999999998</v>
      </c>
      <c r="D118" s="17">
        <f>27.8968 * CHOOSE(CONTROL!$C$9, $D$9, 100%, $F$9) + CHOOSE(CONTROL!$C$27, 0.0021, 0)</f>
        <v>27.898899999999998</v>
      </c>
      <c r="E118" s="17">
        <f>27.7601 * CHOOSE(CONTROL!$C$9, $D$9, 100%, $F$9) + CHOOSE(CONTROL!$C$27, 0.0021, 0)</f>
        <v>27.7622</v>
      </c>
      <c r="F118" s="17">
        <f>27.7601 * CHOOSE(CONTROL!$C$9, $D$9, 100%, $F$9) + CHOOSE(CONTROL!$C$27, 0.0021, 0)</f>
        <v>27.7622</v>
      </c>
      <c r="G118" s="17">
        <f>28.0315 * CHOOSE(CONTROL!$C$9, $D$9, 100%, $F$9) + CHOOSE(CONTROL!$C$27, 0.0021, 0)</f>
        <v>28.0336</v>
      </c>
      <c r="H118" s="17">
        <f>27.8968 * CHOOSE(CONTROL!$C$9, $D$9, 100%, $F$9) + CHOOSE(CONTROL!$C$27, 0.0021, 0)</f>
        <v>27.898899999999998</v>
      </c>
      <c r="I118" s="17">
        <f>27.8968 * CHOOSE(CONTROL!$C$9, $D$9, 100%, $F$9) + CHOOSE(CONTROL!$C$27, 0.0021, 0)</f>
        <v>27.898899999999998</v>
      </c>
      <c r="J118" s="17">
        <f>27.8968 * CHOOSE(CONTROL!$C$9, $D$9, 100%, $F$9) + CHOOSE(CONTROL!$C$27, 0.0021, 0)</f>
        <v>27.898899999999998</v>
      </c>
      <c r="K118" s="17">
        <f>27.8968 * CHOOSE(CONTROL!$C$9, $D$9, 100%, $F$9) + CHOOSE(CONTROL!$C$27, 0.0021, 0)</f>
        <v>27.898899999999998</v>
      </c>
      <c r="L118" s="17"/>
    </row>
    <row r="119" spans="1:12" ht="15" x14ac:dyDescent="0.2">
      <c r="A119" s="16">
        <v>44166</v>
      </c>
      <c r="B119" s="17">
        <f>27.8711 * CHOOSE(CONTROL!$C$9, $D$9, 100%, $F$9) + CHOOSE(CONTROL!$C$27, 0.0021, 0)</f>
        <v>27.873199999999997</v>
      </c>
      <c r="C119" s="17">
        <f>27.4388 * CHOOSE(CONTROL!$C$9, $D$9, 100%, $F$9) + CHOOSE(CONTROL!$C$27, 0.0021, 0)</f>
        <v>27.440899999999999</v>
      </c>
      <c r="D119" s="17">
        <f>27.4388 * CHOOSE(CONTROL!$C$9, $D$9, 100%, $F$9) + CHOOSE(CONTROL!$C$27, 0.0021, 0)</f>
        <v>27.440899999999999</v>
      </c>
      <c r="E119" s="17">
        <f>27.3022 * CHOOSE(CONTROL!$C$9, $D$9, 100%, $F$9) + CHOOSE(CONTROL!$C$27, 0.0021, 0)</f>
        <v>27.304299999999998</v>
      </c>
      <c r="F119" s="17">
        <f>27.3022 * CHOOSE(CONTROL!$C$9, $D$9, 100%, $F$9) + CHOOSE(CONTROL!$C$27, 0.0021, 0)</f>
        <v>27.304299999999998</v>
      </c>
      <c r="G119" s="17">
        <f>27.5736 * CHOOSE(CONTROL!$C$9, $D$9, 100%, $F$9) + CHOOSE(CONTROL!$C$27, 0.0021, 0)</f>
        <v>27.575699999999998</v>
      </c>
      <c r="H119" s="17">
        <f>27.4388 * CHOOSE(CONTROL!$C$9, $D$9, 100%, $F$9) + CHOOSE(CONTROL!$C$27, 0.0021, 0)</f>
        <v>27.440899999999999</v>
      </c>
      <c r="I119" s="17">
        <f>27.4388 * CHOOSE(CONTROL!$C$9, $D$9, 100%, $F$9) + CHOOSE(CONTROL!$C$27, 0.0021, 0)</f>
        <v>27.440899999999999</v>
      </c>
      <c r="J119" s="17">
        <f>27.4388 * CHOOSE(CONTROL!$C$9, $D$9, 100%, $F$9) + CHOOSE(CONTROL!$C$27, 0.0021, 0)</f>
        <v>27.440899999999999</v>
      </c>
      <c r="K119" s="17">
        <f>27.4388 * CHOOSE(CONTROL!$C$9, $D$9, 100%, $F$9) + CHOOSE(CONTROL!$C$27, 0.0021, 0)</f>
        <v>27.440899999999999</v>
      </c>
      <c r="L119" s="17"/>
    </row>
    <row r="120" spans="1:12" ht="15" x14ac:dyDescent="0.2">
      <c r="A120" s="16">
        <v>44197</v>
      </c>
      <c r="B120" s="17">
        <f>27.885 * CHOOSE(CONTROL!$C$9, $D$9, 100%, $F$9) + CHOOSE(CONTROL!$C$27, 0.0021, 0)</f>
        <v>27.8871</v>
      </c>
      <c r="C120" s="17">
        <f>27.4528 * CHOOSE(CONTROL!$C$9, $D$9, 100%, $F$9) + CHOOSE(CONTROL!$C$27, 0.0021, 0)</f>
        <v>27.454899999999999</v>
      </c>
      <c r="D120" s="17">
        <f>27.4528 * CHOOSE(CONTROL!$C$9, $D$9, 100%, $F$9) + CHOOSE(CONTROL!$C$27, 0.0021, 0)</f>
        <v>27.454899999999999</v>
      </c>
      <c r="E120" s="17">
        <f>27.3161 * CHOOSE(CONTROL!$C$9, $D$9, 100%, $F$9) + CHOOSE(CONTROL!$C$27, 0.0021, 0)</f>
        <v>27.318199999999997</v>
      </c>
      <c r="F120" s="17">
        <f>27.3161 * CHOOSE(CONTROL!$C$9, $D$9, 100%, $F$9) + CHOOSE(CONTROL!$C$27, 0.0021, 0)</f>
        <v>27.318199999999997</v>
      </c>
      <c r="G120" s="17">
        <f>27.5875 * CHOOSE(CONTROL!$C$9, $D$9, 100%, $F$9) + CHOOSE(CONTROL!$C$27, 0.0021, 0)</f>
        <v>27.589599999999997</v>
      </c>
      <c r="H120" s="17">
        <f>27.4528 * CHOOSE(CONTROL!$C$9, $D$9, 100%, $F$9) + CHOOSE(CONTROL!$C$27, 0.0021, 0)</f>
        <v>27.454899999999999</v>
      </c>
      <c r="I120" s="17">
        <f>27.4528 * CHOOSE(CONTROL!$C$9, $D$9, 100%, $F$9) + CHOOSE(CONTROL!$C$27, 0.0021, 0)</f>
        <v>27.454899999999999</v>
      </c>
      <c r="J120" s="17">
        <f>27.4528 * CHOOSE(CONTROL!$C$9, $D$9, 100%, $F$9) + CHOOSE(CONTROL!$C$27, 0.0021, 0)</f>
        <v>27.454899999999999</v>
      </c>
      <c r="K120" s="17">
        <f>27.4528 * CHOOSE(CONTROL!$C$9, $D$9, 100%, $F$9) + CHOOSE(CONTROL!$C$27, 0.0021, 0)</f>
        <v>27.454899999999999</v>
      </c>
      <c r="L120" s="17"/>
    </row>
    <row r="121" spans="1:12" ht="15" x14ac:dyDescent="0.2">
      <c r="A121" s="16">
        <v>44228</v>
      </c>
      <c r="B121" s="17">
        <f>27.2123 * CHOOSE(CONTROL!$C$9, $D$9, 100%, $F$9) + CHOOSE(CONTROL!$C$27, 0.0021, 0)</f>
        <v>27.214399999999998</v>
      </c>
      <c r="C121" s="17">
        <f>26.7801 * CHOOSE(CONTROL!$C$9, $D$9, 100%, $F$9) + CHOOSE(CONTROL!$C$27, 0.0021, 0)</f>
        <v>26.7822</v>
      </c>
      <c r="D121" s="17">
        <f>26.7801 * CHOOSE(CONTROL!$C$9, $D$9, 100%, $F$9) + CHOOSE(CONTROL!$C$27, 0.0021, 0)</f>
        <v>26.7822</v>
      </c>
      <c r="E121" s="17">
        <f>26.6434 * CHOOSE(CONTROL!$C$9, $D$9, 100%, $F$9) + CHOOSE(CONTROL!$C$27, 0.0021, 0)</f>
        <v>26.645499999999998</v>
      </c>
      <c r="F121" s="17">
        <f>26.6434 * CHOOSE(CONTROL!$C$9, $D$9, 100%, $F$9) + CHOOSE(CONTROL!$C$27, 0.0021, 0)</f>
        <v>26.645499999999998</v>
      </c>
      <c r="G121" s="17">
        <f>26.9148 * CHOOSE(CONTROL!$C$9, $D$9, 100%, $F$9) + CHOOSE(CONTROL!$C$27, 0.0021, 0)</f>
        <v>26.916899999999998</v>
      </c>
      <c r="H121" s="17">
        <f>26.7801 * CHOOSE(CONTROL!$C$9, $D$9, 100%, $F$9) + CHOOSE(CONTROL!$C$27, 0.0021, 0)</f>
        <v>26.7822</v>
      </c>
      <c r="I121" s="17">
        <f>26.7801 * CHOOSE(CONTROL!$C$9, $D$9, 100%, $F$9) + CHOOSE(CONTROL!$C$27, 0.0021, 0)</f>
        <v>26.7822</v>
      </c>
      <c r="J121" s="17">
        <f>26.7801 * CHOOSE(CONTROL!$C$9, $D$9, 100%, $F$9) + CHOOSE(CONTROL!$C$27, 0.0021, 0)</f>
        <v>26.7822</v>
      </c>
      <c r="K121" s="17">
        <f>26.7801 * CHOOSE(CONTROL!$C$9, $D$9, 100%, $F$9) + CHOOSE(CONTROL!$C$27, 0.0021, 0)</f>
        <v>26.7822</v>
      </c>
      <c r="L121" s="17"/>
    </row>
    <row r="122" spans="1:12" ht="15" x14ac:dyDescent="0.2">
      <c r="A122" s="16">
        <v>44256</v>
      </c>
      <c r="B122" s="17">
        <f>26.9636 * CHOOSE(CONTROL!$C$9, $D$9, 100%, $F$9) + CHOOSE(CONTROL!$C$27, 0.0021, 0)</f>
        <v>26.965699999999998</v>
      </c>
      <c r="C122" s="17">
        <f>26.5314 * CHOOSE(CONTROL!$C$9, $D$9, 100%, $F$9) + CHOOSE(CONTROL!$C$27, 0.0021, 0)</f>
        <v>26.5335</v>
      </c>
      <c r="D122" s="17">
        <f>26.5314 * CHOOSE(CONTROL!$C$9, $D$9, 100%, $F$9) + CHOOSE(CONTROL!$C$27, 0.0021, 0)</f>
        <v>26.5335</v>
      </c>
      <c r="E122" s="17">
        <f>26.3947 * CHOOSE(CONTROL!$C$9, $D$9, 100%, $F$9) + CHOOSE(CONTROL!$C$27, 0.0021, 0)</f>
        <v>26.396799999999999</v>
      </c>
      <c r="F122" s="17">
        <f>26.3947 * CHOOSE(CONTROL!$C$9, $D$9, 100%, $F$9) + CHOOSE(CONTROL!$C$27, 0.0021, 0)</f>
        <v>26.396799999999999</v>
      </c>
      <c r="G122" s="17">
        <f>26.6661 * CHOOSE(CONTROL!$C$9, $D$9, 100%, $F$9) + CHOOSE(CONTROL!$C$27, 0.0021, 0)</f>
        <v>26.668199999999999</v>
      </c>
      <c r="H122" s="17">
        <f>26.5314 * CHOOSE(CONTROL!$C$9, $D$9, 100%, $F$9) + CHOOSE(CONTROL!$C$27, 0.0021, 0)</f>
        <v>26.5335</v>
      </c>
      <c r="I122" s="17">
        <f>26.5314 * CHOOSE(CONTROL!$C$9, $D$9, 100%, $F$9) + CHOOSE(CONTROL!$C$27, 0.0021, 0)</f>
        <v>26.5335</v>
      </c>
      <c r="J122" s="17">
        <f>26.5314 * CHOOSE(CONTROL!$C$9, $D$9, 100%, $F$9) + CHOOSE(CONTROL!$C$27, 0.0021, 0)</f>
        <v>26.5335</v>
      </c>
      <c r="K122" s="17">
        <f>26.5314 * CHOOSE(CONTROL!$C$9, $D$9, 100%, $F$9) + CHOOSE(CONTROL!$C$27, 0.0021, 0)</f>
        <v>26.5335</v>
      </c>
      <c r="L122" s="17"/>
    </row>
    <row r="123" spans="1:12" ht="15" x14ac:dyDescent="0.2">
      <c r="A123" s="16">
        <v>44287</v>
      </c>
      <c r="B123" s="17">
        <f>26.6554 * CHOOSE(CONTROL!$C$9, $D$9, 100%, $F$9) + CHOOSE(CONTROL!$C$27, 0.0021, 0)</f>
        <v>26.657499999999999</v>
      </c>
      <c r="C123" s="17">
        <f>26.2232 * CHOOSE(CONTROL!$C$9, $D$9, 100%, $F$9) + CHOOSE(CONTROL!$C$27, 0.0021, 0)</f>
        <v>26.225299999999997</v>
      </c>
      <c r="D123" s="17">
        <f>26.2232 * CHOOSE(CONTROL!$C$9, $D$9, 100%, $F$9) + CHOOSE(CONTROL!$C$27, 0.0021, 0)</f>
        <v>26.225299999999997</v>
      </c>
      <c r="E123" s="17">
        <f>26.0865 * CHOOSE(CONTROL!$C$9, $D$9, 100%, $F$9) + CHOOSE(CONTROL!$C$27, 0.0021, 0)</f>
        <v>26.0886</v>
      </c>
      <c r="F123" s="17">
        <f>26.0865 * CHOOSE(CONTROL!$C$9, $D$9, 100%, $F$9) + CHOOSE(CONTROL!$C$27, 0.0021, 0)</f>
        <v>26.0886</v>
      </c>
      <c r="G123" s="17">
        <f>26.3579 * CHOOSE(CONTROL!$C$9, $D$9, 100%, $F$9) + CHOOSE(CONTROL!$C$27, 0.0021, 0)</f>
        <v>26.36</v>
      </c>
      <c r="H123" s="17">
        <f>26.2232 * CHOOSE(CONTROL!$C$9, $D$9, 100%, $F$9) + CHOOSE(CONTROL!$C$27, 0.0021, 0)</f>
        <v>26.225299999999997</v>
      </c>
      <c r="I123" s="17">
        <f>26.2232 * CHOOSE(CONTROL!$C$9, $D$9, 100%, $F$9) + CHOOSE(CONTROL!$C$27, 0.0021, 0)</f>
        <v>26.225299999999997</v>
      </c>
      <c r="J123" s="17">
        <f>26.2232 * CHOOSE(CONTROL!$C$9, $D$9, 100%, $F$9) + CHOOSE(CONTROL!$C$27, 0.0021, 0)</f>
        <v>26.225299999999997</v>
      </c>
      <c r="K123" s="17">
        <f>26.2232 * CHOOSE(CONTROL!$C$9, $D$9, 100%, $F$9) + CHOOSE(CONTROL!$C$27, 0.0021, 0)</f>
        <v>26.225299999999997</v>
      </c>
      <c r="L123" s="17"/>
    </row>
    <row r="124" spans="1:12" ht="15" x14ac:dyDescent="0.2">
      <c r="A124" s="16">
        <v>44317</v>
      </c>
      <c r="B124" s="17">
        <f>27.2183 * CHOOSE(CONTROL!$C$9, $D$9, 100%, $F$9) + CHOOSE(CONTROL!$C$27, 0.0021, 0)</f>
        <v>27.220399999999998</v>
      </c>
      <c r="C124" s="17">
        <f>26.786 * CHOOSE(CONTROL!$C$9, $D$9, 100%, $F$9) + CHOOSE(CONTROL!$C$27, 0.0021, 0)</f>
        <v>26.7881</v>
      </c>
      <c r="D124" s="17">
        <f>26.786 * CHOOSE(CONTROL!$C$9, $D$9, 100%, $F$9) + CHOOSE(CONTROL!$C$27, 0.0021, 0)</f>
        <v>26.7881</v>
      </c>
      <c r="E124" s="17">
        <f>26.6494 * CHOOSE(CONTROL!$C$9, $D$9, 100%, $F$9) + CHOOSE(CONTROL!$C$27, 0.0021, 0)</f>
        <v>26.651499999999999</v>
      </c>
      <c r="F124" s="17">
        <f>26.6494 * CHOOSE(CONTROL!$C$9, $D$9, 100%, $F$9) + CHOOSE(CONTROL!$C$27, 0.0021, 0)</f>
        <v>26.651499999999999</v>
      </c>
      <c r="G124" s="17">
        <f>26.9208 * CHOOSE(CONTROL!$C$9, $D$9, 100%, $F$9) + CHOOSE(CONTROL!$C$27, 0.0021, 0)</f>
        <v>26.922899999999998</v>
      </c>
      <c r="H124" s="17">
        <f>26.786 * CHOOSE(CONTROL!$C$9, $D$9, 100%, $F$9) + CHOOSE(CONTROL!$C$27, 0.0021, 0)</f>
        <v>26.7881</v>
      </c>
      <c r="I124" s="17">
        <f>26.786 * CHOOSE(CONTROL!$C$9, $D$9, 100%, $F$9) + CHOOSE(CONTROL!$C$27, 0.0021, 0)</f>
        <v>26.7881</v>
      </c>
      <c r="J124" s="17">
        <f>26.786 * CHOOSE(CONTROL!$C$9, $D$9, 100%, $F$9) + CHOOSE(CONTROL!$C$27, 0.0021, 0)</f>
        <v>26.7881</v>
      </c>
      <c r="K124" s="17">
        <f>26.786 * CHOOSE(CONTROL!$C$9, $D$9, 100%, $F$9) + CHOOSE(CONTROL!$C$27, 0.0021, 0)</f>
        <v>26.7881</v>
      </c>
      <c r="L124" s="17"/>
    </row>
    <row r="125" spans="1:12" ht="15" x14ac:dyDescent="0.2">
      <c r="A125" s="16">
        <v>44348</v>
      </c>
      <c r="B125" s="17">
        <f>27.5773 * CHOOSE(CONTROL!$C$9, $D$9, 100%, $F$9) + CHOOSE(CONTROL!$C$27, 0.0021, 0)</f>
        <v>27.5794</v>
      </c>
      <c r="C125" s="17">
        <f>27.1451 * CHOOSE(CONTROL!$C$9, $D$9, 100%, $F$9) + CHOOSE(CONTROL!$C$27, 0.0021, 0)</f>
        <v>27.147199999999998</v>
      </c>
      <c r="D125" s="17">
        <f>27.1451 * CHOOSE(CONTROL!$C$9, $D$9, 100%, $F$9) + CHOOSE(CONTROL!$C$27, 0.0021, 0)</f>
        <v>27.147199999999998</v>
      </c>
      <c r="E125" s="17">
        <f>27.0084 * CHOOSE(CONTROL!$C$9, $D$9, 100%, $F$9) + CHOOSE(CONTROL!$C$27, 0.0021, 0)</f>
        <v>27.0105</v>
      </c>
      <c r="F125" s="17">
        <f>27.0084 * CHOOSE(CONTROL!$C$9, $D$9, 100%, $F$9) + CHOOSE(CONTROL!$C$27, 0.0021, 0)</f>
        <v>27.0105</v>
      </c>
      <c r="G125" s="17">
        <f>27.2798 * CHOOSE(CONTROL!$C$9, $D$9, 100%, $F$9) + CHOOSE(CONTROL!$C$27, 0.0021, 0)</f>
        <v>27.2819</v>
      </c>
      <c r="H125" s="17">
        <f>27.1451 * CHOOSE(CONTROL!$C$9, $D$9, 100%, $F$9) + CHOOSE(CONTROL!$C$27, 0.0021, 0)</f>
        <v>27.147199999999998</v>
      </c>
      <c r="I125" s="17">
        <f>27.1451 * CHOOSE(CONTROL!$C$9, $D$9, 100%, $F$9) + CHOOSE(CONTROL!$C$27, 0.0021, 0)</f>
        <v>27.147199999999998</v>
      </c>
      <c r="J125" s="17">
        <f>27.1451 * CHOOSE(CONTROL!$C$9, $D$9, 100%, $F$9) + CHOOSE(CONTROL!$C$27, 0.0021, 0)</f>
        <v>27.147199999999998</v>
      </c>
      <c r="K125" s="17">
        <f>27.1451 * CHOOSE(CONTROL!$C$9, $D$9, 100%, $F$9) + CHOOSE(CONTROL!$C$27, 0.0021, 0)</f>
        <v>27.147199999999998</v>
      </c>
      <c r="L125" s="17"/>
    </row>
    <row r="126" spans="1:12" ht="15" x14ac:dyDescent="0.2">
      <c r="A126" s="16">
        <v>44378</v>
      </c>
      <c r="B126" s="17">
        <f>28.1381 * CHOOSE(CONTROL!$C$9, $D$9, 100%, $F$9) + CHOOSE(CONTROL!$C$27, 0.0021, 0)</f>
        <v>28.1402</v>
      </c>
      <c r="C126" s="17">
        <f>27.7058 * CHOOSE(CONTROL!$C$9, $D$9, 100%, $F$9) + CHOOSE(CONTROL!$C$27, 0.0021, 0)</f>
        <v>27.707899999999999</v>
      </c>
      <c r="D126" s="17">
        <f>27.7058 * CHOOSE(CONTROL!$C$9, $D$9, 100%, $F$9) + CHOOSE(CONTROL!$C$27, 0.0021, 0)</f>
        <v>27.707899999999999</v>
      </c>
      <c r="E126" s="17">
        <f>27.5692 * CHOOSE(CONTROL!$C$9, $D$9, 100%, $F$9) + CHOOSE(CONTROL!$C$27, 0.0021, 0)</f>
        <v>27.571299999999997</v>
      </c>
      <c r="F126" s="17">
        <f>27.5692 * CHOOSE(CONTROL!$C$9, $D$9, 100%, $F$9) + CHOOSE(CONTROL!$C$27, 0.0021, 0)</f>
        <v>27.571299999999997</v>
      </c>
      <c r="G126" s="17">
        <f>27.8406 * CHOOSE(CONTROL!$C$9, $D$9, 100%, $F$9) + CHOOSE(CONTROL!$C$27, 0.0021, 0)</f>
        <v>27.842699999999997</v>
      </c>
      <c r="H126" s="17">
        <f>27.7058 * CHOOSE(CONTROL!$C$9, $D$9, 100%, $F$9) + CHOOSE(CONTROL!$C$27, 0.0021, 0)</f>
        <v>27.707899999999999</v>
      </c>
      <c r="I126" s="17">
        <f>27.7058 * CHOOSE(CONTROL!$C$9, $D$9, 100%, $F$9) + CHOOSE(CONTROL!$C$27, 0.0021, 0)</f>
        <v>27.707899999999999</v>
      </c>
      <c r="J126" s="17">
        <f>27.7058 * CHOOSE(CONTROL!$C$9, $D$9, 100%, $F$9) + CHOOSE(CONTROL!$C$27, 0.0021, 0)</f>
        <v>27.707899999999999</v>
      </c>
      <c r="K126" s="17">
        <f>27.7058 * CHOOSE(CONTROL!$C$9, $D$9, 100%, $F$9) + CHOOSE(CONTROL!$C$27, 0.0021, 0)</f>
        <v>27.707899999999999</v>
      </c>
      <c r="L126" s="17"/>
    </row>
    <row r="127" spans="1:12" ht="15" x14ac:dyDescent="0.2">
      <c r="A127" s="16">
        <v>44409</v>
      </c>
      <c r="B127" s="17">
        <f>28.3469 * CHOOSE(CONTROL!$C$9, $D$9, 100%, $F$9) + CHOOSE(CONTROL!$C$27, 0.0021, 0)</f>
        <v>28.349</v>
      </c>
      <c r="C127" s="17">
        <f>27.9146 * CHOOSE(CONTROL!$C$9, $D$9, 100%, $F$9) + CHOOSE(CONTROL!$C$27, 0.0021, 0)</f>
        <v>27.916699999999999</v>
      </c>
      <c r="D127" s="17">
        <f>27.9146 * CHOOSE(CONTROL!$C$9, $D$9, 100%, $F$9) + CHOOSE(CONTROL!$C$27, 0.0021, 0)</f>
        <v>27.916699999999999</v>
      </c>
      <c r="E127" s="17">
        <f>27.778 * CHOOSE(CONTROL!$C$9, $D$9, 100%, $F$9) + CHOOSE(CONTROL!$C$27, 0.0021, 0)</f>
        <v>27.780099999999997</v>
      </c>
      <c r="F127" s="17">
        <f>27.778 * CHOOSE(CONTROL!$C$9, $D$9, 100%, $F$9) + CHOOSE(CONTROL!$C$27, 0.0021, 0)</f>
        <v>27.780099999999997</v>
      </c>
      <c r="G127" s="17">
        <f>28.0494 * CHOOSE(CONTROL!$C$9, $D$9, 100%, $F$9) + CHOOSE(CONTROL!$C$27, 0.0021, 0)</f>
        <v>28.051499999999997</v>
      </c>
      <c r="H127" s="17">
        <f>27.9146 * CHOOSE(CONTROL!$C$9, $D$9, 100%, $F$9) + CHOOSE(CONTROL!$C$27, 0.0021, 0)</f>
        <v>27.916699999999999</v>
      </c>
      <c r="I127" s="17">
        <f>27.9146 * CHOOSE(CONTROL!$C$9, $D$9, 100%, $F$9) + CHOOSE(CONTROL!$C$27, 0.0021, 0)</f>
        <v>27.916699999999999</v>
      </c>
      <c r="J127" s="17">
        <f>27.9146 * CHOOSE(CONTROL!$C$9, $D$9, 100%, $F$9) + CHOOSE(CONTROL!$C$27, 0.0021, 0)</f>
        <v>27.916699999999999</v>
      </c>
      <c r="K127" s="17">
        <f>27.9146 * CHOOSE(CONTROL!$C$9, $D$9, 100%, $F$9) + CHOOSE(CONTROL!$C$27, 0.0021, 0)</f>
        <v>27.916699999999999</v>
      </c>
      <c r="L127" s="17"/>
    </row>
    <row r="128" spans="1:12" ht="15" x14ac:dyDescent="0.2">
      <c r="A128" s="16">
        <v>44440</v>
      </c>
      <c r="B128" s="17">
        <f>28.9315 * CHOOSE(CONTROL!$C$9, $D$9, 100%, $F$9) + CHOOSE(CONTROL!$C$27, 0.0021, 0)</f>
        <v>28.933599999999998</v>
      </c>
      <c r="C128" s="17">
        <f>28.4992 * CHOOSE(CONTROL!$C$9, $D$9, 100%, $F$9) + CHOOSE(CONTROL!$C$27, 0.0021, 0)</f>
        <v>28.501299999999997</v>
      </c>
      <c r="D128" s="17">
        <f>28.4992 * CHOOSE(CONTROL!$C$9, $D$9, 100%, $F$9) + CHOOSE(CONTROL!$C$27, 0.0021, 0)</f>
        <v>28.501299999999997</v>
      </c>
      <c r="E128" s="17">
        <f>28.3626 * CHOOSE(CONTROL!$C$9, $D$9, 100%, $F$9) + CHOOSE(CONTROL!$C$27, 0.0021, 0)</f>
        <v>28.364699999999999</v>
      </c>
      <c r="F128" s="17">
        <f>28.3626 * CHOOSE(CONTROL!$C$9, $D$9, 100%, $F$9) + CHOOSE(CONTROL!$C$27, 0.0021, 0)</f>
        <v>28.364699999999999</v>
      </c>
      <c r="G128" s="17">
        <f>28.6339 * CHOOSE(CONTROL!$C$9, $D$9, 100%, $F$9) + CHOOSE(CONTROL!$C$27, 0.0021, 0)</f>
        <v>28.635999999999999</v>
      </c>
      <c r="H128" s="17">
        <f>28.4992 * CHOOSE(CONTROL!$C$9, $D$9, 100%, $F$9) + CHOOSE(CONTROL!$C$27, 0.0021, 0)</f>
        <v>28.501299999999997</v>
      </c>
      <c r="I128" s="17">
        <f>28.4992 * CHOOSE(CONTROL!$C$9, $D$9, 100%, $F$9) + CHOOSE(CONTROL!$C$27, 0.0021, 0)</f>
        <v>28.501299999999997</v>
      </c>
      <c r="J128" s="17">
        <f>28.4992 * CHOOSE(CONTROL!$C$9, $D$9, 100%, $F$9) + CHOOSE(CONTROL!$C$27, 0.0021, 0)</f>
        <v>28.501299999999997</v>
      </c>
      <c r="K128" s="17">
        <f>28.4992 * CHOOSE(CONTROL!$C$9, $D$9, 100%, $F$9) + CHOOSE(CONTROL!$C$27, 0.0021, 0)</f>
        <v>28.501299999999997</v>
      </c>
      <c r="L128" s="17"/>
    </row>
    <row r="129" spans="1:12" ht="15" x14ac:dyDescent="0.2">
      <c r="A129" s="16">
        <v>44470</v>
      </c>
      <c r="B129" s="17">
        <f>29.6598 * CHOOSE(CONTROL!$C$9, $D$9, 100%, $F$9) + CHOOSE(CONTROL!$C$27, 0.0021, 0)</f>
        <v>29.661899999999999</v>
      </c>
      <c r="C129" s="17">
        <f>29.2275 * CHOOSE(CONTROL!$C$9, $D$9, 100%, $F$9) + CHOOSE(CONTROL!$C$27, 0.0021, 0)</f>
        <v>29.229599999999998</v>
      </c>
      <c r="D129" s="17">
        <f>29.2275 * CHOOSE(CONTROL!$C$9, $D$9, 100%, $F$9) + CHOOSE(CONTROL!$C$27, 0.0021, 0)</f>
        <v>29.229599999999998</v>
      </c>
      <c r="E129" s="17">
        <f>29.0909 * CHOOSE(CONTROL!$C$9, $D$9, 100%, $F$9) + CHOOSE(CONTROL!$C$27, 0.0021, 0)</f>
        <v>29.093</v>
      </c>
      <c r="F129" s="17">
        <f>29.0909 * CHOOSE(CONTROL!$C$9, $D$9, 100%, $F$9) + CHOOSE(CONTROL!$C$27, 0.0021, 0)</f>
        <v>29.093</v>
      </c>
      <c r="G129" s="17">
        <f>29.3622 * CHOOSE(CONTROL!$C$9, $D$9, 100%, $F$9) + CHOOSE(CONTROL!$C$27, 0.0021, 0)</f>
        <v>29.3643</v>
      </c>
      <c r="H129" s="17">
        <f>29.2275 * CHOOSE(CONTROL!$C$9, $D$9, 100%, $F$9) + CHOOSE(CONTROL!$C$27, 0.0021, 0)</f>
        <v>29.229599999999998</v>
      </c>
      <c r="I129" s="17">
        <f>29.2275 * CHOOSE(CONTROL!$C$9, $D$9, 100%, $F$9) + CHOOSE(CONTROL!$C$27, 0.0021, 0)</f>
        <v>29.229599999999998</v>
      </c>
      <c r="J129" s="17">
        <f>29.2275 * CHOOSE(CONTROL!$C$9, $D$9, 100%, $F$9) + CHOOSE(CONTROL!$C$27, 0.0021, 0)</f>
        <v>29.229599999999998</v>
      </c>
      <c r="K129" s="17">
        <f>29.2275 * CHOOSE(CONTROL!$C$9, $D$9, 100%, $F$9) + CHOOSE(CONTROL!$C$27, 0.0021, 0)</f>
        <v>29.229599999999998</v>
      </c>
      <c r="L129" s="17"/>
    </row>
    <row r="130" spans="1:12" ht="15" x14ac:dyDescent="0.2">
      <c r="A130" s="16">
        <v>44501</v>
      </c>
      <c r="B130" s="17">
        <f>29.7795 * CHOOSE(CONTROL!$C$9, $D$9, 100%, $F$9) + CHOOSE(CONTROL!$C$27, 0.0021, 0)</f>
        <v>29.781599999999997</v>
      </c>
      <c r="C130" s="17">
        <f>29.3472 * CHOOSE(CONTROL!$C$9, $D$9, 100%, $F$9) + CHOOSE(CONTROL!$C$27, 0.0021, 0)</f>
        <v>29.349299999999999</v>
      </c>
      <c r="D130" s="17">
        <f>29.3472 * CHOOSE(CONTROL!$C$9, $D$9, 100%, $F$9) + CHOOSE(CONTROL!$C$27, 0.0021, 0)</f>
        <v>29.349299999999999</v>
      </c>
      <c r="E130" s="17">
        <f>29.2106 * CHOOSE(CONTROL!$C$9, $D$9, 100%, $F$9) + CHOOSE(CONTROL!$C$27, 0.0021, 0)</f>
        <v>29.212699999999998</v>
      </c>
      <c r="F130" s="17">
        <f>29.2106 * CHOOSE(CONTROL!$C$9, $D$9, 100%, $F$9) + CHOOSE(CONTROL!$C$27, 0.0021, 0)</f>
        <v>29.212699999999998</v>
      </c>
      <c r="G130" s="17">
        <f>29.482 * CHOOSE(CONTROL!$C$9, $D$9, 100%, $F$9) + CHOOSE(CONTROL!$C$27, 0.0021, 0)</f>
        <v>29.484099999999998</v>
      </c>
      <c r="H130" s="17">
        <f>29.3472 * CHOOSE(CONTROL!$C$9, $D$9, 100%, $F$9) + CHOOSE(CONTROL!$C$27, 0.0021, 0)</f>
        <v>29.349299999999999</v>
      </c>
      <c r="I130" s="17">
        <f>29.3472 * CHOOSE(CONTROL!$C$9, $D$9, 100%, $F$9) + CHOOSE(CONTROL!$C$27, 0.0021, 0)</f>
        <v>29.349299999999999</v>
      </c>
      <c r="J130" s="17">
        <f>29.3472 * CHOOSE(CONTROL!$C$9, $D$9, 100%, $F$9) + CHOOSE(CONTROL!$C$27, 0.0021, 0)</f>
        <v>29.349299999999999</v>
      </c>
      <c r="K130" s="17">
        <f>29.3472 * CHOOSE(CONTROL!$C$9, $D$9, 100%, $F$9) + CHOOSE(CONTROL!$C$27, 0.0021, 0)</f>
        <v>29.349299999999999</v>
      </c>
      <c r="L130" s="17"/>
    </row>
    <row r="131" spans="1:12" ht="15" x14ac:dyDescent="0.2">
      <c r="A131" s="16">
        <v>44531</v>
      </c>
      <c r="B131" s="17">
        <f>29.296 * CHOOSE(CONTROL!$C$9, $D$9, 100%, $F$9) + CHOOSE(CONTROL!$C$27, 0.0021, 0)</f>
        <v>29.298099999999998</v>
      </c>
      <c r="C131" s="17">
        <f>28.8638 * CHOOSE(CONTROL!$C$9, $D$9, 100%, $F$9) + CHOOSE(CONTROL!$C$27, 0.0021, 0)</f>
        <v>28.8659</v>
      </c>
      <c r="D131" s="17">
        <f>28.8638 * CHOOSE(CONTROL!$C$9, $D$9, 100%, $F$9) + CHOOSE(CONTROL!$C$27, 0.0021, 0)</f>
        <v>28.8659</v>
      </c>
      <c r="E131" s="17">
        <f>28.7271 * CHOOSE(CONTROL!$C$9, $D$9, 100%, $F$9) + CHOOSE(CONTROL!$C$27, 0.0021, 0)</f>
        <v>28.729199999999999</v>
      </c>
      <c r="F131" s="17">
        <f>28.7271 * CHOOSE(CONTROL!$C$9, $D$9, 100%, $F$9) + CHOOSE(CONTROL!$C$27, 0.0021, 0)</f>
        <v>28.729199999999999</v>
      </c>
      <c r="G131" s="17">
        <f>28.9985 * CHOOSE(CONTROL!$C$9, $D$9, 100%, $F$9) + CHOOSE(CONTROL!$C$27, 0.0021, 0)</f>
        <v>29.000599999999999</v>
      </c>
      <c r="H131" s="17">
        <f>28.8638 * CHOOSE(CONTROL!$C$9, $D$9, 100%, $F$9) + CHOOSE(CONTROL!$C$27, 0.0021, 0)</f>
        <v>28.8659</v>
      </c>
      <c r="I131" s="17">
        <f>28.8638 * CHOOSE(CONTROL!$C$9, $D$9, 100%, $F$9) + CHOOSE(CONTROL!$C$27, 0.0021, 0)</f>
        <v>28.8659</v>
      </c>
      <c r="J131" s="17">
        <f>28.8638 * CHOOSE(CONTROL!$C$9, $D$9, 100%, $F$9) + CHOOSE(CONTROL!$C$27, 0.0021, 0)</f>
        <v>28.8659</v>
      </c>
      <c r="K131" s="17">
        <f>28.8638 * CHOOSE(CONTROL!$C$9, $D$9, 100%, $F$9) + CHOOSE(CONTROL!$C$27, 0.0021, 0)</f>
        <v>28.8659</v>
      </c>
      <c r="L131" s="17"/>
    </row>
    <row r="132" spans="1:12" ht="15" x14ac:dyDescent="0.2">
      <c r="A132" s="16">
        <v>44562</v>
      </c>
      <c r="B132" s="17">
        <f>29.3424 * CHOOSE(CONTROL!$C$9, $D$9, 100%, $F$9) + CHOOSE(CONTROL!$C$27, 0.0021, 0)</f>
        <v>29.3445</v>
      </c>
      <c r="C132" s="17">
        <f>28.9102 * CHOOSE(CONTROL!$C$9, $D$9, 100%, $F$9) + CHOOSE(CONTROL!$C$27, 0.0021, 0)</f>
        <v>28.912299999999998</v>
      </c>
      <c r="D132" s="17">
        <f>28.9102 * CHOOSE(CONTROL!$C$9, $D$9, 100%, $F$9) + CHOOSE(CONTROL!$C$27, 0.0021, 0)</f>
        <v>28.912299999999998</v>
      </c>
      <c r="E132" s="17">
        <f>28.7735 * CHOOSE(CONTROL!$C$9, $D$9, 100%, $F$9) + CHOOSE(CONTROL!$C$27, 0.0021, 0)</f>
        <v>28.775599999999997</v>
      </c>
      <c r="F132" s="17">
        <f>28.7735 * CHOOSE(CONTROL!$C$9, $D$9, 100%, $F$9) + CHOOSE(CONTROL!$C$27, 0.0021, 0)</f>
        <v>28.775599999999997</v>
      </c>
      <c r="G132" s="17">
        <f>29.0449 * CHOOSE(CONTROL!$C$9, $D$9, 100%, $F$9) + CHOOSE(CONTROL!$C$27, 0.0021, 0)</f>
        <v>29.046999999999997</v>
      </c>
      <c r="H132" s="17">
        <f>28.9102 * CHOOSE(CONTROL!$C$9, $D$9, 100%, $F$9) + CHOOSE(CONTROL!$C$27, 0.0021, 0)</f>
        <v>28.912299999999998</v>
      </c>
      <c r="I132" s="17">
        <f>28.9102 * CHOOSE(CONTROL!$C$9, $D$9, 100%, $F$9) + CHOOSE(CONTROL!$C$27, 0.0021, 0)</f>
        <v>28.912299999999998</v>
      </c>
      <c r="J132" s="17">
        <f>28.9102 * CHOOSE(CONTROL!$C$9, $D$9, 100%, $F$9) + CHOOSE(CONTROL!$C$27, 0.0021, 0)</f>
        <v>28.912299999999998</v>
      </c>
      <c r="K132" s="17">
        <f>28.9102 * CHOOSE(CONTROL!$C$9, $D$9, 100%, $F$9) + CHOOSE(CONTROL!$C$27, 0.0021, 0)</f>
        <v>28.912299999999998</v>
      </c>
      <c r="L132" s="17"/>
    </row>
    <row r="133" spans="1:12" ht="15" x14ac:dyDescent="0.2">
      <c r="A133" s="16">
        <v>44593</v>
      </c>
      <c r="B133" s="17">
        <f>28.6315 * CHOOSE(CONTROL!$C$9, $D$9, 100%, $F$9) + CHOOSE(CONTROL!$C$27, 0.0021, 0)</f>
        <v>28.633599999999998</v>
      </c>
      <c r="C133" s="17">
        <f>28.1992 * CHOOSE(CONTROL!$C$9, $D$9, 100%, $F$9) + CHOOSE(CONTROL!$C$27, 0.0021, 0)</f>
        <v>28.2013</v>
      </c>
      <c r="D133" s="17">
        <f>28.1992 * CHOOSE(CONTROL!$C$9, $D$9, 100%, $F$9) + CHOOSE(CONTROL!$C$27, 0.0021, 0)</f>
        <v>28.2013</v>
      </c>
      <c r="E133" s="17">
        <f>28.0626 * CHOOSE(CONTROL!$C$9, $D$9, 100%, $F$9) + CHOOSE(CONTROL!$C$27, 0.0021, 0)</f>
        <v>28.064699999999998</v>
      </c>
      <c r="F133" s="17">
        <f>28.0626 * CHOOSE(CONTROL!$C$9, $D$9, 100%, $F$9) + CHOOSE(CONTROL!$C$27, 0.0021, 0)</f>
        <v>28.064699999999998</v>
      </c>
      <c r="G133" s="17">
        <f>28.3339 * CHOOSE(CONTROL!$C$9, $D$9, 100%, $F$9) + CHOOSE(CONTROL!$C$27, 0.0021, 0)</f>
        <v>28.335999999999999</v>
      </c>
      <c r="H133" s="17">
        <f>28.1992 * CHOOSE(CONTROL!$C$9, $D$9, 100%, $F$9) + CHOOSE(CONTROL!$C$27, 0.0021, 0)</f>
        <v>28.2013</v>
      </c>
      <c r="I133" s="17">
        <f>28.1992 * CHOOSE(CONTROL!$C$9, $D$9, 100%, $F$9) + CHOOSE(CONTROL!$C$27, 0.0021, 0)</f>
        <v>28.2013</v>
      </c>
      <c r="J133" s="17">
        <f>28.1992 * CHOOSE(CONTROL!$C$9, $D$9, 100%, $F$9) + CHOOSE(CONTROL!$C$27, 0.0021, 0)</f>
        <v>28.2013</v>
      </c>
      <c r="K133" s="17">
        <f>28.1992 * CHOOSE(CONTROL!$C$9, $D$9, 100%, $F$9) + CHOOSE(CONTROL!$C$27, 0.0021, 0)</f>
        <v>28.2013</v>
      </c>
      <c r="L133" s="17"/>
    </row>
    <row r="134" spans="1:12" ht="15" x14ac:dyDescent="0.2">
      <c r="A134" s="16">
        <v>44621</v>
      </c>
      <c r="B134" s="17">
        <f>28.3686 * CHOOSE(CONTROL!$C$9, $D$9, 100%, $F$9) + CHOOSE(CONTROL!$C$27, 0.0021, 0)</f>
        <v>28.370699999999999</v>
      </c>
      <c r="C134" s="17">
        <f>27.9363 * CHOOSE(CONTROL!$C$9, $D$9, 100%, $F$9) + CHOOSE(CONTROL!$C$27, 0.0021, 0)</f>
        <v>27.938399999999998</v>
      </c>
      <c r="D134" s="17">
        <f>27.9363 * CHOOSE(CONTROL!$C$9, $D$9, 100%, $F$9) + CHOOSE(CONTROL!$C$27, 0.0021, 0)</f>
        <v>27.938399999999998</v>
      </c>
      <c r="E134" s="17">
        <f>27.7997 * CHOOSE(CONTROL!$C$9, $D$9, 100%, $F$9) + CHOOSE(CONTROL!$C$27, 0.0021, 0)</f>
        <v>27.8018</v>
      </c>
      <c r="F134" s="17">
        <f>27.7997 * CHOOSE(CONTROL!$C$9, $D$9, 100%, $F$9) + CHOOSE(CONTROL!$C$27, 0.0021, 0)</f>
        <v>27.8018</v>
      </c>
      <c r="G134" s="17">
        <f>28.071 * CHOOSE(CONTROL!$C$9, $D$9, 100%, $F$9) + CHOOSE(CONTROL!$C$27, 0.0021, 0)</f>
        <v>28.0731</v>
      </c>
      <c r="H134" s="17">
        <f>27.9363 * CHOOSE(CONTROL!$C$9, $D$9, 100%, $F$9) + CHOOSE(CONTROL!$C$27, 0.0021, 0)</f>
        <v>27.938399999999998</v>
      </c>
      <c r="I134" s="17">
        <f>27.9363 * CHOOSE(CONTROL!$C$9, $D$9, 100%, $F$9) + CHOOSE(CONTROL!$C$27, 0.0021, 0)</f>
        <v>27.938399999999998</v>
      </c>
      <c r="J134" s="17">
        <f>27.9363 * CHOOSE(CONTROL!$C$9, $D$9, 100%, $F$9) + CHOOSE(CONTROL!$C$27, 0.0021, 0)</f>
        <v>27.938399999999998</v>
      </c>
      <c r="K134" s="17">
        <f>27.9363 * CHOOSE(CONTROL!$C$9, $D$9, 100%, $F$9) + CHOOSE(CONTROL!$C$27, 0.0021, 0)</f>
        <v>27.938399999999998</v>
      </c>
      <c r="L134" s="17"/>
    </row>
    <row r="135" spans="1:12" ht="15" x14ac:dyDescent="0.2">
      <c r="A135" s="16">
        <v>44652</v>
      </c>
      <c r="B135" s="17">
        <f>28.0428 * CHOOSE(CONTROL!$C$9, $D$9, 100%, $F$9) + CHOOSE(CONTROL!$C$27, 0.0021, 0)</f>
        <v>28.044899999999998</v>
      </c>
      <c r="C135" s="17">
        <f>27.6106 * CHOOSE(CONTROL!$C$9, $D$9, 100%, $F$9) + CHOOSE(CONTROL!$C$27, 0.0021, 0)</f>
        <v>27.6127</v>
      </c>
      <c r="D135" s="17">
        <f>27.6106 * CHOOSE(CONTROL!$C$9, $D$9, 100%, $F$9) + CHOOSE(CONTROL!$C$27, 0.0021, 0)</f>
        <v>27.6127</v>
      </c>
      <c r="E135" s="17">
        <f>27.4739 * CHOOSE(CONTROL!$C$9, $D$9, 100%, $F$9) + CHOOSE(CONTROL!$C$27, 0.0021, 0)</f>
        <v>27.475999999999999</v>
      </c>
      <c r="F135" s="17">
        <f>27.4739 * CHOOSE(CONTROL!$C$9, $D$9, 100%, $F$9) + CHOOSE(CONTROL!$C$27, 0.0021, 0)</f>
        <v>27.475999999999999</v>
      </c>
      <c r="G135" s="17">
        <f>27.7453 * CHOOSE(CONTROL!$C$9, $D$9, 100%, $F$9) + CHOOSE(CONTROL!$C$27, 0.0021, 0)</f>
        <v>27.747399999999999</v>
      </c>
      <c r="H135" s="17">
        <f>27.6106 * CHOOSE(CONTROL!$C$9, $D$9, 100%, $F$9) + CHOOSE(CONTROL!$C$27, 0.0021, 0)</f>
        <v>27.6127</v>
      </c>
      <c r="I135" s="17">
        <f>27.6106 * CHOOSE(CONTROL!$C$9, $D$9, 100%, $F$9) + CHOOSE(CONTROL!$C$27, 0.0021, 0)</f>
        <v>27.6127</v>
      </c>
      <c r="J135" s="17">
        <f>27.6106 * CHOOSE(CONTROL!$C$9, $D$9, 100%, $F$9) + CHOOSE(CONTROL!$C$27, 0.0021, 0)</f>
        <v>27.6127</v>
      </c>
      <c r="K135" s="17">
        <f>27.6106 * CHOOSE(CONTROL!$C$9, $D$9, 100%, $F$9) + CHOOSE(CONTROL!$C$27, 0.0021, 0)</f>
        <v>27.6127</v>
      </c>
      <c r="L135" s="17"/>
    </row>
    <row r="136" spans="1:12" ht="15" x14ac:dyDescent="0.2">
      <c r="A136" s="16">
        <v>44682</v>
      </c>
      <c r="B136" s="17">
        <f>28.6377 * CHOOSE(CONTROL!$C$9, $D$9, 100%, $F$9) + CHOOSE(CONTROL!$C$27, 0.0021, 0)</f>
        <v>28.639799999999997</v>
      </c>
      <c r="C136" s="17">
        <f>28.2055 * CHOOSE(CONTROL!$C$9, $D$9, 100%, $F$9) + CHOOSE(CONTROL!$C$27, 0.0021, 0)</f>
        <v>28.207599999999999</v>
      </c>
      <c r="D136" s="17">
        <f>28.2055 * CHOOSE(CONTROL!$C$9, $D$9, 100%, $F$9) + CHOOSE(CONTROL!$C$27, 0.0021, 0)</f>
        <v>28.207599999999999</v>
      </c>
      <c r="E136" s="17">
        <f>28.0688 * CHOOSE(CONTROL!$C$9, $D$9, 100%, $F$9) + CHOOSE(CONTROL!$C$27, 0.0021, 0)</f>
        <v>28.070899999999998</v>
      </c>
      <c r="F136" s="17">
        <f>28.0688 * CHOOSE(CONTROL!$C$9, $D$9, 100%, $F$9) + CHOOSE(CONTROL!$C$27, 0.0021, 0)</f>
        <v>28.070899999999998</v>
      </c>
      <c r="G136" s="17">
        <f>28.3402 * CHOOSE(CONTROL!$C$9, $D$9, 100%, $F$9) + CHOOSE(CONTROL!$C$27, 0.0021, 0)</f>
        <v>28.342299999999998</v>
      </c>
      <c r="H136" s="17">
        <f>28.2055 * CHOOSE(CONTROL!$C$9, $D$9, 100%, $F$9) + CHOOSE(CONTROL!$C$27, 0.0021, 0)</f>
        <v>28.207599999999999</v>
      </c>
      <c r="I136" s="17">
        <f>28.2055 * CHOOSE(CONTROL!$C$9, $D$9, 100%, $F$9) + CHOOSE(CONTROL!$C$27, 0.0021, 0)</f>
        <v>28.207599999999999</v>
      </c>
      <c r="J136" s="17">
        <f>28.2055 * CHOOSE(CONTROL!$C$9, $D$9, 100%, $F$9) + CHOOSE(CONTROL!$C$27, 0.0021, 0)</f>
        <v>28.207599999999999</v>
      </c>
      <c r="K136" s="17">
        <f>28.2055 * CHOOSE(CONTROL!$C$9, $D$9, 100%, $F$9) + CHOOSE(CONTROL!$C$27, 0.0021, 0)</f>
        <v>28.207599999999999</v>
      </c>
      <c r="L136" s="17"/>
    </row>
    <row r="137" spans="1:12" ht="15" x14ac:dyDescent="0.2">
      <c r="A137" s="16">
        <v>44713</v>
      </c>
      <c r="B137" s="17">
        <f>29.0173 * CHOOSE(CONTROL!$C$9, $D$9, 100%, $F$9) + CHOOSE(CONTROL!$C$27, 0.0021, 0)</f>
        <v>29.019399999999997</v>
      </c>
      <c r="C137" s="17">
        <f>28.585 * CHOOSE(CONTROL!$C$9, $D$9, 100%, $F$9) + CHOOSE(CONTROL!$C$27, 0.0021, 0)</f>
        <v>28.5871</v>
      </c>
      <c r="D137" s="17">
        <f>28.585 * CHOOSE(CONTROL!$C$9, $D$9, 100%, $F$9) + CHOOSE(CONTROL!$C$27, 0.0021, 0)</f>
        <v>28.5871</v>
      </c>
      <c r="E137" s="17">
        <f>28.4483 * CHOOSE(CONTROL!$C$9, $D$9, 100%, $F$9) + CHOOSE(CONTROL!$C$27, 0.0021, 0)</f>
        <v>28.450399999999998</v>
      </c>
      <c r="F137" s="17">
        <f>28.4483 * CHOOSE(CONTROL!$C$9, $D$9, 100%, $F$9) + CHOOSE(CONTROL!$C$27, 0.0021, 0)</f>
        <v>28.450399999999998</v>
      </c>
      <c r="G137" s="17">
        <f>28.7197 * CHOOSE(CONTROL!$C$9, $D$9, 100%, $F$9) + CHOOSE(CONTROL!$C$27, 0.0021, 0)</f>
        <v>28.721799999999998</v>
      </c>
      <c r="H137" s="17">
        <f>28.585 * CHOOSE(CONTROL!$C$9, $D$9, 100%, $F$9) + CHOOSE(CONTROL!$C$27, 0.0021, 0)</f>
        <v>28.5871</v>
      </c>
      <c r="I137" s="17">
        <f>28.585 * CHOOSE(CONTROL!$C$9, $D$9, 100%, $F$9) + CHOOSE(CONTROL!$C$27, 0.0021, 0)</f>
        <v>28.5871</v>
      </c>
      <c r="J137" s="17">
        <f>28.585 * CHOOSE(CONTROL!$C$9, $D$9, 100%, $F$9) + CHOOSE(CONTROL!$C$27, 0.0021, 0)</f>
        <v>28.5871</v>
      </c>
      <c r="K137" s="17">
        <f>28.585 * CHOOSE(CONTROL!$C$9, $D$9, 100%, $F$9) + CHOOSE(CONTROL!$C$27, 0.0021, 0)</f>
        <v>28.5871</v>
      </c>
      <c r="L137" s="17"/>
    </row>
    <row r="138" spans="1:12" ht="15" x14ac:dyDescent="0.2">
      <c r="A138" s="16">
        <v>44743</v>
      </c>
      <c r="B138" s="17">
        <f>29.6099 * CHOOSE(CONTROL!$C$9, $D$9, 100%, $F$9) + CHOOSE(CONTROL!$C$27, 0.0021, 0)</f>
        <v>29.611999999999998</v>
      </c>
      <c r="C138" s="17">
        <f>29.1777 * CHOOSE(CONTROL!$C$9, $D$9, 100%, $F$9) + CHOOSE(CONTROL!$C$27, 0.0021, 0)</f>
        <v>29.1798</v>
      </c>
      <c r="D138" s="17">
        <f>29.1777 * CHOOSE(CONTROL!$C$9, $D$9, 100%, $F$9) + CHOOSE(CONTROL!$C$27, 0.0021, 0)</f>
        <v>29.1798</v>
      </c>
      <c r="E138" s="17">
        <f>29.041 * CHOOSE(CONTROL!$C$9, $D$9, 100%, $F$9) + CHOOSE(CONTROL!$C$27, 0.0021, 0)</f>
        <v>29.043099999999999</v>
      </c>
      <c r="F138" s="17">
        <f>29.041 * CHOOSE(CONTROL!$C$9, $D$9, 100%, $F$9) + CHOOSE(CONTROL!$C$27, 0.0021, 0)</f>
        <v>29.043099999999999</v>
      </c>
      <c r="G138" s="17">
        <f>29.3124 * CHOOSE(CONTROL!$C$9, $D$9, 100%, $F$9) + CHOOSE(CONTROL!$C$27, 0.0021, 0)</f>
        <v>29.314499999999999</v>
      </c>
      <c r="H138" s="17">
        <f>29.1777 * CHOOSE(CONTROL!$C$9, $D$9, 100%, $F$9) + CHOOSE(CONTROL!$C$27, 0.0021, 0)</f>
        <v>29.1798</v>
      </c>
      <c r="I138" s="17">
        <f>29.1777 * CHOOSE(CONTROL!$C$9, $D$9, 100%, $F$9) + CHOOSE(CONTROL!$C$27, 0.0021, 0)</f>
        <v>29.1798</v>
      </c>
      <c r="J138" s="17">
        <f>29.1777 * CHOOSE(CONTROL!$C$9, $D$9, 100%, $F$9) + CHOOSE(CONTROL!$C$27, 0.0021, 0)</f>
        <v>29.1798</v>
      </c>
      <c r="K138" s="17">
        <f>29.1777 * CHOOSE(CONTROL!$C$9, $D$9, 100%, $F$9) + CHOOSE(CONTROL!$C$27, 0.0021, 0)</f>
        <v>29.1798</v>
      </c>
      <c r="L138" s="17"/>
    </row>
    <row r="139" spans="1:12" ht="15" x14ac:dyDescent="0.2">
      <c r="A139" s="16">
        <v>44774</v>
      </c>
      <c r="B139" s="17">
        <f>29.8306 * CHOOSE(CONTROL!$C$9, $D$9, 100%, $F$9) + CHOOSE(CONTROL!$C$27, 0.0021, 0)</f>
        <v>29.832699999999999</v>
      </c>
      <c r="C139" s="17">
        <f>29.3984 * CHOOSE(CONTROL!$C$9, $D$9, 100%, $F$9) + CHOOSE(CONTROL!$C$27, 0.0021, 0)</f>
        <v>29.400499999999997</v>
      </c>
      <c r="D139" s="17">
        <f>29.3984 * CHOOSE(CONTROL!$C$9, $D$9, 100%, $F$9) + CHOOSE(CONTROL!$C$27, 0.0021, 0)</f>
        <v>29.400499999999997</v>
      </c>
      <c r="E139" s="17">
        <f>29.2617 * CHOOSE(CONTROL!$C$9, $D$9, 100%, $F$9) + CHOOSE(CONTROL!$C$27, 0.0021, 0)</f>
        <v>29.2638</v>
      </c>
      <c r="F139" s="17">
        <f>29.2617 * CHOOSE(CONTROL!$C$9, $D$9, 100%, $F$9) + CHOOSE(CONTROL!$C$27, 0.0021, 0)</f>
        <v>29.2638</v>
      </c>
      <c r="G139" s="17">
        <f>29.5331 * CHOOSE(CONTROL!$C$9, $D$9, 100%, $F$9) + CHOOSE(CONTROL!$C$27, 0.0021, 0)</f>
        <v>29.5352</v>
      </c>
      <c r="H139" s="17">
        <f>29.3984 * CHOOSE(CONTROL!$C$9, $D$9, 100%, $F$9) + CHOOSE(CONTROL!$C$27, 0.0021, 0)</f>
        <v>29.400499999999997</v>
      </c>
      <c r="I139" s="17">
        <f>29.3984 * CHOOSE(CONTROL!$C$9, $D$9, 100%, $F$9) + CHOOSE(CONTROL!$C$27, 0.0021, 0)</f>
        <v>29.400499999999997</v>
      </c>
      <c r="J139" s="17">
        <f>29.3984 * CHOOSE(CONTROL!$C$9, $D$9, 100%, $F$9) + CHOOSE(CONTROL!$C$27, 0.0021, 0)</f>
        <v>29.400499999999997</v>
      </c>
      <c r="K139" s="17">
        <f>29.3984 * CHOOSE(CONTROL!$C$9, $D$9, 100%, $F$9) + CHOOSE(CONTROL!$C$27, 0.0021, 0)</f>
        <v>29.400499999999997</v>
      </c>
      <c r="L139" s="17"/>
    </row>
    <row r="140" spans="1:12" ht="15" x14ac:dyDescent="0.2">
      <c r="A140" s="16">
        <v>44805</v>
      </c>
      <c r="B140" s="17">
        <f>30.4485 * CHOOSE(CONTROL!$C$9, $D$9, 100%, $F$9) + CHOOSE(CONTROL!$C$27, 0.0021, 0)</f>
        <v>30.450599999999998</v>
      </c>
      <c r="C140" s="17">
        <f>30.0163 * CHOOSE(CONTROL!$C$9, $D$9, 100%, $F$9) + CHOOSE(CONTROL!$C$27, 0.0021, 0)</f>
        <v>30.0184</v>
      </c>
      <c r="D140" s="17">
        <f>30.0163 * CHOOSE(CONTROL!$C$9, $D$9, 100%, $F$9) + CHOOSE(CONTROL!$C$27, 0.0021, 0)</f>
        <v>30.0184</v>
      </c>
      <c r="E140" s="17">
        <f>29.8796 * CHOOSE(CONTROL!$C$9, $D$9, 100%, $F$9) + CHOOSE(CONTROL!$C$27, 0.0021, 0)</f>
        <v>29.881699999999999</v>
      </c>
      <c r="F140" s="17">
        <f>29.8796 * CHOOSE(CONTROL!$C$9, $D$9, 100%, $F$9) + CHOOSE(CONTROL!$C$27, 0.0021, 0)</f>
        <v>29.881699999999999</v>
      </c>
      <c r="G140" s="17">
        <f>30.151 * CHOOSE(CONTROL!$C$9, $D$9, 100%, $F$9) + CHOOSE(CONTROL!$C$27, 0.0021, 0)</f>
        <v>30.153099999999998</v>
      </c>
      <c r="H140" s="17">
        <f>30.0163 * CHOOSE(CONTROL!$C$9, $D$9, 100%, $F$9) + CHOOSE(CONTROL!$C$27, 0.0021, 0)</f>
        <v>30.0184</v>
      </c>
      <c r="I140" s="17">
        <f>30.0163 * CHOOSE(CONTROL!$C$9, $D$9, 100%, $F$9) + CHOOSE(CONTROL!$C$27, 0.0021, 0)</f>
        <v>30.0184</v>
      </c>
      <c r="J140" s="17">
        <f>30.0163 * CHOOSE(CONTROL!$C$9, $D$9, 100%, $F$9) + CHOOSE(CONTROL!$C$27, 0.0021, 0)</f>
        <v>30.0184</v>
      </c>
      <c r="K140" s="17">
        <f>30.0163 * CHOOSE(CONTROL!$C$9, $D$9, 100%, $F$9) + CHOOSE(CONTROL!$C$27, 0.0021, 0)</f>
        <v>30.0184</v>
      </c>
      <c r="L140" s="17"/>
    </row>
    <row r="141" spans="1:12" ht="15" x14ac:dyDescent="0.2">
      <c r="A141" s="16">
        <v>44835</v>
      </c>
      <c r="B141" s="17">
        <f>31.2183 * CHOOSE(CONTROL!$C$9, $D$9, 100%, $F$9) + CHOOSE(CONTROL!$C$27, 0.0021, 0)</f>
        <v>31.220399999999998</v>
      </c>
      <c r="C141" s="17">
        <f>30.786 * CHOOSE(CONTROL!$C$9, $D$9, 100%, $F$9) + CHOOSE(CONTROL!$C$27, 0.0021, 0)</f>
        <v>30.7881</v>
      </c>
      <c r="D141" s="17">
        <f>30.786 * CHOOSE(CONTROL!$C$9, $D$9, 100%, $F$9) + CHOOSE(CONTROL!$C$27, 0.0021, 0)</f>
        <v>30.7881</v>
      </c>
      <c r="E141" s="17">
        <f>30.6494 * CHOOSE(CONTROL!$C$9, $D$9, 100%, $F$9) + CHOOSE(CONTROL!$C$27, 0.0021, 0)</f>
        <v>30.651499999999999</v>
      </c>
      <c r="F141" s="17">
        <f>30.6494 * CHOOSE(CONTROL!$C$9, $D$9, 100%, $F$9) + CHOOSE(CONTROL!$C$27, 0.0021, 0)</f>
        <v>30.651499999999999</v>
      </c>
      <c r="G141" s="17">
        <f>30.9207 * CHOOSE(CONTROL!$C$9, $D$9, 100%, $F$9) + CHOOSE(CONTROL!$C$27, 0.0021, 0)</f>
        <v>30.922799999999999</v>
      </c>
      <c r="H141" s="17">
        <f>30.786 * CHOOSE(CONTROL!$C$9, $D$9, 100%, $F$9) + CHOOSE(CONTROL!$C$27, 0.0021, 0)</f>
        <v>30.7881</v>
      </c>
      <c r="I141" s="17">
        <f>30.786 * CHOOSE(CONTROL!$C$9, $D$9, 100%, $F$9) + CHOOSE(CONTROL!$C$27, 0.0021, 0)</f>
        <v>30.7881</v>
      </c>
      <c r="J141" s="17">
        <f>30.786 * CHOOSE(CONTROL!$C$9, $D$9, 100%, $F$9) + CHOOSE(CONTROL!$C$27, 0.0021, 0)</f>
        <v>30.7881</v>
      </c>
      <c r="K141" s="17">
        <f>30.786 * CHOOSE(CONTROL!$C$9, $D$9, 100%, $F$9) + CHOOSE(CONTROL!$C$27, 0.0021, 0)</f>
        <v>30.7881</v>
      </c>
      <c r="L141" s="17"/>
    </row>
    <row r="142" spans="1:12" ht="15" x14ac:dyDescent="0.2">
      <c r="A142" s="16">
        <v>44866</v>
      </c>
      <c r="B142" s="17">
        <f>31.3448 * CHOOSE(CONTROL!$C$9, $D$9, 100%, $F$9) + CHOOSE(CONTROL!$C$27, 0.0021, 0)</f>
        <v>31.346899999999998</v>
      </c>
      <c r="C142" s="17">
        <f>30.9126 * CHOOSE(CONTROL!$C$9, $D$9, 100%, $F$9) + CHOOSE(CONTROL!$C$27, 0.0021, 0)</f>
        <v>30.9147</v>
      </c>
      <c r="D142" s="17">
        <f>30.9126 * CHOOSE(CONTROL!$C$9, $D$9, 100%, $F$9) + CHOOSE(CONTROL!$C$27, 0.0021, 0)</f>
        <v>30.9147</v>
      </c>
      <c r="E142" s="17">
        <f>30.7759 * CHOOSE(CONTROL!$C$9, $D$9, 100%, $F$9) + CHOOSE(CONTROL!$C$27, 0.0021, 0)</f>
        <v>30.777999999999999</v>
      </c>
      <c r="F142" s="17">
        <f>30.7759 * CHOOSE(CONTROL!$C$9, $D$9, 100%, $F$9) + CHOOSE(CONTROL!$C$27, 0.0021, 0)</f>
        <v>30.777999999999999</v>
      </c>
      <c r="G142" s="17">
        <f>31.0473 * CHOOSE(CONTROL!$C$9, $D$9, 100%, $F$9) + CHOOSE(CONTROL!$C$27, 0.0021, 0)</f>
        <v>31.049399999999999</v>
      </c>
      <c r="H142" s="17">
        <f>30.9126 * CHOOSE(CONTROL!$C$9, $D$9, 100%, $F$9) + CHOOSE(CONTROL!$C$27, 0.0021, 0)</f>
        <v>30.9147</v>
      </c>
      <c r="I142" s="17">
        <f>30.9126 * CHOOSE(CONTROL!$C$9, $D$9, 100%, $F$9) + CHOOSE(CONTROL!$C$27, 0.0021, 0)</f>
        <v>30.9147</v>
      </c>
      <c r="J142" s="17">
        <f>30.9126 * CHOOSE(CONTROL!$C$9, $D$9, 100%, $F$9) + CHOOSE(CONTROL!$C$27, 0.0021, 0)</f>
        <v>30.9147</v>
      </c>
      <c r="K142" s="17">
        <f>30.9126 * CHOOSE(CONTROL!$C$9, $D$9, 100%, $F$9) + CHOOSE(CONTROL!$C$27, 0.0021, 0)</f>
        <v>30.9147</v>
      </c>
      <c r="L142" s="17"/>
    </row>
    <row r="143" spans="1:12" ht="15" x14ac:dyDescent="0.2">
      <c r="A143" s="16">
        <v>44896</v>
      </c>
      <c r="B143" s="17">
        <f>30.8338 * CHOOSE(CONTROL!$C$9, $D$9, 100%, $F$9) + CHOOSE(CONTROL!$C$27, 0.0021, 0)</f>
        <v>30.835899999999999</v>
      </c>
      <c r="C143" s="17">
        <f>30.4016 * CHOOSE(CONTROL!$C$9, $D$9, 100%, $F$9) + CHOOSE(CONTROL!$C$27, 0.0021, 0)</f>
        <v>30.403699999999997</v>
      </c>
      <c r="D143" s="17">
        <f>30.4016 * CHOOSE(CONTROL!$C$9, $D$9, 100%, $F$9) + CHOOSE(CONTROL!$C$27, 0.0021, 0)</f>
        <v>30.403699999999997</v>
      </c>
      <c r="E143" s="17">
        <f>30.2649 * CHOOSE(CONTROL!$C$9, $D$9, 100%, $F$9) + CHOOSE(CONTROL!$C$27, 0.0021, 0)</f>
        <v>30.266999999999999</v>
      </c>
      <c r="F143" s="17">
        <f>30.2649 * CHOOSE(CONTROL!$C$9, $D$9, 100%, $F$9) + CHOOSE(CONTROL!$C$27, 0.0021, 0)</f>
        <v>30.266999999999999</v>
      </c>
      <c r="G143" s="17">
        <f>30.5363 * CHOOSE(CONTROL!$C$9, $D$9, 100%, $F$9) + CHOOSE(CONTROL!$C$27, 0.0021, 0)</f>
        <v>30.538399999999999</v>
      </c>
      <c r="H143" s="17">
        <f>30.4016 * CHOOSE(CONTROL!$C$9, $D$9, 100%, $F$9) + CHOOSE(CONTROL!$C$27, 0.0021, 0)</f>
        <v>30.403699999999997</v>
      </c>
      <c r="I143" s="17">
        <f>30.4016 * CHOOSE(CONTROL!$C$9, $D$9, 100%, $F$9) + CHOOSE(CONTROL!$C$27, 0.0021, 0)</f>
        <v>30.403699999999997</v>
      </c>
      <c r="J143" s="17">
        <f>30.4016 * CHOOSE(CONTROL!$C$9, $D$9, 100%, $F$9) + CHOOSE(CONTROL!$C$27, 0.0021, 0)</f>
        <v>30.403699999999997</v>
      </c>
      <c r="K143" s="17">
        <f>30.4016 * CHOOSE(CONTROL!$C$9, $D$9, 100%, $F$9) + CHOOSE(CONTROL!$C$27, 0.0021, 0)</f>
        <v>30.403699999999997</v>
      </c>
      <c r="L143" s="17"/>
    </row>
    <row r="144" spans="1:12" ht="15" x14ac:dyDescent="0.2">
      <c r="A144" s="16">
        <v>44927</v>
      </c>
      <c r="B144" s="17">
        <f>30.7577 * CHOOSE(CONTROL!$C$9, $D$9, 100%, $F$9) + CHOOSE(CONTROL!$C$27, 0.0021, 0)</f>
        <v>30.759799999999998</v>
      </c>
      <c r="C144" s="17">
        <f>30.3255 * CHOOSE(CONTROL!$C$9, $D$9, 100%, $F$9) + CHOOSE(CONTROL!$C$27, 0.0021, 0)</f>
        <v>30.3276</v>
      </c>
      <c r="D144" s="17">
        <f>30.3255 * CHOOSE(CONTROL!$C$9, $D$9, 100%, $F$9) + CHOOSE(CONTROL!$C$27, 0.0021, 0)</f>
        <v>30.3276</v>
      </c>
      <c r="E144" s="17">
        <f>30.1888 * CHOOSE(CONTROL!$C$9, $D$9, 100%, $F$9) + CHOOSE(CONTROL!$C$27, 0.0021, 0)</f>
        <v>30.190899999999999</v>
      </c>
      <c r="F144" s="17">
        <f>30.1888 * CHOOSE(CONTROL!$C$9, $D$9, 100%, $F$9) + CHOOSE(CONTROL!$C$27, 0.0021, 0)</f>
        <v>30.190899999999999</v>
      </c>
      <c r="G144" s="17">
        <f>30.4602 * CHOOSE(CONTROL!$C$9, $D$9, 100%, $F$9) + CHOOSE(CONTROL!$C$27, 0.0021, 0)</f>
        <v>30.462299999999999</v>
      </c>
      <c r="H144" s="17">
        <f>30.3255 * CHOOSE(CONTROL!$C$9, $D$9, 100%, $F$9) + CHOOSE(CONTROL!$C$27, 0.0021, 0)</f>
        <v>30.3276</v>
      </c>
      <c r="I144" s="17">
        <f>30.3255 * CHOOSE(CONTROL!$C$9, $D$9, 100%, $F$9) + CHOOSE(CONTROL!$C$27, 0.0021, 0)</f>
        <v>30.3276</v>
      </c>
      <c r="J144" s="17">
        <f>30.3255 * CHOOSE(CONTROL!$C$9, $D$9, 100%, $F$9) + CHOOSE(CONTROL!$C$27, 0.0021, 0)</f>
        <v>30.3276</v>
      </c>
      <c r="K144" s="17">
        <f>30.3255 * CHOOSE(CONTROL!$C$9, $D$9, 100%, $F$9) + CHOOSE(CONTROL!$C$27, 0.0021, 0)</f>
        <v>30.3276</v>
      </c>
      <c r="L144" s="17"/>
    </row>
    <row r="145" spans="1:12" ht="15" x14ac:dyDescent="0.2">
      <c r="A145" s="16">
        <v>44958</v>
      </c>
      <c r="B145" s="17">
        <f>30.0096 * CHOOSE(CONTROL!$C$9, $D$9, 100%, $F$9) + CHOOSE(CONTROL!$C$27, 0.0021, 0)</f>
        <v>30.011699999999998</v>
      </c>
      <c r="C145" s="17">
        <f>29.5773 * CHOOSE(CONTROL!$C$9, $D$9, 100%, $F$9) + CHOOSE(CONTROL!$C$27, 0.0021, 0)</f>
        <v>29.5794</v>
      </c>
      <c r="D145" s="17">
        <f>29.5773 * CHOOSE(CONTROL!$C$9, $D$9, 100%, $F$9) + CHOOSE(CONTROL!$C$27, 0.0021, 0)</f>
        <v>29.5794</v>
      </c>
      <c r="E145" s="17">
        <f>29.4406 * CHOOSE(CONTROL!$C$9, $D$9, 100%, $F$9) + CHOOSE(CONTROL!$C$27, 0.0021, 0)</f>
        <v>29.442699999999999</v>
      </c>
      <c r="F145" s="17">
        <f>29.4406 * CHOOSE(CONTROL!$C$9, $D$9, 100%, $F$9) + CHOOSE(CONTROL!$C$27, 0.0021, 0)</f>
        <v>29.442699999999999</v>
      </c>
      <c r="G145" s="17">
        <f>29.712 * CHOOSE(CONTROL!$C$9, $D$9, 100%, $F$9) + CHOOSE(CONTROL!$C$27, 0.0021, 0)</f>
        <v>29.714099999999998</v>
      </c>
      <c r="H145" s="17">
        <f>29.5773 * CHOOSE(CONTROL!$C$9, $D$9, 100%, $F$9) + CHOOSE(CONTROL!$C$27, 0.0021, 0)</f>
        <v>29.5794</v>
      </c>
      <c r="I145" s="17">
        <f>29.5773 * CHOOSE(CONTROL!$C$9, $D$9, 100%, $F$9) + CHOOSE(CONTROL!$C$27, 0.0021, 0)</f>
        <v>29.5794</v>
      </c>
      <c r="J145" s="17">
        <f>29.5773 * CHOOSE(CONTROL!$C$9, $D$9, 100%, $F$9) + CHOOSE(CONTROL!$C$27, 0.0021, 0)</f>
        <v>29.5794</v>
      </c>
      <c r="K145" s="17">
        <f>29.5773 * CHOOSE(CONTROL!$C$9, $D$9, 100%, $F$9) + CHOOSE(CONTROL!$C$27, 0.0021, 0)</f>
        <v>29.5794</v>
      </c>
      <c r="L145" s="17"/>
    </row>
    <row r="146" spans="1:12" ht="15" x14ac:dyDescent="0.2">
      <c r="A146" s="16">
        <v>44986</v>
      </c>
      <c r="B146" s="17">
        <f>29.7329 * CHOOSE(CONTROL!$C$9, $D$9, 100%, $F$9) + CHOOSE(CONTROL!$C$27, 0.0021, 0)</f>
        <v>29.734999999999999</v>
      </c>
      <c r="C146" s="17">
        <f>29.3007 * CHOOSE(CONTROL!$C$9, $D$9, 100%, $F$9) + CHOOSE(CONTROL!$C$27, 0.0021, 0)</f>
        <v>29.302799999999998</v>
      </c>
      <c r="D146" s="17">
        <f>29.3007 * CHOOSE(CONTROL!$C$9, $D$9, 100%, $F$9) + CHOOSE(CONTROL!$C$27, 0.0021, 0)</f>
        <v>29.302799999999998</v>
      </c>
      <c r="E146" s="17">
        <f>29.164 * CHOOSE(CONTROL!$C$9, $D$9, 100%, $F$9) + CHOOSE(CONTROL!$C$27, 0.0021, 0)</f>
        <v>29.1661</v>
      </c>
      <c r="F146" s="17">
        <f>29.164 * CHOOSE(CONTROL!$C$9, $D$9, 100%, $F$9) + CHOOSE(CONTROL!$C$27, 0.0021, 0)</f>
        <v>29.1661</v>
      </c>
      <c r="G146" s="17">
        <f>29.4354 * CHOOSE(CONTROL!$C$9, $D$9, 100%, $F$9) + CHOOSE(CONTROL!$C$27, 0.0021, 0)</f>
        <v>29.4375</v>
      </c>
      <c r="H146" s="17">
        <f>29.3007 * CHOOSE(CONTROL!$C$9, $D$9, 100%, $F$9) + CHOOSE(CONTROL!$C$27, 0.0021, 0)</f>
        <v>29.302799999999998</v>
      </c>
      <c r="I146" s="17">
        <f>29.3007 * CHOOSE(CONTROL!$C$9, $D$9, 100%, $F$9) + CHOOSE(CONTROL!$C$27, 0.0021, 0)</f>
        <v>29.302799999999998</v>
      </c>
      <c r="J146" s="17">
        <f>29.3007 * CHOOSE(CONTROL!$C$9, $D$9, 100%, $F$9) + CHOOSE(CONTROL!$C$27, 0.0021, 0)</f>
        <v>29.302799999999998</v>
      </c>
      <c r="K146" s="17">
        <f>29.3007 * CHOOSE(CONTROL!$C$9, $D$9, 100%, $F$9) + CHOOSE(CONTROL!$C$27, 0.0021, 0)</f>
        <v>29.302799999999998</v>
      </c>
      <c r="L146" s="17"/>
    </row>
    <row r="147" spans="1:12" ht="15" x14ac:dyDescent="0.2">
      <c r="A147" s="16">
        <v>45017</v>
      </c>
      <c r="B147" s="17">
        <f>29.3901 * CHOOSE(CONTROL!$C$9, $D$9, 100%, $F$9) + CHOOSE(CONTROL!$C$27, 0.0021, 0)</f>
        <v>29.392199999999999</v>
      </c>
      <c r="C147" s="17">
        <f>28.9579 * CHOOSE(CONTROL!$C$9, $D$9, 100%, $F$9) + CHOOSE(CONTROL!$C$27, 0.0021, 0)</f>
        <v>28.959999999999997</v>
      </c>
      <c r="D147" s="17">
        <f>28.9579 * CHOOSE(CONTROL!$C$9, $D$9, 100%, $F$9) + CHOOSE(CONTROL!$C$27, 0.0021, 0)</f>
        <v>28.959999999999997</v>
      </c>
      <c r="E147" s="17">
        <f>28.8212 * CHOOSE(CONTROL!$C$9, $D$9, 100%, $F$9) + CHOOSE(CONTROL!$C$27, 0.0021, 0)</f>
        <v>28.8233</v>
      </c>
      <c r="F147" s="17">
        <f>28.8212 * CHOOSE(CONTROL!$C$9, $D$9, 100%, $F$9) + CHOOSE(CONTROL!$C$27, 0.0021, 0)</f>
        <v>28.8233</v>
      </c>
      <c r="G147" s="17">
        <f>29.0926 * CHOOSE(CONTROL!$C$9, $D$9, 100%, $F$9) + CHOOSE(CONTROL!$C$27, 0.0021, 0)</f>
        <v>29.0947</v>
      </c>
      <c r="H147" s="17">
        <f>28.9579 * CHOOSE(CONTROL!$C$9, $D$9, 100%, $F$9) + CHOOSE(CONTROL!$C$27, 0.0021, 0)</f>
        <v>28.959999999999997</v>
      </c>
      <c r="I147" s="17">
        <f>28.9579 * CHOOSE(CONTROL!$C$9, $D$9, 100%, $F$9) + CHOOSE(CONTROL!$C$27, 0.0021, 0)</f>
        <v>28.959999999999997</v>
      </c>
      <c r="J147" s="17">
        <f>28.9579 * CHOOSE(CONTROL!$C$9, $D$9, 100%, $F$9) + CHOOSE(CONTROL!$C$27, 0.0021, 0)</f>
        <v>28.959999999999997</v>
      </c>
      <c r="K147" s="17">
        <f>28.9579 * CHOOSE(CONTROL!$C$9, $D$9, 100%, $F$9) + CHOOSE(CONTROL!$C$27, 0.0021, 0)</f>
        <v>28.959999999999997</v>
      </c>
      <c r="L147" s="17"/>
    </row>
    <row r="148" spans="1:12" ht="15" x14ac:dyDescent="0.2">
      <c r="A148" s="16">
        <v>45047</v>
      </c>
      <c r="B148" s="17">
        <f>30.0162 * CHOOSE(CONTROL!$C$9, $D$9, 100%, $F$9) + CHOOSE(CONTROL!$C$27, 0.0021, 0)</f>
        <v>30.0183</v>
      </c>
      <c r="C148" s="17">
        <f>29.5839 * CHOOSE(CONTROL!$C$9, $D$9, 100%, $F$9) + CHOOSE(CONTROL!$C$27, 0.0021, 0)</f>
        <v>29.585999999999999</v>
      </c>
      <c r="D148" s="17">
        <f>29.5839 * CHOOSE(CONTROL!$C$9, $D$9, 100%, $F$9) + CHOOSE(CONTROL!$C$27, 0.0021, 0)</f>
        <v>29.585999999999999</v>
      </c>
      <c r="E148" s="17">
        <f>29.4473 * CHOOSE(CONTROL!$C$9, $D$9, 100%, $F$9) + CHOOSE(CONTROL!$C$27, 0.0021, 0)</f>
        <v>29.449399999999997</v>
      </c>
      <c r="F148" s="17">
        <f>29.4473 * CHOOSE(CONTROL!$C$9, $D$9, 100%, $F$9) + CHOOSE(CONTROL!$C$27, 0.0021, 0)</f>
        <v>29.449399999999997</v>
      </c>
      <c r="G148" s="17">
        <f>29.7186 * CHOOSE(CONTROL!$C$9, $D$9, 100%, $F$9) + CHOOSE(CONTROL!$C$27, 0.0021, 0)</f>
        <v>29.720699999999997</v>
      </c>
      <c r="H148" s="17">
        <f>29.5839 * CHOOSE(CONTROL!$C$9, $D$9, 100%, $F$9) + CHOOSE(CONTROL!$C$27, 0.0021, 0)</f>
        <v>29.585999999999999</v>
      </c>
      <c r="I148" s="17">
        <f>29.5839 * CHOOSE(CONTROL!$C$9, $D$9, 100%, $F$9) + CHOOSE(CONTROL!$C$27, 0.0021, 0)</f>
        <v>29.585999999999999</v>
      </c>
      <c r="J148" s="17">
        <f>29.5839 * CHOOSE(CONTROL!$C$9, $D$9, 100%, $F$9) + CHOOSE(CONTROL!$C$27, 0.0021, 0)</f>
        <v>29.585999999999999</v>
      </c>
      <c r="K148" s="17">
        <f>29.5839 * CHOOSE(CONTROL!$C$9, $D$9, 100%, $F$9) + CHOOSE(CONTROL!$C$27, 0.0021, 0)</f>
        <v>29.585999999999999</v>
      </c>
      <c r="L148" s="17"/>
    </row>
    <row r="149" spans="1:12" ht="15" x14ac:dyDescent="0.2">
      <c r="A149" s="16">
        <v>45078</v>
      </c>
      <c r="B149" s="17">
        <f>30.4155 * CHOOSE(CONTROL!$C$9, $D$9, 100%, $F$9) + CHOOSE(CONTROL!$C$27, 0.0021, 0)</f>
        <v>30.4176</v>
      </c>
      <c r="C149" s="17">
        <f>29.9833 * CHOOSE(CONTROL!$C$9, $D$9, 100%, $F$9) + CHOOSE(CONTROL!$C$27, 0.0021, 0)</f>
        <v>29.985399999999998</v>
      </c>
      <c r="D149" s="17">
        <f>29.9833 * CHOOSE(CONTROL!$C$9, $D$9, 100%, $F$9) + CHOOSE(CONTROL!$C$27, 0.0021, 0)</f>
        <v>29.985399999999998</v>
      </c>
      <c r="E149" s="17">
        <f>29.8466 * CHOOSE(CONTROL!$C$9, $D$9, 100%, $F$9) + CHOOSE(CONTROL!$C$27, 0.0021, 0)</f>
        <v>29.848699999999997</v>
      </c>
      <c r="F149" s="17">
        <f>29.8466 * CHOOSE(CONTROL!$C$9, $D$9, 100%, $F$9) + CHOOSE(CONTROL!$C$27, 0.0021, 0)</f>
        <v>29.848699999999997</v>
      </c>
      <c r="G149" s="17">
        <f>30.118 * CHOOSE(CONTROL!$C$9, $D$9, 100%, $F$9) + CHOOSE(CONTROL!$C$27, 0.0021, 0)</f>
        <v>30.120099999999997</v>
      </c>
      <c r="H149" s="17">
        <f>29.9833 * CHOOSE(CONTROL!$C$9, $D$9, 100%, $F$9) + CHOOSE(CONTROL!$C$27, 0.0021, 0)</f>
        <v>29.985399999999998</v>
      </c>
      <c r="I149" s="17">
        <f>29.9833 * CHOOSE(CONTROL!$C$9, $D$9, 100%, $F$9) + CHOOSE(CONTROL!$C$27, 0.0021, 0)</f>
        <v>29.985399999999998</v>
      </c>
      <c r="J149" s="17">
        <f>29.9833 * CHOOSE(CONTROL!$C$9, $D$9, 100%, $F$9) + CHOOSE(CONTROL!$C$27, 0.0021, 0)</f>
        <v>29.985399999999998</v>
      </c>
      <c r="K149" s="17">
        <f>29.9833 * CHOOSE(CONTROL!$C$9, $D$9, 100%, $F$9) + CHOOSE(CONTROL!$C$27, 0.0021, 0)</f>
        <v>29.985399999999998</v>
      </c>
      <c r="L149" s="17"/>
    </row>
    <row r="150" spans="1:12" ht="15" x14ac:dyDescent="0.2">
      <c r="A150" s="16">
        <v>45108</v>
      </c>
      <c r="B150" s="17">
        <f>31.0392 * CHOOSE(CONTROL!$C$9, $D$9, 100%, $F$9) + CHOOSE(CONTROL!$C$27, 0.0021, 0)</f>
        <v>31.0413</v>
      </c>
      <c r="C150" s="17">
        <f>30.607 * CHOOSE(CONTROL!$C$9, $D$9, 100%, $F$9) + CHOOSE(CONTROL!$C$27, 0.0021, 0)</f>
        <v>30.609099999999998</v>
      </c>
      <c r="D150" s="17">
        <f>30.607 * CHOOSE(CONTROL!$C$9, $D$9, 100%, $F$9) + CHOOSE(CONTROL!$C$27, 0.0021, 0)</f>
        <v>30.609099999999998</v>
      </c>
      <c r="E150" s="17">
        <f>30.4703 * CHOOSE(CONTROL!$C$9, $D$9, 100%, $F$9) + CHOOSE(CONTROL!$C$27, 0.0021, 0)</f>
        <v>30.4724</v>
      </c>
      <c r="F150" s="17">
        <f>30.4703 * CHOOSE(CONTROL!$C$9, $D$9, 100%, $F$9) + CHOOSE(CONTROL!$C$27, 0.0021, 0)</f>
        <v>30.4724</v>
      </c>
      <c r="G150" s="17">
        <f>30.7417 * CHOOSE(CONTROL!$C$9, $D$9, 100%, $F$9) + CHOOSE(CONTROL!$C$27, 0.0021, 0)</f>
        <v>30.7438</v>
      </c>
      <c r="H150" s="17">
        <f>30.607 * CHOOSE(CONTROL!$C$9, $D$9, 100%, $F$9) + CHOOSE(CONTROL!$C$27, 0.0021, 0)</f>
        <v>30.609099999999998</v>
      </c>
      <c r="I150" s="17">
        <f>30.607 * CHOOSE(CONTROL!$C$9, $D$9, 100%, $F$9) + CHOOSE(CONTROL!$C$27, 0.0021, 0)</f>
        <v>30.609099999999998</v>
      </c>
      <c r="J150" s="17">
        <f>30.607 * CHOOSE(CONTROL!$C$9, $D$9, 100%, $F$9) + CHOOSE(CONTROL!$C$27, 0.0021, 0)</f>
        <v>30.609099999999998</v>
      </c>
      <c r="K150" s="17">
        <f>30.607 * CHOOSE(CONTROL!$C$9, $D$9, 100%, $F$9) + CHOOSE(CONTROL!$C$27, 0.0021, 0)</f>
        <v>30.609099999999998</v>
      </c>
      <c r="L150" s="17"/>
    </row>
    <row r="151" spans="1:12" ht="15" x14ac:dyDescent="0.2">
      <c r="A151" s="16">
        <v>45139</v>
      </c>
      <c r="B151" s="17">
        <f>31.2715 * CHOOSE(CONTROL!$C$9, $D$9, 100%, $F$9) + CHOOSE(CONTROL!$C$27, 0.0021, 0)</f>
        <v>31.273599999999998</v>
      </c>
      <c r="C151" s="17">
        <f>30.8392 * CHOOSE(CONTROL!$C$9, $D$9, 100%, $F$9) + CHOOSE(CONTROL!$C$27, 0.0021, 0)</f>
        <v>30.8413</v>
      </c>
      <c r="D151" s="17">
        <f>30.8392 * CHOOSE(CONTROL!$C$9, $D$9, 100%, $F$9) + CHOOSE(CONTROL!$C$27, 0.0021, 0)</f>
        <v>30.8413</v>
      </c>
      <c r="E151" s="17">
        <f>30.7026 * CHOOSE(CONTROL!$C$9, $D$9, 100%, $F$9) + CHOOSE(CONTROL!$C$27, 0.0021, 0)</f>
        <v>30.704699999999999</v>
      </c>
      <c r="F151" s="17">
        <f>30.7026 * CHOOSE(CONTROL!$C$9, $D$9, 100%, $F$9) + CHOOSE(CONTROL!$C$27, 0.0021, 0)</f>
        <v>30.704699999999999</v>
      </c>
      <c r="G151" s="17">
        <f>30.9739 * CHOOSE(CONTROL!$C$9, $D$9, 100%, $F$9) + CHOOSE(CONTROL!$C$27, 0.0021, 0)</f>
        <v>30.975999999999999</v>
      </c>
      <c r="H151" s="17">
        <f>30.8392 * CHOOSE(CONTROL!$C$9, $D$9, 100%, $F$9) + CHOOSE(CONTROL!$C$27, 0.0021, 0)</f>
        <v>30.8413</v>
      </c>
      <c r="I151" s="17">
        <f>30.8392 * CHOOSE(CONTROL!$C$9, $D$9, 100%, $F$9) + CHOOSE(CONTROL!$C$27, 0.0021, 0)</f>
        <v>30.8413</v>
      </c>
      <c r="J151" s="17">
        <f>30.8392 * CHOOSE(CONTROL!$C$9, $D$9, 100%, $F$9) + CHOOSE(CONTROL!$C$27, 0.0021, 0)</f>
        <v>30.8413</v>
      </c>
      <c r="K151" s="17">
        <f>30.8392 * CHOOSE(CONTROL!$C$9, $D$9, 100%, $F$9) + CHOOSE(CONTROL!$C$27, 0.0021, 0)</f>
        <v>30.8413</v>
      </c>
      <c r="L151" s="17"/>
    </row>
    <row r="152" spans="1:12" ht="15" x14ac:dyDescent="0.2">
      <c r="A152" s="16">
        <v>45170</v>
      </c>
      <c r="B152" s="17">
        <f>31.9217 * CHOOSE(CONTROL!$C$9, $D$9, 100%, $F$9) + CHOOSE(CONTROL!$C$27, 0.0021, 0)</f>
        <v>31.9238</v>
      </c>
      <c r="C152" s="17">
        <f>31.4894 * CHOOSE(CONTROL!$C$9, $D$9, 100%, $F$9) + CHOOSE(CONTROL!$C$27, 0.0021, 0)</f>
        <v>31.491499999999998</v>
      </c>
      <c r="D152" s="17">
        <f>31.4894 * CHOOSE(CONTROL!$C$9, $D$9, 100%, $F$9) + CHOOSE(CONTROL!$C$27, 0.0021, 0)</f>
        <v>31.491499999999998</v>
      </c>
      <c r="E152" s="17">
        <f>31.3528 * CHOOSE(CONTROL!$C$9, $D$9, 100%, $F$9) + CHOOSE(CONTROL!$C$27, 0.0021, 0)</f>
        <v>31.354899999999997</v>
      </c>
      <c r="F152" s="17">
        <f>31.3528 * CHOOSE(CONTROL!$C$9, $D$9, 100%, $F$9) + CHOOSE(CONTROL!$C$27, 0.0021, 0)</f>
        <v>31.354899999999997</v>
      </c>
      <c r="G152" s="17">
        <f>31.6241 * CHOOSE(CONTROL!$C$9, $D$9, 100%, $F$9) + CHOOSE(CONTROL!$C$27, 0.0021, 0)</f>
        <v>31.626199999999997</v>
      </c>
      <c r="H152" s="17">
        <f>31.4894 * CHOOSE(CONTROL!$C$9, $D$9, 100%, $F$9) + CHOOSE(CONTROL!$C$27, 0.0021, 0)</f>
        <v>31.491499999999998</v>
      </c>
      <c r="I152" s="17">
        <f>31.4894 * CHOOSE(CONTROL!$C$9, $D$9, 100%, $F$9) + CHOOSE(CONTROL!$C$27, 0.0021, 0)</f>
        <v>31.491499999999998</v>
      </c>
      <c r="J152" s="17">
        <f>31.4894 * CHOOSE(CONTROL!$C$9, $D$9, 100%, $F$9) + CHOOSE(CONTROL!$C$27, 0.0021, 0)</f>
        <v>31.491499999999998</v>
      </c>
      <c r="K152" s="17">
        <f>31.4894 * CHOOSE(CONTROL!$C$9, $D$9, 100%, $F$9) + CHOOSE(CONTROL!$C$27, 0.0021, 0)</f>
        <v>31.491499999999998</v>
      </c>
      <c r="L152" s="17"/>
    </row>
    <row r="153" spans="1:12" ht="15" x14ac:dyDescent="0.2">
      <c r="A153" s="16">
        <v>45200</v>
      </c>
      <c r="B153" s="17">
        <f>32.7317 * CHOOSE(CONTROL!$C$9, $D$9, 100%, $F$9) + CHOOSE(CONTROL!$C$27, 0.0021, 0)</f>
        <v>32.733799999999995</v>
      </c>
      <c r="C153" s="17">
        <f>32.2995 * CHOOSE(CONTROL!$C$9, $D$9, 100%, $F$9) + CHOOSE(CONTROL!$C$27, 0.0021, 0)</f>
        <v>32.301600000000001</v>
      </c>
      <c r="D153" s="17">
        <f>32.2995 * CHOOSE(CONTROL!$C$9, $D$9, 100%, $F$9) + CHOOSE(CONTROL!$C$27, 0.0021, 0)</f>
        <v>32.301600000000001</v>
      </c>
      <c r="E153" s="17">
        <f>32.1628 * CHOOSE(CONTROL!$C$9, $D$9, 100%, $F$9) + CHOOSE(CONTROL!$C$27, 0.0021, 0)</f>
        <v>32.164899999999996</v>
      </c>
      <c r="F153" s="17">
        <f>32.1628 * CHOOSE(CONTROL!$C$9, $D$9, 100%, $F$9) + CHOOSE(CONTROL!$C$27, 0.0021, 0)</f>
        <v>32.164899999999996</v>
      </c>
      <c r="G153" s="17">
        <f>32.4342 * CHOOSE(CONTROL!$C$9, $D$9, 100%, $F$9) + CHOOSE(CONTROL!$C$27, 0.0021, 0)</f>
        <v>32.436299999999996</v>
      </c>
      <c r="H153" s="17">
        <f>32.2995 * CHOOSE(CONTROL!$C$9, $D$9, 100%, $F$9) + CHOOSE(CONTROL!$C$27, 0.0021, 0)</f>
        <v>32.301600000000001</v>
      </c>
      <c r="I153" s="17">
        <f>32.2995 * CHOOSE(CONTROL!$C$9, $D$9, 100%, $F$9) + CHOOSE(CONTROL!$C$27, 0.0021, 0)</f>
        <v>32.301600000000001</v>
      </c>
      <c r="J153" s="17">
        <f>32.2995 * CHOOSE(CONTROL!$C$9, $D$9, 100%, $F$9) + CHOOSE(CONTROL!$C$27, 0.0021, 0)</f>
        <v>32.301600000000001</v>
      </c>
      <c r="K153" s="17">
        <f>32.2995 * CHOOSE(CONTROL!$C$9, $D$9, 100%, $F$9) + CHOOSE(CONTROL!$C$27, 0.0021, 0)</f>
        <v>32.301600000000001</v>
      </c>
      <c r="L153" s="17"/>
    </row>
    <row r="154" spans="1:12" ht="15" x14ac:dyDescent="0.2">
      <c r="A154" s="16">
        <v>45231</v>
      </c>
      <c r="B154" s="17">
        <f>32.8649 * CHOOSE(CONTROL!$C$9, $D$9, 100%, $F$9) + CHOOSE(CONTROL!$C$27, 0.0021, 0)</f>
        <v>32.866999999999997</v>
      </c>
      <c r="C154" s="17">
        <f>32.4326 * CHOOSE(CONTROL!$C$9, $D$9, 100%, $F$9) + CHOOSE(CONTROL!$C$27, 0.0021, 0)</f>
        <v>32.434699999999999</v>
      </c>
      <c r="D154" s="17">
        <f>32.4326 * CHOOSE(CONTROL!$C$9, $D$9, 100%, $F$9) + CHOOSE(CONTROL!$C$27, 0.0021, 0)</f>
        <v>32.434699999999999</v>
      </c>
      <c r="E154" s="17">
        <f>32.296 * CHOOSE(CONTROL!$C$9, $D$9, 100%, $F$9) + CHOOSE(CONTROL!$C$27, 0.0021, 0)</f>
        <v>32.298099999999998</v>
      </c>
      <c r="F154" s="17">
        <f>32.296 * CHOOSE(CONTROL!$C$9, $D$9, 100%, $F$9) + CHOOSE(CONTROL!$C$27, 0.0021, 0)</f>
        <v>32.298099999999998</v>
      </c>
      <c r="G154" s="17">
        <f>32.5673 * CHOOSE(CONTROL!$C$9, $D$9, 100%, $F$9) + CHOOSE(CONTROL!$C$27, 0.0021, 0)</f>
        <v>32.569400000000002</v>
      </c>
      <c r="H154" s="17">
        <f>32.4326 * CHOOSE(CONTROL!$C$9, $D$9, 100%, $F$9) + CHOOSE(CONTROL!$C$27, 0.0021, 0)</f>
        <v>32.434699999999999</v>
      </c>
      <c r="I154" s="17">
        <f>32.4326 * CHOOSE(CONTROL!$C$9, $D$9, 100%, $F$9) + CHOOSE(CONTROL!$C$27, 0.0021, 0)</f>
        <v>32.434699999999999</v>
      </c>
      <c r="J154" s="17">
        <f>32.4326 * CHOOSE(CONTROL!$C$9, $D$9, 100%, $F$9) + CHOOSE(CONTROL!$C$27, 0.0021, 0)</f>
        <v>32.434699999999999</v>
      </c>
      <c r="K154" s="17">
        <f>32.4326 * CHOOSE(CONTROL!$C$9, $D$9, 100%, $F$9) + CHOOSE(CONTROL!$C$27, 0.0021, 0)</f>
        <v>32.434699999999999</v>
      </c>
      <c r="L154" s="17"/>
    </row>
    <row r="155" spans="1:12" ht="15" x14ac:dyDescent="0.2">
      <c r="A155" s="16">
        <v>45261</v>
      </c>
      <c r="B155" s="17">
        <f>32.3272 * CHOOSE(CONTROL!$C$9, $D$9, 100%, $F$9) + CHOOSE(CONTROL!$C$27, 0.0021, 0)</f>
        <v>32.329299999999996</v>
      </c>
      <c r="C155" s="17">
        <f>31.8949 * CHOOSE(CONTROL!$C$9, $D$9, 100%, $F$9) + CHOOSE(CONTROL!$C$27, 0.0021, 0)</f>
        <v>31.896999999999998</v>
      </c>
      <c r="D155" s="17">
        <f>31.8949 * CHOOSE(CONTROL!$C$9, $D$9, 100%, $F$9) + CHOOSE(CONTROL!$C$27, 0.0021, 0)</f>
        <v>31.896999999999998</v>
      </c>
      <c r="E155" s="17">
        <f>31.7583 * CHOOSE(CONTROL!$C$9, $D$9, 100%, $F$9) + CHOOSE(CONTROL!$C$27, 0.0021, 0)</f>
        <v>31.760399999999997</v>
      </c>
      <c r="F155" s="17">
        <f>31.7583 * CHOOSE(CONTROL!$C$9, $D$9, 100%, $F$9) + CHOOSE(CONTROL!$C$27, 0.0021, 0)</f>
        <v>31.760399999999997</v>
      </c>
      <c r="G155" s="17">
        <f>32.0296 * CHOOSE(CONTROL!$C$9, $D$9, 100%, $F$9) + CHOOSE(CONTROL!$C$27, 0.0021, 0)</f>
        <v>32.031700000000001</v>
      </c>
      <c r="H155" s="17">
        <f>31.8949 * CHOOSE(CONTROL!$C$9, $D$9, 100%, $F$9) + CHOOSE(CONTROL!$C$27, 0.0021, 0)</f>
        <v>31.896999999999998</v>
      </c>
      <c r="I155" s="17">
        <f>31.8949 * CHOOSE(CONTROL!$C$9, $D$9, 100%, $F$9) + CHOOSE(CONTROL!$C$27, 0.0021, 0)</f>
        <v>31.896999999999998</v>
      </c>
      <c r="J155" s="17">
        <f>31.8949 * CHOOSE(CONTROL!$C$9, $D$9, 100%, $F$9) + CHOOSE(CONTROL!$C$27, 0.0021, 0)</f>
        <v>31.896999999999998</v>
      </c>
      <c r="K155" s="17">
        <f>31.8949 * CHOOSE(CONTROL!$C$9, $D$9, 100%, $F$9) + CHOOSE(CONTROL!$C$27, 0.0021, 0)</f>
        <v>31.896999999999998</v>
      </c>
      <c r="L155" s="17"/>
    </row>
    <row r="156" spans="1:12" ht="15" x14ac:dyDescent="0.2">
      <c r="A156" s="16">
        <v>45292</v>
      </c>
      <c r="B156" s="17">
        <f>32.1534 * CHOOSE(CONTROL!$C$9, $D$9, 100%, $F$9) + CHOOSE(CONTROL!$C$27, 0.0021, 0)</f>
        <v>32.155499999999996</v>
      </c>
      <c r="C156" s="17">
        <f>31.7212 * CHOOSE(CONTROL!$C$9, $D$9, 100%, $F$9) + CHOOSE(CONTROL!$C$27, 0.0021, 0)</f>
        <v>31.723299999999998</v>
      </c>
      <c r="D156" s="17">
        <f>31.7212 * CHOOSE(CONTROL!$C$9, $D$9, 100%, $F$9) + CHOOSE(CONTROL!$C$27, 0.0021, 0)</f>
        <v>31.723299999999998</v>
      </c>
      <c r="E156" s="17">
        <f>31.5845 * CHOOSE(CONTROL!$C$9, $D$9, 100%, $F$9) + CHOOSE(CONTROL!$C$27, 0.0021, 0)</f>
        <v>31.586599999999997</v>
      </c>
      <c r="F156" s="17">
        <f>31.5845 * CHOOSE(CONTROL!$C$9, $D$9, 100%, $F$9) + CHOOSE(CONTROL!$C$27, 0.0021, 0)</f>
        <v>31.586599999999997</v>
      </c>
      <c r="G156" s="17">
        <f>31.8559 * CHOOSE(CONTROL!$C$9, $D$9, 100%, $F$9) + CHOOSE(CONTROL!$C$27, 0.0021, 0)</f>
        <v>31.857999999999997</v>
      </c>
      <c r="H156" s="17">
        <f>31.7212 * CHOOSE(CONTROL!$C$9, $D$9, 100%, $F$9) + CHOOSE(CONTROL!$C$27, 0.0021, 0)</f>
        <v>31.723299999999998</v>
      </c>
      <c r="I156" s="17">
        <f>31.7212 * CHOOSE(CONTROL!$C$9, $D$9, 100%, $F$9) + CHOOSE(CONTROL!$C$27, 0.0021, 0)</f>
        <v>31.723299999999998</v>
      </c>
      <c r="J156" s="17">
        <f>31.7212 * CHOOSE(CONTROL!$C$9, $D$9, 100%, $F$9) + CHOOSE(CONTROL!$C$27, 0.0021, 0)</f>
        <v>31.723299999999998</v>
      </c>
      <c r="K156" s="17">
        <f>31.7212 * CHOOSE(CONTROL!$C$9, $D$9, 100%, $F$9) + CHOOSE(CONTROL!$C$27, 0.0021, 0)</f>
        <v>31.723299999999998</v>
      </c>
      <c r="L156" s="17"/>
    </row>
    <row r="157" spans="1:12" ht="15" x14ac:dyDescent="0.2">
      <c r="A157" s="16">
        <v>45323</v>
      </c>
      <c r="B157" s="17">
        <f>31.3686 * CHOOSE(CONTROL!$C$9, $D$9, 100%, $F$9) + CHOOSE(CONTROL!$C$27, 0.0021, 0)</f>
        <v>31.370699999999999</v>
      </c>
      <c r="C157" s="17">
        <f>30.9363 * CHOOSE(CONTROL!$C$9, $D$9, 100%, $F$9) + CHOOSE(CONTROL!$C$27, 0.0021, 0)</f>
        <v>30.938399999999998</v>
      </c>
      <c r="D157" s="17">
        <f>30.9363 * CHOOSE(CONTROL!$C$9, $D$9, 100%, $F$9) + CHOOSE(CONTROL!$C$27, 0.0021, 0)</f>
        <v>30.938399999999998</v>
      </c>
      <c r="E157" s="17">
        <f>30.7997 * CHOOSE(CONTROL!$C$9, $D$9, 100%, $F$9) + CHOOSE(CONTROL!$C$27, 0.0021, 0)</f>
        <v>30.8018</v>
      </c>
      <c r="F157" s="17">
        <f>30.7997 * CHOOSE(CONTROL!$C$9, $D$9, 100%, $F$9) + CHOOSE(CONTROL!$C$27, 0.0021, 0)</f>
        <v>30.8018</v>
      </c>
      <c r="G157" s="17">
        <f>31.071 * CHOOSE(CONTROL!$C$9, $D$9, 100%, $F$9) + CHOOSE(CONTROL!$C$27, 0.0021, 0)</f>
        <v>31.0731</v>
      </c>
      <c r="H157" s="17">
        <f>30.9363 * CHOOSE(CONTROL!$C$9, $D$9, 100%, $F$9) + CHOOSE(CONTROL!$C$27, 0.0021, 0)</f>
        <v>30.938399999999998</v>
      </c>
      <c r="I157" s="17">
        <f>30.9363 * CHOOSE(CONTROL!$C$9, $D$9, 100%, $F$9) + CHOOSE(CONTROL!$C$27, 0.0021, 0)</f>
        <v>30.938399999999998</v>
      </c>
      <c r="J157" s="17">
        <f>30.9363 * CHOOSE(CONTROL!$C$9, $D$9, 100%, $F$9) + CHOOSE(CONTROL!$C$27, 0.0021, 0)</f>
        <v>30.938399999999998</v>
      </c>
      <c r="K157" s="17">
        <f>30.9363 * CHOOSE(CONTROL!$C$9, $D$9, 100%, $F$9) + CHOOSE(CONTROL!$C$27, 0.0021, 0)</f>
        <v>30.938399999999998</v>
      </c>
      <c r="L157" s="17"/>
    </row>
    <row r="158" spans="1:12" ht="15" x14ac:dyDescent="0.2">
      <c r="A158" s="16">
        <v>45352</v>
      </c>
      <c r="B158" s="17">
        <f>31.0784 * CHOOSE(CONTROL!$C$9, $D$9, 100%, $F$9) + CHOOSE(CONTROL!$C$27, 0.0021, 0)</f>
        <v>31.080499999999997</v>
      </c>
      <c r="C158" s="17">
        <f>30.6461 * CHOOSE(CONTROL!$C$9, $D$9, 100%, $F$9) + CHOOSE(CONTROL!$C$27, 0.0021, 0)</f>
        <v>30.648199999999999</v>
      </c>
      <c r="D158" s="17">
        <f>30.6461 * CHOOSE(CONTROL!$C$9, $D$9, 100%, $F$9) + CHOOSE(CONTROL!$C$27, 0.0021, 0)</f>
        <v>30.648199999999999</v>
      </c>
      <c r="E158" s="17">
        <f>30.5095 * CHOOSE(CONTROL!$C$9, $D$9, 100%, $F$9) + CHOOSE(CONTROL!$C$27, 0.0021, 0)</f>
        <v>30.511599999999998</v>
      </c>
      <c r="F158" s="17">
        <f>30.5095 * CHOOSE(CONTROL!$C$9, $D$9, 100%, $F$9) + CHOOSE(CONTROL!$C$27, 0.0021, 0)</f>
        <v>30.511599999999998</v>
      </c>
      <c r="G158" s="17">
        <f>30.7808 * CHOOSE(CONTROL!$C$9, $D$9, 100%, $F$9) + CHOOSE(CONTROL!$C$27, 0.0021, 0)</f>
        <v>30.782899999999998</v>
      </c>
      <c r="H158" s="17">
        <f>30.6461 * CHOOSE(CONTROL!$C$9, $D$9, 100%, $F$9) + CHOOSE(CONTROL!$C$27, 0.0021, 0)</f>
        <v>30.648199999999999</v>
      </c>
      <c r="I158" s="17">
        <f>30.6461 * CHOOSE(CONTROL!$C$9, $D$9, 100%, $F$9) + CHOOSE(CONTROL!$C$27, 0.0021, 0)</f>
        <v>30.648199999999999</v>
      </c>
      <c r="J158" s="17">
        <f>30.6461 * CHOOSE(CONTROL!$C$9, $D$9, 100%, $F$9) + CHOOSE(CONTROL!$C$27, 0.0021, 0)</f>
        <v>30.648199999999999</v>
      </c>
      <c r="K158" s="17">
        <f>30.6461 * CHOOSE(CONTROL!$C$9, $D$9, 100%, $F$9) + CHOOSE(CONTROL!$C$27, 0.0021, 0)</f>
        <v>30.648199999999999</v>
      </c>
      <c r="L158" s="17"/>
    </row>
    <row r="159" spans="1:12" ht="15" x14ac:dyDescent="0.2">
      <c r="A159" s="16">
        <v>45383</v>
      </c>
      <c r="B159" s="17">
        <f>30.7188 * CHOOSE(CONTROL!$C$9, $D$9, 100%, $F$9) + CHOOSE(CONTROL!$C$27, 0.0021, 0)</f>
        <v>30.7209</v>
      </c>
      <c r="C159" s="17">
        <f>30.2865 * CHOOSE(CONTROL!$C$9, $D$9, 100%, $F$9) + CHOOSE(CONTROL!$C$27, 0.0021, 0)</f>
        <v>30.288599999999999</v>
      </c>
      <c r="D159" s="17">
        <f>30.2865 * CHOOSE(CONTROL!$C$9, $D$9, 100%, $F$9) + CHOOSE(CONTROL!$C$27, 0.0021, 0)</f>
        <v>30.288599999999999</v>
      </c>
      <c r="E159" s="17">
        <f>30.1499 * CHOOSE(CONTROL!$C$9, $D$9, 100%, $F$9) + CHOOSE(CONTROL!$C$27, 0.0021, 0)</f>
        <v>30.151999999999997</v>
      </c>
      <c r="F159" s="17">
        <f>30.1499 * CHOOSE(CONTROL!$C$9, $D$9, 100%, $F$9) + CHOOSE(CONTROL!$C$27, 0.0021, 0)</f>
        <v>30.151999999999997</v>
      </c>
      <c r="G159" s="17">
        <f>30.4212 * CHOOSE(CONTROL!$C$9, $D$9, 100%, $F$9) + CHOOSE(CONTROL!$C$27, 0.0021, 0)</f>
        <v>30.423299999999998</v>
      </c>
      <c r="H159" s="17">
        <f>30.2865 * CHOOSE(CONTROL!$C$9, $D$9, 100%, $F$9) + CHOOSE(CONTROL!$C$27, 0.0021, 0)</f>
        <v>30.288599999999999</v>
      </c>
      <c r="I159" s="17">
        <f>30.2865 * CHOOSE(CONTROL!$C$9, $D$9, 100%, $F$9) + CHOOSE(CONTROL!$C$27, 0.0021, 0)</f>
        <v>30.288599999999999</v>
      </c>
      <c r="J159" s="17">
        <f>30.2865 * CHOOSE(CONTROL!$C$9, $D$9, 100%, $F$9) + CHOOSE(CONTROL!$C$27, 0.0021, 0)</f>
        <v>30.288599999999999</v>
      </c>
      <c r="K159" s="17">
        <f>30.2865 * CHOOSE(CONTROL!$C$9, $D$9, 100%, $F$9) + CHOOSE(CONTROL!$C$27, 0.0021, 0)</f>
        <v>30.288599999999999</v>
      </c>
      <c r="L159" s="17"/>
    </row>
    <row r="160" spans="1:12" ht="15" x14ac:dyDescent="0.2">
      <c r="A160" s="16">
        <v>45413</v>
      </c>
      <c r="B160" s="17">
        <f>31.3755 * CHOOSE(CONTROL!$C$9, $D$9, 100%, $F$9) + CHOOSE(CONTROL!$C$27, 0.0021, 0)</f>
        <v>31.377599999999997</v>
      </c>
      <c r="C160" s="17">
        <f>30.9433 * CHOOSE(CONTROL!$C$9, $D$9, 100%, $F$9) + CHOOSE(CONTROL!$C$27, 0.0021, 0)</f>
        <v>30.945399999999999</v>
      </c>
      <c r="D160" s="17">
        <f>30.9433 * CHOOSE(CONTROL!$C$9, $D$9, 100%, $F$9) + CHOOSE(CONTROL!$C$27, 0.0021, 0)</f>
        <v>30.945399999999999</v>
      </c>
      <c r="E160" s="17">
        <f>30.8066 * CHOOSE(CONTROL!$C$9, $D$9, 100%, $F$9) + CHOOSE(CONTROL!$C$27, 0.0021, 0)</f>
        <v>30.808699999999998</v>
      </c>
      <c r="F160" s="17">
        <f>30.8066 * CHOOSE(CONTROL!$C$9, $D$9, 100%, $F$9) + CHOOSE(CONTROL!$C$27, 0.0021, 0)</f>
        <v>30.808699999999998</v>
      </c>
      <c r="G160" s="17">
        <f>31.078 * CHOOSE(CONTROL!$C$9, $D$9, 100%, $F$9) + CHOOSE(CONTROL!$C$27, 0.0021, 0)</f>
        <v>31.080099999999998</v>
      </c>
      <c r="H160" s="17">
        <f>30.9433 * CHOOSE(CONTROL!$C$9, $D$9, 100%, $F$9) + CHOOSE(CONTROL!$C$27, 0.0021, 0)</f>
        <v>30.945399999999999</v>
      </c>
      <c r="I160" s="17">
        <f>30.9433 * CHOOSE(CONTROL!$C$9, $D$9, 100%, $F$9) + CHOOSE(CONTROL!$C$27, 0.0021, 0)</f>
        <v>30.945399999999999</v>
      </c>
      <c r="J160" s="17">
        <f>30.9433 * CHOOSE(CONTROL!$C$9, $D$9, 100%, $F$9) + CHOOSE(CONTROL!$C$27, 0.0021, 0)</f>
        <v>30.945399999999999</v>
      </c>
      <c r="K160" s="17">
        <f>30.9433 * CHOOSE(CONTROL!$C$9, $D$9, 100%, $F$9) + CHOOSE(CONTROL!$C$27, 0.0021, 0)</f>
        <v>30.945399999999999</v>
      </c>
      <c r="L160" s="17"/>
    </row>
    <row r="161" spans="1:12" ht="15" x14ac:dyDescent="0.2">
      <c r="A161" s="16">
        <v>45444</v>
      </c>
      <c r="B161" s="17">
        <f>31.7945 * CHOOSE(CONTROL!$C$9, $D$9, 100%, $F$9) + CHOOSE(CONTROL!$C$27, 0.0021, 0)</f>
        <v>31.796599999999998</v>
      </c>
      <c r="C161" s="17">
        <f>31.3622 * CHOOSE(CONTROL!$C$9, $D$9, 100%, $F$9) + CHOOSE(CONTROL!$C$27, 0.0021, 0)</f>
        <v>31.3643</v>
      </c>
      <c r="D161" s="17">
        <f>31.3622 * CHOOSE(CONTROL!$C$9, $D$9, 100%, $F$9) + CHOOSE(CONTROL!$C$27, 0.0021, 0)</f>
        <v>31.3643</v>
      </c>
      <c r="E161" s="17">
        <f>31.2256 * CHOOSE(CONTROL!$C$9, $D$9, 100%, $F$9) + CHOOSE(CONTROL!$C$27, 0.0021, 0)</f>
        <v>31.227699999999999</v>
      </c>
      <c r="F161" s="17">
        <f>31.2256 * CHOOSE(CONTROL!$C$9, $D$9, 100%, $F$9) + CHOOSE(CONTROL!$C$27, 0.0021, 0)</f>
        <v>31.227699999999999</v>
      </c>
      <c r="G161" s="17">
        <f>31.4969 * CHOOSE(CONTROL!$C$9, $D$9, 100%, $F$9) + CHOOSE(CONTROL!$C$27, 0.0021, 0)</f>
        <v>31.498999999999999</v>
      </c>
      <c r="H161" s="17">
        <f>31.3622 * CHOOSE(CONTROL!$C$9, $D$9, 100%, $F$9) + CHOOSE(CONTROL!$C$27, 0.0021, 0)</f>
        <v>31.3643</v>
      </c>
      <c r="I161" s="17">
        <f>31.3622 * CHOOSE(CONTROL!$C$9, $D$9, 100%, $F$9) + CHOOSE(CONTROL!$C$27, 0.0021, 0)</f>
        <v>31.3643</v>
      </c>
      <c r="J161" s="17">
        <f>31.3622 * CHOOSE(CONTROL!$C$9, $D$9, 100%, $F$9) + CHOOSE(CONTROL!$C$27, 0.0021, 0)</f>
        <v>31.3643</v>
      </c>
      <c r="K161" s="17">
        <f>31.3622 * CHOOSE(CONTROL!$C$9, $D$9, 100%, $F$9) + CHOOSE(CONTROL!$C$27, 0.0021, 0)</f>
        <v>31.3643</v>
      </c>
      <c r="L161" s="17"/>
    </row>
    <row r="162" spans="1:12" ht="15" x14ac:dyDescent="0.2">
      <c r="A162" s="16">
        <v>45474</v>
      </c>
      <c r="B162" s="17">
        <f>32.4487 * CHOOSE(CONTROL!$C$9, $D$9, 100%, $F$9) + CHOOSE(CONTROL!$C$27, 0.0021, 0)</f>
        <v>32.450800000000001</v>
      </c>
      <c r="C162" s="17">
        <f>32.0165 * CHOOSE(CONTROL!$C$9, $D$9, 100%, $F$9) + CHOOSE(CONTROL!$C$27, 0.0021, 0)</f>
        <v>32.018599999999999</v>
      </c>
      <c r="D162" s="17">
        <f>32.0165 * CHOOSE(CONTROL!$C$9, $D$9, 100%, $F$9) + CHOOSE(CONTROL!$C$27, 0.0021, 0)</f>
        <v>32.018599999999999</v>
      </c>
      <c r="E162" s="17">
        <f>31.8798 * CHOOSE(CONTROL!$C$9, $D$9, 100%, $F$9) + CHOOSE(CONTROL!$C$27, 0.0021, 0)</f>
        <v>31.881899999999998</v>
      </c>
      <c r="F162" s="17">
        <f>31.8798 * CHOOSE(CONTROL!$C$9, $D$9, 100%, $F$9) + CHOOSE(CONTROL!$C$27, 0.0021, 0)</f>
        <v>31.881899999999998</v>
      </c>
      <c r="G162" s="17">
        <f>32.1512 * CHOOSE(CONTROL!$C$9, $D$9, 100%, $F$9) + CHOOSE(CONTROL!$C$27, 0.0021, 0)</f>
        <v>32.153300000000002</v>
      </c>
      <c r="H162" s="17">
        <f>32.0165 * CHOOSE(CONTROL!$C$9, $D$9, 100%, $F$9) + CHOOSE(CONTROL!$C$27, 0.0021, 0)</f>
        <v>32.018599999999999</v>
      </c>
      <c r="I162" s="17">
        <f>32.0165 * CHOOSE(CONTROL!$C$9, $D$9, 100%, $F$9) + CHOOSE(CONTROL!$C$27, 0.0021, 0)</f>
        <v>32.018599999999999</v>
      </c>
      <c r="J162" s="17">
        <f>32.0165 * CHOOSE(CONTROL!$C$9, $D$9, 100%, $F$9) + CHOOSE(CONTROL!$C$27, 0.0021, 0)</f>
        <v>32.018599999999999</v>
      </c>
      <c r="K162" s="17">
        <f>32.0165 * CHOOSE(CONTROL!$C$9, $D$9, 100%, $F$9) + CHOOSE(CONTROL!$C$27, 0.0021, 0)</f>
        <v>32.018599999999999</v>
      </c>
      <c r="L162" s="17"/>
    </row>
    <row r="163" spans="1:12" ht="15" x14ac:dyDescent="0.2">
      <c r="A163" s="16">
        <v>45505</v>
      </c>
      <c r="B163" s="17">
        <f>32.6924 * CHOOSE(CONTROL!$C$9, $D$9, 100%, $F$9) + CHOOSE(CONTROL!$C$27, 0.0021, 0)</f>
        <v>32.694499999999998</v>
      </c>
      <c r="C163" s="17">
        <f>32.2601 * CHOOSE(CONTROL!$C$9, $D$9, 100%, $F$9) + CHOOSE(CONTROL!$C$27, 0.0021, 0)</f>
        <v>32.2622</v>
      </c>
      <c r="D163" s="17">
        <f>32.2601 * CHOOSE(CONTROL!$C$9, $D$9, 100%, $F$9) + CHOOSE(CONTROL!$C$27, 0.0021, 0)</f>
        <v>32.2622</v>
      </c>
      <c r="E163" s="17">
        <f>32.1235 * CHOOSE(CONTROL!$C$9, $D$9, 100%, $F$9) + CHOOSE(CONTROL!$C$27, 0.0021, 0)</f>
        <v>32.125599999999999</v>
      </c>
      <c r="F163" s="17">
        <f>32.1235 * CHOOSE(CONTROL!$C$9, $D$9, 100%, $F$9) + CHOOSE(CONTROL!$C$27, 0.0021, 0)</f>
        <v>32.125599999999999</v>
      </c>
      <c r="G163" s="17">
        <f>32.3948 * CHOOSE(CONTROL!$C$9, $D$9, 100%, $F$9) + CHOOSE(CONTROL!$C$27, 0.0021, 0)</f>
        <v>32.396899999999995</v>
      </c>
      <c r="H163" s="17">
        <f>32.2601 * CHOOSE(CONTROL!$C$9, $D$9, 100%, $F$9) + CHOOSE(CONTROL!$C$27, 0.0021, 0)</f>
        <v>32.2622</v>
      </c>
      <c r="I163" s="17">
        <f>32.2601 * CHOOSE(CONTROL!$C$9, $D$9, 100%, $F$9) + CHOOSE(CONTROL!$C$27, 0.0021, 0)</f>
        <v>32.2622</v>
      </c>
      <c r="J163" s="17">
        <f>32.2601 * CHOOSE(CONTROL!$C$9, $D$9, 100%, $F$9) + CHOOSE(CONTROL!$C$27, 0.0021, 0)</f>
        <v>32.2622</v>
      </c>
      <c r="K163" s="17">
        <f>32.2601 * CHOOSE(CONTROL!$C$9, $D$9, 100%, $F$9) + CHOOSE(CONTROL!$C$27, 0.0021, 0)</f>
        <v>32.2622</v>
      </c>
      <c r="L163" s="17"/>
    </row>
    <row r="164" spans="1:12" ht="15" x14ac:dyDescent="0.2">
      <c r="A164" s="16">
        <v>45536</v>
      </c>
      <c r="B164" s="17">
        <f>33.3744 * CHOOSE(CONTROL!$C$9, $D$9, 100%, $F$9) + CHOOSE(CONTROL!$C$27, 0.0021, 0)</f>
        <v>33.3765</v>
      </c>
      <c r="C164" s="17">
        <f>32.9422 * CHOOSE(CONTROL!$C$9, $D$9, 100%, $F$9) + CHOOSE(CONTROL!$C$27, 0.0021, 0)</f>
        <v>32.944299999999998</v>
      </c>
      <c r="D164" s="17">
        <f>32.9422 * CHOOSE(CONTROL!$C$9, $D$9, 100%, $F$9) + CHOOSE(CONTROL!$C$27, 0.0021, 0)</f>
        <v>32.944299999999998</v>
      </c>
      <c r="E164" s="17">
        <f>32.8055 * CHOOSE(CONTROL!$C$9, $D$9, 100%, $F$9) + CHOOSE(CONTROL!$C$27, 0.0021, 0)</f>
        <v>32.807600000000001</v>
      </c>
      <c r="F164" s="17">
        <f>32.8055 * CHOOSE(CONTROL!$C$9, $D$9, 100%, $F$9) + CHOOSE(CONTROL!$C$27, 0.0021, 0)</f>
        <v>32.807600000000001</v>
      </c>
      <c r="G164" s="17">
        <f>33.0769 * CHOOSE(CONTROL!$C$9, $D$9, 100%, $F$9) + CHOOSE(CONTROL!$C$27, 0.0021, 0)</f>
        <v>33.079000000000001</v>
      </c>
      <c r="H164" s="17">
        <f>32.9422 * CHOOSE(CONTROL!$C$9, $D$9, 100%, $F$9) + CHOOSE(CONTROL!$C$27, 0.0021, 0)</f>
        <v>32.944299999999998</v>
      </c>
      <c r="I164" s="17">
        <f>32.9422 * CHOOSE(CONTROL!$C$9, $D$9, 100%, $F$9) + CHOOSE(CONTROL!$C$27, 0.0021, 0)</f>
        <v>32.944299999999998</v>
      </c>
      <c r="J164" s="17">
        <f>32.9422 * CHOOSE(CONTROL!$C$9, $D$9, 100%, $F$9) + CHOOSE(CONTROL!$C$27, 0.0021, 0)</f>
        <v>32.944299999999998</v>
      </c>
      <c r="K164" s="17">
        <f>32.9422 * CHOOSE(CONTROL!$C$9, $D$9, 100%, $F$9) + CHOOSE(CONTROL!$C$27, 0.0021, 0)</f>
        <v>32.944299999999998</v>
      </c>
      <c r="L164" s="17"/>
    </row>
    <row r="165" spans="1:12" ht="15" x14ac:dyDescent="0.2">
      <c r="A165" s="16">
        <v>45566</v>
      </c>
      <c r="B165" s="17">
        <f>34.2242 * CHOOSE(CONTROL!$C$9, $D$9, 100%, $F$9) + CHOOSE(CONTROL!$C$27, 0.0021, 0)</f>
        <v>34.226300000000002</v>
      </c>
      <c r="C165" s="17">
        <f>33.792 * CHOOSE(CONTROL!$C$9, $D$9, 100%, $F$9) + CHOOSE(CONTROL!$C$27, 0.0021, 0)</f>
        <v>33.7941</v>
      </c>
      <c r="D165" s="17">
        <f>33.792 * CHOOSE(CONTROL!$C$9, $D$9, 100%, $F$9) + CHOOSE(CONTROL!$C$27, 0.0021, 0)</f>
        <v>33.7941</v>
      </c>
      <c r="E165" s="17">
        <f>33.6553 * CHOOSE(CONTROL!$C$9, $D$9, 100%, $F$9) + CHOOSE(CONTROL!$C$27, 0.0021, 0)</f>
        <v>33.657399999999996</v>
      </c>
      <c r="F165" s="17">
        <f>33.6553 * CHOOSE(CONTROL!$C$9, $D$9, 100%, $F$9) + CHOOSE(CONTROL!$C$27, 0.0021, 0)</f>
        <v>33.657399999999996</v>
      </c>
      <c r="G165" s="17">
        <f>33.9267 * CHOOSE(CONTROL!$C$9, $D$9, 100%, $F$9) + CHOOSE(CONTROL!$C$27, 0.0021, 0)</f>
        <v>33.928799999999995</v>
      </c>
      <c r="H165" s="17">
        <f>33.792 * CHOOSE(CONTROL!$C$9, $D$9, 100%, $F$9) + CHOOSE(CONTROL!$C$27, 0.0021, 0)</f>
        <v>33.7941</v>
      </c>
      <c r="I165" s="17">
        <f>33.792 * CHOOSE(CONTROL!$C$9, $D$9, 100%, $F$9) + CHOOSE(CONTROL!$C$27, 0.0021, 0)</f>
        <v>33.7941</v>
      </c>
      <c r="J165" s="17">
        <f>33.792 * CHOOSE(CONTROL!$C$9, $D$9, 100%, $F$9) + CHOOSE(CONTROL!$C$27, 0.0021, 0)</f>
        <v>33.7941</v>
      </c>
      <c r="K165" s="17">
        <f>33.792 * CHOOSE(CONTROL!$C$9, $D$9, 100%, $F$9) + CHOOSE(CONTROL!$C$27, 0.0021, 0)</f>
        <v>33.7941</v>
      </c>
      <c r="L165" s="17"/>
    </row>
    <row r="166" spans="1:12" ht="15" x14ac:dyDescent="0.2">
      <c r="A166" s="16">
        <v>45597</v>
      </c>
      <c r="B166" s="17">
        <f>34.3639 * CHOOSE(CONTROL!$C$9, $D$9, 100%, $F$9) + CHOOSE(CONTROL!$C$27, 0.0021, 0)</f>
        <v>34.366</v>
      </c>
      <c r="C166" s="17">
        <f>33.9316 * CHOOSE(CONTROL!$C$9, $D$9, 100%, $F$9) + CHOOSE(CONTROL!$C$27, 0.0021, 0)</f>
        <v>33.933700000000002</v>
      </c>
      <c r="D166" s="17">
        <f>33.9316 * CHOOSE(CONTROL!$C$9, $D$9, 100%, $F$9) + CHOOSE(CONTROL!$C$27, 0.0021, 0)</f>
        <v>33.933700000000002</v>
      </c>
      <c r="E166" s="17">
        <f>33.795 * CHOOSE(CONTROL!$C$9, $D$9, 100%, $F$9) + CHOOSE(CONTROL!$C$27, 0.0021, 0)</f>
        <v>33.7971</v>
      </c>
      <c r="F166" s="17">
        <f>33.795 * CHOOSE(CONTROL!$C$9, $D$9, 100%, $F$9) + CHOOSE(CONTROL!$C$27, 0.0021, 0)</f>
        <v>33.7971</v>
      </c>
      <c r="G166" s="17">
        <f>34.0664 * CHOOSE(CONTROL!$C$9, $D$9, 100%, $F$9) + CHOOSE(CONTROL!$C$27, 0.0021, 0)</f>
        <v>34.0685</v>
      </c>
      <c r="H166" s="17">
        <f>33.9316 * CHOOSE(CONTROL!$C$9, $D$9, 100%, $F$9) + CHOOSE(CONTROL!$C$27, 0.0021, 0)</f>
        <v>33.933700000000002</v>
      </c>
      <c r="I166" s="17">
        <f>33.9316 * CHOOSE(CONTROL!$C$9, $D$9, 100%, $F$9) + CHOOSE(CONTROL!$C$27, 0.0021, 0)</f>
        <v>33.933700000000002</v>
      </c>
      <c r="J166" s="17">
        <f>33.9316 * CHOOSE(CONTROL!$C$9, $D$9, 100%, $F$9) + CHOOSE(CONTROL!$C$27, 0.0021, 0)</f>
        <v>33.933700000000002</v>
      </c>
      <c r="K166" s="17">
        <f>33.9316 * CHOOSE(CONTROL!$C$9, $D$9, 100%, $F$9) + CHOOSE(CONTROL!$C$27, 0.0021, 0)</f>
        <v>33.933700000000002</v>
      </c>
      <c r="L166" s="17"/>
    </row>
    <row r="167" spans="1:12" ht="15" x14ac:dyDescent="0.2">
      <c r="A167" s="16">
        <v>45627</v>
      </c>
      <c r="B167" s="17">
        <f>33.7998 * CHOOSE(CONTROL!$C$9, $D$9, 100%, $F$9) + CHOOSE(CONTROL!$C$27, 0.0021, 0)</f>
        <v>33.801899999999996</v>
      </c>
      <c r="C167" s="17">
        <f>33.3676 * CHOOSE(CONTROL!$C$9, $D$9, 100%, $F$9) + CHOOSE(CONTROL!$C$27, 0.0021, 0)</f>
        <v>33.369700000000002</v>
      </c>
      <c r="D167" s="17">
        <f>33.3676 * CHOOSE(CONTROL!$C$9, $D$9, 100%, $F$9) + CHOOSE(CONTROL!$C$27, 0.0021, 0)</f>
        <v>33.369700000000002</v>
      </c>
      <c r="E167" s="17">
        <f>33.2309 * CHOOSE(CONTROL!$C$9, $D$9, 100%, $F$9) + CHOOSE(CONTROL!$C$27, 0.0021, 0)</f>
        <v>33.232999999999997</v>
      </c>
      <c r="F167" s="17">
        <f>33.2309 * CHOOSE(CONTROL!$C$9, $D$9, 100%, $F$9) + CHOOSE(CONTROL!$C$27, 0.0021, 0)</f>
        <v>33.232999999999997</v>
      </c>
      <c r="G167" s="17">
        <f>33.5023 * CHOOSE(CONTROL!$C$9, $D$9, 100%, $F$9) + CHOOSE(CONTROL!$C$27, 0.0021, 0)</f>
        <v>33.504399999999997</v>
      </c>
      <c r="H167" s="17">
        <f>33.3676 * CHOOSE(CONTROL!$C$9, $D$9, 100%, $F$9) + CHOOSE(CONTROL!$C$27, 0.0021, 0)</f>
        <v>33.369700000000002</v>
      </c>
      <c r="I167" s="17">
        <f>33.3676 * CHOOSE(CONTROL!$C$9, $D$9, 100%, $F$9) + CHOOSE(CONTROL!$C$27, 0.0021, 0)</f>
        <v>33.369700000000002</v>
      </c>
      <c r="J167" s="17">
        <f>33.3676 * CHOOSE(CONTROL!$C$9, $D$9, 100%, $F$9) + CHOOSE(CONTROL!$C$27, 0.0021, 0)</f>
        <v>33.369700000000002</v>
      </c>
      <c r="K167" s="17">
        <f>33.3676 * CHOOSE(CONTROL!$C$9, $D$9, 100%, $F$9) + CHOOSE(CONTROL!$C$27, 0.0021, 0)</f>
        <v>33.369700000000002</v>
      </c>
      <c r="L167" s="17"/>
    </row>
    <row r="168" spans="1:12" ht="15" x14ac:dyDescent="0.2">
      <c r="A168" s="16">
        <v>45658</v>
      </c>
      <c r="B168" s="17">
        <f>33.5133 * CHOOSE(CONTROL!$C$9, $D$9, 100%, $F$9) + CHOOSE(CONTROL!$C$27, 0.0021, 0)</f>
        <v>33.5154</v>
      </c>
      <c r="C168" s="17">
        <f>33.081 * CHOOSE(CONTROL!$C$9, $D$9, 100%, $F$9) + CHOOSE(CONTROL!$C$27, 0.0021, 0)</f>
        <v>33.083100000000002</v>
      </c>
      <c r="D168" s="17">
        <f>33.081 * CHOOSE(CONTROL!$C$9, $D$9, 100%, $F$9) + CHOOSE(CONTROL!$C$27, 0.0021, 0)</f>
        <v>33.083100000000002</v>
      </c>
      <c r="E168" s="17">
        <f>32.9444 * CHOOSE(CONTROL!$C$9, $D$9, 100%, $F$9) + CHOOSE(CONTROL!$C$27, 0.0021, 0)</f>
        <v>32.9465</v>
      </c>
      <c r="F168" s="17">
        <f>32.9444 * CHOOSE(CONTROL!$C$9, $D$9, 100%, $F$9) + CHOOSE(CONTROL!$C$27, 0.0021, 0)</f>
        <v>32.9465</v>
      </c>
      <c r="G168" s="17">
        <f>33.2158 * CHOOSE(CONTROL!$C$9, $D$9, 100%, $F$9) + CHOOSE(CONTROL!$C$27, 0.0021, 0)</f>
        <v>33.2179</v>
      </c>
      <c r="H168" s="17">
        <f>33.081 * CHOOSE(CONTROL!$C$9, $D$9, 100%, $F$9) + CHOOSE(CONTROL!$C$27, 0.0021, 0)</f>
        <v>33.083100000000002</v>
      </c>
      <c r="I168" s="17">
        <f>33.081 * CHOOSE(CONTROL!$C$9, $D$9, 100%, $F$9) + CHOOSE(CONTROL!$C$27, 0.0021, 0)</f>
        <v>33.083100000000002</v>
      </c>
      <c r="J168" s="17">
        <f>33.081 * CHOOSE(CONTROL!$C$9, $D$9, 100%, $F$9) + CHOOSE(CONTROL!$C$27, 0.0021, 0)</f>
        <v>33.083100000000002</v>
      </c>
      <c r="K168" s="17">
        <f>33.081 * CHOOSE(CONTROL!$C$9, $D$9, 100%, $F$9) + CHOOSE(CONTROL!$C$27, 0.0021, 0)</f>
        <v>33.083100000000002</v>
      </c>
      <c r="L168" s="17"/>
    </row>
    <row r="169" spans="1:12" ht="15" x14ac:dyDescent="0.2">
      <c r="A169" s="16">
        <v>45689</v>
      </c>
      <c r="B169" s="17">
        <f>32.6927 * CHOOSE(CONTROL!$C$9, $D$9, 100%, $F$9) + CHOOSE(CONTROL!$C$27, 0.0021, 0)</f>
        <v>32.694800000000001</v>
      </c>
      <c r="C169" s="17">
        <f>32.2604 * CHOOSE(CONTROL!$C$9, $D$9, 100%, $F$9) + CHOOSE(CONTROL!$C$27, 0.0021, 0)</f>
        <v>32.262499999999996</v>
      </c>
      <c r="D169" s="17">
        <f>32.2604 * CHOOSE(CONTROL!$C$9, $D$9, 100%, $F$9) + CHOOSE(CONTROL!$C$27, 0.0021, 0)</f>
        <v>32.262499999999996</v>
      </c>
      <c r="E169" s="17">
        <f>32.1238 * CHOOSE(CONTROL!$C$9, $D$9, 100%, $F$9) + CHOOSE(CONTROL!$C$27, 0.0021, 0)</f>
        <v>32.125900000000001</v>
      </c>
      <c r="F169" s="17">
        <f>32.1238 * CHOOSE(CONTROL!$C$9, $D$9, 100%, $F$9) + CHOOSE(CONTROL!$C$27, 0.0021, 0)</f>
        <v>32.125900000000001</v>
      </c>
      <c r="G169" s="17">
        <f>32.3952 * CHOOSE(CONTROL!$C$9, $D$9, 100%, $F$9) + CHOOSE(CONTROL!$C$27, 0.0021, 0)</f>
        <v>32.397300000000001</v>
      </c>
      <c r="H169" s="17">
        <f>32.2604 * CHOOSE(CONTROL!$C$9, $D$9, 100%, $F$9) + CHOOSE(CONTROL!$C$27, 0.0021, 0)</f>
        <v>32.262499999999996</v>
      </c>
      <c r="I169" s="17">
        <f>32.2604 * CHOOSE(CONTROL!$C$9, $D$9, 100%, $F$9) + CHOOSE(CONTROL!$C$27, 0.0021, 0)</f>
        <v>32.262499999999996</v>
      </c>
      <c r="J169" s="17">
        <f>32.2604 * CHOOSE(CONTROL!$C$9, $D$9, 100%, $F$9) + CHOOSE(CONTROL!$C$27, 0.0021, 0)</f>
        <v>32.262499999999996</v>
      </c>
      <c r="K169" s="17">
        <f>32.2604 * CHOOSE(CONTROL!$C$9, $D$9, 100%, $F$9) + CHOOSE(CONTROL!$C$27, 0.0021, 0)</f>
        <v>32.262499999999996</v>
      </c>
      <c r="L169" s="17"/>
    </row>
    <row r="170" spans="1:12" ht="15" x14ac:dyDescent="0.2">
      <c r="A170" s="16">
        <v>45717</v>
      </c>
      <c r="B170" s="17">
        <f>32.3893 * CHOOSE(CONTROL!$C$9, $D$9, 100%, $F$9) + CHOOSE(CONTROL!$C$27, 0.0021, 0)</f>
        <v>32.391399999999997</v>
      </c>
      <c r="C170" s="17">
        <f>31.957 * CHOOSE(CONTROL!$C$9, $D$9, 100%, $F$9) + CHOOSE(CONTROL!$C$27, 0.0021, 0)</f>
        <v>31.959099999999999</v>
      </c>
      <c r="D170" s="17">
        <f>31.957 * CHOOSE(CONTROL!$C$9, $D$9, 100%, $F$9) + CHOOSE(CONTROL!$C$27, 0.0021, 0)</f>
        <v>31.959099999999999</v>
      </c>
      <c r="E170" s="17">
        <f>31.8204 * CHOOSE(CONTROL!$C$9, $D$9, 100%, $F$9) + CHOOSE(CONTROL!$C$27, 0.0021, 0)</f>
        <v>31.822499999999998</v>
      </c>
      <c r="F170" s="17">
        <f>31.8204 * CHOOSE(CONTROL!$C$9, $D$9, 100%, $F$9) + CHOOSE(CONTROL!$C$27, 0.0021, 0)</f>
        <v>31.822499999999998</v>
      </c>
      <c r="G170" s="17">
        <f>32.0917 * CHOOSE(CONTROL!$C$9, $D$9, 100%, $F$9) + CHOOSE(CONTROL!$C$27, 0.0021, 0)</f>
        <v>32.093800000000002</v>
      </c>
      <c r="H170" s="17">
        <f>31.957 * CHOOSE(CONTROL!$C$9, $D$9, 100%, $F$9) + CHOOSE(CONTROL!$C$27, 0.0021, 0)</f>
        <v>31.959099999999999</v>
      </c>
      <c r="I170" s="17">
        <f>31.957 * CHOOSE(CONTROL!$C$9, $D$9, 100%, $F$9) + CHOOSE(CONTROL!$C$27, 0.0021, 0)</f>
        <v>31.959099999999999</v>
      </c>
      <c r="J170" s="17">
        <f>31.957 * CHOOSE(CONTROL!$C$9, $D$9, 100%, $F$9) + CHOOSE(CONTROL!$C$27, 0.0021, 0)</f>
        <v>31.959099999999999</v>
      </c>
      <c r="K170" s="17">
        <f>31.957 * CHOOSE(CONTROL!$C$9, $D$9, 100%, $F$9) + CHOOSE(CONTROL!$C$27, 0.0021, 0)</f>
        <v>31.959099999999999</v>
      </c>
      <c r="L170" s="17"/>
    </row>
    <row r="171" spans="1:12" ht="15" x14ac:dyDescent="0.2">
      <c r="A171" s="16">
        <v>45748</v>
      </c>
      <c r="B171" s="17">
        <f>32.0133 * CHOOSE(CONTROL!$C$9, $D$9, 100%, $F$9) + CHOOSE(CONTROL!$C$27, 0.0021, 0)</f>
        <v>32.0154</v>
      </c>
      <c r="C171" s="17">
        <f>31.581 * CHOOSE(CONTROL!$C$9, $D$9, 100%, $F$9) + CHOOSE(CONTROL!$C$27, 0.0021, 0)</f>
        <v>31.583099999999998</v>
      </c>
      <c r="D171" s="17">
        <f>31.581 * CHOOSE(CONTROL!$C$9, $D$9, 100%, $F$9) + CHOOSE(CONTROL!$C$27, 0.0021, 0)</f>
        <v>31.583099999999998</v>
      </c>
      <c r="E171" s="17">
        <f>31.4444 * CHOOSE(CONTROL!$C$9, $D$9, 100%, $F$9) + CHOOSE(CONTROL!$C$27, 0.0021, 0)</f>
        <v>31.4465</v>
      </c>
      <c r="F171" s="17">
        <f>31.4444 * CHOOSE(CONTROL!$C$9, $D$9, 100%, $F$9) + CHOOSE(CONTROL!$C$27, 0.0021, 0)</f>
        <v>31.4465</v>
      </c>
      <c r="G171" s="17">
        <f>31.7158 * CHOOSE(CONTROL!$C$9, $D$9, 100%, $F$9) + CHOOSE(CONTROL!$C$27, 0.0021, 0)</f>
        <v>31.7179</v>
      </c>
      <c r="H171" s="17">
        <f>31.581 * CHOOSE(CONTROL!$C$9, $D$9, 100%, $F$9) + CHOOSE(CONTROL!$C$27, 0.0021, 0)</f>
        <v>31.583099999999998</v>
      </c>
      <c r="I171" s="17">
        <f>31.581 * CHOOSE(CONTROL!$C$9, $D$9, 100%, $F$9) + CHOOSE(CONTROL!$C$27, 0.0021, 0)</f>
        <v>31.583099999999998</v>
      </c>
      <c r="J171" s="17">
        <f>31.581 * CHOOSE(CONTROL!$C$9, $D$9, 100%, $F$9) + CHOOSE(CONTROL!$C$27, 0.0021, 0)</f>
        <v>31.583099999999998</v>
      </c>
      <c r="K171" s="17">
        <f>31.581 * CHOOSE(CONTROL!$C$9, $D$9, 100%, $F$9) + CHOOSE(CONTROL!$C$27, 0.0021, 0)</f>
        <v>31.583099999999998</v>
      </c>
      <c r="L171" s="17"/>
    </row>
    <row r="172" spans="1:12" ht="15" x14ac:dyDescent="0.2">
      <c r="A172" s="16">
        <v>45778</v>
      </c>
      <c r="B172" s="17">
        <f>32.6999 * CHOOSE(CONTROL!$C$9, $D$9, 100%, $F$9) + CHOOSE(CONTROL!$C$27, 0.0021, 0)</f>
        <v>32.701999999999998</v>
      </c>
      <c r="C172" s="17">
        <f>32.2677 * CHOOSE(CONTROL!$C$9, $D$9, 100%, $F$9) + CHOOSE(CONTROL!$C$27, 0.0021, 0)</f>
        <v>32.269799999999996</v>
      </c>
      <c r="D172" s="17">
        <f>32.2677 * CHOOSE(CONTROL!$C$9, $D$9, 100%, $F$9) + CHOOSE(CONTROL!$C$27, 0.0021, 0)</f>
        <v>32.269799999999996</v>
      </c>
      <c r="E172" s="17">
        <f>32.131 * CHOOSE(CONTROL!$C$9, $D$9, 100%, $F$9) + CHOOSE(CONTROL!$C$27, 0.0021, 0)</f>
        <v>32.133099999999999</v>
      </c>
      <c r="F172" s="17">
        <f>32.131 * CHOOSE(CONTROL!$C$9, $D$9, 100%, $F$9) + CHOOSE(CONTROL!$C$27, 0.0021, 0)</f>
        <v>32.133099999999999</v>
      </c>
      <c r="G172" s="17">
        <f>32.4024 * CHOOSE(CONTROL!$C$9, $D$9, 100%, $F$9) + CHOOSE(CONTROL!$C$27, 0.0021, 0)</f>
        <v>32.404499999999999</v>
      </c>
      <c r="H172" s="17">
        <f>32.2677 * CHOOSE(CONTROL!$C$9, $D$9, 100%, $F$9) + CHOOSE(CONTROL!$C$27, 0.0021, 0)</f>
        <v>32.269799999999996</v>
      </c>
      <c r="I172" s="17">
        <f>32.2677 * CHOOSE(CONTROL!$C$9, $D$9, 100%, $F$9) + CHOOSE(CONTROL!$C$27, 0.0021, 0)</f>
        <v>32.269799999999996</v>
      </c>
      <c r="J172" s="17">
        <f>32.2677 * CHOOSE(CONTROL!$C$9, $D$9, 100%, $F$9) + CHOOSE(CONTROL!$C$27, 0.0021, 0)</f>
        <v>32.269799999999996</v>
      </c>
      <c r="K172" s="17">
        <f>32.2677 * CHOOSE(CONTROL!$C$9, $D$9, 100%, $F$9) + CHOOSE(CONTROL!$C$27, 0.0021, 0)</f>
        <v>32.269799999999996</v>
      </c>
      <c r="L172" s="17"/>
    </row>
    <row r="173" spans="1:12" ht="15" x14ac:dyDescent="0.2">
      <c r="A173" s="16">
        <v>45809</v>
      </c>
      <c r="B173" s="17">
        <f>33.138 * CHOOSE(CONTROL!$C$9, $D$9, 100%, $F$9) + CHOOSE(CONTROL!$C$27, 0.0021, 0)</f>
        <v>33.140099999999997</v>
      </c>
      <c r="C173" s="17">
        <f>32.7057 * CHOOSE(CONTROL!$C$9, $D$9, 100%, $F$9) + CHOOSE(CONTROL!$C$27, 0.0021, 0)</f>
        <v>32.707799999999999</v>
      </c>
      <c r="D173" s="17">
        <f>32.7057 * CHOOSE(CONTROL!$C$9, $D$9, 100%, $F$9) + CHOOSE(CONTROL!$C$27, 0.0021, 0)</f>
        <v>32.707799999999999</v>
      </c>
      <c r="E173" s="17">
        <f>32.5691 * CHOOSE(CONTROL!$C$9, $D$9, 100%, $F$9) + CHOOSE(CONTROL!$C$27, 0.0021, 0)</f>
        <v>32.571199999999997</v>
      </c>
      <c r="F173" s="17">
        <f>32.5691 * CHOOSE(CONTROL!$C$9, $D$9, 100%, $F$9) + CHOOSE(CONTROL!$C$27, 0.0021, 0)</f>
        <v>32.571199999999997</v>
      </c>
      <c r="G173" s="17">
        <f>32.8404 * CHOOSE(CONTROL!$C$9, $D$9, 100%, $F$9) + CHOOSE(CONTROL!$C$27, 0.0021, 0)</f>
        <v>32.842500000000001</v>
      </c>
      <c r="H173" s="17">
        <f>32.7057 * CHOOSE(CONTROL!$C$9, $D$9, 100%, $F$9) + CHOOSE(CONTROL!$C$27, 0.0021, 0)</f>
        <v>32.707799999999999</v>
      </c>
      <c r="I173" s="17">
        <f>32.7057 * CHOOSE(CONTROL!$C$9, $D$9, 100%, $F$9) + CHOOSE(CONTROL!$C$27, 0.0021, 0)</f>
        <v>32.707799999999999</v>
      </c>
      <c r="J173" s="17">
        <f>32.7057 * CHOOSE(CONTROL!$C$9, $D$9, 100%, $F$9) + CHOOSE(CONTROL!$C$27, 0.0021, 0)</f>
        <v>32.707799999999999</v>
      </c>
      <c r="K173" s="17">
        <f>32.7057 * CHOOSE(CONTROL!$C$9, $D$9, 100%, $F$9) + CHOOSE(CONTROL!$C$27, 0.0021, 0)</f>
        <v>32.707799999999999</v>
      </c>
      <c r="L173" s="17"/>
    </row>
    <row r="174" spans="1:12" ht="15" x14ac:dyDescent="0.2">
      <c r="A174" s="16">
        <v>45839</v>
      </c>
      <c r="B174" s="17">
        <f>33.822 * CHOOSE(CONTROL!$C$9, $D$9, 100%, $F$9) + CHOOSE(CONTROL!$C$27, 0.0021, 0)</f>
        <v>33.824100000000001</v>
      </c>
      <c r="C174" s="17">
        <f>33.3898 * CHOOSE(CONTROL!$C$9, $D$9, 100%, $F$9) + CHOOSE(CONTROL!$C$27, 0.0021, 0)</f>
        <v>33.3919</v>
      </c>
      <c r="D174" s="17">
        <f>33.3898 * CHOOSE(CONTROL!$C$9, $D$9, 100%, $F$9) + CHOOSE(CONTROL!$C$27, 0.0021, 0)</f>
        <v>33.3919</v>
      </c>
      <c r="E174" s="17">
        <f>33.2531 * CHOOSE(CONTROL!$C$9, $D$9, 100%, $F$9) + CHOOSE(CONTROL!$C$27, 0.0021, 0)</f>
        <v>33.255200000000002</v>
      </c>
      <c r="F174" s="17">
        <f>33.2531 * CHOOSE(CONTROL!$C$9, $D$9, 100%, $F$9) + CHOOSE(CONTROL!$C$27, 0.0021, 0)</f>
        <v>33.255200000000002</v>
      </c>
      <c r="G174" s="17">
        <f>33.5245 * CHOOSE(CONTROL!$C$9, $D$9, 100%, $F$9) + CHOOSE(CONTROL!$C$27, 0.0021, 0)</f>
        <v>33.526600000000002</v>
      </c>
      <c r="H174" s="17">
        <f>33.3898 * CHOOSE(CONTROL!$C$9, $D$9, 100%, $F$9) + CHOOSE(CONTROL!$C$27, 0.0021, 0)</f>
        <v>33.3919</v>
      </c>
      <c r="I174" s="17">
        <f>33.3898 * CHOOSE(CONTROL!$C$9, $D$9, 100%, $F$9) + CHOOSE(CONTROL!$C$27, 0.0021, 0)</f>
        <v>33.3919</v>
      </c>
      <c r="J174" s="17">
        <f>33.3898 * CHOOSE(CONTROL!$C$9, $D$9, 100%, $F$9) + CHOOSE(CONTROL!$C$27, 0.0021, 0)</f>
        <v>33.3919</v>
      </c>
      <c r="K174" s="17">
        <f>33.3898 * CHOOSE(CONTROL!$C$9, $D$9, 100%, $F$9) + CHOOSE(CONTROL!$C$27, 0.0021, 0)</f>
        <v>33.3919</v>
      </c>
      <c r="L174" s="17"/>
    </row>
    <row r="175" spans="1:12" ht="15" x14ac:dyDescent="0.2">
      <c r="A175" s="16">
        <v>45870</v>
      </c>
      <c r="B175" s="17">
        <f>34.0768 * CHOOSE(CONTROL!$C$9, $D$9, 100%, $F$9) + CHOOSE(CONTROL!$C$27, 0.0021, 0)</f>
        <v>34.078899999999997</v>
      </c>
      <c r="C175" s="17">
        <f>33.6445 * CHOOSE(CONTROL!$C$9, $D$9, 100%, $F$9) + CHOOSE(CONTROL!$C$27, 0.0021, 0)</f>
        <v>33.646599999999999</v>
      </c>
      <c r="D175" s="17">
        <f>33.6445 * CHOOSE(CONTROL!$C$9, $D$9, 100%, $F$9) + CHOOSE(CONTROL!$C$27, 0.0021, 0)</f>
        <v>33.646599999999999</v>
      </c>
      <c r="E175" s="17">
        <f>33.5079 * CHOOSE(CONTROL!$C$9, $D$9, 100%, $F$9) + CHOOSE(CONTROL!$C$27, 0.0021, 0)</f>
        <v>33.51</v>
      </c>
      <c r="F175" s="17">
        <f>33.5079 * CHOOSE(CONTROL!$C$9, $D$9, 100%, $F$9) + CHOOSE(CONTROL!$C$27, 0.0021, 0)</f>
        <v>33.51</v>
      </c>
      <c r="G175" s="17">
        <f>33.7792 * CHOOSE(CONTROL!$C$9, $D$9, 100%, $F$9) + CHOOSE(CONTROL!$C$27, 0.0021, 0)</f>
        <v>33.781300000000002</v>
      </c>
      <c r="H175" s="17">
        <f>33.6445 * CHOOSE(CONTROL!$C$9, $D$9, 100%, $F$9) + CHOOSE(CONTROL!$C$27, 0.0021, 0)</f>
        <v>33.646599999999999</v>
      </c>
      <c r="I175" s="17">
        <f>33.6445 * CHOOSE(CONTROL!$C$9, $D$9, 100%, $F$9) + CHOOSE(CONTROL!$C$27, 0.0021, 0)</f>
        <v>33.646599999999999</v>
      </c>
      <c r="J175" s="17">
        <f>33.6445 * CHOOSE(CONTROL!$C$9, $D$9, 100%, $F$9) + CHOOSE(CONTROL!$C$27, 0.0021, 0)</f>
        <v>33.646599999999999</v>
      </c>
      <c r="K175" s="17">
        <f>33.6445 * CHOOSE(CONTROL!$C$9, $D$9, 100%, $F$9) + CHOOSE(CONTROL!$C$27, 0.0021, 0)</f>
        <v>33.646599999999999</v>
      </c>
      <c r="L175" s="17"/>
    </row>
    <row r="176" spans="1:12" ht="15" x14ac:dyDescent="0.2">
      <c r="A176" s="16">
        <v>45901</v>
      </c>
      <c r="B176" s="17">
        <f>34.7899 * CHOOSE(CONTROL!$C$9, $D$9, 100%, $F$9) + CHOOSE(CONTROL!$C$27, 0.0021, 0)</f>
        <v>34.792000000000002</v>
      </c>
      <c r="C176" s="17">
        <f>34.3577 * CHOOSE(CONTROL!$C$9, $D$9, 100%, $F$9) + CHOOSE(CONTROL!$C$27, 0.0021, 0)</f>
        <v>34.3598</v>
      </c>
      <c r="D176" s="17">
        <f>34.3577 * CHOOSE(CONTROL!$C$9, $D$9, 100%, $F$9) + CHOOSE(CONTROL!$C$27, 0.0021, 0)</f>
        <v>34.3598</v>
      </c>
      <c r="E176" s="17">
        <f>34.221 * CHOOSE(CONTROL!$C$9, $D$9, 100%, $F$9) + CHOOSE(CONTROL!$C$27, 0.0021, 0)</f>
        <v>34.223099999999995</v>
      </c>
      <c r="F176" s="17">
        <f>34.221 * CHOOSE(CONTROL!$C$9, $D$9, 100%, $F$9) + CHOOSE(CONTROL!$C$27, 0.0021, 0)</f>
        <v>34.223099999999995</v>
      </c>
      <c r="G176" s="17">
        <f>34.4924 * CHOOSE(CONTROL!$C$9, $D$9, 100%, $F$9) + CHOOSE(CONTROL!$C$27, 0.0021, 0)</f>
        <v>34.494500000000002</v>
      </c>
      <c r="H176" s="17">
        <f>34.3577 * CHOOSE(CONTROL!$C$9, $D$9, 100%, $F$9) + CHOOSE(CONTROL!$C$27, 0.0021, 0)</f>
        <v>34.3598</v>
      </c>
      <c r="I176" s="17">
        <f>34.3577 * CHOOSE(CONTROL!$C$9, $D$9, 100%, $F$9) + CHOOSE(CONTROL!$C$27, 0.0021, 0)</f>
        <v>34.3598</v>
      </c>
      <c r="J176" s="17">
        <f>34.3577 * CHOOSE(CONTROL!$C$9, $D$9, 100%, $F$9) + CHOOSE(CONTROL!$C$27, 0.0021, 0)</f>
        <v>34.3598</v>
      </c>
      <c r="K176" s="17">
        <f>34.3577 * CHOOSE(CONTROL!$C$9, $D$9, 100%, $F$9) + CHOOSE(CONTROL!$C$27, 0.0021, 0)</f>
        <v>34.3598</v>
      </c>
      <c r="L176" s="17"/>
    </row>
    <row r="177" spans="1:12" ht="15" x14ac:dyDescent="0.2">
      <c r="A177" s="16">
        <v>45931</v>
      </c>
      <c r="B177" s="17">
        <f>35.6784 * CHOOSE(CONTROL!$C$9, $D$9, 100%, $F$9) + CHOOSE(CONTROL!$C$27, 0.0021, 0)</f>
        <v>35.680500000000002</v>
      </c>
      <c r="C177" s="17">
        <f>35.2461 * CHOOSE(CONTROL!$C$9, $D$9, 100%, $F$9) + CHOOSE(CONTROL!$C$27, 0.0021, 0)</f>
        <v>35.248199999999997</v>
      </c>
      <c r="D177" s="17">
        <f>35.2461 * CHOOSE(CONTROL!$C$9, $D$9, 100%, $F$9) + CHOOSE(CONTROL!$C$27, 0.0021, 0)</f>
        <v>35.248199999999997</v>
      </c>
      <c r="E177" s="17">
        <f>35.1095 * CHOOSE(CONTROL!$C$9, $D$9, 100%, $F$9) + CHOOSE(CONTROL!$C$27, 0.0021, 0)</f>
        <v>35.111599999999996</v>
      </c>
      <c r="F177" s="17">
        <f>35.1095 * CHOOSE(CONTROL!$C$9, $D$9, 100%, $F$9) + CHOOSE(CONTROL!$C$27, 0.0021, 0)</f>
        <v>35.111599999999996</v>
      </c>
      <c r="G177" s="17">
        <f>35.3808 * CHOOSE(CONTROL!$C$9, $D$9, 100%, $F$9) + CHOOSE(CONTROL!$C$27, 0.0021, 0)</f>
        <v>35.382899999999999</v>
      </c>
      <c r="H177" s="17">
        <f>35.2461 * CHOOSE(CONTROL!$C$9, $D$9, 100%, $F$9) + CHOOSE(CONTROL!$C$27, 0.0021, 0)</f>
        <v>35.248199999999997</v>
      </c>
      <c r="I177" s="17">
        <f>35.2461 * CHOOSE(CONTROL!$C$9, $D$9, 100%, $F$9) + CHOOSE(CONTROL!$C$27, 0.0021, 0)</f>
        <v>35.248199999999997</v>
      </c>
      <c r="J177" s="17">
        <f>35.2461 * CHOOSE(CONTROL!$C$9, $D$9, 100%, $F$9) + CHOOSE(CONTROL!$C$27, 0.0021, 0)</f>
        <v>35.248199999999997</v>
      </c>
      <c r="K177" s="17">
        <f>35.2461 * CHOOSE(CONTROL!$C$9, $D$9, 100%, $F$9) + CHOOSE(CONTROL!$C$27, 0.0021, 0)</f>
        <v>35.248199999999997</v>
      </c>
      <c r="L177" s="17"/>
    </row>
    <row r="178" spans="1:12" ht="15" x14ac:dyDescent="0.2">
      <c r="A178" s="16">
        <v>45962</v>
      </c>
      <c r="B178" s="17">
        <f>35.8244 * CHOOSE(CONTROL!$C$9, $D$9, 100%, $F$9) + CHOOSE(CONTROL!$C$27, 0.0021, 0)</f>
        <v>35.826499999999996</v>
      </c>
      <c r="C178" s="17">
        <f>35.3922 * CHOOSE(CONTROL!$C$9, $D$9, 100%, $F$9) + CHOOSE(CONTROL!$C$27, 0.0021, 0)</f>
        <v>35.394300000000001</v>
      </c>
      <c r="D178" s="17">
        <f>35.3922 * CHOOSE(CONTROL!$C$9, $D$9, 100%, $F$9) + CHOOSE(CONTROL!$C$27, 0.0021, 0)</f>
        <v>35.394300000000001</v>
      </c>
      <c r="E178" s="17">
        <f>35.2555 * CHOOSE(CONTROL!$C$9, $D$9, 100%, $F$9) + CHOOSE(CONTROL!$C$27, 0.0021, 0)</f>
        <v>35.257599999999996</v>
      </c>
      <c r="F178" s="17">
        <f>35.2555 * CHOOSE(CONTROL!$C$9, $D$9, 100%, $F$9) + CHOOSE(CONTROL!$C$27, 0.0021, 0)</f>
        <v>35.257599999999996</v>
      </c>
      <c r="G178" s="17">
        <f>35.5269 * CHOOSE(CONTROL!$C$9, $D$9, 100%, $F$9) + CHOOSE(CONTROL!$C$27, 0.0021, 0)</f>
        <v>35.528999999999996</v>
      </c>
      <c r="H178" s="17">
        <f>35.3922 * CHOOSE(CONTROL!$C$9, $D$9, 100%, $F$9) + CHOOSE(CONTROL!$C$27, 0.0021, 0)</f>
        <v>35.394300000000001</v>
      </c>
      <c r="I178" s="17">
        <f>35.3922 * CHOOSE(CONTROL!$C$9, $D$9, 100%, $F$9) + CHOOSE(CONTROL!$C$27, 0.0021, 0)</f>
        <v>35.394300000000001</v>
      </c>
      <c r="J178" s="17">
        <f>35.3922 * CHOOSE(CONTROL!$C$9, $D$9, 100%, $F$9) + CHOOSE(CONTROL!$C$27, 0.0021, 0)</f>
        <v>35.394300000000001</v>
      </c>
      <c r="K178" s="17">
        <f>35.3922 * CHOOSE(CONTROL!$C$9, $D$9, 100%, $F$9) + CHOOSE(CONTROL!$C$27, 0.0021, 0)</f>
        <v>35.394300000000001</v>
      </c>
      <c r="L178" s="17"/>
    </row>
    <row r="179" spans="1:12" ht="15" x14ac:dyDescent="0.2">
      <c r="A179" s="16">
        <v>45992</v>
      </c>
      <c r="B179" s="17">
        <f>35.2346 * CHOOSE(CONTROL!$C$9, $D$9, 100%, $F$9) + CHOOSE(CONTROL!$C$27, 0.0021, 0)</f>
        <v>35.236699999999999</v>
      </c>
      <c r="C179" s="17">
        <f>34.8024 * CHOOSE(CONTROL!$C$9, $D$9, 100%, $F$9) + CHOOSE(CONTROL!$C$27, 0.0021, 0)</f>
        <v>34.804499999999997</v>
      </c>
      <c r="D179" s="17">
        <f>34.8024 * CHOOSE(CONTROL!$C$9, $D$9, 100%, $F$9) + CHOOSE(CONTROL!$C$27, 0.0021, 0)</f>
        <v>34.804499999999997</v>
      </c>
      <c r="E179" s="17">
        <f>34.6657 * CHOOSE(CONTROL!$C$9, $D$9, 100%, $F$9) + CHOOSE(CONTROL!$C$27, 0.0021, 0)</f>
        <v>34.6678</v>
      </c>
      <c r="F179" s="17">
        <f>34.6657 * CHOOSE(CONTROL!$C$9, $D$9, 100%, $F$9) + CHOOSE(CONTROL!$C$27, 0.0021, 0)</f>
        <v>34.6678</v>
      </c>
      <c r="G179" s="17">
        <f>34.9371 * CHOOSE(CONTROL!$C$9, $D$9, 100%, $F$9) + CHOOSE(CONTROL!$C$27, 0.0021, 0)</f>
        <v>34.9392</v>
      </c>
      <c r="H179" s="17">
        <f>34.8024 * CHOOSE(CONTROL!$C$9, $D$9, 100%, $F$9) + CHOOSE(CONTROL!$C$27, 0.0021, 0)</f>
        <v>34.804499999999997</v>
      </c>
      <c r="I179" s="17">
        <f>34.8024 * CHOOSE(CONTROL!$C$9, $D$9, 100%, $F$9) + CHOOSE(CONTROL!$C$27, 0.0021, 0)</f>
        <v>34.804499999999997</v>
      </c>
      <c r="J179" s="17">
        <f>34.8024 * CHOOSE(CONTROL!$C$9, $D$9, 100%, $F$9) + CHOOSE(CONTROL!$C$27, 0.0021, 0)</f>
        <v>34.804499999999997</v>
      </c>
      <c r="K179" s="17">
        <f>34.8024 * CHOOSE(CONTROL!$C$9, $D$9, 100%, $F$9) + CHOOSE(CONTROL!$C$27, 0.0021, 0)</f>
        <v>34.804499999999997</v>
      </c>
      <c r="L179" s="17"/>
    </row>
    <row r="180" spans="1:12" ht="15" x14ac:dyDescent="0.2">
      <c r="A180" s="16">
        <v>46023</v>
      </c>
      <c r="B180" s="17">
        <f>34.3347 * CHOOSE(CONTROL!$C$9, $D$9, 100%, $F$9) + CHOOSE(CONTROL!$C$27, 0.0021, 0)</f>
        <v>34.336799999999997</v>
      </c>
      <c r="C180" s="17">
        <f>33.9024 * CHOOSE(CONTROL!$C$9, $D$9, 100%, $F$9) + CHOOSE(CONTROL!$C$27, 0.0021, 0)</f>
        <v>33.904499999999999</v>
      </c>
      <c r="D180" s="17">
        <f>33.9024 * CHOOSE(CONTROL!$C$9, $D$9, 100%, $F$9) + CHOOSE(CONTROL!$C$27, 0.0021, 0)</f>
        <v>33.904499999999999</v>
      </c>
      <c r="E180" s="17">
        <f>33.7658 * CHOOSE(CONTROL!$C$9, $D$9, 100%, $F$9) + CHOOSE(CONTROL!$C$27, 0.0021, 0)</f>
        <v>33.767899999999997</v>
      </c>
      <c r="F180" s="17">
        <f>33.7658 * CHOOSE(CONTROL!$C$9, $D$9, 100%, $F$9) + CHOOSE(CONTROL!$C$27, 0.0021, 0)</f>
        <v>33.767899999999997</v>
      </c>
      <c r="G180" s="17">
        <f>34.0371 * CHOOSE(CONTROL!$C$9, $D$9, 100%, $F$9) + CHOOSE(CONTROL!$C$27, 0.0021, 0)</f>
        <v>34.039200000000001</v>
      </c>
      <c r="H180" s="17">
        <f>33.9024 * CHOOSE(CONTROL!$C$9, $D$9, 100%, $F$9) + CHOOSE(CONTROL!$C$27, 0.0021, 0)</f>
        <v>33.904499999999999</v>
      </c>
      <c r="I180" s="17">
        <f>33.9024 * CHOOSE(CONTROL!$C$9, $D$9, 100%, $F$9) + CHOOSE(CONTROL!$C$27, 0.0021, 0)</f>
        <v>33.904499999999999</v>
      </c>
      <c r="J180" s="17">
        <f>33.9024 * CHOOSE(CONTROL!$C$9, $D$9, 100%, $F$9) + CHOOSE(CONTROL!$C$27, 0.0021, 0)</f>
        <v>33.904499999999999</v>
      </c>
      <c r="K180" s="17">
        <f>33.9024 * CHOOSE(CONTROL!$C$9, $D$9, 100%, $F$9) + CHOOSE(CONTROL!$C$27, 0.0021, 0)</f>
        <v>33.904499999999999</v>
      </c>
      <c r="L180" s="17"/>
    </row>
    <row r="181" spans="1:12" ht="15" x14ac:dyDescent="0.2">
      <c r="A181" s="16">
        <v>46054</v>
      </c>
      <c r="B181" s="17">
        <f>33.4925 * CHOOSE(CONTROL!$C$9, $D$9, 100%, $F$9) + CHOOSE(CONTROL!$C$27, 0.0021, 0)</f>
        <v>33.494599999999998</v>
      </c>
      <c r="C181" s="17">
        <f>33.0602 * CHOOSE(CONTROL!$C$9, $D$9, 100%, $F$9) + CHOOSE(CONTROL!$C$27, 0.0021, 0)</f>
        <v>33.0623</v>
      </c>
      <c r="D181" s="17">
        <f>33.0602 * CHOOSE(CONTROL!$C$9, $D$9, 100%, $F$9) + CHOOSE(CONTROL!$C$27, 0.0021, 0)</f>
        <v>33.0623</v>
      </c>
      <c r="E181" s="17">
        <f>32.9236 * CHOOSE(CONTROL!$C$9, $D$9, 100%, $F$9) + CHOOSE(CONTROL!$C$27, 0.0021, 0)</f>
        <v>32.925699999999999</v>
      </c>
      <c r="F181" s="17">
        <f>32.9236 * CHOOSE(CONTROL!$C$9, $D$9, 100%, $F$9) + CHOOSE(CONTROL!$C$27, 0.0021, 0)</f>
        <v>32.925699999999999</v>
      </c>
      <c r="G181" s="17">
        <f>33.1949 * CHOOSE(CONTROL!$C$9, $D$9, 100%, $F$9) + CHOOSE(CONTROL!$C$27, 0.0021, 0)</f>
        <v>33.196999999999996</v>
      </c>
      <c r="H181" s="17">
        <f>33.0602 * CHOOSE(CONTROL!$C$9, $D$9, 100%, $F$9) + CHOOSE(CONTROL!$C$27, 0.0021, 0)</f>
        <v>33.0623</v>
      </c>
      <c r="I181" s="17">
        <f>33.0602 * CHOOSE(CONTROL!$C$9, $D$9, 100%, $F$9) + CHOOSE(CONTROL!$C$27, 0.0021, 0)</f>
        <v>33.0623</v>
      </c>
      <c r="J181" s="17">
        <f>33.0602 * CHOOSE(CONTROL!$C$9, $D$9, 100%, $F$9) + CHOOSE(CONTROL!$C$27, 0.0021, 0)</f>
        <v>33.0623</v>
      </c>
      <c r="K181" s="17">
        <f>33.0602 * CHOOSE(CONTROL!$C$9, $D$9, 100%, $F$9) + CHOOSE(CONTROL!$C$27, 0.0021, 0)</f>
        <v>33.0623</v>
      </c>
      <c r="L181" s="17"/>
    </row>
    <row r="182" spans="1:12" ht="15" x14ac:dyDescent="0.2">
      <c r="A182" s="16">
        <v>46082</v>
      </c>
      <c r="B182" s="17">
        <f>33.1811 * CHOOSE(CONTROL!$C$9, $D$9, 100%, $F$9) + CHOOSE(CONTROL!$C$27, 0.0021, 0)</f>
        <v>33.183199999999999</v>
      </c>
      <c r="C182" s="17">
        <f>32.7488 * CHOOSE(CONTROL!$C$9, $D$9, 100%, $F$9) + CHOOSE(CONTROL!$C$27, 0.0021, 0)</f>
        <v>32.750900000000001</v>
      </c>
      <c r="D182" s="17">
        <f>32.7488 * CHOOSE(CONTROL!$C$9, $D$9, 100%, $F$9) + CHOOSE(CONTROL!$C$27, 0.0021, 0)</f>
        <v>32.750900000000001</v>
      </c>
      <c r="E182" s="17">
        <f>32.6122 * CHOOSE(CONTROL!$C$9, $D$9, 100%, $F$9) + CHOOSE(CONTROL!$C$27, 0.0021, 0)</f>
        <v>32.6143</v>
      </c>
      <c r="F182" s="17">
        <f>32.6122 * CHOOSE(CONTROL!$C$9, $D$9, 100%, $F$9) + CHOOSE(CONTROL!$C$27, 0.0021, 0)</f>
        <v>32.6143</v>
      </c>
      <c r="G182" s="17">
        <f>32.8835 * CHOOSE(CONTROL!$C$9, $D$9, 100%, $F$9) + CHOOSE(CONTROL!$C$27, 0.0021, 0)</f>
        <v>32.885599999999997</v>
      </c>
      <c r="H182" s="17">
        <f>32.7488 * CHOOSE(CONTROL!$C$9, $D$9, 100%, $F$9) + CHOOSE(CONTROL!$C$27, 0.0021, 0)</f>
        <v>32.750900000000001</v>
      </c>
      <c r="I182" s="17">
        <f>32.7488 * CHOOSE(CONTROL!$C$9, $D$9, 100%, $F$9) + CHOOSE(CONTROL!$C$27, 0.0021, 0)</f>
        <v>32.750900000000001</v>
      </c>
      <c r="J182" s="17">
        <f>32.7488 * CHOOSE(CONTROL!$C$9, $D$9, 100%, $F$9) + CHOOSE(CONTROL!$C$27, 0.0021, 0)</f>
        <v>32.750900000000001</v>
      </c>
      <c r="K182" s="17">
        <f>32.7488 * CHOOSE(CONTROL!$C$9, $D$9, 100%, $F$9) + CHOOSE(CONTROL!$C$27, 0.0021, 0)</f>
        <v>32.750900000000001</v>
      </c>
      <c r="L182" s="17"/>
    </row>
    <row r="183" spans="1:12" ht="15" x14ac:dyDescent="0.2">
      <c r="A183" s="16">
        <v>46113</v>
      </c>
      <c r="B183" s="17">
        <f>32.7952 * CHOOSE(CONTROL!$C$9, $D$9, 100%, $F$9) + CHOOSE(CONTROL!$C$27, 0.0021, 0)</f>
        <v>32.7973</v>
      </c>
      <c r="C183" s="17">
        <f>32.363 * CHOOSE(CONTROL!$C$9, $D$9, 100%, $F$9) + CHOOSE(CONTROL!$C$27, 0.0021, 0)</f>
        <v>32.365099999999998</v>
      </c>
      <c r="D183" s="17">
        <f>32.363 * CHOOSE(CONTROL!$C$9, $D$9, 100%, $F$9) + CHOOSE(CONTROL!$C$27, 0.0021, 0)</f>
        <v>32.365099999999998</v>
      </c>
      <c r="E183" s="17">
        <f>32.2263 * CHOOSE(CONTROL!$C$9, $D$9, 100%, $F$9) + CHOOSE(CONTROL!$C$27, 0.0021, 0)</f>
        <v>32.228400000000001</v>
      </c>
      <c r="F183" s="17">
        <f>32.2263 * CHOOSE(CONTROL!$C$9, $D$9, 100%, $F$9) + CHOOSE(CONTROL!$C$27, 0.0021, 0)</f>
        <v>32.228400000000001</v>
      </c>
      <c r="G183" s="17">
        <f>32.4977 * CHOOSE(CONTROL!$C$9, $D$9, 100%, $F$9) + CHOOSE(CONTROL!$C$27, 0.0021, 0)</f>
        <v>32.4998</v>
      </c>
      <c r="H183" s="17">
        <f>32.363 * CHOOSE(CONTROL!$C$9, $D$9, 100%, $F$9) + CHOOSE(CONTROL!$C$27, 0.0021, 0)</f>
        <v>32.365099999999998</v>
      </c>
      <c r="I183" s="17">
        <f>32.363 * CHOOSE(CONTROL!$C$9, $D$9, 100%, $F$9) + CHOOSE(CONTROL!$C$27, 0.0021, 0)</f>
        <v>32.365099999999998</v>
      </c>
      <c r="J183" s="17">
        <f>32.363 * CHOOSE(CONTROL!$C$9, $D$9, 100%, $F$9) + CHOOSE(CONTROL!$C$27, 0.0021, 0)</f>
        <v>32.365099999999998</v>
      </c>
      <c r="K183" s="17">
        <f>32.363 * CHOOSE(CONTROL!$C$9, $D$9, 100%, $F$9) + CHOOSE(CONTROL!$C$27, 0.0021, 0)</f>
        <v>32.365099999999998</v>
      </c>
      <c r="L183" s="17"/>
    </row>
    <row r="184" spans="1:12" ht="15" x14ac:dyDescent="0.2">
      <c r="A184" s="16">
        <v>46143</v>
      </c>
      <c r="B184" s="17">
        <f>33.4999 * CHOOSE(CONTROL!$C$9, $D$9, 100%, $F$9) + CHOOSE(CONTROL!$C$27, 0.0021, 0)</f>
        <v>33.501999999999995</v>
      </c>
      <c r="C184" s="17">
        <f>33.0677 * CHOOSE(CONTROL!$C$9, $D$9, 100%, $F$9) + CHOOSE(CONTROL!$C$27, 0.0021, 0)</f>
        <v>33.069800000000001</v>
      </c>
      <c r="D184" s="17">
        <f>33.0677 * CHOOSE(CONTROL!$C$9, $D$9, 100%, $F$9) + CHOOSE(CONTROL!$C$27, 0.0021, 0)</f>
        <v>33.069800000000001</v>
      </c>
      <c r="E184" s="17">
        <f>32.931 * CHOOSE(CONTROL!$C$9, $D$9, 100%, $F$9) + CHOOSE(CONTROL!$C$27, 0.0021, 0)</f>
        <v>32.933099999999996</v>
      </c>
      <c r="F184" s="17">
        <f>32.931 * CHOOSE(CONTROL!$C$9, $D$9, 100%, $F$9) + CHOOSE(CONTROL!$C$27, 0.0021, 0)</f>
        <v>32.933099999999996</v>
      </c>
      <c r="G184" s="17">
        <f>33.2024 * CHOOSE(CONTROL!$C$9, $D$9, 100%, $F$9) + CHOOSE(CONTROL!$C$27, 0.0021, 0)</f>
        <v>33.204499999999996</v>
      </c>
      <c r="H184" s="17">
        <f>33.0677 * CHOOSE(CONTROL!$C$9, $D$9, 100%, $F$9) + CHOOSE(CONTROL!$C$27, 0.0021, 0)</f>
        <v>33.069800000000001</v>
      </c>
      <c r="I184" s="17">
        <f>33.0677 * CHOOSE(CONTROL!$C$9, $D$9, 100%, $F$9) + CHOOSE(CONTROL!$C$27, 0.0021, 0)</f>
        <v>33.069800000000001</v>
      </c>
      <c r="J184" s="17">
        <f>33.0677 * CHOOSE(CONTROL!$C$9, $D$9, 100%, $F$9) + CHOOSE(CONTROL!$C$27, 0.0021, 0)</f>
        <v>33.069800000000001</v>
      </c>
      <c r="K184" s="17">
        <f>33.0677 * CHOOSE(CONTROL!$C$9, $D$9, 100%, $F$9) + CHOOSE(CONTROL!$C$27, 0.0021, 0)</f>
        <v>33.069800000000001</v>
      </c>
      <c r="L184" s="17"/>
    </row>
    <row r="185" spans="1:12" ht="15" x14ac:dyDescent="0.2">
      <c r="A185" s="16">
        <v>46174</v>
      </c>
      <c r="B185" s="17">
        <f>33.9495 * CHOOSE(CONTROL!$C$9, $D$9, 100%, $F$9) + CHOOSE(CONTROL!$C$27, 0.0021, 0)</f>
        <v>33.951599999999999</v>
      </c>
      <c r="C185" s="17">
        <f>33.5172 * CHOOSE(CONTROL!$C$9, $D$9, 100%, $F$9) + CHOOSE(CONTROL!$C$27, 0.0021, 0)</f>
        <v>33.519300000000001</v>
      </c>
      <c r="D185" s="17">
        <f>33.5172 * CHOOSE(CONTROL!$C$9, $D$9, 100%, $F$9) + CHOOSE(CONTROL!$C$27, 0.0021, 0)</f>
        <v>33.519300000000001</v>
      </c>
      <c r="E185" s="17">
        <f>33.3806 * CHOOSE(CONTROL!$C$9, $D$9, 100%, $F$9) + CHOOSE(CONTROL!$C$27, 0.0021, 0)</f>
        <v>33.3827</v>
      </c>
      <c r="F185" s="17">
        <f>33.3806 * CHOOSE(CONTROL!$C$9, $D$9, 100%, $F$9) + CHOOSE(CONTROL!$C$27, 0.0021, 0)</f>
        <v>33.3827</v>
      </c>
      <c r="G185" s="17">
        <f>33.6519 * CHOOSE(CONTROL!$C$9, $D$9, 100%, $F$9) + CHOOSE(CONTROL!$C$27, 0.0021, 0)</f>
        <v>33.653999999999996</v>
      </c>
      <c r="H185" s="17">
        <f>33.5172 * CHOOSE(CONTROL!$C$9, $D$9, 100%, $F$9) + CHOOSE(CONTROL!$C$27, 0.0021, 0)</f>
        <v>33.519300000000001</v>
      </c>
      <c r="I185" s="17">
        <f>33.5172 * CHOOSE(CONTROL!$C$9, $D$9, 100%, $F$9) + CHOOSE(CONTROL!$C$27, 0.0021, 0)</f>
        <v>33.519300000000001</v>
      </c>
      <c r="J185" s="17">
        <f>33.5172 * CHOOSE(CONTROL!$C$9, $D$9, 100%, $F$9) + CHOOSE(CONTROL!$C$27, 0.0021, 0)</f>
        <v>33.519300000000001</v>
      </c>
      <c r="K185" s="17">
        <f>33.5172 * CHOOSE(CONTROL!$C$9, $D$9, 100%, $F$9) + CHOOSE(CONTROL!$C$27, 0.0021, 0)</f>
        <v>33.519300000000001</v>
      </c>
      <c r="L185" s="17"/>
    </row>
    <row r="186" spans="1:12" ht="15" x14ac:dyDescent="0.2">
      <c r="A186" s="16">
        <v>46204</v>
      </c>
      <c r="B186" s="17">
        <f>34.6515 * CHOOSE(CONTROL!$C$9, $D$9, 100%, $F$9) + CHOOSE(CONTROL!$C$27, 0.0021, 0)</f>
        <v>34.653599999999997</v>
      </c>
      <c r="C186" s="17">
        <f>34.2193 * CHOOSE(CONTROL!$C$9, $D$9, 100%, $F$9) + CHOOSE(CONTROL!$C$27, 0.0021, 0)</f>
        <v>34.221399999999996</v>
      </c>
      <c r="D186" s="17">
        <f>34.2193 * CHOOSE(CONTROL!$C$9, $D$9, 100%, $F$9) + CHOOSE(CONTROL!$C$27, 0.0021, 0)</f>
        <v>34.221399999999996</v>
      </c>
      <c r="E186" s="17">
        <f>34.0826 * CHOOSE(CONTROL!$C$9, $D$9, 100%, $F$9) + CHOOSE(CONTROL!$C$27, 0.0021, 0)</f>
        <v>34.084699999999998</v>
      </c>
      <c r="F186" s="17">
        <f>34.0826 * CHOOSE(CONTROL!$C$9, $D$9, 100%, $F$9) + CHOOSE(CONTROL!$C$27, 0.0021, 0)</f>
        <v>34.084699999999998</v>
      </c>
      <c r="G186" s="17">
        <f>34.354 * CHOOSE(CONTROL!$C$9, $D$9, 100%, $F$9) + CHOOSE(CONTROL!$C$27, 0.0021, 0)</f>
        <v>34.356099999999998</v>
      </c>
      <c r="H186" s="17">
        <f>34.2193 * CHOOSE(CONTROL!$C$9, $D$9, 100%, $F$9) + CHOOSE(CONTROL!$C$27, 0.0021, 0)</f>
        <v>34.221399999999996</v>
      </c>
      <c r="I186" s="17">
        <f>34.2193 * CHOOSE(CONTROL!$C$9, $D$9, 100%, $F$9) + CHOOSE(CONTROL!$C$27, 0.0021, 0)</f>
        <v>34.221399999999996</v>
      </c>
      <c r="J186" s="17">
        <f>34.2193 * CHOOSE(CONTROL!$C$9, $D$9, 100%, $F$9) + CHOOSE(CONTROL!$C$27, 0.0021, 0)</f>
        <v>34.221399999999996</v>
      </c>
      <c r="K186" s="17">
        <f>34.2193 * CHOOSE(CONTROL!$C$9, $D$9, 100%, $F$9) + CHOOSE(CONTROL!$C$27, 0.0021, 0)</f>
        <v>34.221399999999996</v>
      </c>
      <c r="L186" s="17"/>
    </row>
    <row r="187" spans="1:12" ht="15" x14ac:dyDescent="0.2">
      <c r="A187" s="16">
        <v>46235</v>
      </c>
      <c r="B187" s="17">
        <f>34.913 * CHOOSE(CONTROL!$C$9, $D$9, 100%, $F$9) + CHOOSE(CONTROL!$C$27, 0.0021, 0)</f>
        <v>34.915099999999995</v>
      </c>
      <c r="C187" s="17">
        <f>34.4807 * CHOOSE(CONTROL!$C$9, $D$9, 100%, $F$9) + CHOOSE(CONTROL!$C$27, 0.0021, 0)</f>
        <v>34.482799999999997</v>
      </c>
      <c r="D187" s="17">
        <f>34.4807 * CHOOSE(CONTROL!$C$9, $D$9, 100%, $F$9) + CHOOSE(CONTROL!$C$27, 0.0021, 0)</f>
        <v>34.482799999999997</v>
      </c>
      <c r="E187" s="17">
        <f>34.3441 * CHOOSE(CONTROL!$C$9, $D$9, 100%, $F$9) + CHOOSE(CONTROL!$C$27, 0.0021, 0)</f>
        <v>34.346199999999996</v>
      </c>
      <c r="F187" s="17">
        <f>34.3441 * CHOOSE(CONTROL!$C$9, $D$9, 100%, $F$9) + CHOOSE(CONTROL!$C$27, 0.0021, 0)</f>
        <v>34.346199999999996</v>
      </c>
      <c r="G187" s="17">
        <f>34.6154 * CHOOSE(CONTROL!$C$9, $D$9, 100%, $F$9) + CHOOSE(CONTROL!$C$27, 0.0021, 0)</f>
        <v>34.6175</v>
      </c>
      <c r="H187" s="17">
        <f>34.4807 * CHOOSE(CONTROL!$C$9, $D$9, 100%, $F$9) + CHOOSE(CONTROL!$C$27, 0.0021, 0)</f>
        <v>34.482799999999997</v>
      </c>
      <c r="I187" s="17">
        <f>34.4807 * CHOOSE(CONTROL!$C$9, $D$9, 100%, $F$9) + CHOOSE(CONTROL!$C$27, 0.0021, 0)</f>
        <v>34.482799999999997</v>
      </c>
      <c r="J187" s="17">
        <f>34.4807 * CHOOSE(CONTROL!$C$9, $D$9, 100%, $F$9) + CHOOSE(CONTROL!$C$27, 0.0021, 0)</f>
        <v>34.482799999999997</v>
      </c>
      <c r="K187" s="17">
        <f>34.4807 * CHOOSE(CONTROL!$C$9, $D$9, 100%, $F$9) + CHOOSE(CONTROL!$C$27, 0.0021, 0)</f>
        <v>34.482799999999997</v>
      </c>
      <c r="L187" s="17"/>
    </row>
    <row r="188" spans="1:12" ht="15" x14ac:dyDescent="0.2">
      <c r="A188" s="16">
        <v>46266</v>
      </c>
      <c r="B188" s="17">
        <f>35.6449 * CHOOSE(CONTROL!$C$9, $D$9, 100%, $F$9) + CHOOSE(CONTROL!$C$27, 0.0021, 0)</f>
        <v>35.646999999999998</v>
      </c>
      <c r="C188" s="17">
        <f>35.2126 * CHOOSE(CONTROL!$C$9, $D$9, 100%, $F$9) + CHOOSE(CONTROL!$C$27, 0.0021, 0)</f>
        <v>35.214700000000001</v>
      </c>
      <c r="D188" s="17">
        <f>35.2126 * CHOOSE(CONTROL!$C$9, $D$9, 100%, $F$9) + CHOOSE(CONTROL!$C$27, 0.0021, 0)</f>
        <v>35.214700000000001</v>
      </c>
      <c r="E188" s="17">
        <f>35.076 * CHOOSE(CONTROL!$C$9, $D$9, 100%, $F$9) + CHOOSE(CONTROL!$C$27, 0.0021, 0)</f>
        <v>35.078099999999999</v>
      </c>
      <c r="F188" s="17">
        <f>35.076 * CHOOSE(CONTROL!$C$9, $D$9, 100%, $F$9) + CHOOSE(CONTROL!$C$27, 0.0021, 0)</f>
        <v>35.078099999999999</v>
      </c>
      <c r="G188" s="17">
        <f>35.3473 * CHOOSE(CONTROL!$C$9, $D$9, 100%, $F$9) + CHOOSE(CONTROL!$C$27, 0.0021, 0)</f>
        <v>35.349399999999996</v>
      </c>
      <c r="H188" s="17">
        <f>35.2126 * CHOOSE(CONTROL!$C$9, $D$9, 100%, $F$9) + CHOOSE(CONTROL!$C$27, 0.0021, 0)</f>
        <v>35.214700000000001</v>
      </c>
      <c r="I188" s="17">
        <f>35.2126 * CHOOSE(CONTROL!$C$9, $D$9, 100%, $F$9) + CHOOSE(CONTROL!$C$27, 0.0021, 0)</f>
        <v>35.214700000000001</v>
      </c>
      <c r="J188" s="17">
        <f>35.2126 * CHOOSE(CONTROL!$C$9, $D$9, 100%, $F$9) + CHOOSE(CONTROL!$C$27, 0.0021, 0)</f>
        <v>35.214700000000001</v>
      </c>
      <c r="K188" s="17">
        <f>35.2126 * CHOOSE(CONTROL!$C$9, $D$9, 100%, $F$9) + CHOOSE(CONTROL!$C$27, 0.0021, 0)</f>
        <v>35.214700000000001</v>
      </c>
      <c r="L188" s="17"/>
    </row>
    <row r="189" spans="1:12" ht="15" x14ac:dyDescent="0.2">
      <c r="A189" s="16">
        <v>46296</v>
      </c>
      <c r="B189" s="17">
        <f>36.5567 * CHOOSE(CONTROL!$C$9, $D$9, 100%, $F$9) + CHOOSE(CONTROL!$C$27, 0.0021, 0)</f>
        <v>36.558799999999998</v>
      </c>
      <c r="C189" s="17">
        <f>36.1245 * CHOOSE(CONTROL!$C$9, $D$9, 100%, $F$9) + CHOOSE(CONTROL!$C$27, 0.0021, 0)</f>
        <v>36.126599999999996</v>
      </c>
      <c r="D189" s="17">
        <f>36.1245 * CHOOSE(CONTROL!$C$9, $D$9, 100%, $F$9) + CHOOSE(CONTROL!$C$27, 0.0021, 0)</f>
        <v>36.126599999999996</v>
      </c>
      <c r="E189" s="17">
        <f>35.9878 * CHOOSE(CONTROL!$C$9, $D$9, 100%, $F$9) + CHOOSE(CONTROL!$C$27, 0.0021, 0)</f>
        <v>35.989899999999999</v>
      </c>
      <c r="F189" s="17">
        <f>35.9878 * CHOOSE(CONTROL!$C$9, $D$9, 100%, $F$9) + CHOOSE(CONTROL!$C$27, 0.0021, 0)</f>
        <v>35.989899999999999</v>
      </c>
      <c r="G189" s="17">
        <f>36.2592 * CHOOSE(CONTROL!$C$9, $D$9, 100%, $F$9) + CHOOSE(CONTROL!$C$27, 0.0021, 0)</f>
        <v>36.261299999999999</v>
      </c>
      <c r="H189" s="17">
        <f>36.1245 * CHOOSE(CONTROL!$C$9, $D$9, 100%, $F$9) + CHOOSE(CONTROL!$C$27, 0.0021, 0)</f>
        <v>36.126599999999996</v>
      </c>
      <c r="I189" s="17">
        <f>36.1245 * CHOOSE(CONTROL!$C$9, $D$9, 100%, $F$9) + CHOOSE(CONTROL!$C$27, 0.0021, 0)</f>
        <v>36.126599999999996</v>
      </c>
      <c r="J189" s="17">
        <f>36.1245 * CHOOSE(CONTROL!$C$9, $D$9, 100%, $F$9) + CHOOSE(CONTROL!$C$27, 0.0021, 0)</f>
        <v>36.126599999999996</v>
      </c>
      <c r="K189" s="17">
        <f>36.1245 * CHOOSE(CONTROL!$C$9, $D$9, 100%, $F$9) + CHOOSE(CONTROL!$C$27, 0.0021, 0)</f>
        <v>36.126599999999996</v>
      </c>
      <c r="L189" s="17"/>
    </row>
    <row r="190" spans="1:12" ht="15" x14ac:dyDescent="0.2">
      <c r="A190" s="16">
        <v>46327</v>
      </c>
      <c r="B190" s="17">
        <f>36.7066 * CHOOSE(CONTROL!$C$9, $D$9, 100%, $F$9) + CHOOSE(CONTROL!$C$27, 0.0021, 0)</f>
        <v>36.7087</v>
      </c>
      <c r="C190" s="17">
        <f>36.2743 * CHOOSE(CONTROL!$C$9, $D$9, 100%, $F$9) + CHOOSE(CONTROL!$C$27, 0.0021, 0)</f>
        <v>36.276399999999995</v>
      </c>
      <c r="D190" s="17">
        <f>36.2743 * CHOOSE(CONTROL!$C$9, $D$9, 100%, $F$9) + CHOOSE(CONTROL!$C$27, 0.0021, 0)</f>
        <v>36.276399999999995</v>
      </c>
      <c r="E190" s="17">
        <f>36.1377 * CHOOSE(CONTROL!$C$9, $D$9, 100%, $F$9) + CHOOSE(CONTROL!$C$27, 0.0021, 0)</f>
        <v>36.139800000000001</v>
      </c>
      <c r="F190" s="17">
        <f>36.1377 * CHOOSE(CONTROL!$C$9, $D$9, 100%, $F$9) + CHOOSE(CONTROL!$C$27, 0.0021, 0)</f>
        <v>36.139800000000001</v>
      </c>
      <c r="G190" s="17">
        <f>36.4091 * CHOOSE(CONTROL!$C$9, $D$9, 100%, $F$9) + CHOOSE(CONTROL!$C$27, 0.0021, 0)</f>
        <v>36.411200000000001</v>
      </c>
      <c r="H190" s="17">
        <f>36.2743 * CHOOSE(CONTROL!$C$9, $D$9, 100%, $F$9) + CHOOSE(CONTROL!$C$27, 0.0021, 0)</f>
        <v>36.276399999999995</v>
      </c>
      <c r="I190" s="17">
        <f>36.2743 * CHOOSE(CONTROL!$C$9, $D$9, 100%, $F$9) + CHOOSE(CONTROL!$C$27, 0.0021, 0)</f>
        <v>36.276399999999995</v>
      </c>
      <c r="J190" s="17">
        <f>36.2743 * CHOOSE(CONTROL!$C$9, $D$9, 100%, $F$9) + CHOOSE(CONTROL!$C$27, 0.0021, 0)</f>
        <v>36.276399999999995</v>
      </c>
      <c r="K190" s="17">
        <f>36.2743 * CHOOSE(CONTROL!$C$9, $D$9, 100%, $F$9) + CHOOSE(CONTROL!$C$27, 0.0021, 0)</f>
        <v>36.276399999999995</v>
      </c>
      <c r="L190" s="17"/>
    </row>
    <row r="191" spans="1:12" ht="15" x14ac:dyDescent="0.2">
      <c r="A191" s="16">
        <v>46357</v>
      </c>
      <c r="B191" s="17">
        <f>36.1013 * CHOOSE(CONTROL!$C$9, $D$9, 100%, $F$9) + CHOOSE(CONTROL!$C$27, 0.0021, 0)</f>
        <v>36.103400000000001</v>
      </c>
      <c r="C191" s="17">
        <f>35.6691 * CHOOSE(CONTROL!$C$9, $D$9, 100%, $F$9) + CHOOSE(CONTROL!$C$27, 0.0021, 0)</f>
        <v>35.671199999999999</v>
      </c>
      <c r="D191" s="17">
        <f>35.6691 * CHOOSE(CONTROL!$C$9, $D$9, 100%, $F$9) + CHOOSE(CONTROL!$C$27, 0.0021, 0)</f>
        <v>35.671199999999999</v>
      </c>
      <c r="E191" s="17">
        <f>35.5324 * CHOOSE(CONTROL!$C$9, $D$9, 100%, $F$9) + CHOOSE(CONTROL!$C$27, 0.0021, 0)</f>
        <v>35.534500000000001</v>
      </c>
      <c r="F191" s="17">
        <f>35.5324 * CHOOSE(CONTROL!$C$9, $D$9, 100%, $F$9) + CHOOSE(CONTROL!$C$27, 0.0021, 0)</f>
        <v>35.534500000000001</v>
      </c>
      <c r="G191" s="17">
        <f>35.8038 * CHOOSE(CONTROL!$C$9, $D$9, 100%, $F$9) + CHOOSE(CONTROL!$C$27, 0.0021, 0)</f>
        <v>35.805900000000001</v>
      </c>
      <c r="H191" s="17">
        <f>35.6691 * CHOOSE(CONTROL!$C$9, $D$9, 100%, $F$9) + CHOOSE(CONTROL!$C$27, 0.0021, 0)</f>
        <v>35.671199999999999</v>
      </c>
      <c r="I191" s="17">
        <f>35.6691 * CHOOSE(CONTROL!$C$9, $D$9, 100%, $F$9) + CHOOSE(CONTROL!$C$27, 0.0021, 0)</f>
        <v>35.671199999999999</v>
      </c>
      <c r="J191" s="17">
        <f>35.6691 * CHOOSE(CONTROL!$C$9, $D$9, 100%, $F$9) + CHOOSE(CONTROL!$C$27, 0.0021, 0)</f>
        <v>35.671199999999999</v>
      </c>
      <c r="K191" s="17">
        <f>35.6691 * CHOOSE(CONTROL!$C$9, $D$9, 100%, $F$9) + CHOOSE(CONTROL!$C$27, 0.0021, 0)</f>
        <v>35.671199999999999</v>
      </c>
      <c r="L191" s="17"/>
    </row>
    <row r="192" spans="1:12" ht="15" x14ac:dyDescent="0.2">
      <c r="A192" s="16">
        <v>46388</v>
      </c>
      <c r="B192" s="17">
        <f>35.138 * CHOOSE(CONTROL!$C$9, $D$9, 100%, $F$9) + CHOOSE(CONTROL!$C$27, 0.0021, 0)</f>
        <v>35.140099999999997</v>
      </c>
      <c r="C192" s="17">
        <f>34.7057 * CHOOSE(CONTROL!$C$9, $D$9, 100%, $F$9) + CHOOSE(CONTROL!$C$27, 0.0021, 0)</f>
        <v>34.707799999999999</v>
      </c>
      <c r="D192" s="17">
        <f>34.7057 * CHOOSE(CONTROL!$C$9, $D$9, 100%, $F$9) + CHOOSE(CONTROL!$C$27, 0.0021, 0)</f>
        <v>34.707799999999999</v>
      </c>
      <c r="E192" s="17">
        <f>34.5691 * CHOOSE(CONTROL!$C$9, $D$9, 100%, $F$9) + CHOOSE(CONTROL!$C$27, 0.0021, 0)</f>
        <v>34.571199999999997</v>
      </c>
      <c r="F192" s="17">
        <f>34.5691 * CHOOSE(CONTROL!$C$9, $D$9, 100%, $F$9) + CHOOSE(CONTROL!$C$27, 0.0021, 0)</f>
        <v>34.571199999999997</v>
      </c>
      <c r="G192" s="17">
        <f>34.8404 * CHOOSE(CONTROL!$C$9, $D$9, 100%, $F$9) + CHOOSE(CONTROL!$C$27, 0.0021, 0)</f>
        <v>34.842500000000001</v>
      </c>
      <c r="H192" s="17">
        <f>34.7057 * CHOOSE(CONTROL!$C$9, $D$9, 100%, $F$9) + CHOOSE(CONTROL!$C$27, 0.0021, 0)</f>
        <v>34.707799999999999</v>
      </c>
      <c r="I192" s="17">
        <f>34.7057 * CHOOSE(CONTROL!$C$9, $D$9, 100%, $F$9) + CHOOSE(CONTROL!$C$27, 0.0021, 0)</f>
        <v>34.707799999999999</v>
      </c>
      <c r="J192" s="17">
        <f>34.7057 * CHOOSE(CONTROL!$C$9, $D$9, 100%, $F$9) + CHOOSE(CONTROL!$C$27, 0.0021, 0)</f>
        <v>34.707799999999999</v>
      </c>
      <c r="K192" s="17">
        <f>34.7057 * CHOOSE(CONTROL!$C$9, $D$9, 100%, $F$9) + CHOOSE(CONTROL!$C$27, 0.0021, 0)</f>
        <v>34.707799999999999</v>
      </c>
      <c r="L192" s="17"/>
    </row>
    <row r="193" spans="1:12" ht="15" x14ac:dyDescent="0.2">
      <c r="A193" s="16">
        <v>46419</v>
      </c>
      <c r="B193" s="17">
        <f>34.2747 * CHOOSE(CONTROL!$C$9, $D$9, 100%, $F$9) + CHOOSE(CONTROL!$C$27, 0.0021, 0)</f>
        <v>34.276800000000001</v>
      </c>
      <c r="C193" s="17">
        <f>33.8424 * CHOOSE(CONTROL!$C$9, $D$9, 100%, $F$9) + CHOOSE(CONTROL!$C$27, 0.0021, 0)</f>
        <v>33.844499999999996</v>
      </c>
      <c r="D193" s="17">
        <f>33.8424 * CHOOSE(CONTROL!$C$9, $D$9, 100%, $F$9) + CHOOSE(CONTROL!$C$27, 0.0021, 0)</f>
        <v>33.844499999999996</v>
      </c>
      <c r="E193" s="17">
        <f>33.7057 * CHOOSE(CONTROL!$C$9, $D$9, 100%, $F$9) + CHOOSE(CONTROL!$C$27, 0.0021, 0)</f>
        <v>33.707799999999999</v>
      </c>
      <c r="F193" s="17">
        <f>33.7057 * CHOOSE(CONTROL!$C$9, $D$9, 100%, $F$9) + CHOOSE(CONTROL!$C$27, 0.0021, 0)</f>
        <v>33.707799999999999</v>
      </c>
      <c r="G193" s="17">
        <f>33.9771 * CHOOSE(CONTROL!$C$9, $D$9, 100%, $F$9) + CHOOSE(CONTROL!$C$27, 0.0021, 0)</f>
        <v>33.979199999999999</v>
      </c>
      <c r="H193" s="17">
        <f>33.8424 * CHOOSE(CONTROL!$C$9, $D$9, 100%, $F$9) + CHOOSE(CONTROL!$C$27, 0.0021, 0)</f>
        <v>33.844499999999996</v>
      </c>
      <c r="I193" s="17">
        <f>33.8424 * CHOOSE(CONTROL!$C$9, $D$9, 100%, $F$9) + CHOOSE(CONTROL!$C$27, 0.0021, 0)</f>
        <v>33.844499999999996</v>
      </c>
      <c r="J193" s="17">
        <f>33.8424 * CHOOSE(CONTROL!$C$9, $D$9, 100%, $F$9) + CHOOSE(CONTROL!$C$27, 0.0021, 0)</f>
        <v>33.844499999999996</v>
      </c>
      <c r="K193" s="17">
        <f>33.8424 * CHOOSE(CONTROL!$C$9, $D$9, 100%, $F$9) + CHOOSE(CONTROL!$C$27, 0.0021, 0)</f>
        <v>33.844499999999996</v>
      </c>
      <c r="L193" s="17"/>
    </row>
    <row r="194" spans="1:12" ht="15" x14ac:dyDescent="0.2">
      <c r="A194" s="16">
        <v>46447</v>
      </c>
      <c r="B194" s="17">
        <f>33.9554 * CHOOSE(CONTROL!$C$9, $D$9, 100%, $F$9) + CHOOSE(CONTROL!$C$27, 0.0021, 0)</f>
        <v>33.957499999999996</v>
      </c>
      <c r="C194" s="17">
        <f>33.5232 * CHOOSE(CONTROL!$C$9, $D$9, 100%, $F$9) + CHOOSE(CONTROL!$C$27, 0.0021, 0)</f>
        <v>33.525300000000001</v>
      </c>
      <c r="D194" s="17">
        <f>33.5232 * CHOOSE(CONTROL!$C$9, $D$9, 100%, $F$9) + CHOOSE(CONTROL!$C$27, 0.0021, 0)</f>
        <v>33.525300000000001</v>
      </c>
      <c r="E194" s="17">
        <f>33.3865 * CHOOSE(CONTROL!$C$9, $D$9, 100%, $F$9) + CHOOSE(CONTROL!$C$27, 0.0021, 0)</f>
        <v>33.388599999999997</v>
      </c>
      <c r="F194" s="17">
        <f>33.3865 * CHOOSE(CONTROL!$C$9, $D$9, 100%, $F$9) + CHOOSE(CONTROL!$C$27, 0.0021, 0)</f>
        <v>33.388599999999997</v>
      </c>
      <c r="G194" s="17">
        <f>33.6579 * CHOOSE(CONTROL!$C$9, $D$9, 100%, $F$9) + CHOOSE(CONTROL!$C$27, 0.0021, 0)</f>
        <v>33.659999999999997</v>
      </c>
      <c r="H194" s="17">
        <f>33.5232 * CHOOSE(CONTROL!$C$9, $D$9, 100%, $F$9) + CHOOSE(CONTROL!$C$27, 0.0021, 0)</f>
        <v>33.525300000000001</v>
      </c>
      <c r="I194" s="17">
        <f>33.5232 * CHOOSE(CONTROL!$C$9, $D$9, 100%, $F$9) + CHOOSE(CONTROL!$C$27, 0.0021, 0)</f>
        <v>33.525300000000001</v>
      </c>
      <c r="J194" s="17">
        <f>33.5232 * CHOOSE(CONTROL!$C$9, $D$9, 100%, $F$9) + CHOOSE(CONTROL!$C$27, 0.0021, 0)</f>
        <v>33.525300000000001</v>
      </c>
      <c r="K194" s="17">
        <f>33.5232 * CHOOSE(CONTROL!$C$9, $D$9, 100%, $F$9) + CHOOSE(CONTROL!$C$27, 0.0021, 0)</f>
        <v>33.525300000000001</v>
      </c>
      <c r="L194" s="17"/>
    </row>
    <row r="195" spans="1:12" ht="15" x14ac:dyDescent="0.2">
      <c r="A195" s="16">
        <v>46478</v>
      </c>
      <c r="B195" s="17">
        <f>33.5599 * CHOOSE(CONTROL!$C$9, $D$9, 100%, $F$9) + CHOOSE(CONTROL!$C$27, 0.0021, 0)</f>
        <v>33.561999999999998</v>
      </c>
      <c r="C195" s="17">
        <f>33.1277 * CHOOSE(CONTROL!$C$9, $D$9, 100%, $F$9) + CHOOSE(CONTROL!$C$27, 0.0021, 0)</f>
        <v>33.129799999999996</v>
      </c>
      <c r="D195" s="17">
        <f>33.1277 * CHOOSE(CONTROL!$C$9, $D$9, 100%, $F$9) + CHOOSE(CONTROL!$C$27, 0.0021, 0)</f>
        <v>33.129799999999996</v>
      </c>
      <c r="E195" s="17">
        <f>32.991 * CHOOSE(CONTROL!$C$9, $D$9, 100%, $F$9) + CHOOSE(CONTROL!$C$27, 0.0021, 0)</f>
        <v>32.993099999999998</v>
      </c>
      <c r="F195" s="17">
        <f>32.991 * CHOOSE(CONTROL!$C$9, $D$9, 100%, $F$9) + CHOOSE(CONTROL!$C$27, 0.0021, 0)</f>
        <v>32.993099999999998</v>
      </c>
      <c r="G195" s="17">
        <f>33.2624 * CHOOSE(CONTROL!$C$9, $D$9, 100%, $F$9) + CHOOSE(CONTROL!$C$27, 0.0021, 0)</f>
        <v>33.264499999999998</v>
      </c>
      <c r="H195" s="17">
        <f>33.1277 * CHOOSE(CONTROL!$C$9, $D$9, 100%, $F$9) + CHOOSE(CONTROL!$C$27, 0.0021, 0)</f>
        <v>33.129799999999996</v>
      </c>
      <c r="I195" s="17">
        <f>33.1277 * CHOOSE(CONTROL!$C$9, $D$9, 100%, $F$9) + CHOOSE(CONTROL!$C$27, 0.0021, 0)</f>
        <v>33.129799999999996</v>
      </c>
      <c r="J195" s="17">
        <f>33.1277 * CHOOSE(CONTROL!$C$9, $D$9, 100%, $F$9) + CHOOSE(CONTROL!$C$27, 0.0021, 0)</f>
        <v>33.129799999999996</v>
      </c>
      <c r="K195" s="17">
        <f>33.1277 * CHOOSE(CONTROL!$C$9, $D$9, 100%, $F$9) + CHOOSE(CONTROL!$C$27, 0.0021, 0)</f>
        <v>33.129799999999996</v>
      </c>
      <c r="L195" s="17"/>
    </row>
    <row r="196" spans="1:12" ht="15" x14ac:dyDescent="0.2">
      <c r="A196" s="16">
        <v>46508</v>
      </c>
      <c r="B196" s="17">
        <f>34.2823 * CHOOSE(CONTROL!$C$9, $D$9, 100%, $F$9) + CHOOSE(CONTROL!$C$27, 0.0021, 0)</f>
        <v>34.284399999999998</v>
      </c>
      <c r="C196" s="17">
        <f>33.8501 * CHOOSE(CONTROL!$C$9, $D$9, 100%, $F$9) + CHOOSE(CONTROL!$C$27, 0.0021, 0)</f>
        <v>33.852199999999996</v>
      </c>
      <c r="D196" s="17">
        <f>33.8501 * CHOOSE(CONTROL!$C$9, $D$9, 100%, $F$9) + CHOOSE(CONTROL!$C$27, 0.0021, 0)</f>
        <v>33.852199999999996</v>
      </c>
      <c r="E196" s="17">
        <f>33.7134 * CHOOSE(CONTROL!$C$9, $D$9, 100%, $F$9) + CHOOSE(CONTROL!$C$27, 0.0021, 0)</f>
        <v>33.715499999999999</v>
      </c>
      <c r="F196" s="17">
        <f>33.7134 * CHOOSE(CONTROL!$C$9, $D$9, 100%, $F$9) + CHOOSE(CONTROL!$C$27, 0.0021, 0)</f>
        <v>33.715499999999999</v>
      </c>
      <c r="G196" s="17">
        <f>33.9848 * CHOOSE(CONTROL!$C$9, $D$9, 100%, $F$9) + CHOOSE(CONTROL!$C$27, 0.0021, 0)</f>
        <v>33.986899999999999</v>
      </c>
      <c r="H196" s="17">
        <f>33.8501 * CHOOSE(CONTROL!$C$9, $D$9, 100%, $F$9) + CHOOSE(CONTROL!$C$27, 0.0021, 0)</f>
        <v>33.852199999999996</v>
      </c>
      <c r="I196" s="17">
        <f>33.8501 * CHOOSE(CONTROL!$C$9, $D$9, 100%, $F$9) + CHOOSE(CONTROL!$C$27, 0.0021, 0)</f>
        <v>33.852199999999996</v>
      </c>
      <c r="J196" s="17">
        <f>33.8501 * CHOOSE(CONTROL!$C$9, $D$9, 100%, $F$9) + CHOOSE(CONTROL!$C$27, 0.0021, 0)</f>
        <v>33.852199999999996</v>
      </c>
      <c r="K196" s="17">
        <f>33.8501 * CHOOSE(CONTROL!$C$9, $D$9, 100%, $F$9) + CHOOSE(CONTROL!$C$27, 0.0021, 0)</f>
        <v>33.852199999999996</v>
      </c>
      <c r="L196" s="17"/>
    </row>
    <row r="197" spans="1:12" ht="15" x14ac:dyDescent="0.2">
      <c r="A197" s="16">
        <v>46539</v>
      </c>
      <c r="B197" s="17">
        <f>34.7431 * CHOOSE(CONTROL!$C$9, $D$9, 100%, $F$9) + CHOOSE(CONTROL!$C$27, 0.0021, 0)</f>
        <v>34.745199999999997</v>
      </c>
      <c r="C197" s="17">
        <f>34.3109 * CHOOSE(CONTROL!$C$9, $D$9, 100%, $F$9) + CHOOSE(CONTROL!$C$27, 0.0021, 0)</f>
        <v>34.312999999999995</v>
      </c>
      <c r="D197" s="17">
        <f>34.3109 * CHOOSE(CONTROL!$C$9, $D$9, 100%, $F$9) + CHOOSE(CONTROL!$C$27, 0.0021, 0)</f>
        <v>34.312999999999995</v>
      </c>
      <c r="E197" s="17">
        <f>34.1742 * CHOOSE(CONTROL!$C$9, $D$9, 100%, $F$9) + CHOOSE(CONTROL!$C$27, 0.0021, 0)</f>
        <v>34.176299999999998</v>
      </c>
      <c r="F197" s="17">
        <f>34.1742 * CHOOSE(CONTROL!$C$9, $D$9, 100%, $F$9) + CHOOSE(CONTROL!$C$27, 0.0021, 0)</f>
        <v>34.176299999999998</v>
      </c>
      <c r="G197" s="17">
        <f>34.4456 * CHOOSE(CONTROL!$C$9, $D$9, 100%, $F$9) + CHOOSE(CONTROL!$C$27, 0.0021, 0)</f>
        <v>34.447699999999998</v>
      </c>
      <c r="H197" s="17">
        <f>34.3109 * CHOOSE(CONTROL!$C$9, $D$9, 100%, $F$9) + CHOOSE(CONTROL!$C$27, 0.0021, 0)</f>
        <v>34.312999999999995</v>
      </c>
      <c r="I197" s="17">
        <f>34.3109 * CHOOSE(CONTROL!$C$9, $D$9, 100%, $F$9) + CHOOSE(CONTROL!$C$27, 0.0021, 0)</f>
        <v>34.312999999999995</v>
      </c>
      <c r="J197" s="17">
        <f>34.3109 * CHOOSE(CONTROL!$C$9, $D$9, 100%, $F$9) + CHOOSE(CONTROL!$C$27, 0.0021, 0)</f>
        <v>34.312999999999995</v>
      </c>
      <c r="K197" s="17">
        <f>34.3109 * CHOOSE(CONTROL!$C$9, $D$9, 100%, $F$9) + CHOOSE(CONTROL!$C$27, 0.0021, 0)</f>
        <v>34.312999999999995</v>
      </c>
      <c r="L197" s="17"/>
    </row>
    <row r="198" spans="1:12" ht="15" x14ac:dyDescent="0.2">
      <c r="A198" s="16">
        <v>46569</v>
      </c>
      <c r="B198" s="17">
        <f>35.4628 * CHOOSE(CONTROL!$C$9, $D$9, 100%, $F$9) + CHOOSE(CONTROL!$C$27, 0.0021, 0)</f>
        <v>35.4649</v>
      </c>
      <c r="C198" s="17">
        <f>35.0305 * CHOOSE(CONTROL!$C$9, $D$9, 100%, $F$9) + CHOOSE(CONTROL!$C$27, 0.0021, 0)</f>
        <v>35.032600000000002</v>
      </c>
      <c r="D198" s="17">
        <f>35.0305 * CHOOSE(CONTROL!$C$9, $D$9, 100%, $F$9) + CHOOSE(CONTROL!$C$27, 0.0021, 0)</f>
        <v>35.032600000000002</v>
      </c>
      <c r="E198" s="17">
        <f>34.8939 * CHOOSE(CONTROL!$C$9, $D$9, 100%, $F$9) + CHOOSE(CONTROL!$C$27, 0.0021, 0)</f>
        <v>34.896000000000001</v>
      </c>
      <c r="F198" s="17">
        <f>34.8939 * CHOOSE(CONTROL!$C$9, $D$9, 100%, $F$9) + CHOOSE(CONTROL!$C$27, 0.0021, 0)</f>
        <v>34.896000000000001</v>
      </c>
      <c r="G198" s="17">
        <f>35.1652 * CHOOSE(CONTROL!$C$9, $D$9, 100%, $F$9) + CHOOSE(CONTROL!$C$27, 0.0021, 0)</f>
        <v>35.167299999999997</v>
      </c>
      <c r="H198" s="17">
        <f>35.0305 * CHOOSE(CONTROL!$C$9, $D$9, 100%, $F$9) + CHOOSE(CONTROL!$C$27, 0.0021, 0)</f>
        <v>35.032600000000002</v>
      </c>
      <c r="I198" s="17">
        <f>35.0305 * CHOOSE(CONTROL!$C$9, $D$9, 100%, $F$9) + CHOOSE(CONTROL!$C$27, 0.0021, 0)</f>
        <v>35.032600000000002</v>
      </c>
      <c r="J198" s="17">
        <f>35.0305 * CHOOSE(CONTROL!$C$9, $D$9, 100%, $F$9) + CHOOSE(CONTROL!$C$27, 0.0021, 0)</f>
        <v>35.032600000000002</v>
      </c>
      <c r="K198" s="17">
        <f>35.0305 * CHOOSE(CONTROL!$C$9, $D$9, 100%, $F$9) + CHOOSE(CONTROL!$C$27, 0.0021, 0)</f>
        <v>35.032600000000002</v>
      </c>
      <c r="L198" s="17"/>
    </row>
    <row r="199" spans="1:12" ht="15" x14ac:dyDescent="0.2">
      <c r="A199" s="16">
        <v>46600</v>
      </c>
      <c r="B199" s="17">
        <f>35.7308 * CHOOSE(CONTROL!$C$9, $D$9, 100%, $F$9) + CHOOSE(CONTROL!$C$27, 0.0021, 0)</f>
        <v>35.732900000000001</v>
      </c>
      <c r="C199" s="17">
        <f>35.2985 * CHOOSE(CONTROL!$C$9, $D$9, 100%, $F$9) + CHOOSE(CONTROL!$C$27, 0.0021, 0)</f>
        <v>35.300599999999996</v>
      </c>
      <c r="D199" s="17">
        <f>35.2985 * CHOOSE(CONTROL!$C$9, $D$9, 100%, $F$9) + CHOOSE(CONTROL!$C$27, 0.0021, 0)</f>
        <v>35.300599999999996</v>
      </c>
      <c r="E199" s="17">
        <f>35.1619 * CHOOSE(CONTROL!$C$9, $D$9, 100%, $F$9) + CHOOSE(CONTROL!$C$27, 0.0021, 0)</f>
        <v>35.164000000000001</v>
      </c>
      <c r="F199" s="17">
        <f>35.1619 * CHOOSE(CONTROL!$C$9, $D$9, 100%, $F$9) + CHOOSE(CONTROL!$C$27, 0.0021, 0)</f>
        <v>35.164000000000001</v>
      </c>
      <c r="G199" s="17">
        <f>35.4332 * CHOOSE(CONTROL!$C$9, $D$9, 100%, $F$9) + CHOOSE(CONTROL!$C$27, 0.0021, 0)</f>
        <v>35.435299999999998</v>
      </c>
      <c r="H199" s="17">
        <f>35.2985 * CHOOSE(CONTROL!$C$9, $D$9, 100%, $F$9) + CHOOSE(CONTROL!$C$27, 0.0021, 0)</f>
        <v>35.300599999999996</v>
      </c>
      <c r="I199" s="17">
        <f>35.2985 * CHOOSE(CONTROL!$C$9, $D$9, 100%, $F$9) + CHOOSE(CONTROL!$C$27, 0.0021, 0)</f>
        <v>35.300599999999996</v>
      </c>
      <c r="J199" s="17">
        <f>35.2985 * CHOOSE(CONTROL!$C$9, $D$9, 100%, $F$9) + CHOOSE(CONTROL!$C$27, 0.0021, 0)</f>
        <v>35.300599999999996</v>
      </c>
      <c r="K199" s="17">
        <f>35.2985 * CHOOSE(CONTROL!$C$9, $D$9, 100%, $F$9) + CHOOSE(CONTROL!$C$27, 0.0021, 0)</f>
        <v>35.300599999999996</v>
      </c>
      <c r="L199" s="17"/>
    </row>
    <row r="200" spans="1:12" ht="15" x14ac:dyDescent="0.2">
      <c r="A200" s="16">
        <v>46631</v>
      </c>
      <c r="B200" s="17">
        <f>36.481 * CHOOSE(CONTROL!$C$9, $D$9, 100%, $F$9) + CHOOSE(CONTROL!$C$27, 0.0021, 0)</f>
        <v>36.4831</v>
      </c>
      <c r="C200" s="17">
        <f>36.0488 * CHOOSE(CONTROL!$C$9, $D$9, 100%, $F$9) + CHOOSE(CONTROL!$C$27, 0.0021, 0)</f>
        <v>36.050899999999999</v>
      </c>
      <c r="D200" s="17">
        <f>36.0488 * CHOOSE(CONTROL!$C$9, $D$9, 100%, $F$9) + CHOOSE(CONTROL!$C$27, 0.0021, 0)</f>
        <v>36.050899999999999</v>
      </c>
      <c r="E200" s="17">
        <f>35.9121 * CHOOSE(CONTROL!$C$9, $D$9, 100%, $F$9) + CHOOSE(CONTROL!$C$27, 0.0021, 0)</f>
        <v>35.914200000000001</v>
      </c>
      <c r="F200" s="17">
        <f>35.9121 * CHOOSE(CONTROL!$C$9, $D$9, 100%, $F$9) + CHOOSE(CONTROL!$C$27, 0.0021, 0)</f>
        <v>35.914200000000001</v>
      </c>
      <c r="G200" s="17">
        <f>36.1835 * CHOOSE(CONTROL!$C$9, $D$9, 100%, $F$9) + CHOOSE(CONTROL!$C$27, 0.0021, 0)</f>
        <v>36.185600000000001</v>
      </c>
      <c r="H200" s="17">
        <f>36.0488 * CHOOSE(CONTROL!$C$9, $D$9, 100%, $F$9) + CHOOSE(CONTROL!$C$27, 0.0021, 0)</f>
        <v>36.050899999999999</v>
      </c>
      <c r="I200" s="17">
        <f>36.0488 * CHOOSE(CONTROL!$C$9, $D$9, 100%, $F$9) + CHOOSE(CONTROL!$C$27, 0.0021, 0)</f>
        <v>36.050899999999999</v>
      </c>
      <c r="J200" s="17">
        <f>36.0488 * CHOOSE(CONTROL!$C$9, $D$9, 100%, $F$9) + CHOOSE(CONTROL!$C$27, 0.0021, 0)</f>
        <v>36.050899999999999</v>
      </c>
      <c r="K200" s="17">
        <f>36.0488 * CHOOSE(CONTROL!$C$9, $D$9, 100%, $F$9) + CHOOSE(CONTROL!$C$27, 0.0021, 0)</f>
        <v>36.050899999999999</v>
      </c>
      <c r="L200" s="17"/>
    </row>
    <row r="201" spans="1:12" ht="15" x14ac:dyDescent="0.2">
      <c r="A201" s="16">
        <v>46661</v>
      </c>
      <c r="B201" s="17">
        <f>37.4157 * CHOOSE(CONTROL!$C$9, $D$9, 100%, $F$9) + CHOOSE(CONTROL!$C$27, 0.0021, 0)</f>
        <v>37.4178</v>
      </c>
      <c r="C201" s="17">
        <f>36.9835 * CHOOSE(CONTROL!$C$9, $D$9, 100%, $F$9) + CHOOSE(CONTROL!$C$27, 0.0021, 0)</f>
        <v>36.985599999999998</v>
      </c>
      <c r="D201" s="17">
        <f>36.9835 * CHOOSE(CONTROL!$C$9, $D$9, 100%, $F$9) + CHOOSE(CONTROL!$C$27, 0.0021, 0)</f>
        <v>36.985599999999998</v>
      </c>
      <c r="E201" s="17">
        <f>36.8468 * CHOOSE(CONTROL!$C$9, $D$9, 100%, $F$9) + CHOOSE(CONTROL!$C$27, 0.0021, 0)</f>
        <v>36.8489</v>
      </c>
      <c r="F201" s="17">
        <f>36.8468 * CHOOSE(CONTROL!$C$9, $D$9, 100%, $F$9) + CHOOSE(CONTROL!$C$27, 0.0021, 0)</f>
        <v>36.8489</v>
      </c>
      <c r="G201" s="17">
        <f>37.1182 * CHOOSE(CONTROL!$C$9, $D$9, 100%, $F$9) + CHOOSE(CONTROL!$C$27, 0.0021, 0)</f>
        <v>37.1203</v>
      </c>
      <c r="H201" s="17">
        <f>36.9835 * CHOOSE(CONTROL!$C$9, $D$9, 100%, $F$9) + CHOOSE(CONTROL!$C$27, 0.0021, 0)</f>
        <v>36.985599999999998</v>
      </c>
      <c r="I201" s="17">
        <f>36.9835 * CHOOSE(CONTROL!$C$9, $D$9, 100%, $F$9) + CHOOSE(CONTROL!$C$27, 0.0021, 0)</f>
        <v>36.985599999999998</v>
      </c>
      <c r="J201" s="17">
        <f>36.9835 * CHOOSE(CONTROL!$C$9, $D$9, 100%, $F$9) + CHOOSE(CONTROL!$C$27, 0.0021, 0)</f>
        <v>36.985599999999998</v>
      </c>
      <c r="K201" s="17">
        <f>36.9835 * CHOOSE(CONTROL!$C$9, $D$9, 100%, $F$9) + CHOOSE(CONTROL!$C$27, 0.0021, 0)</f>
        <v>36.985599999999998</v>
      </c>
      <c r="L201" s="17"/>
    </row>
    <row r="202" spans="1:12" ht="15" x14ac:dyDescent="0.2">
      <c r="A202" s="16">
        <v>46692</v>
      </c>
      <c r="B202" s="17">
        <f>37.5694 * CHOOSE(CONTROL!$C$9, $D$9, 100%, $F$9) + CHOOSE(CONTROL!$C$27, 0.0021, 0)</f>
        <v>37.5715</v>
      </c>
      <c r="C202" s="17">
        <f>37.1371 * CHOOSE(CONTROL!$C$9, $D$9, 100%, $F$9) + CHOOSE(CONTROL!$C$27, 0.0021, 0)</f>
        <v>37.139199999999995</v>
      </c>
      <c r="D202" s="17">
        <f>37.1371 * CHOOSE(CONTROL!$C$9, $D$9, 100%, $F$9) + CHOOSE(CONTROL!$C$27, 0.0021, 0)</f>
        <v>37.139199999999995</v>
      </c>
      <c r="E202" s="17">
        <f>37.0005 * CHOOSE(CONTROL!$C$9, $D$9, 100%, $F$9) + CHOOSE(CONTROL!$C$27, 0.0021, 0)</f>
        <v>37.002600000000001</v>
      </c>
      <c r="F202" s="17">
        <f>37.0005 * CHOOSE(CONTROL!$C$9, $D$9, 100%, $F$9) + CHOOSE(CONTROL!$C$27, 0.0021, 0)</f>
        <v>37.002600000000001</v>
      </c>
      <c r="G202" s="17">
        <f>37.2718 * CHOOSE(CONTROL!$C$9, $D$9, 100%, $F$9) + CHOOSE(CONTROL!$C$27, 0.0021, 0)</f>
        <v>37.273899999999998</v>
      </c>
      <c r="H202" s="17">
        <f>37.1371 * CHOOSE(CONTROL!$C$9, $D$9, 100%, $F$9) + CHOOSE(CONTROL!$C$27, 0.0021, 0)</f>
        <v>37.139199999999995</v>
      </c>
      <c r="I202" s="17">
        <f>37.1371 * CHOOSE(CONTROL!$C$9, $D$9, 100%, $F$9) + CHOOSE(CONTROL!$C$27, 0.0021, 0)</f>
        <v>37.139199999999995</v>
      </c>
      <c r="J202" s="17">
        <f>37.1371 * CHOOSE(CONTROL!$C$9, $D$9, 100%, $F$9) + CHOOSE(CONTROL!$C$27, 0.0021, 0)</f>
        <v>37.139199999999995</v>
      </c>
      <c r="K202" s="17">
        <f>37.1371 * CHOOSE(CONTROL!$C$9, $D$9, 100%, $F$9) + CHOOSE(CONTROL!$C$27, 0.0021, 0)</f>
        <v>37.139199999999995</v>
      </c>
      <c r="L202" s="17"/>
    </row>
    <row r="203" spans="1:12" ht="15" x14ac:dyDescent="0.2">
      <c r="A203" s="16">
        <v>46722</v>
      </c>
      <c r="B203" s="17">
        <f>36.9489 * CHOOSE(CONTROL!$C$9, $D$9, 100%, $F$9) + CHOOSE(CONTROL!$C$27, 0.0021, 0)</f>
        <v>36.951000000000001</v>
      </c>
      <c r="C203" s="17">
        <f>36.5166 * CHOOSE(CONTROL!$C$9, $D$9, 100%, $F$9) + CHOOSE(CONTROL!$C$27, 0.0021, 0)</f>
        <v>36.518699999999995</v>
      </c>
      <c r="D203" s="17">
        <f>36.5166 * CHOOSE(CONTROL!$C$9, $D$9, 100%, $F$9) + CHOOSE(CONTROL!$C$27, 0.0021, 0)</f>
        <v>36.518699999999995</v>
      </c>
      <c r="E203" s="17">
        <f>36.38 * CHOOSE(CONTROL!$C$9, $D$9, 100%, $F$9) + CHOOSE(CONTROL!$C$27, 0.0021, 0)</f>
        <v>36.382100000000001</v>
      </c>
      <c r="F203" s="17">
        <f>36.38 * CHOOSE(CONTROL!$C$9, $D$9, 100%, $F$9) + CHOOSE(CONTROL!$C$27, 0.0021, 0)</f>
        <v>36.382100000000001</v>
      </c>
      <c r="G203" s="17">
        <f>36.6514 * CHOOSE(CONTROL!$C$9, $D$9, 100%, $F$9) + CHOOSE(CONTROL!$C$27, 0.0021, 0)</f>
        <v>36.653500000000001</v>
      </c>
      <c r="H203" s="17">
        <f>36.5166 * CHOOSE(CONTROL!$C$9, $D$9, 100%, $F$9) + CHOOSE(CONTROL!$C$27, 0.0021, 0)</f>
        <v>36.518699999999995</v>
      </c>
      <c r="I203" s="17">
        <f>36.5166 * CHOOSE(CONTROL!$C$9, $D$9, 100%, $F$9) + CHOOSE(CONTROL!$C$27, 0.0021, 0)</f>
        <v>36.518699999999995</v>
      </c>
      <c r="J203" s="17">
        <f>36.5166 * CHOOSE(CONTROL!$C$9, $D$9, 100%, $F$9) + CHOOSE(CONTROL!$C$27, 0.0021, 0)</f>
        <v>36.518699999999995</v>
      </c>
      <c r="K203" s="17">
        <f>36.5166 * CHOOSE(CONTROL!$C$9, $D$9, 100%, $F$9) + CHOOSE(CONTROL!$C$27, 0.0021, 0)</f>
        <v>36.518699999999995</v>
      </c>
      <c r="L203" s="17"/>
    </row>
    <row r="204" spans="1:12" ht="15" x14ac:dyDescent="0.2">
      <c r="A204" s="16">
        <v>46753</v>
      </c>
      <c r="B204" s="17">
        <f>35.8959 * CHOOSE(CONTROL!$C$9, $D$9, 100%, $F$9) + CHOOSE(CONTROL!$C$27, 0.0021, 0)</f>
        <v>35.897999999999996</v>
      </c>
      <c r="C204" s="17">
        <f>35.4636 * CHOOSE(CONTROL!$C$9, $D$9, 100%, $F$9) + CHOOSE(CONTROL!$C$27, 0.0021, 0)</f>
        <v>35.465699999999998</v>
      </c>
      <c r="D204" s="17">
        <f>35.4636 * CHOOSE(CONTROL!$C$9, $D$9, 100%, $F$9) + CHOOSE(CONTROL!$C$27, 0.0021, 0)</f>
        <v>35.465699999999998</v>
      </c>
      <c r="E204" s="17">
        <f>35.327 * CHOOSE(CONTROL!$C$9, $D$9, 100%, $F$9) + CHOOSE(CONTROL!$C$27, 0.0021, 0)</f>
        <v>35.329099999999997</v>
      </c>
      <c r="F204" s="17">
        <f>35.327 * CHOOSE(CONTROL!$C$9, $D$9, 100%, $F$9) + CHOOSE(CONTROL!$C$27, 0.0021, 0)</f>
        <v>35.329099999999997</v>
      </c>
      <c r="G204" s="17">
        <f>35.5983 * CHOOSE(CONTROL!$C$9, $D$9, 100%, $F$9) + CHOOSE(CONTROL!$C$27, 0.0021, 0)</f>
        <v>35.6004</v>
      </c>
      <c r="H204" s="17">
        <f>35.4636 * CHOOSE(CONTROL!$C$9, $D$9, 100%, $F$9) + CHOOSE(CONTROL!$C$27, 0.0021, 0)</f>
        <v>35.465699999999998</v>
      </c>
      <c r="I204" s="17">
        <f>35.4636 * CHOOSE(CONTROL!$C$9, $D$9, 100%, $F$9) + CHOOSE(CONTROL!$C$27, 0.0021, 0)</f>
        <v>35.465699999999998</v>
      </c>
      <c r="J204" s="17">
        <f>35.4636 * CHOOSE(CONTROL!$C$9, $D$9, 100%, $F$9) + CHOOSE(CONTROL!$C$27, 0.0021, 0)</f>
        <v>35.465699999999998</v>
      </c>
      <c r="K204" s="17">
        <f>35.4636 * CHOOSE(CONTROL!$C$9, $D$9, 100%, $F$9) + CHOOSE(CONTROL!$C$27, 0.0021, 0)</f>
        <v>35.465699999999998</v>
      </c>
      <c r="L204" s="17"/>
    </row>
    <row r="205" spans="1:12" ht="15" x14ac:dyDescent="0.2">
      <c r="A205" s="16">
        <v>46784</v>
      </c>
      <c r="B205" s="17">
        <f>35.0126 * CHOOSE(CONTROL!$C$9, $D$9, 100%, $F$9) + CHOOSE(CONTROL!$C$27, 0.0021, 0)</f>
        <v>35.014699999999998</v>
      </c>
      <c r="C205" s="17">
        <f>34.5804 * CHOOSE(CONTROL!$C$9, $D$9, 100%, $F$9) + CHOOSE(CONTROL!$C$27, 0.0021, 0)</f>
        <v>34.582499999999996</v>
      </c>
      <c r="D205" s="17">
        <f>34.5804 * CHOOSE(CONTROL!$C$9, $D$9, 100%, $F$9) + CHOOSE(CONTROL!$C$27, 0.0021, 0)</f>
        <v>34.582499999999996</v>
      </c>
      <c r="E205" s="17">
        <f>34.4437 * CHOOSE(CONTROL!$C$9, $D$9, 100%, $F$9) + CHOOSE(CONTROL!$C$27, 0.0021, 0)</f>
        <v>34.445799999999998</v>
      </c>
      <c r="F205" s="17">
        <f>34.4437 * CHOOSE(CONTROL!$C$9, $D$9, 100%, $F$9) + CHOOSE(CONTROL!$C$27, 0.0021, 0)</f>
        <v>34.445799999999998</v>
      </c>
      <c r="G205" s="17">
        <f>34.7151 * CHOOSE(CONTROL!$C$9, $D$9, 100%, $F$9) + CHOOSE(CONTROL!$C$27, 0.0021, 0)</f>
        <v>34.717199999999998</v>
      </c>
      <c r="H205" s="17">
        <f>34.5804 * CHOOSE(CONTROL!$C$9, $D$9, 100%, $F$9) + CHOOSE(CONTROL!$C$27, 0.0021, 0)</f>
        <v>34.582499999999996</v>
      </c>
      <c r="I205" s="17">
        <f>34.5804 * CHOOSE(CONTROL!$C$9, $D$9, 100%, $F$9) + CHOOSE(CONTROL!$C$27, 0.0021, 0)</f>
        <v>34.582499999999996</v>
      </c>
      <c r="J205" s="17">
        <f>34.5804 * CHOOSE(CONTROL!$C$9, $D$9, 100%, $F$9) + CHOOSE(CONTROL!$C$27, 0.0021, 0)</f>
        <v>34.582499999999996</v>
      </c>
      <c r="K205" s="17">
        <f>34.5804 * CHOOSE(CONTROL!$C$9, $D$9, 100%, $F$9) + CHOOSE(CONTROL!$C$27, 0.0021, 0)</f>
        <v>34.582499999999996</v>
      </c>
      <c r="L205" s="17"/>
    </row>
    <row r="206" spans="1:12" ht="15" x14ac:dyDescent="0.2">
      <c r="A206" s="16">
        <v>46813</v>
      </c>
      <c r="B206" s="17">
        <f>34.6861 * CHOOSE(CONTROL!$C$9, $D$9, 100%, $F$9) + CHOOSE(CONTROL!$C$27, 0.0021, 0)</f>
        <v>34.688200000000002</v>
      </c>
      <c r="C206" s="17">
        <f>34.2538 * CHOOSE(CONTROL!$C$9, $D$9, 100%, $F$9) + CHOOSE(CONTROL!$C$27, 0.0021, 0)</f>
        <v>34.255899999999997</v>
      </c>
      <c r="D206" s="17">
        <f>34.2538 * CHOOSE(CONTROL!$C$9, $D$9, 100%, $F$9) + CHOOSE(CONTROL!$C$27, 0.0021, 0)</f>
        <v>34.255899999999997</v>
      </c>
      <c r="E206" s="17">
        <f>34.1171 * CHOOSE(CONTROL!$C$9, $D$9, 100%, $F$9) + CHOOSE(CONTROL!$C$27, 0.0021, 0)</f>
        <v>34.119199999999999</v>
      </c>
      <c r="F206" s="17">
        <f>34.1171 * CHOOSE(CONTROL!$C$9, $D$9, 100%, $F$9) + CHOOSE(CONTROL!$C$27, 0.0021, 0)</f>
        <v>34.119199999999999</v>
      </c>
      <c r="G206" s="17">
        <f>34.3885 * CHOOSE(CONTROL!$C$9, $D$9, 100%, $F$9) + CHOOSE(CONTROL!$C$27, 0.0021, 0)</f>
        <v>34.390599999999999</v>
      </c>
      <c r="H206" s="17">
        <f>34.2538 * CHOOSE(CONTROL!$C$9, $D$9, 100%, $F$9) + CHOOSE(CONTROL!$C$27, 0.0021, 0)</f>
        <v>34.255899999999997</v>
      </c>
      <c r="I206" s="17">
        <f>34.2538 * CHOOSE(CONTROL!$C$9, $D$9, 100%, $F$9) + CHOOSE(CONTROL!$C$27, 0.0021, 0)</f>
        <v>34.255899999999997</v>
      </c>
      <c r="J206" s="17">
        <f>34.2538 * CHOOSE(CONTROL!$C$9, $D$9, 100%, $F$9) + CHOOSE(CONTROL!$C$27, 0.0021, 0)</f>
        <v>34.255899999999997</v>
      </c>
      <c r="K206" s="17">
        <f>34.2538 * CHOOSE(CONTROL!$C$9, $D$9, 100%, $F$9) + CHOOSE(CONTROL!$C$27, 0.0021, 0)</f>
        <v>34.255899999999997</v>
      </c>
      <c r="L206" s="17"/>
    </row>
    <row r="207" spans="1:12" ht="15" x14ac:dyDescent="0.2">
      <c r="A207" s="16">
        <v>46844</v>
      </c>
      <c r="B207" s="17">
        <f>34.2814 * CHOOSE(CONTROL!$C$9, $D$9, 100%, $F$9) + CHOOSE(CONTROL!$C$27, 0.0021, 0)</f>
        <v>34.283499999999997</v>
      </c>
      <c r="C207" s="17">
        <f>33.8491 * CHOOSE(CONTROL!$C$9, $D$9, 100%, $F$9) + CHOOSE(CONTROL!$C$27, 0.0021, 0)</f>
        <v>33.851199999999999</v>
      </c>
      <c r="D207" s="17">
        <f>33.8491 * CHOOSE(CONTROL!$C$9, $D$9, 100%, $F$9) + CHOOSE(CONTROL!$C$27, 0.0021, 0)</f>
        <v>33.851199999999999</v>
      </c>
      <c r="E207" s="17">
        <f>33.7125 * CHOOSE(CONTROL!$C$9, $D$9, 100%, $F$9) + CHOOSE(CONTROL!$C$27, 0.0021, 0)</f>
        <v>33.714599999999997</v>
      </c>
      <c r="F207" s="17">
        <f>33.7125 * CHOOSE(CONTROL!$C$9, $D$9, 100%, $F$9) + CHOOSE(CONTROL!$C$27, 0.0021, 0)</f>
        <v>33.714599999999997</v>
      </c>
      <c r="G207" s="17">
        <f>33.9839 * CHOOSE(CONTROL!$C$9, $D$9, 100%, $F$9) + CHOOSE(CONTROL!$C$27, 0.0021, 0)</f>
        <v>33.985999999999997</v>
      </c>
      <c r="H207" s="17">
        <f>33.8491 * CHOOSE(CONTROL!$C$9, $D$9, 100%, $F$9) + CHOOSE(CONTROL!$C$27, 0.0021, 0)</f>
        <v>33.851199999999999</v>
      </c>
      <c r="I207" s="17">
        <f>33.8491 * CHOOSE(CONTROL!$C$9, $D$9, 100%, $F$9) + CHOOSE(CONTROL!$C$27, 0.0021, 0)</f>
        <v>33.851199999999999</v>
      </c>
      <c r="J207" s="17">
        <f>33.8491 * CHOOSE(CONTROL!$C$9, $D$9, 100%, $F$9) + CHOOSE(CONTROL!$C$27, 0.0021, 0)</f>
        <v>33.851199999999999</v>
      </c>
      <c r="K207" s="17">
        <f>33.8491 * CHOOSE(CONTROL!$C$9, $D$9, 100%, $F$9) + CHOOSE(CONTROL!$C$27, 0.0021, 0)</f>
        <v>33.851199999999999</v>
      </c>
      <c r="L207" s="17"/>
    </row>
    <row r="208" spans="1:12" ht="15" x14ac:dyDescent="0.2">
      <c r="A208" s="16">
        <v>46874</v>
      </c>
      <c r="B208" s="17">
        <f>35.0204 * CHOOSE(CONTROL!$C$9, $D$9, 100%, $F$9) + CHOOSE(CONTROL!$C$27, 0.0021, 0)</f>
        <v>35.022500000000001</v>
      </c>
      <c r="C208" s="17">
        <f>34.5882 * CHOOSE(CONTROL!$C$9, $D$9, 100%, $F$9) + CHOOSE(CONTROL!$C$27, 0.0021, 0)</f>
        <v>34.590299999999999</v>
      </c>
      <c r="D208" s="17">
        <f>34.5882 * CHOOSE(CONTROL!$C$9, $D$9, 100%, $F$9) + CHOOSE(CONTROL!$C$27, 0.0021, 0)</f>
        <v>34.590299999999999</v>
      </c>
      <c r="E208" s="17">
        <f>34.4515 * CHOOSE(CONTROL!$C$9, $D$9, 100%, $F$9) + CHOOSE(CONTROL!$C$27, 0.0021, 0)</f>
        <v>34.453600000000002</v>
      </c>
      <c r="F208" s="17">
        <f>34.4515 * CHOOSE(CONTROL!$C$9, $D$9, 100%, $F$9) + CHOOSE(CONTROL!$C$27, 0.0021, 0)</f>
        <v>34.453600000000002</v>
      </c>
      <c r="G208" s="17">
        <f>34.7229 * CHOOSE(CONTROL!$C$9, $D$9, 100%, $F$9) + CHOOSE(CONTROL!$C$27, 0.0021, 0)</f>
        <v>34.725000000000001</v>
      </c>
      <c r="H208" s="17">
        <f>34.5882 * CHOOSE(CONTROL!$C$9, $D$9, 100%, $F$9) + CHOOSE(CONTROL!$C$27, 0.0021, 0)</f>
        <v>34.590299999999999</v>
      </c>
      <c r="I208" s="17">
        <f>34.5882 * CHOOSE(CONTROL!$C$9, $D$9, 100%, $F$9) + CHOOSE(CONTROL!$C$27, 0.0021, 0)</f>
        <v>34.590299999999999</v>
      </c>
      <c r="J208" s="17">
        <f>34.5882 * CHOOSE(CONTROL!$C$9, $D$9, 100%, $F$9) + CHOOSE(CONTROL!$C$27, 0.0021, 0)</f>
        <v>34.590299999999999</v>
      </c>
      <c r="K208" s="17">
        <f>34.5882 * CHOOSE(CONTROL!$C$9, $D$9, 100%, $F$9) + CHOOSE(CONTROL!$C$27, 0.0021, 0)</f>
        <v>34.590299999999999</v>
      </c>
      <c r="L208" s="17"/>
    </row>
    <row r="209" spans="1:12" ht="15" x14ac:dyDescent="0.2">
      <c r="A209" s="16">
        <v>46905</v>
      </c>
      <c r="B209" s="17">
        <f>35.4919 * CHOOSE(CONTROL!$C$9, $D$9, 100%, $F$9) + CHOOSE(CONTROL!$C$27, 0.0021, 0)</f>
        <v>35.494</v>
      </c>
      <c r="C209" s="17">
        <f>35.0596 * CHOOSE(CONTROL!$C$9, $D$9, 100%, $F$9) + CHOOSE(CONTROL!$C$27, 0.0021, 0)</f>
        <v>35.061700000000002</v>
      </c>
      <c r="D209" s="17">
        <f>35.0596 * CHOOSE(CONTROL!$C$9, $D$9, 100%, $F$9) + CHOOSE(CONTROL!$C$27, 0.0021, 0)</f>
        <v>35.061700000000002</v>
      </c>
      <c r="E209" s="17">
        <f>34.923 * CHOOSE(CONTROL!$C$9, $D$9, 100%, $F$9) + CHOOSE(CONTROL!$C$27, 0.0021, 0)</f>
        <v>34.9251</v>
      </c>
      <c r="F209" s="17">
        <f>34.923 * CHOOSE(CONTROL!$C$9, $D$9, 100%, $F$9) + CHOOSE(CONTROL!$C$27, 0.0021, 0)</f>
        <v>34.9251</v>
      </c>
      <c r="G209" s="17">
        <f>35.1944 * CHOOSE(CONTROL!$C$9, $D$9, 100%, $F$9) + CHOOSE(CONTROL!$C$27, 0.0021, 0)</f>
        <v>35.1965</v>
      </c>
      <c r="H209" s="17">
        <f>35.0596 * CHOOSE(CONTROL!$C$9, $D$9, 100%, $F$9) + CHOOSE(CONTROL!$C$27, 0.0021, 0)</f>
        <v>35.061700000000002</v>
      </c>
      <c r="I209" s="17">
        <f>35.0596 * CHOOSE(CONTROL!$C$9, $D$9, 100%, $F$9) + CHOOSE(CONTROL!$C$27, 0.0021, 0)</f>
        <v>35.061700000000002</v>
      </c>
      <c r="J209" s="17">
        <f>35.0596 * CHOOSE(CONTROL!$C$9, $D$9, 100%, $F$9) + CHOOSE(CONTROL!$C$27, 0.0021, 0)</f>
        <v>35.061700000000002</v>
      </c>
      <c r="K209" s="17">
        <f>35.0596 * CHOOSE(CONTROL!$C$9, $D$9, 100%, $F$9) + CHOOSE(CONTROL!$C$27, 0.0021, 0)</f>
        <v>35.061700000000002</v>
      </c>
      <c r="L209" s="17"/>
    </row>
    <row r="210" spans="1:12" ht="15" x14ac:dyDescent="0.2">
      <c r="A210" s="16">
        <v>46935</v>
      </c>
      <c r="B210" s="17">
        <f>36.2282 * CHOOSE(CONTROL!$C$9, $D$9, 100%, $F$9) + CHOOSE(CONTROL!$C$27, 0.0021, 0)</f>
        <v>36.2303</v>
      </c>
      <c r="C210" s="17">
        <f>35.7959 * CHOOSE(CONTROL!$C$9, $D$9, 100%, $F$9) + CHOOSE(CONTROL!$C$27, 0.0021, 0)</f>
        <v>35.798000000000002</v>
      </c>
      <c r="D210" s="17">
        <f>35.7959 * CHOOSE(CONTROL!$C$9, $D$9, 100%, $F$9) + CHOOSE(CONTROL!$C$27, 0.0021, 0)</f>
        <v>35.798000000000002</v>
      </c>
      <c r="E210" s="17">
        <f>35.6593 * CHOOSE(CONTROL!$C$9, $D$9, 100%, $F$9) + CHOOSE(CONTROL!$C$27, 0.0021, 0)</f>
        <v>35.6614</v>
      </c>
      <c r="F210" s="17">
        <f>35.6593 * CHOOSE(CONTROL!$C$9, $D$9, 100%, $F$9) + CHOOSE(CONTROL!$C$27, 0.0021, 0)</f>
        <v>35.6614</v>
      </c>
      <c r="G210" s="17">
        <f>35.9306 * CHOOSE(CONTROL!$C$9, $D$9, 100%, $F$9) + CHOOSE(CONTROL!$C$27, 0.0021, 0)</f>
        <v>35.932699999999997</v>
      </c>
      <c r="H210" s="17">
        <f>35.7959 * CHOOSE(CONTROL!$C$9, $D$9, 100%, $F$9) + CHOOSE(CONTROL!$C$27, 0.0021, 0)</f>
        <v>35.798000000000002</v>
      </c>
      <c r="I210" s="17">
        <f>35.7959 * CHOOSE(CONTROL!$C$9, $D$9, 100%, $F$9) + CHOOSE(CONTROL!$C$27, 0.0021, 0)</f>
        <v>35.798000000000002</v>
      </c>
      <c r="J210" s="17">
        <f>35.7959 * CHOOSE(CONTROL!$C$9, $D$9, 100%, $F$9) + CHOOSE(CONTROL!$C$27, 0.0021, 0)</f>
        <v>35.798000000000002</v>
      </c>
      <c r="K210" s="17">
        <f>35.7959 * CHOOSE(CONTROL!$C$9, $D$9, 100%, $F$9) + CHOOSE(CONTROL!$C$27, 0.0021, 0)</f>
        <v>35.798000000000002</v>
      </c>
      <c r="L210" s="17"/>
    </row>
    <row r="211" spans="1:12" ht="15" x14ac:dyDescent="0.2">
      <c r="A211" s="16">
        <v>46966</v>
      </c>
      <c r="B211" s="17">
        <f>36.5023 * CHOOSE(CONTROL!$C$9, $D$9, 100%, $F$9) + CHOOSE(CONTROL!$C$27, 0.0021, 0)</f>
        <v>36.504399999999997</v>
      </c>
      <c r="C211" s="17">
        <f>36.0701 * CHOOSE(CONTROL!$C$9, $D$9, 100%, $F$9) + CHOOSE(CONTROL!$C$27, 0.0021, 0)</f>
        <v>36.072199999999995</v>
      </c>
      <c r="D211" s="17">
        <f>36.0701 * CHOOSE(CONTROL!$C$9, $D$9, 100%, $F$9) + CHOOSE(CONTROL!$C$27, 0.0021, 0)</f>
        <v>36.072199999999995</v>
      </c>
      <c r="E211" s="17">
        <f>35.9334 * CHOOSE(CONTROL!$C$9, $D$9, 100%, $F$9) + CHOOSE(CONTROL!$C$27, 0.0021, 0)</f>
        <v>35.935499999999998</v>
      </c>
      <c r="F211" s="17">
        <f>35.9334 * CHOOSE(CONTROL!$C$9, $D$9, 100%, $F$9) + CHOOSE(CONTROL!$C$27, 0.0021, 0)</f>
        <v>35.935499999999998</v>
      </c>
      <c r="G211" s="17">
        <f>36.2048 * CHOOSE(CONTROL!$C$9, $D$9, 100%, $F$9) + CHOOSE(CONTROL!$C$27, 0.0021, 0)</f>
        <v>36.206899999999997</v>
      </c>
      <c r="H211" s="17">
        <f>36.0701 * CHOOSE(CONTROL!$C$9, $D$9, 100%, $F$9) + CHOOSE(CONTROL!$C$27, 0.0021, 0)</f>
        <v>36.072199999999995</v>
      </c>
      <c r="I211" s="17">
        <f>36.0701 * CHOOSE(CONTROL!$C$9, $D$9, 100%, $F$9) + CHOOSE(CONTROL!$C$27, 0.0021, 0)</f>
        <v>36.072199999999995</v>
      </c>
      <c r="J211" s="17">
        <f>36.0701 * CHOOSE(CONTROL!$C$9, $D$9, 100%, $F$9) + CHOOSE(CONTROL!$C$27, 0.0021, 0)</f>
        <v>36.072199999999995</v>
      </c>
      <c r="K211" s="17">
        <f>36.0701 * CHOOSE(CONTROL!$C$9, $D$9, 100%, $F$9) + CHOOSE(CONTROL!$C$27, 0.0021, 0)</f>
        <v>36.072199999999995</v>
      </c>
      <c r="L211" s="17"/>
    </row>
    <row r="212" spans="1:12" ht="15" x14ac:dyDescent="0.2">
      <c r="A212" s="16">
        <v>46997</v>
      </c>
      <c r="B212" s="17">
        <f>37.2699 * CHOOSE(CONTROL!$C$9, $D$9, 100%, $F$9) + CHOOSE(CONTROL!$C$27, 0.0021, 0)</f>
        <v>37.271999999999998</v>
      </c>
      <c r="C212" s="17">
        <f>36.8376 * CHOOSE(CONTROL!$C$9, $D$9, 100%, $F$9) + CHOOSE(CONTROL!$C$27, 0.0021, 0)</f>
        <v>36.839700000000001</v>
      </c>
      <c r="D212" s="17">
        <f>36.8376 * CHOOSE(CONTROL!$C$9, $D$9, 100%, $F$9) + CHOOSE(CONTROL!$C$27, 0.0021, 0)</f>
        <v>36.839700000000001</v>
      </c>
      <c r="E212" s="17">
        <f>36.701 * CHOOSE(CONTROL!$C$9, $D$9, 100%, $F$9) + CHOOSE(CONTROL!$C$27, 0.0021, 0)</f>
        <v>36.703099999999999</v>
      </c>
      <c r="F212" s="17">
        <f>36.701 * CHOOSE(CONTROL!$C$9, $D$9, 100%, $F$9) + CHOOSE(CONTROL!$C$27, 0.0021, 0)</f>
        <v>36.703099999999999</v>
      </c>
      <c r="G212" s="17">
        <f>36.9724 * CHOOSE(CONTROL!$C$9, $D$9, 100%, $F$9) + CHOOSE(CONTROL!$C$27, 0.0021, 0)</f>
        <v>36.974499999999999</v>
      </c>
      <c r="H212" s="17">
        <f>36.8376 * CHOOSE(CONTROL!$C$9, $D$9, 100%, $F$9) + CHOOSE(CONTROL!$C$27, 0.0021, 0)</f>
        <v>36.839700000000001</v>
      </c>
      <c r="I212" s="17">
        <f>36.8376 * CHOOSE(CONTROL!$C$9, $D$9, 100%, $F$9) + CHOOSE(CONTROL!$C$27, 0.0021, 0)</f>
        <v>36.839700000000001</v>
      </c>
      <c r="J212" s="17">
        <f>36.8376 * CHOOSE(CONTROL!$C$9, $D$9, 100%, $F$9) + CHOOSE(CONTROL!$C$27, 0.0021, 0)</f>
        <v>36.839700000000001</v>
      </c>
      <c r="K212" s="17">
        <f>36.8376 * CHOOSE(CONTROL!$C$9, $D$9, 100%, $F$9) + CHOOSE(CONTROL!$C$27, 0.0021, 0)</f>
        <v>36.839700000000001</v>
      </c>
      <c r="L212" s="17"/>
    </row>
    <row r="213" spans="1:12" ht="15" x14ac:dyDescent="0.2">
      <c r="A213" s="16">
        <v>47027</v>
      </c>
      <c r="B213" s="17">
        <f>38.2262 * CHOOSE(CONTROL!$C$9, $D$9, 100%, $F$9) + CHOOSE(CONTROL!$C$27, 0.0021, 0)</f>
        <v>38.228299999999997</v>
      </c>
      <c r="C213" s="17">
        <f>37.7939 * CHOOSE(CONTROL!$C$9, $D$9, 100%, $F$9) + CHOOSE(CONTROL!$C$27, 0.0021, 0)</f>
        <v>37.795999999999999</v>
      </c>
      <c r="D213" s="17">
        <f>37.7939 * CHOOSE(CONTROL!$C$9, $D$9, 100%, $F$9) + CHOOSE(CONTROL!$C$27, 0.0021, 0)</f>
        <v>37.795999999999999</v>
      </c>
      <c r="E213" s="17">
        <f>37.6573 * CHOOSE(CONTROL!$C$9, $D$9, 100%, $F$9) + CHOOSE(CONTROL!$C$27, 0.0021, 0)</f>
        <v>37.659399999999998</v>
      </c>
      <c r="F213" s="17">
        <f>37.6573 * CHOOSE(CONTROL!$C$9, $D$9, 100%, $F$9) + CHOOSE(CONTROL!$C$27, 0.0021, 0)</f>
        <v>37.659399999999998</v>
      </c>
      <c r="G213" s="17">
        <f>37.9286 * CHOOSE(CONTROL!$C$9, $D$9, 100%, $F$9) + CHOOSE(CONTROL!$C$27, 0.0021, 0)</f>
        <v>37.930700000000002</v>
      </c>
      <c r="H213" s="17">
        <f>37.7939 * CHOOSE(CONTROL!$C$9, $D$9, 100%, $F$9) + CHOOSE(CONTROL!$C$27, 0.0021, 0)</f>
        <v>37.795999999999999</v>
      </c>
      <c r="I213" s="17">
        <f>37.7939 * CHOOSE(CONTROL!$C$9, $D$9, 100%, $F$9) + CHOOSE(CONTROL!$C$27, 0.0021, 0)</f>
        <v>37.795999999999999</v>
      </c>
      <c r="J213" s="17">
        <f>37.7939 * CHOOSE(CONTROL!$C$9, $D$9, 100%, $F$9) + CHOOSE(CONTROL!$C$27, 0.0021, 0)</f>
        <v>37.795999999999999</v>
      </c>
      <c r="K213" s="17">
        <f>37.7939 * CHOOSE(CONTROL!$C$9, $D$9, 100%, $F$9) + CHOOSE(CONTROL!$C$27, 0.0021, 0)</f>
        <v>37.795999999999999</v>
      </c>
      <c r="L213" s="17"/>
    </row>
    <row r="214" spans="1:12" ht="15" x14ac:dyDescent="0.2">
      <c r="A214" s="16">
        <v>47058</v>
      </c>
      <c r="B214" s="17">
        <f>38.3834 * CHOOSE(CONTROL!$C$9, $D$9, 100%, $F$9) + CHOOSE(CONTROL!$C$27, 0.0021, 0)</f>
        <v>38.3855</v>
      </c>
      <c r="C214" s="17">
        <f>37.9511 * CHOOSE(CONTROL!$C$9, $D$9, 100%, $F$9) + CHOOSE(CONTROL!$C$27, 0.0021, 0)</f>
        <v>37.953199999999995</v>
      </c>
      <c r="D214" s="17">
        <f>37.9511 * CHOOSE(CONTROL!$C$9, $D$9, 100%, $F$9) + CHOOSE(CONTROL!$C$27, 0.0021, 0)</f>
        <v>37.953199999999995</v>
      </c>
      <c r="E214" s="17">
        <f>37.8144 * CHOOSE(CONTROL!$C$9, $D$9, 100%, $F$9) + CHOOSE(CONTROL!$C$27, 0.0021, 0)</f>
        <v>37.816499999999998</v>
      </c>
      <c r="F214" s="17">
        <f>37.8144 * CHOOSE(CONTROL!$C$9, $D$9, 100%, $F$9) + CHOOSE(CONTROL!$C$27, 0.0021, 0)</f>
        <v>37.816499999999998</v>
      </c>
      <c r="G214" s="17">
        <f>38.0858 * CHOOSE(CONTROL!$C$9, $D$9, 100%, $F$9) + CHOOSE(CONTROL!$C$27, 0.0021, 0)</f>
        <v>38.087899999999998</v>
      </c>
      <c r="H214" s="17">
        <f>37.9511 * CHOOSE(CONTROL!$C$9, $D$9, 100%, $F$9) + CHOOSE(CONTROL!$C$27, 0.0021, 0)</f>
        <v>37.953199999999995</v>
      </c>
      <c r="I214" s="17">
        <f>37.9511 * CHOOSE(CONTROL!$C$9, $D$9, 100%, $F$9) + CHOOSE(CONTROL!$C$27, 0.0021, 0)</f>
        <v>37.953199999999995</v>
      </c>
      <c r="J214" s="17">
        <f>37.9511 * CHOOSE(CONTROL!$C$9, $D$9, 100%, $F$9) + CHOOSE(CONTROL!$C$27, 0.0021, 0)</f>
        <v>37.953199999999995</v>
      </c>
      <c r="K214" s="17">
        <f>37.9511 * CHOOSE(CONTROL!$C$9, $D$9, 100%, $F$9) + CHOOSE(CONTROL!$C$27, 0.0021, 0)</f>
        <v>37.953199999999995</v>
      </c>
      <c r="L214" s="17"/>
    </row>
    <row r="215" spans="1:12" ht="15" x14ac:dyDescent="0.2">
      <c r="A215" s="16">
        <v>47088</v>
      </c>
      <c r="B215" s="17">
        <f>37.7486 * CHOOSE(CONTROL!$C$9, $D$9, 100%, $F$9) + CHOOSE(CONTROL!$C$27, 0.0021, 0)</f>
        <v>37.750700000000002</v>
      </c>
      <c r="C215" s="17">
        <f>37.3163 * CHOOSE(CONTROL!$C$9, $D$9, 100%, $F$9) + CHOOSE(CONTROL!$C$27, 0.0021, 0)</f>
        <v>37.318399999999997</v>
      </c>
      <c r="D215" s="17">
        <f>37.3163 * CHOOSE(CONTROL!$C$9, $D$9, 100%, $F$9) + CHOOSE(CONTROL!$C$27, 0.0021, 0)</f>
        <v>37.318399999999997</v>
      </c>
      <c r="E215" s="17">
        <f>37.1797 * CHOOSE(CONTROL!$C$9, $D$9, 100%, $F$9) + CHOOSE(CONTROL!$C$27, 0.0021, 0)</f>
        <v>37.181799999999996</v>
      </c>
      <c r="F215" s="17">
        <f>37.1797 * CHOOSE(CONTROL!$C$9, $D$9, 100%, $F$9) + CHOOSE(CONTROL!$C$27, 0.0021, 0)</f>
        <v>37.181799999999996</v>
      </c>
      <c r="G215" s="17">
        <f>37.451 * CHOOSE(CONTROL!$C$9, $D$9, 100%, $F$9) + CHOOSE(CONTROL!$C$27, 0.0021, 0)</f>
        <v>37.453099999999999</v>
      </c>
      <c r="H215" s="17">
        <f>37.3163 * CHOOSE(CONTROL!$C$9, $D$9, 100%, $F$9) + CHOOSE(CONTROL!$C$27, 0.0021, 0)</f>
        <v>37.318399999999997</v>
      </c>
      <c r="I215" s="17">
        <f>37.3163 * CHOOSE(CONTROL!$C$9, $D$9, 100%, $F$9) + CHOOSE(CONTROL!$C$27, 0.0021, 0)</f>
        <v>37.318399999999997</v>
      </c>
      <c r="J215" s="17">
        <f>37.3163 * CHOOSE(CONTROL!$C$9, $D$9, 100%, $F$9) + CHOOSE(CONTROL!$C$27, 0.0021, 0)</f>
        <v>37.318399999999997</v>
      </c>
      <c r="K215" s="17">
        <f>37.3163 * CHOOSE(CONTROL!$C$9, $D$9, 100%, $F$9) + CHOOSE(CONTROL!$C$27, 0.0021, 0)</f>
        <v>37.318399999999997</v>
      </c>
      <c r="L215" s="17"/>
    </row>
    <row r="216" spans="1:12" ht="15" x14ac:dyDescent="0.2">
      <c r="A216" s="16">
        <v>47119</v>
      </c>
      <c r="B216" s="17">
        <f>36.6899 * CHOOSE(CONTROL!$C$9, $D$9, 100%, $F$9) + CHOOSE(CONTROL!$C$27, 0.0021, 0)</f>
        <v>36.692</v>
      </c>
      <c r="C216" s="17">
        <f>36.2577 * CHOOSE(CONTROL!$C$9, $D$9, 100%, $F$9) + CHOOSE(CONTROL!$C$27, 0.0021, 0)</f>
        <v>36.259799999999998</v>
      </c>
      <c r="D216" s="17">
        <f>36.2577 * CHOOSE(CONTROL!$C$9, $D$9, 100%, $F$9) + CHOOSE(CONTROL!$C$27, 0.0021, 0)</f>
        <v>36.259799999999998</v>
      </c>
      <c r="E216" s="17">
        <f>36.121 * CHOOSE(CONTROL!$C$9, $D$9, 100%, $F$9) + CHOOSE(CONTROL!$C$27, 0.0021, 0)</f>
        <v>36.123100000000001</v>
      </c>
      <c r="F216" s="17">
        <f>36.121 * CHOOSE(CONTROL!$C$9, $D$9, 100%, $F$9) + CHOOSE(CONTROL!$C$27, 0.0021, 0)</f>
        <v>36.123100000000001</v>
      </c>
      <c r="G216" s="17">
        <f>36.3924 * CHOOSE(CONTROL!$C$9, $D$9, 100%, $F$9) + CHOOSE(CONTROL!$C$27, 0.0021, 0)</f>
        <v>36.394500000000001</v>
      </c>
      <c r="H216" s="17">
        <f>36.2577 * CHOOSE(CONTROL!$C$9, $D$9, 100%, $F$9) + CHOOSE(CONTROL!$C$27, 0.0021, 0)</f>
        <v>36.259799999999998</v>
      </c>
      <c r="I216" s="17">
        <f>36.2577 * CHOOSE(CONTROL!$C$9, $D$9, 100%, $F$9) + CHOOSE(CONTROL!$C$27, 0.0021, 0)</f>
        <v>36.259799999999998</v>
      </c>
      <c r="J216" s="17">
        <f>36.2577 * CHOOSE(CONTROL!$C$9, $D$9, 100%, $F$9) + CHOOSE(CONTROL!$C$27, 0.0021, 0)</f>
        <v>36.259799999999998</v>
      </c>
      <c r="K216" s="17">
        <f>36.2577 * CHOOSE(CONTROL!$C$9, $D$9, 100%, $F$9) + CHOOSE(CONTROL!$C$27, 0.0021, 0)</f>
        <v>36.259799999999998</v>
      </c>
      <c r="L216" s="17"/>
    </row>
    <row r="217" spans="1:12" ht="15" x14ac:dyDescent="0.2">
      <c r="A217" s="16">
        <v>47150</v>
      </c>
      <c r="B217" s="17">
        <f>35.7858 * CHOOSE(CONTROL!$C$9, $D$9, 100%, $F$9) + CHOOSE(CONTROL!$C$27, 0.0021, 0)</f>
        <v>35.7879</v>
      </c>
      <c r="C217" s="17">
        <f>35.3536 * CHOOSE(CONTROL!$C$9, $D$9, 100%, $F$9) + CHOOSE(CONTROL!$C$27, 0.0021, 0)</f>
        <v>35.355699999999999</v>
      </c>
      <c r="D217" s="17">
        <f>35.3536 * CHOOSE(CONTROL!$C$9, $D$9, 100%, $F$9) + CHOOSE(CONTROL!$C$27, 0.0021, 0)</f>
        <v>35.355699999999999</v>
      </c>
      <c r="E217" s="17">
        <f>35.2169 * CHOOSE(CONTROL!$C$9, $D$9, 100%, $F$9) + CHOOSE(CONTROL!$C$27, 0.0021, 0)</f>
        <v>35.219000000000001</v>
      </c>
      <c r="F217" s="17">
        <f>35.2169 * CHOOSE(CONTROL!$C$9, $D$9, 100%, $F$9) + CHOOSE(CONTROL!$C$27, 0.0021, 0)</f>
        <v>35.219000000000001</v>
      </c>
      <c r="G217" s="17">
        <f>35.4883 * CHOOSE(CONTROL!$C$9, $D$9, 100%, $F$9) + CHOOSE(CONTROL!$C$27, 0.0021, 0)</f>
        <v>35.490400000000001</v>
      </c>
      <c r="H217" s="17">
        <f>35.3536 * CHOOSE(CONTROL!$C$9, $D$9, 100%, $F$9) + CHOOSE(CONTROL!$C$27, 0.0021, 0)</f>
        <v>35.355699999999999</v>
      </c>
      <c r="I217" s="17">
        <f>35.3536 * CHOOSE(CONTROL!$C$9, $D$9, 100%, $F$9) + CHOOSE(CONTROL!$C$27, 0.0021, 0)</f>
        <v>35.355699999999999</v>
      </c>
      <c r="J217" s="17">
        <f>35.3536 * CHOOSE(CONTROL!$C$9, $D$9, 100%, $F$9) + CHOOSE(CONTROL!$C$27, 0.0021, 0)</f>
        <v>35.355699999999999</v>
      </c>
      <c r="K217" s="17">
        <f>35.3536 * CHOOSE(CONTROL!$C$9, $D$9, 100%, $F$9) + CHOOSE(CONTROL!$C$27, 0.0021, 0)</f>
        <v>35.355699999999999</v>
      </c>
      <c r="L217" s="17"/>
    </row>
    <row r="218" spans="1:12" ht="15" x14ac:dyDescent="0.2">
      <c r="A218" s="16">
        <v>47178</v>
      </c>
      <c r="B218" s="17">
        <f>35.4515 * CHOOSE(CONTROL!$C$9, $D$9, 100%, $F$9) + CHOOSE(CONTROL!$C$27, 0.0021, 0)</f>
        <v>35.453600000000002</v>
      </c>
      <c r="C218" s="17">
        <f>35.0193 * CHOOSE(CONTROL!$C$9, $D$9, 100%, $F$9) + CHOOSE(CONTROL!$C$27, 0.0021, 0)</f>
        <v>35.0214</v>
      </c>
      <c r="D218" s="17">
        <f>35.0193 * CHOOSE(CONTROL!$C$9, $D$9, 100%, $F$9) + CHOOSE(CONTROL!$C$27, 0.0021, 0)</f>
        <v>35.0214</v>
      </c>
      <c r="E218" s="17">
        <f>34.8826 * CHOOSE(CONTROL!$C$9, $D$9, 100%, $F$9) + CHOOSE(CONTROL!$C$27, 0.0021, 0)</f>
        <v>34.884699999999995</v>
      </c>
      <c r="F218" s="17">
        <f>34.8826 * CHOOSE(CONTROL!$C$9, $D$9, 100%, $F$9) + CHOOSE(CONTROL!$C$27, 0.0021, 0)</f>
        <v>34.884699999999995</v>
      </c>
      <c r="G218" s="17">
        <f>35.154 * CHOOSE(CONTROL!$C$9, $D$9, 100%, $F$9) + CHOOSE(CONTROL!$C$27, 0.0021, 0)</f>
        <v>35.156100000000002</v>
      </c>
      <c r="H218" s="17">
        <f>35.0193 * CHOOSE(CONTROL!$C$9, $D$9, 100%, $F$9) + CHOOSE(CONTROL!$C$27, 0.0021, 0)</f>
        <v>35.0214</v>
      </c>
      <c r="I218" s="17">
        <f>35.0193 * CHOOSE(CONTROL!$C$9, $D$9, 100%, $F$9) + CHOOSE(CONTROL!$C$27, 0.0021, 0)</f>
        <v>35.0214</v>
      </c>
      <c r="J218" s="17">
        <f>35.0193 * CHOOSE(CONTROL!$C$9, $D$9, 100%, $F$9) + CHOOSE(CONTROL!$C$27, 0.0021, 0)</f>
        <v>35.0214</v>
      </c>
      <c r="K218" s="17">
        <f>35.0193 * CHOOSE(CONTROL!$C$9, $D$9, 100%, $F$9) + CHOOSE(CONTROL!$C$27, 0.0021, 0)</f>
        <v>35.0214</v>
      </c>
      <c r="L218" s="17"/>
    </row>
    <row r="219" spans="1:12" ht="15" x14ac:dyDescent="0.2">
      <c r="A219" s="16">
        <v>47209</v>
      </c>
      <c r="B219" s="17">
        <f>35.0373 * CHOOSE(CONTROL!$C$9, $D$9, 100%, $F$9) + CHOOSE(CONTROL!$C$27, 0.0021, 0)</f>
        <v>35.039400000000001</v>
      </c>
      <c r="C219" s="17">
        <f>34.605 * CHOOSE(CONTROL!$C$9, $D$9, 100%, $F$9) + CHOOSE(CONTROL!$C$27, 0.0021, 0)</f>
        <v>34.607099999999996</v>
      </c>
      <c r="D219" s="17">
        <f>34.605 * CHOOSE(CONTROL!$C$9, $D$9, 100%, $F$9) + CHOOSE(CONTROL!$C$27, 0.0021, 0)</f>
        <v>34.607099999999996</v>
      </c>
      <c r="E219" s="17">
        <f>34.4684 * CHOOSE(CONTROL!$C$9, $D$9, 100%, $F$9) + CHOOSE(CONTROL!$C$27, 0.0021, 0)</f>
        <v>34.470500000000001</v>
      </c>
      <c r="F219" s="17">
        <f>34.4684 * CHOOSE(CONTROL!$C$9, $D$9, 100%, $F$9) + CHOOSE(CONTROL!$C$27, 0.0021, 0)</f>
        <v>34.470500000000001</v>
      </c>
      <c r="G219" s="17">
        <f>34.7397 * CHOOSE(CONTROL!$C$9, $D$9, 100%, $F$9) + CHOOSE(CONTROL!$C$27, 0.0021, 0)</f>
        <v>34.741799999999998</v>
      </c>
      <c r="H219" s="17">
        <f>34.605 * CHOOSE(CONTROL!$C$9, $D$9, 100%, $F$9) + CHOOSE(CONTROL!$C$27, 0.0021, 0)</f>
        <v>34.607099999999996</v>
      </c>
      <c r="I219" s="17">
        <f>34.605 * CHOOSE(CONTROL!$C$9, $D$9, 100%, $F$9) + CHOOSE(CONTROL!$C$27, 0.0021, 0)</f>
        <v>34.607099999999996</v>
      </c>
      <c r="J219" s="17">
        <f>34.605 * CHOOSE(CONTROL!$C$9, $D$9, 100%, $F$9) + CHOOSE(CONTROL!$C$27, 0.0021, 0)</f>
        <v>34.607099999999996</v>
      </c>
      <c r="K219" s="17">
        <f>34.605 * CHOOSE(CONTROL!$C$9, $D$9, 100%, $F$9) + CHOOSE(CONTROL!$C$27, 0.0021, 0)</f>
        <v>34.607099999999996</v>
      </c>
      <c r="L219" s="17"/>
    </row>
    <row r="220" spans="1:12" ht="15" x14ac:dyDescent="0.2">
      <c r="A220" s="16">
        <v>47239</v>
      </c>
      <c r="B220" s="17">
        <f>35.7938 * CHOOSE(CONTROL!$C$9, $D$9, 100%, $F$9) + CHOOSE(CONTROL!$C$27, 0.0021, 0)</f>
        <v>35.795899999999996</v>
      </c>
      <c r="C220" s="17">
        <f>35.3616 * CHOOSE(CONTROL!$C$9, $D$9, 100%, $F$9) + CHOOSE(CONTROL!$C$27, 0.0021, 0)</f>
        <v>35.363700000000001</v>
      </c>
      <c r="D220" s="17">
        <f>35.3616 * CHOOSE(CONTROL!$C$9, $D$9, 100%, $F$9) + CHOOSE(CONTROL!$C$27, 0.0021, 0)</f>
        <v>35.363700000000001</v>
      </c>
      <c r="E220" s="17">
        <f>35.2249 * CHOOSE(CONTROL!$C$9, $D$9, 100%, $F$9) + CHOOSE(CONTROL!$C$27, 0.0021, 0)</f>
        <v>35.226999999999997</v>
      </c>
      <c r="F220" s="17">
        <f>35.2249 * CHOOSE(CONTROL!$C$9, $D$9, 100%, $F$9) + CHOOSE(CONTROL!$C$27, 0.0021, 0)</f>
        <v>35.226999999999997</v>
      </c>
      <c r="G220" s="17">
        <f>35.4963 * CHOOSE(CONTROL!$C$9, $D$9, 100%, $F$9) + CHOOSE(CONTROL!$C$27, 0.0021, 0)</f>
        <v>35.498399999999997</v>
      </c>
      <c r="H220" s="17">
        <f>35.3616 * CHOOSE(CONTROL!$C$9, $D$9, 100%, $F$9) + CHOOSE(CONTROL!$C$27, 0.0021, 0)</f>
        <v>35.363700000000001</v>
      </c>
      <c r="I220" s="17">
        <f>35.3616 * CHOOSE(CONTROL!$C$9, $D$9, 100%, $F$9) + CHOOSE(CONTROL!$C$27, 0.0021, 0)</f>
        <v>35.363700000000001</v>
      </c>
      <c r="J220" s="17">
        <f>35.3616 * CHOOSE(CONTROL!$C$9, $D$9, 100%, $F$9) + CHOOSE(CONTROL!$C$27, 0.0021, 0)</f>
        <v>35.363700000000001</v>
      </c>
      <c r="K220" s="17">
        <f>35.3616 * CHOOSE(CONTROL!$C$9, $D$9, 100%, $F$9) + CHOOSE(CONTROL!$C$27, 0.0021, 0)</f>
        <v>35.363700000000001</v>
      </c>
      <c r="L220" s="17"/>
    </row>
    <row r="221" spans="1:12" ht="15" x14ac:dyDescent="0.2">
      <c r="A221" s="16">
        <v>47270</v>
      </c>
      <c r="B221" s="17">
        <f>36.2764 * CHOOSE(CONTROL!$C$9, $D$9, 100%, $F$9) + CHOOSE(CONTROL!$C$27, 0.0021, 0)</f>
        <v>36.278500000000001</v>
      </c>
      <c r="C221" s="17">
        <f>35.8441 * CHOOSE(CONTROL!$C$9, $D$9, 100%, $F$9) + CHOOSE(CONTROL!$C$27, 0.0021, 0)</f>
        <v>35.846199999999996</v>
      </c>
      <c r="D221" s="17">
        <f>35.8441 * CHOOSE(CONTROL!$C$9, $D$9, 100%, $F$9) + CHOOSE(CONTROL!$C$27, 0.0021, 0)</f>
        <v>35.846199999999996</v>
      </c>
      <c r="E221" s="17">
        <f>35.7075 * CHOOSE(CONTROL!$C$9, $D$9, 100%, $F$9) + CHOOSE(CONTROL!$C$27, 0.0021, 0)</f>
        <v>35.709600000000002</v>
      </c>
      <c r="F221" s="17">
        <f>35.7075 * CHOOSE(CONTROL!$C$9, $D$9, 100%, $F$9) + CHOOSE(CONTROL!$C$27, 0.0021, 0)</f>
        <v>35.709600000000002</v>
      </c>
      <c r="G221" s="17">
        <f>35.9789 * CHOOSE(CONTROL!$C$9, $D$9, 100%, $F$9) + CHOOSE(CONTROL!$C$27, 0.0021, 0)</f>
        <v>35.981000000000002</v>
      </c>
      <c r="H221" s="17">
        <f>35.8441 * CHOOSE(CONTROL!$C$9, $D$9, 100%, $F$9) + CHOOSE(CONTROL!$C$27, 0.0021, 0)</f>
        <v>35.846199999999996</v>
      </c>
      <c r="I221" s="17">
        <f>35.8441 * CHOOSE(CONTROL!$C$9, $D$9, 100%, $F$9) + CHOOSE(CONTROL!$C$27, 0.0021, 0)</f>
        <v>35.846199999999996</v>
      </c>
      <c r="J221" s="17">
        <f>35.8441 * CHOOSE(CONTROL!$C$9, $D$9, 100%, $F$9) + CHOOSE(CONTROL!$C$27, 0.0021, 0)</f>
        <v>35.846199999999996</v>
      </c>
      <c r="K221" s="17">
        <f>35.8441 * CHOOSE(CONTROL!$C$9, $D$9, 100%, $F$9) + CHOOSE(CONTROL!$C$27, 0.0021, 0)</f>
        <v>35.846199999999996</v>
      </c>
      <c r="L221" s="17"/>
    </row>
    <row r="222" spans="1:12" ht="15" x14ac:dyDescent="0.2">
      <c r="A222" s="16">
        <v>47300</v>
      </c>
      <c r="B222" s="17">
        <f>37.03 * CHOOSE(CONTROL!$C$9, $D$9, 100%, $F$9) + CHOOSE(CONTROL!$C$27, 0.0021, 0)</f>
        <v>37.0321</v>
      </c>
      <c r="C222" s="17">
        <f>36.5978 * CHOOSE(CONTROL!$C$9, $D$9, 100%, $F$9) + CHOOSE(CONTROL!$C$27, 0.0021, 0)</f>
        <v>36.599899999999998</v>
      </c>
      <c r="D222" s="17">
        <f>36.5978 * CHOOSE(CONTROL!$C$9, $D$9, 100%, $F$9) + CHOOSE(CONTROL!$C$27, 0.0021, 0)</f>
        <v>36.599899999999998</v>
      </c>
      <c r="E222" s="17">
        <f>36.4611 * CHOOSE(CONTROL!$C$9, $D$9, 100%, $F$9) + CHOOSE(CONTROL!$C$27, 0.0021, 0)</f>
        <v>36.463200000000001</v>
      </c>
      <c r="F222" s="17">
        <f>36.4611 * CHOOSE(CONTROL!$C$9, $D$9, 100%, $F$9) + CHOOSE(CONTROL!$C$27, 0.0021, 0)</f>
        <v>36.463200000000001</v>
      </c>
      <c r="G222" s="17">
        <f>36.7325 * CHOOSE(CONTROL!$C$9, $D$9, 100%, $F$9) + CHOOSE(CONTROL!$C$27, 0.0021, 0)</f>
        <v>36.7346</v>
      </c>
      <c r="H222" s="17">
        <f>36.5978 * CHOOSE(CONTROL!$C$9, $D$9, 100%, $F$9) + CHOOSE(CONTROL!$C$27, 0.0021, 0)</f>
        <v>36.599899999999998</v>
      </c>
      <c r="I222" s="17">
        <f>36.5978 * CHOOSE(CONTROL!$C$9, $D$9, 100%, $F$9) + CHOOSE(CONTROL!$C$27, 0.0021, 0)</f>
        <v>36.599899999999998</v>
      </c>
      <c r="J222" s="17">
        <f>36.5978 * CHOOSE(CONTROL!$C$9, $D$9, 100%, $F$9) + CHOOSE(CONTROL!$C$27, 0.0021, 0)</f>
        <v>36.599899999999998</v>
      </c>
      <c r="K222" s="17">
        <f>36.5978 * CHOOSE(CONTROL!$C$9, $D$9, 100%, $F$9) + CHOOSE(CONTROL!$C$27, 0.0021, 0)</f>
        <v>36.599899999999998</v>
      </c>
      <c r="L222" s="17"/>
    </row>
    <row r="223" spans="1:12" ht="15" x14ac:dyDescent="0.2">
      <c r="A223" s="16">
        <v>47331</v>
      </c>
      <c r="B223" s="17">
        <f>37.3107 * CHOOSE(CONTROL!$C$9, $D$9, 100%, $F$9) + CHOOSE(CONTROL!$C$27, 0.0021, 0)</f>
        <v>37.312799999999996</v>
      </c>
      <c r="C223" s="17">
        <f>36.8785 * CHOOSE(CONTROL!$C$9, $D$9, 100%, $F$9) + CHOOSE(CONTROL!$C$27, 0.0021, 0)</f>
        <v>36.880600000000001</v>
      </c>
      <c r="D223" s="17">
        <f>36.8785 * CHOOSE(CONTROL!$C$9, $D$9, 100%, $F$9) + CHOOSE(CONTROL!$C$27, 0.0021, 0)</f>
        <v>36.880600000000001</v>
      </c>
      <c r="E223" s="17">
        <f>36.7418 * CHOOSE(CONTROL!$C$9, $D$9, 100%, $F$9) + CHOOSE(CONTROL!$C$27, 0.0021, 0)</f>
        <v>36.743899999999996</v>
      </c>
      <c r="F223" s="17">
        <f>36.7418 * CHOOSE(CONTROL!$C$9, $D$9, 100%, $F$9) + CHOOSE(CONTROL!$C$27, 0.0021, 0)</f>
        <v>36.743899999999996</v>
      </c>
      <c r="G223" s="17">
        <f>37.0132 * CHOOSE(CONTROL!$C$9, $D$9, 100%, $F$9) + CHOOSE(CONTROL!$C$27, 0.0021, 0)</f>
        <v>37.015299999999996</v>
      </c>
      <c r="H223" s="17">
        <f>36.8785 * CHOOSE(CONTROL!$C$9, $D$9, 100%, $F$9) + CHOOSE(CONTROL!$C$27, 0.0021, 0)</f>
        <v>36.880600000000001</v>
      </c>
      <c r="I223" s="17">
        <f>36.8785 * CHOOSE(CONTROL!$C$9, $D$9, 100%, $F$9) + CHOOSE(CONTROL!$C$27, 0.0021, 0)</f>
        <v>36.880600000000001</v>
      </c>
      <c r="J223" s="17">
        <f>36.8785 * CHOOSE(CONTROL!$C$9, $D$9, 100%, $F$9) + CHOOSE(CONTROL!$C$27, 0.0021, 0)</f>
        <v>36.880600000000001</v>
      </c>
      <c r="K223" s="17">
        <f>36.8785 * CHOOSE(CONTROL!$C$9, $D$9, 100%, $F$9) + CHOOSE(CONTROL!$C$27, 0.0021, 0)</f>
        <v>36.880600000000001</v>
      </c>
      <c r="L223" s="17"/>
    </row>
    <row r="224" spans="1:12" ht="15" x14ac:dyDescent="0.2">
      <c r="A224" s="16">
        <v>47362</v>
      </c>
      <c r="B224" s="17">
        <f>38.0964 * CHOOSE(CONTROL!$C$9, $D$9, 100%, $F$9) + CHOOSE(CONTROL!$C$27, 0.0021, 0)</f>
        <v>38.098500000000001</v>
      </c>
      <c r="C224" s="17">
        <f>37.6642 * CHOOSE(CONTROL!$C$9, $D$9, 100%, $F$9) + CHOOSE(CONTROL!$C$27, 0.0021, 0)</f>
        <v>37.6663</v>
      </c>
      <c r="D224" s="17">
        <f>37.6642 * CHOOSE(CONTROL!$C$9, $D$9, 100%, $F$9) + CHOOSE(CONTROL!$C$27, 0.0021, 0)</f>
        <v>37.6663</v>
      </c>
      <c r="E224" s="17">
        <f>37.5275 * CHOOSE(CONTROL!$C$9, $D$9, 100%, $F$9) + CHOOSE(CONTROL!$C$27, 0.0021, 0)</f>
        <v>37.529600000000002</v>
      </c>
      <c r="F224" s="17">
        <f>37.5275 * CHOOSE(CONTROL!$C$9, $D$9, 100%, $F$9) + CHOOSE(CONTROL!$C$27, 0.0021, 0)</f>
        <v>37.529600000000002</v>
      </c>
      <c r="G224" s="17">
        <f>37.7989 * CHOOSE(CONTROL!$C$9, $D$9, 100%, $F$9) + CHOOSE(CONTROL!$C$27, 0.0021, 0)</f>
        <v>37.801000000000002</v>
      </c>
      <c r="H224" s="17">
        <f>37.6642 * CHOOSE(CONTROL!$C$9, $D$9, 100%, $F$9) + CHOOSE(CONTROL!$C$27, 0.0021, 0)</f>
        <v>37.6663</v>
      </c>
      <c r="I224" s="17">
        <f>37.6642 * CHOOSE(CONTROL!$C$9, $D$9, 100%, $F$9) + CHOOSE(CONTROL!$C$27, 0.0021, 0)</f>
        <v>37.6663</v>
      </c>
      <c r="J224" s="17">
        <f>37.6642 * CHOOSE(CONTROL!$C$9, $D$9, 100%, $F$9) + CHOOSE(CONTROL!$C$27, 0.0021, 0)</f>
        <v>37.6663</v>
      </c>
      <c r="K224" s="17">
        <f>37.6642 * CHOOSE(CONTROL!$C$9, $D$9, 100%, $F$9) + CHOOSE(CONTROL!$C$27, 0.0021, 0)</f>
        <v>37.6663</v>
      </c>
      <c r="L224" s="17"/>
    </row>
    <row r="225" spans="1:12" ht="15" x14ac:dyDescent="0.2">
      <c r="A225" s="16">
        <v>47392</v>
      </c>
      <c r="B225" s="17">
        <f>39.0753 * CHOOSE(CONTROL!$C$9, $D$9, 100%, $F$9) + CHOOSE(CONTROL!$C$27, 0.0021, 0)</f>
        <v>39.077399999999997</v>
      </c>
      <c r="C225" s="17">
        <f>38.643 * CHOOSE(CONTROL!$C$9, $D$9, 100%, $F$9) + CHOOSE(CONTROL!$C$27, 0.0021, 0)</f>
        <v>38.645099999999999</v>
      </c>
      <c r="D225" s="17">
        <f>38.643 * CHOOSE(CONTROL!$C$9, $D$9, 100%, $F$9) + CHOOSE(CONTROL!$C$27, 0.0021, 0)</f>
        <v>38.645099999999999</v>
      </c>
      <c r="E225" s="17">
        <f>38.5064 * CHOOSE(CONTROL!$C$9, $D$9, 100%, $F$9) + CHOOSE(CONTROL!$C$27, 0.0021, 0)</f>
        <v>38.508499999999998</v>
      </c>
      <c r="F225" s="17">
        <f>38.5064 * CHOOSE(CONTROL!$C$9, $D$9, 100%, $F$9) + CHOOSE(CONTROL!$C$27, 0.0021, 0)</f>
        <v>38.508499999999998</v>
      </c>
      <c r="G225" s="17">
        <f>38.7777 * CHOOSE(CONTROL!$C$9, $D$9, 100%, $F$9) + CHOOSE(CONTROL!$C$27, 0.0021, 0)</f>
        <v>38.779800000000002</v>
      </c>
      <c r="H225" s="17">
        <f>38.643 * CHOOSE(CONTROL!$C$9, $D$9, 100%, $F$9) + CHOOSE(CONTROL!$C$27, 0.0021, 0)</f>
        <v>38.645099999999999</v>
      </c>
      <c r="I225" s="17">
        <f>38.643 * CHOOSE(CONTROL!$C$9, $D$9, 100%, $F$9) + CHOOSE(CONTROL!$C$27, 0.0021, 0)</f>
        <v>38.645099999999999</v>
      </c>
      <c r="J225" s="17">
        <f>38.643 * CHOOSE(CONTROL!$C$9, $D$9, 100%, $F$9) + CHOOSE(CONTROL!$C$27, 0.0021, 0)</f>
        <v>38.645099999999999</v>
      </c>
      <c r="K225" s="17">
        <f>38.643 * CHOOSE(CONTROL!$C$9, $D$9, 100%, $F$9) + CHOOSE(CONTROL!$C$27, 0.0021, 0)</f>
        <v>38.645099999999999</v>
      </c>
      <c r="L225" s="17"/>
    </row>
    <row r="226" spans="1:12" ht="15" x14ac:dyDescent="0.2">
      <c r="A226" s="16">
        <v>47423</v>
      </c>
      <c r="B226" s="17">
        <f>39.2362 * CHOOSE(CONTROL!$C$9, $D$9, 100%, $F$9) + CHOOSE(CONTROL!$C$27, 0.0021, 0)</f>
        <v>39.238299999999995</v>
      </c>
      <c r="C226" s="17">
        <f>38.8039 * CHOOSE(CONTROL!$C$9, $D$9, 100%, $F$9) + CHOOSE(CONTROL!$C$27, 0.0021, 0)</f>
        <v>38.805999999999997</v>
      </c>
      <c r="D226" s="17">
        <f>38.8039 * CHOOSE(CONTROL!$C$9, $D$9, 100%, $F$9) + CHOOSE(CONTROL!$C$27, 0.0021, 0)</f>
        <v>38.805999999999997</v>
      </c>
      <c r="E226" s="17">
        <f>38.6673 * CHOOSE(CONTROL!$C$9, $D$9, 100%, $F$9) + CHOOSE(CONTROL!$C$27, 0.0021, 0)</f>
        <v>38.669399999999996</v>
      </c>
      <c r="F226" s="17">
        <f>38.6673 * CHOOSE(CONTROL!$C$9, $D$9, 100%, $F$9) + CHOOSE(CONTROL!$C$27, 0.0021, 0)</f>
        <v>38.669399999999996</v>
      </c>
      <c r="G226" s="17">
        <f>38.9386 * CHOOSE(CONTROL!$C$9, $D$9, 100%, $F$9) + CHOOSE(CONTROL!$C$27, 0.0021, 0)</f>
        <v>38.9407</v>
      </c>
      <c r="H226" s="17">
        <f>38.8039 * CHOOSE(CONTROL!$C$9, $D$9, 100%, $F$9) + CHOOSE(CONTROL!$C$27, 0.0021, 0)</f>
        <v>38.805999999999997</v>
      </c>
      <c r="I226" s="17">
        <f>38.8039 * CHOOSE(CONTROL!$C$9, $D$9, 100%, $F$9) + CHOOSE(CONTROL!$C$27, 0.0021, 0)</f>
        <v>38.805999999999997</v>
      </c>
      <c r="J226" s="17">
        <f>38.8039 * CHOOSE(CONTROL!$C$9, $D$9, 100%, $F$9) + CHOOSE(CONTROL!$C$27, 0.0021, 0)</f>
        <v>38.805999999999997</v>
      </c>
      <c r="K226" s="17">
        <f>38.8039 * CHOOSE(CONTROL!$C$9, $D$9, 100%, $F$9) + CHOOSE(CONTROL!$C$27, 0.0021, 0)</f>
        <v>38.805999999999997</v>
      </c>
      <c r="L226" s="17"/>
    </row>
    <row r="227" spans="1:12" ht="15" x14ac:dyDescent="0.2">
      <c r="A227" s="16">
        <v>47453</v>
      </c>
      <c r="B227" s="17">
        <f>38.5864 * CHOOSE(CONTROL!$C$9, $D$9, 100%, $F$9) + CHOOSE(CONTROL!$C$27, 0.0021, 0)</f>
        <v>38.588499999999996</v>
      </c>
      <c r="C227" s="17">
        <f>38.1541 * CHOOSE(CONTROL!$C$9, $D$9, 100%, $F$9) + CHOOSE(CONTROL!$C$27, 0.0021, 0)</f>
        <v>38.156199999999998</v>
      </c>
      <c r="D227" s="17">
        <f>38.1541 * CHOOSE(CONTROL!$C$9, $D$9, 100%, $F$9) + CHOOSE(CONTROL!$C$27, 0.0021, 0)</f>
        <v>38.156199999999998</v>
      </c>
      <c r="E227" s="17">
        <f>38.0175 * CHOOSE(CONTROL!$C$9, $D$9, 100%, $F$9) + CHOOSE(CONTROL!$C$27, 0.0021, 0)</f>
        <v>38.019599999999997</v>
      </c>
      <c r="F227" s="17">
        <f>38.0175 * CHOOSE(CONTROL!$C$9, $D$9, 100%, $F$9) + CHOOSE(CONTROL!$C$27, 0.0021, 0)</f>
        <v>38.019599999999997</v>
      </c>
      <c r="G227" s="17">
        <f>38.2889 * CHOOSE(CONTROL!$C$9, $D$9, 100%, $F$9) + CHOOSE(CONTROL!$C$27, 0.0021, 0)</f>
        <v>38.290999999999997</v>
      </c>
      <c r="H227" s="17">
        <f>38.1541 * CHOOSE(CONTROL!$C$9, $D$9, 100%, $F$9) + CHOOSE(CONTROL!$C$27, 0.0021, 0)</f>
        <v>38.156199999999998</v>
      </c>
      <c r="I227" s="17">
        <f>38.1541 * CHOOSE(CONTROL!$C$9, $D$9, 100%, $F$9) + CHOOSE(CONTROL!$C$27, 0.0021, 0)</f>
        <v>38.156199999999998</v>
      </c>
      <c r="J227" s="17">
        <f>38.1541 * CHOOSE(CONTROL!$C$9, $D$9, 100%, $F$9) + CHOOSE(CONTROL!$C$27, 0.0021, 0)</f>
        <v>38.156199999999998</v>
      </c>
      <c r="K227" s="17">
        <f>38.1541 * CHOOSE(CONTROL!$C$9, $D$9, 100%, $F$9) + CHOOSE(CONTROL!$C$27, 0.0021, 0)</f>
        <v>38.156199999999998</v>
      </c>
      <c r="L227" s="17"/>
    </row>
    <row r="228" spans="1:12" ht="15" x14ac:dyDescent="0.2">
      <c r="A228" s="16">
        <v>47484</v>
      </c>
      <c r="B228" s="17">
        <f>37.4841 * CHOOSE(CONTROL!$C$9, $D$9, 100%, $F$9) + CHOOSE(CONTROL!$C$27, 0.0021, 0)</f>
        <v>37.486199999999997</v>
      </c>
      <c r="C228" s="17">
        <f>37.0519 * CHOOSE(CONTROL!$C$9, $D$9, 100%, $F$9) + CHOOSE(CONTROL!$C$27, 0.0021, 0)</f>
        <v>37.054000000000002</v>
      </c>
      <c r="D228" s="17">
        <f>37.0519 * CHOOSE(CONTROL!$C$9, $D$9, 100%, $F$9) + CHOOSE(CONTROL!$C$27, 0.0021, 0)</f>
        <v>37.054000000000002</v>
      </c>
      <c r="E228" s="17">
        <f>36.9152 * CHOOSE(CONTROL!$C$9, $D$9, 100%, $F$9) + CHOOSE(CONTROL!$C$27, 0.0021, 0)</f>
        <v>36.917299999999997</v>
      </c>
      <c r="F228" s="17">
        <f>36.9152 * CHOOSE(CONTROL!$C$9, $D$9, 100%, $F$9) + CHOOSE(CONTROL!$C$27, 0.0021, 0)</f>
        <v>36.917299999999997</v>
      </c>
      <c r="G228" s="17">
        <f>37.1866 * CHOOSE(CONTROL!$C$9, $D$9, 100%, $F$9) + CHOOSE(CONTROL!$C$27, 0.0021, 0)</f>
        <v>37.188699999999997</v>
      </c>
      <c r="H228" s="17">
        <f>37.0519 * CHOOSE(CONTROL!$C$9, $D$9, 100%, $F$9) + CHOOSE(CONTROL!$C$27, 0.0021, 0)</f>
        <v>37.054000000000002</v>
      </c>
      <c r="I228" s="17">
        <f>37.0519 * CHOOSE(CONTROL!$C$9, $D$9, 100%, $F$9) + CHOOSE(CONTROL!$C$27, 0.0021, 0)</f>
        <v>37.054000000000002</v>
      </c>
      <c r="J228" s="17">
        <f>37.0519 * CHOOSE(CONTROL!$C$9, $D$9, 100%, $F$9) + CHOOSE(CONTROL!$C$27, 0.0021, 0)</f>
        <v>37.054000000000002</v>
      </c>
      <c r="K228" s="17">
        <f>37.0519 * CHOOSE(CONTROL!$C$9, $D$9, 100%, $F$9) + CHOOSE(CONTROL!$C$27, 0.0021, 0)</f>
        <v>37.054000000000002</v>
      </c>
      <c r="L228" s="17"/>
    </row>
    <row r="229" spans="1:12" ht="15" x14ac:dyDescent="0.2">
      <c r="A229" s="16">
        <v>47515</v>
      </c>
      <c r="B229" s="17">
        <f>36.5592 * CHOOSE(CONTROL!$C$9, $D$9, 100%, $F$9) + CHOOSE(CONTROL!$C$27, 0.0021, 0)</f>
        <v>36.561299999999996</v>
      </c>
      <c r="C229" s="17">
        <f>36.1269 * CHOOSE(CONTROL!$C$9, $D$9, 100%, $F$9) + CHOOSE(CONTROL!$C$27, 0.0021, 0)</f>
        <v>36.128999999999998</v>
      </c>
      <c r="D229" s="17">
        <f>36.1269 * CHOOSE(CONTROL!$C$9, $D$9, 100%, $F$9) + CHOOSE(CONTROL!$C$27, 0.0021, 0)</f>
        <v>36.128999999999998</v>
      </c>
      <c r="E229" s="17">
        <f>35.9903 * CHOOSE(CONTROL!$C$9, $D$9, 100%, $F$9) + CHOOSE(CONTROL!$C$27, 0.0021, 0)</f>
        <v>35.992399999999996</v>
      </c>
      <c r="F229" s="17">
        <f>35.9903 * CHOOSE(CONTROL!$C$9, $D$9, 100%, $F$9) + CHOOSE(CONTROL!$C$27, 0.0021, 0)</f>
        <v>35.992399999999996</v>
      </c>
      <c r="G229" s="17">
        <f>36.2616 * CHOOSE(CONTROL!$C$9, $D$9, 100%, $F$9) + CHOOSE(CONTROL!$C$27, 0.0021, 0)</f>
        <v>36.2637</v>
      </c>
      <c r="H229" s="17">
        <f>36.1269 * CHOOSE(CONTROL!$C$9, $D$9, 100%, $F$9) + CHOOSE(CONTROL!$C$27, 0.0021, 0)</f>
        <v>36.128999999999998</v>
      </c>
      <c r="I229" s="17">
        <f>36.1269 * CHOOSE(CONTROL!$C$9, $D$9, 100%, $F$9) + CHOOSE(CONTROL!$C$27, 0.0021, 0)</f>
        <v>36.128999999999998</v>
      </c>
      <c r="J229" s="17">
        <f>36.1269 * CHOOSE(CONTROL!$C$9, $D$9, 100%, $F$9) + CHOOSE(CONTROL!$C$27, 0.0021, 0)</f>
        <v>36.128999999999998</v>
      </c>
      <c r="K229" s="17">
        <f>36.1269 * CHOOSE(CONTROL!$C$9, $D$9, 100%, $F$9) + CHOOSE(CONTROL!$C$27, 0.0021, 0)</f>
        <v>36.128999999999998</v>
      </c>
      <c r="L229" s="17"/>
    </row>
    <row r="230" spans="1:12" ht="15" x14ac:dyDescent="0.2">
      <c r="A230" s="16">
        <v>47543</v>
      </c>
      <c r="B230" s="17">
        <f>36.2171 * CHOOSE(CONTROL!$C$9, $D$9, 100%, $F$9) + CHOOSE(CONTROL!$C$27, 0.0021, 0)</f>
        <v>36.219200000000001</v>
      </c>
      <c r="C230" s="17">
        <f>35.7849 * CHOOSE(CONTROL!$C$9, $D$9, 100%, $F$9) + CHOOSE(CONTROL!$C$27, 0.0021, 0)</f>
        <v>35.786999999999999</v>
      </c>
      <c r="D230" s="17">
        <f>35.7849 * CHOOSE(CONTROL!$C$9, $D$9, 100%, $F$9) + CHOOSE(CONTROL!$C$27, 0.0021, 0)</f>
        <v>35.786999999999999</v>
      </c>
      <c r="E230" s="17">
        <f>35.6482 * CHOOSE(CONTROL!$C$9, $D$9, 100%, $F$9) + CHOOSE(CONTROL!$C$27, 0.0021, 0)</f>
        <v>35.650300000000001</v>
      </c>
      <c r="F230" s="17">
        <f>35.6482 * CHOOSE(CONTROL!$C$9, $D$9, 100%, $F$9) + CHOOSE(CONTROL!$C$27, 0.0021, 0)</f>
        <v>35.650300000000001</v>
      </c>
      <c r="G230" s="17">
        <f>35.9196 * CHOOSE(CONTROL!$C$9, $D$9, 100%, $F$9) + CHOOSE(CONTROL!$C$27, 0.0021, 0)</f>
        <v>35.921700000000001</v>
      </c>
      <c r="H230" s="17">
        <f>35.7849 * CHOOSE(CONTROL!$C$9, $D$9, 100%, $F$9) + CHOOSE(CONTROL!$C$27, 0.0021, 0)</f>
        <v>35.786999999999999</v>
      </c>
      <c r="I230" s="17">
        <f>35.7849 * CHOOSE(CONTROL!$C$9, $D$9, 100%, $F$9) + CHOOSE(CONTROL!$C$27, 0.0021, 0)</f>
        <v>35.786999999999999</v>
      </c>
      <c r="J230" s="17">
        <f>35.7849 * CHOOSE(CONTROL!$C$9, $D$9, 100%, $F$9) + CHOOSE(CONTROL!$C$27, 0.0021, 0)</f>
        <v>35.786999999999999</v>
      </c>
      <c r="K230" s="17">
        <f>35.7849 * CHOOSE(CONTROL!$C$9, $D$9, 100%, $F$9) + CHOOSE(CONTROL!$C$27, 0.0021, 0)</f>
        <v>35.786999999999999</v>
      </c>
      <c r="L230" s="17"/>
    </row>
    <row r="231" spans="1:12" ht="15" x14ac:dyDescent="0.2">
      <c r="A231" s="16">
        <v>47574</v>
      </c>
      <c r="B231" s="17">
        <f>35.7934 * CHOOSE(CONTROL!$C$9, $D$9, 100%, $F$9) + CHOOSE(CONTROL!$C$27, 0.0021, 0)</f>
        <v>35.795499999999997</v>
      </c>
      <c r="C231" s="17">
        <f>35.3611 * CHOOSE(CONTROL!$C$9, $D$9, 100%, $F$9) + CHOOSE(CONTROL!$C$27, 0.0021, 0)</f>
        <v>35.363199999999999</v>
      </c>
      <c r="D231" s="17">
        <f>35.3611 * CHOOSE(CONTROL!$C$9, $D$9, 100%, $F$9) + CHOOSE(CONTROL!$C$27, 0.0021, 0)</f>
        <v>35.363199999999999</v>
      </c>
      <c r="E231" s="17">
        <f>35.2245 * CHOOSE(CONTROL!$C$9, $D$9, 100%, $F$9) + CHOOSE(CONTROL!$C$27, 0.0021, 0)</f>
        <v>35.226599999999998</v>
      </c>
      <c r="F231" s="17">
        <f>35.2245 * CHOOSE(CONTROL!$C$9, $D$9, 100%, $F$9) + CHOOSE(CONTROL!$C$27, 0.0021, 0)</f>
        <v>35.226599999999998</v>
      </c>
      <c r="G231" s="17">
        <f>35.4958 * CHOOSE(CONTROL!$C$9, $D$9, 100%, $F$9) + CHOOSE(CONTROL!$C$27, 0.0021, 0)</f>
        <v>35.497900000000001</v>
      </c>
      <c r="H231" s="17">
        <f>35.3611 * CHOOSE(CONTROL!$C$9, $D$9, 100%, $F$9) + CHOOSE(CONTROL!$C$27, 0.0021, 0)</f>
        <v>35.363199999999999</v>
      </c>
      <c r="I231" s="17">
        <f>35.3611 * CHOOSE(CONTROL!$C$9, $D$9, 100%, $F$9) + CHOOSE(CONTROL!$C$27, 0.0021, 0)</f>
        <v>35.363199999999999</v>
      </c>
      <c r="J231" s="17">
        <f>35.3611 * CHOOSE(CONTROL!$C$9, $D$9, 100%, $F$9) + CHOOSE(CONTROL!$C$27, 0.0021, 0)</f>
        <v>35.363199999999999</v>
      </c>
      <c r="K231" s="17">
        <f>35.3611 * CHOOSE(CONTROL!$C$9, $D$9, 100%, $F$9) + CHOOSE(CONTROL!$C$27, 0.0021, 0)</f>
        <v>35.363199999999999</v>
      </c>
      <c r="L231" s="17"/>
    </row>
    <row r="232" spans="1:12" ht="15" x14ac:dyDescent="0.2">
      <c r="A232" s="16">
        <v>47604</v>
      </c>
      <c r="B232" s="17">
        <f>36.5673 * CHOOSE(CONTROL!$C$9, $D$9, 100%, $F$9) + CHOOSE(CONTROL!$C$27, 0.0021, 0)</f>
        <v>36.569400000000002</v>
      </c>
      <c r="C232" s="17">
        <f>36.1351 * CHOOSE(CONTROL!$C$9, $D$9, 100%, $F$9) + CHOOSE(CONTROL!$C$27, 0.0021, 0)</f>
        <v>36.1372</v>
      </c>
      <c r="D232" s="17">
        <f>36.1351 * CHOOSE(CONTROL!$C$9, $D$9, 100%, $F$9) + CHOOSE(CONTROL!$C$27, 0.0021, 0)</f>
        <v>36.1372</v>
      </c>
      <c r="E232" s="17">
        <f>35.9984 * CHOOSE(CONTROL!$C$9, $D$9, 100%, $F$9) + CHOOSE(CONTROL!$C$27, 0.0021, 0)</f>
        <v>36.000499999999995</v>
      </c>
      <c r="F232" s="17">
        <f>35.9984 * CHOOSE(CONTROL!$C$9, $D$9, 100%, $F$9) + CHOOSE(CONTROL!$C$27, 0.0021, 0)</f>
        <v>36.000499999999995</v>
      </c>
      <c r="G232" s="17">
        <f>36.2698 * CHOOSE(CONTROL!$C$9, $D$9, 100%, $F$9) + CHOOSE(CONTROL!$C$27, 0.0021, 0)</f>
        <v>36.271899999999995</v>
      </c>
      <c r="H232" s="17">
        <f>36.1351 * CHOOSE(CONTROL!$C$9, $D$9, 100%, $F$9) + CHOOSE(CONTROL!$C$27, 0.0021, 0)</f>
        <v>36.1372</v>
      </c>
      <c r="I232" s="17">
        <f>36.1351 * CHOOSE(CONTROL!$C$9, $D$9, 100%, $F$9) + CHOOSE(CONTROL!$C$27, 0.0021, 0)</f>
        <v>36.1372</v>
      </c>
      <c r="J232" s="17">
        <f>36.1351 * CHOOSE(CONTROL!$C$9, $D$9, 100%, $F$9) + CHOOSE(CONTROL!$C$27, 0.0021, 0)</f>
        <v>36.1372</v>
      </c>
      <c r="K232" s="17">
        <f>36.1351 * CHOOSE(CONTROL!$C$9, $D$9, 100%, $F$9) + CHOOSE(CONTROL!$C$27, 0.0021, 0)</f>
        <v>36.1372</v>
      </c>
      <c r="L232" s="17"/>
    </row>
    <row r="233" spans="1:12" ht="15" x14ac:dyDescent="0.2">
      <c r="A233" s="16">
        <v>47635</v>
      </c>
      <c r="B233" s="17">
        <f>37.0611 * CHOOSE(CONTROL!$C$9, $D$9, 100%, $F$9) + CHOOSE(CONTROL!$C$27, 0.0021, 0)</f>
        <v>37.063200000000002</v>
      </c>
      <c r="C233" s="17">
        <f>36.6288 * CHOOSE(CONTROL!$C$9, $D$9, 100%, $F$9) + CHOOSE(CONTROL!$C$27, 0.0021, 0)</f>
        <v>36.630899999999997</v>
      </c>
      <c r="D233" s="17">
        <f>36.6288 * CHOOSE(CONTROL!$C$9, $D$9, 100%, $F$9) + CHOOSE(CONTROL!$C$27, 0.0021, 0)</f>
        <v>36.630899999999997</v>
      </c>
      <c r="E233" s="17">
        <f>36.4922 * CHOOSE(CONTROL!$C$9, $D$9, 100%, $F$9) + CHOOSE(CONTROL!$C$27, 0.0021, 0)</f>
        <v>36.494299999999996</v>
      </c>
      <c r="F233" s="17">
        <f>36.4922 * CHOOSE(CONTROL!$C$9, $D$9, 100%, $F$9) + CHOOSE(CONTROL!$C$27, 0.0021, 0)</f>
        <v>36.494299999999996</v>
      </c>
      <c r="G233" s="17">
        <f>36.7635 * CHOOSE(CONTROL!$C$9, $D$9, 100%, $F$9) + CHOOSE(CONTROL!$C$27, 0.0021, 0)</f>
        <v>36.765599999999999</v>
      </c>
      <c r="H233" s="17">
        <f>36.6288 * CHOOSE(CONTROL!$C$9, $D$9, 100%, $F$9) + CHOOSE(CONTROL!$C$27, 0.0021, 0)</f>
        <v>36.630899999999997</v>
      </c>
      <c r="I233" s="17">
        <f>36.6288 * CHOOSE(CONTROL!$C$9, $D$9, 100%, $F$9) + CHOOSE(CONTROL!$C$27, 0.0021, 0)</f>
        <v>36.630899999999997</v>
      </c>
      <c r="J233" s="17">
        <f>36.6288 * CHOOSE(CONTROL!$C$9, $D$9, 100%, $F$9) + CHOOSE(CONTROL!$C$27, 0.0021, 0)</f>
        <v>36.630899999999997</v>
      </c>
      <c r="K233" s="17">
        <f>36.6288 * CHOOSE(CONTROL!$C$9, $D$9, 100%, $F$9) + CHOOSE(CONTROL!$C$27, 0.0021, 0)</f>
        <v>36.630899999999997</v>
      </c>
      <c r="L233" s="17"/>
    </row>
    <row r="234" spans="1:12" ht="15" x14ac:dyDescent="0.2">
      <c r="A234" s="16">
        <v>47665</v>
      </c>
      <c r="B234" s="17">
        <f>37.8321 * CHOOSE(CONTROL!$C$9, $D$9, 100%, $F$9) + CHOOSE(CONTROL!$C$27, 0.0021, 0)</f>
        <v>37.834199999999996</v>
      </c>
      <c r="C234" s="17">
        <f>37.3999 * CHOOSE(CONTROL!$C$9, $D$9, 100%, $F$9) + CHOOSE(CONTROL!$C$27, 0.0021, 0)</f>
        <v>37.402000000000001</v>
      </c>
      <c r="D234" s="17">
        <f>37.3999 * CHOOSE(CONTROL!$C$9, $D$9, 100%, $F$9) + CHOOSE(CONTROL!$C$27, 0.0021, 0)</f>
        <v>37.402000000000001</v>
      </c>
      <c r="E234" s="17">
        <f>37.2632 * CHOOSE(CONTROL!$C$9, $D$9, 100%, $F$9) + CHOOSE(CONTROL!$C$27, 0.0021, 0)</f>
        <v>37.265299999999996</v>
      </c>
      <c r="F234" s="17">
        <f>37.2632 * CHOOSE(CONTROL!$C$9, $D$9, 100%, $F$9) + CHOOSE(CONTROL!$C$27, 0.0021, 0)</f>
        <v>37.265299999999996</v>
      </c>
      <c r="G234" s="17">
        <f>37.5346 * CHOOSE(CONTROL!$C$9, $D$9, 100%, $F$9) + CHOOSE(CONTROL!$C$27, 0.0021, 0)</f>
        <v>37.536699999999996</v>
      </c>
      <c r="H234" s="17">
        <f>37.3999 * CHOOSE(CONTROL!$C$9, $D$9, 100%, $F$9) + CHOOSE(CONTROL!$C$27, 0.0021, 0)</f>
        <v>37.402000000000001</v>
      </c>
      <c r="I234" s="17">
        <f>37.3999 * CHOOSE(CONTROL!$C$9, $D$9, 100%, $F$9) + CHOOSE(CONTROL!$C$27, 0.0021, 0)</f>
        <v>37.402000000000001</v>
      </c>
      <c r="J234" s="17">
        <f>37.3999 * CHOOSE(CONTROL!$C$9, $D$9, 100%, $F$9) + CHOOSE(CONTROL!$C$27, 0.0021, 0)</f>
        <v>37.402000000000001</v>
      </c>
      <c r="K234" s="17">
        <f>37.3999 * CHOOSE(CONTROL!$C$9, $D$9, 100%, $F$9) + CHOOSE(CONTROL!$C$27, 0.0021, 0)</f>
        <v>37.402000000000001</v>
      </c>
      <c r="L234" s="17"/>
    </row>
    <row r="235" spans="1:12" ht="15" x14ac:dyDescent="0.2">
      <c r="A235" s="16">
        <v>47696</v>
      </c>
      <c r="B235" s="17">
        <f>38.0456 * CHOOSE(CONTROL!$C$9, $D$9, 100%, $F$9) + CHOOSE(CONTROL!$C$27, 0.0021, 0)</f>
        <v>38.047699999999999</v>
      </c>
      <c r="C235" s="17">
        <f>37.6134 * CHOOSE(CONTROL!$C$9, $D$9, 100%, $F$9) + CHOOSE(CONTROL!$C$27, 0.0021, 0)</f>
        <v>37.615499999999997</v>
      </c>
      <c r="D235" s="17">
        <f>37.6134 * CHOOSE(CONTROL!$C$9, $D$9, 100%, $F$9) + CHOOSE(CONTROL!$C$27, 0.0021, 0)</f>
        <v>37.615499999999997</v>
      </c>
      <c r="E235" s="17">
        <f>37.4767 * CHOOSE(CONTROL!$C$9, $D$9, 100%, $F$9) + CHOOSE(CONTROL!$C$27, 0.0021, 0)</f>
        <v>37.4788</v>
      </c>
      <c r="F235" s="17">
        <f>37.4767 * CHOOSE(CONTROL!$C$9, $D$9, 100%, $F$9) + CHOOSE(CONTROL!$C$27, 0.0021, 0)</f>
        <v>37.4788</v>
      </c>
      <c r="G235" s="17">
        <f>37.7481 * CHOOSE(CONTROL!$C$9, $D$9, 100%, $F$9) + CHOOSE(CONTROL!$C$27, 0.0021, 0)</f>
        <v>37.7502</v>
      </c>
      <c r="H235" s="17">
        <f>37.6134 * CHOOSE(CONTROL!$C$9, $D$9, 100%, $F$9) + CHOOSE(CONTROL!$C$27, 0.0021, 0)</f>
        <v>37.615499999999997</v>
      </c>
      <c r="I235" s="17">
        <f>37.6134 * CHOOSE(CONTROL!$C$9, $D$9, 100%, $F$9) + CHOOSE(CONTROL!$C$27, 0.0021, 0)</f>
        <v>37.615499999999997</v>
      </c>
      <c r="J235" s="17">
        <f>37.6134 * CHOOSE(CONTROL!$C$9, $D$9, 100%, $F$9) + CHOOSE(CONTROL!$C$27, 0.0021, 0)</f>
        <v>37.615499999999997</v>
      </c>
      <c r="K235" s="17">
        <f>37.6134 * CHOOSE(CONTROL!$C$9, $D$9, 100%, $F$9) + CHOOSE(CONTROL!$C$27, 0.0021, 0)</f>
        <v>37.615499999999997</v>
      </c>
      <c r="L235" s="17"/>
    </row>
    <row r="236" spans="1:12" ht="15" x14ac:dyDescent="0.2">
      <c r="A236" s="16">
        <v>47727</v>
      </c>
      <c r="B236" s="17">
        <f>38.7727 * CHOOSE(CONTROL!$C$9, $D$9, 100%, $F$9) + CHOOSE(CONTROL!$C$27, 0.0021, 0)</f>
        <v>38.774799999999999</v>
      </c>
      <c r="C236" s="17">
        <f>38.3404 * CHOOSE(CONTROL!$C$9, $D$9, 100%, $F$9) + CHOOSE(CONTROL!$C$27, 0.0021, 0)</f>
        <v>38.342500000000001</v>
      </c>
      <c r="D236" s="17">
        <f>38.3404 * CHOOSE(CONTROL!$C$9, $D$9, 100%, $F$9) + CHOOSE(CONTROL!$C$27, 0.0021, 0)</f>
        <v>38.342500000000001</v>
      </c>
      <c r="E236" s="17">
        <f>38.2038 * CHOOSE(CONTROL!$C$9, $D$9, 100%, $F$9) + CHOOSE(CONTROL!$C$27, 0.0021, 0)</f>
        <v>38.2059</v>
      </c>
      <c r="F236" s="17">
        <f>38.2038 * CHOOSE(CONTROL!$C$9, $D$9, 100%, $F$9) + CHOOSE(CONTROL!$C$27, 0.0021, 0)</f>
        <v>38.2059</v>
      </c>
      <c r="G236" s="17">
        <f>38.4751 * CHOOSE(CONTROL!$C$9, $D$9, 100%, $F$9) + CHOOSE(CONTROL!$C$27, 0.0021, 0)</f>
        <v>38.477199999999996</v>
      </c>
      <c r="H236" s="17">
        <f>38.3404 * CHOOSE(CONTROL!$C$9, $D$9, 100%, $F$9) + CHOOSE(CONTROL!$C$27, 0.0021, 0)</f>
        <v>38.342500000000001</v>
      </c>
      <c r="I236" s="17">
        <f>38.3404 * CHOOSE(CONTROL!$C$9, $D$9, 100%, $F$9) + CHOOSE(CONTROL!$C$27, 0.0021, 0)</f>
        <v>38.342500000000001</v>
      </c>
      <c r="J236" s="17">
        <f>38.3404 * CHOOSE(CONTROL!$C$9, $D$9, 100%, $F$9) + CHOOSE(CONTROL!$C$27, 0.0021, 0)</f>
        <v>38.342500000000001</v>
      </c>
      <c r="K236" s="17">
        <f>38.3404 * CHOOSE(CONTROL!$C$9, $D$9, 100%, $F$9) + CHOOSE(CONTROL!$C$27, 0.0021, 0)</f>
        <v>38.342500000000001</v>
      </c>
      <c r="L236" s="17"/>
    </row>
    <row r="237" spans="1:12" ht="15" x14ac:dyDescent="0.2">
      <c r="A237" s="16">
        <v>47757</v>
      </c>
      <c r="B237" s="17">
        <f>39.693 * CHOOSE(CONTROL!$C$9, $D$9, 100%, $F$9) + CHOOSE(CONTROL!$C$27, 0.0021, 0)</f>
        <v>39.695099999999996</v>
      </c>
      <c r="C237" s="17">
        <f>39.2607 * CHOOSE(CONTROL!$C$9, $D$9, 100%, $F$9) + CHOOSE(CONTROL!$C$27, 0.0021, 0)</f>
        <v>39.262799999999999</v>
      </c>
      <c r="D237" s="17">
        <f>39.2607 * CHOOSE(CONTROL!$C$9, $D$9, 100%, $F$9) + CHOOSE(CONTROL!$C$27, 0.0021, 0)</f>
        <v>39.262799999999999</v>
      </c>
      <c r="E237" s="17">
        <f>39.1241 * CHOOSE(CONTROL!$C$9, $D$9, 100%, $F$9) + CHOOSE(CONTROL!$C$27, 0.0021, 0)</f>
        <v>39.126199999999997</v>
      </c>
      <c r="F237" s="17">
        <f>39.1241 * CHOOSE(CONTROL!$C$9, $D$9, 100%, $F$9) + CHOOSE(CONTROL!$C$27, 0.0021, 0)</f>
        <v>39.126199999999997</v>
      </c>
      <c r="G237" s="17">
        <f>39.3955 * CHOOSE(CONTROL!$C$9, $D$9, 100%, $F$9) + CHOOSE(CONTROL!$C$27, 0.0021, 0)</f>
        <v>39.397599999999997</v>
      </c>
      <c r="H237" s="17">
        <f>39.2607 * CHOOSE(CONTROL!$C$9, $D$9, 100%, $F$9) + CHOOSE(CONTROL!$C$27, 0.0021, 0)</f>
        <v>39.262799999999999</v>
      </c>
      <c r="I237" s="17">
        <f>39.2607 * CHOOSE(CONTROL!$C$9, $D$9, 100%, $F$9) + CHOOSE(CONTROL!$C$27, 0.0021, 0)</f>
        <v>39.262799999999999</v>
      </c>
      <c r="J237" s="17">
        <f>39.2607 * CHOOSE(CONTROL!$C$9, $D$9, 100%, $F$9) + CHOOSE(CONTROL!$C$27, 0.0021, 0)</f>
        <v>39.262799999999999</v>
      </c>
      <c r="K237" s="17">
        <f>39.2607 * CHOOSE(CONTROL!$C$9, $D$9, 100%, $F$9) + CHOOSE(CONTROL!$C$27, 0.0021, 0)</f>
        <v>39.262799999999999</v>
      </c>
      <c r="L237" s="17"/>
    </row>
    <row r="238" spans="1:12" ht="15" x14ac:dyDescent="0.2">
      <c r="A238" s="16">
        <v>47788</v>
      </c>
      <c r="B238" s="17">
        <f>39.7794 * CHOOSE(CONTROL!$C$9, $D$9, 100%, $F$9) + CHOOSE(CONTROL!$C$27, 0.0021, 0)</f>
        <v>39.781500000000001</v>
      </c>
      <c r="C238" s="17">
        <f>39.3471 * CHOOSE(CONTROL!$C$9, $D$9, 100%, $F$9) + CHOOSE(CONTROL!$C$27, 0.0021, 0)</f>
        <v>39.349199999999996</v>
      </c>
      <c r="D238" s="17">
        <f>39.3471 * CHOOSE(CONTROL!$C$9, $D$9, 100%, $F$9) + CHOOSE(CONTROL!$C$27, 0.0021, 0)</f>
        <v>39.349199999999996</v>
      </c>
      <c r="E238" s="17">
        <f>39.2105 * CHOOSE(CONTROL!$C$9, $D$9, 100%, $F$9) + CHOOSE(CONTROL!$C$27, 0.0021, 0)</f>
        <v>39.212600000000002</v>
      </c>
      <c r="F238" s="17">
        <f>39.2105 * CHOOSE(CONTROL!$C$9, $D$9, 100%, $F$9) + CHOOSE(CONTROL!$C$27, 0.0021, 0)</f>
        <v>39.212600000000002</v>
      </c>
      <c r="G238" s="17">
        <f>39.4818 * CHOOSE(CONTROL!$C$9, $D$9, 100%, $F$9) + CHOOSE(CONTROL!$C$27, 0.0021, 0)</f>
        <v>39.483899999999998</v>
      </c>
      <c r="H238" s="17">
        <f>39.3471 * CHOOSE(CONTROL!$C$9, $D$9, 100%, $F$9) + CHOOSE(CONTROL!$C$27, 0.0021, 0)</f>
        <v>39.349199999999996</v>
      </c>
      <c r="I238" s="17">
        <f>39.3471 * CHOOSE(CONTROL!$C$9, $D$9, 100%, $F$9) + CHOOSE(CONTROL!$C$27, 0.0021, 0)</f>
        <v>39.349199999999996</v>
      </c>
      <c r="J238" s="17">
        <f>39.3471 * CHOOSE(CONTROL!$C$9, $D$9, 100%, $F$9) + CHOOSE(CONTROL!$C$27, 0.0021, 0)</f>
        <v>39.349199999999996</v>
      </c>
      <c r="K238" s="17">
        <f>39.3471 * CHOOSE(CONTROL!$C$9, $D$9, 100%, $F$9) + CHOOSE(CONTROL!$C$27, 0.0021, 0)</f>
        <v>39.349199999999996</v>
      </c>
      <c r="L238" s="17"/>
    </row>
    <row r="239" spans="1:12" ht="15" x14ac:dyDescent="0.2">
      <c r="A239" s="16">
        <v>47818</v>
      </c>
      <c r="B239" s="17">
        <f>39.0443 * CHOOSE(CONTROL!$C$9, $D$9, 100%, $F$9) + CHOOSE(CONTROL!$C$27, 0.0021, 0)</f>
        <v>39.046399999999998</v>
      </c>
      <c r="C239" s="17">
        <f>38.6121 * CHOOSE(CONTROL!$C$9, $D$9, 100%, $F$9) + CHOOSE(CONTROL!$C$27, 0.0021, 0)</f>
        <v>38.614199999999997</v>
      </c>
      <c r="D239" s="17">
        <f>38.6121 * CHOOSE(CONTROL!$C$9, $D$9, 100%, $F$9) + CHOOSE(CONTROL!$C$27, 0.0021, 0)</f>
        <v>38.614199999999997</v>
      </c>
      <c r="E239" s="17">
        <f>38.4754 * CHOOSE(CONTROL!$C$9, $D$9, 100%, $F$9) + CHOOSE(CONTROL!$C$27, 0.0021, 0)</f>
        <v>38.477499999999999</v>
      </c>
      <c r="F239" s="17">
        <f>38.4754 * CHOOSE(CONTROL!$C$9, $D$9, 100%, $F$9) + CHOOSE(CONTROL!$C$27, 0.0021, 0)</f>
        <v>38.477499999999999</v>
      </c>
      <c r="G239" s="17">
        <f>38.7468 * CHOOSE(CONTROL!$C$9, $D$9, 100%, $F$9) + CHOOSE(CONTROL!$C$27, 0.0021, 0)</f>
        <v>38.748899999999999</v>
      </c>
      <c r="H239" s="17">
        <f>38.6121 * CHOOSE(CONTROL!$C$9, $D$9, 100%, $F$9) + CHOOSE(CONTROL!$C$27, 0.0021, 0)</f>
        <v>38.614199999999997</v>
      </c>
      <c r="I239" s="17">
        <f>38.6121 * CHOOSE(CONTROL!$C$9, $D$9, 100%, $F$9) + CHOOSE(CONTROL!$C$27, 0.0021, 0)</f>
        <v>38.614199999999997</v>
      </c>
      <c r="J239" s="17">
        <f>38.6121 * CHOOSE(CONTROL!$C$9, $D$9, 100%, $F$9) + CHOOSE(CONTROL!$C$27, 0.0021, 0)</f>
        <v>38.614199999999997</v>
      </c>
      <c r="K239" s="17">
        <f>38.6121 * CHOOSE(CONTROL!$C$9, $D$9, 100%, $F$9) + CHOOSE(CONTROL!$C$27, 0.0021, 0)</f>
        <v>38.614199999999997</v>
      </c>
      <c r="L239" s="17"/>
    </row>
    <row r="240" spans="1:12" ht="15" x14ac:dyDescent="0.2">
      <c r="A240" s="16">
        <v>47849</v>
      </c>
      <c r="B240" s="17">
        <f>38.3126 * CHOOSE(CONTROL!$C$9, $D$9, 100%, $F$9) + CHOOSE(CONTROL!$C$27, 0.0021, 0)</f>
        <v>38.314700000000002</v>
      </c>
      <c r="C240" s="17">
        <f>37.8804 * CHOOSE(CONTROL!$C$9, $D$9, 100%, $F$9) + CHOOSE(CONTROL!$C$27, 0.0021, 0)</f>
        <v>37.8825</v>
      </c>
      <c r="D240" s="17">
        <f>37.8804 * CHOOSE(CONTROL!$C$9, $D$9, 100%, $F$9) + CHOOSE(CONTROL!$C$27, 0.0021, 0)</f>
        <v>37.8825</v>
      </c>
      <c r="E240" s="17">
        <f>37.7437 * CHOOSE(CONTROL!$C$9, $D$9, 100%, $F$9) + CHOOSE(CONTROL!$C$27, 0.0021, 0)</f>
        <v>37.745799999999996</v>
      </c>
      <c r="F240" s="17">
        <f>37.7437 * CHOOSE(CONTROL!$C$9, $D$9, 100%, $F$9) + CHOOSE(CONTROL!$C$27, 0.0021, 0)</f>
        <v>37.745799999999996</v>
      </c>
      <c r="G240" s="17">
        <f>38.0151 * CHOOSE(CONTROL!$C$9, $D$9, 100%, $F$9) + CHOOSE(CONTROL!$C$27, 0.0021, 0)</f>
        <v>38.017199999999995</v>
      </c>
      <c r="H240" s="17">
        <f>37.8804 * CHOOSE(CONTROL!$C$9, $D$9, 100%, $F$9) + CHOOSE(CONTROL!$C$27, 0.0021, 0)</f>
        <v>37.8825</v>
      </c>
      <c r="I240" s="17">
        <f>37.8804 * CHOOSE(CONTROL!$C$9, $D$9, 100%, $F$9) + CHOOSE(CONTROL!$C$27, 0.0021, 0)</f>
        <v>37.8825</v>
      </c>
      <c r="J240" s="17">
        <f>37.8804 * CHOOSE(CONTROL!$C$9, $D$9, 100%, $F$9) + CHOOSE(CONTROL!$C$27, 0.0021, 0)</f>
        <v>37.8825</v>
      </c>
      <c r="K240" s="17">
        <f>37.8804 * CHOOSE(CONTROL!$C$9, $D$9, 100%, $F$9) + CHOOSE(CONTROL!$C$27, 0.0021, 0)</f>
        <v>37.8825</v>
      </c>
      <c r="L240" s="17"/>
    </row>
    <row r="241" spans="1:12" ht="15" x14ac:dyDescent="0.2">
      <c r="A241" s="16">
        <v>47880</v>
      </c>
      <c r="B241" s="17">
        <f>37.2938 * CHOOSE(CONTROL!$C$9, $D$9, 100%, $F$9) + CHOOSE(CONTROL!$C$27, 0.0021, 0)</f>
        <v>37.295899999999996</v>
      </c>
      <c r="C241" s="17">
        <f>36.8615 * CHOOSE(CONTROL!$C$9, $D$9, 100%, $F$9) + CHOOSE(CONTROL!$C$27, 0.0021, 0)</f>
        <v>36.863599999999998</v>
      </c>
      <c r="D241" s="17">
        <f>36.8615 * CHOOSE(CONTROL!$C$9, $D$9, 100%, $F$9) + CHOOSE(CONTROL!$C$27, 0.0021, 0)</f>
        <v>36.863599999999998</v>
      </c>
      <c r="E241" s="17">
        <f>36.7249 * CHOOSE(CONTROL!$C$9, $D$9, 100%, $F$9) + CHOOSE(CONTROL!$C$27, 0.0021, 0)</f>
        <v>36.726999999999997</v>
      </c>
      <c r="F241" s="17">
        <f>36.7249 * CHOOSE(CONTROL!$C$9, $D$9, 100%, $F$9) + CHOOSE(CONTROL!$C$27, 0.0021, 0)</f>
        <v>36.726999999999997</v>
      </c>
      <c r="G241" s="17">
        <f>36.9962 * CHOOSE(CONTROL!$C$9, $D$9, 100%, $F$9) + CHOOSE(CONTROL!$C$27, 0.0021, 0)</f>
        <v>36.9983</v>
      </c>
      <c r="H241" s="17">
        <f>36.8615 * CHOOSE(CONTROL!$C$9, $D$9, 100%, $F$9) + CHOOSE(CONTROL!$C$27, 0.0021, 0)</f>
        <v>36.863599999999998</v>
      </c>
      <c r="I241" s="17">
        <f>36.8615 * CHOOSE(CONTROL!$C$9, $D$9, 100%, $F$9) + CHOOSE(CONTROL!$C$27, 0.0021, 0)</f>
        <v>36.863599999999998</v>
      </c>
      <c r="J241" s="17">
        <f>36.8615 * CHOOSE(CONTROL!$C$9, $D$9, 100%, $F$9) + CHOOSE(CONTROL!$C$27, 0.0021, 0)</f>
        <v>36.863599999999998</v>
      </c>
      <c r="K241" s="17">
        <f>36.8615 * CHOOSE(CONTROL!$C$9, $D$9, 100%, $F$9) + CHOOSE(CONTROL!$C$27, 0.0021, 0)</f>
        <v>36.863599999999998</v>
      </c>
      <c r="L241" s="17"/>
    </row>
    <row r="242" spans="1:12" ht="15" x14ac:dyDescent="0.2">
      <c r="A242" s="16">
        <v>47908</v>
      </c>
      <c r="B242" s="17">
        <f>36.8732 * CHOOSE(CONTROL!$C$9, $D$9, 100%, $F$9) + CHOOSE(CONTROL!$C$27, 0.0021, 0)</f>
        <v>36.875299999999996</v>
      </c>
      <c r="C242" s="17">
        <f>36.441 * CHOOSE(CONTROL!$C$9, $D$9, 100%, $F$9) + CHOOSE(CONTROL!$C$27, 0.0021, 0)</f>
        <v>36.443100000000001</v>
      </c>
      <c r="D242" s="17">
        <f>36.441 * CHOOSE(CONTROL!$C$9, $D$9, 100%, $F$9) + CHOOSE(CONTROL!$C$27, 0.0021, 0)</f>
        <v>36.443100000000001</v>
      </c>
      <c r="E242" s="17">
        <f>36.3043 * CHOOSE(CONTROL!$C$9, $D$9, 100%, $F$9) + CHOOSE(CONTROL!$C$27, 0.0021, 0)</f>
        <v>36.306399999999996</v>
      </c>
      <c r="F242" s="17">
        <f>36.3043 * CHOOSE(CONTROL!$C$9, $D$9, 100%, $F$9) + CHOOSE(CONTROL!$C$27, 0.0021, 0)</f>
        <v>36.306399999999996</v>
      </c>
      <c r="G242" s="17">
        <f>36.5757 * CHOOSE(CONTROL!$C$9, $D$9, 100%, $F$9) + CHOOSE(CONTROL!$C$27, 0.0021, 0)</f>
        <v>36.577799999999996</v>
      </c>
      <c r="H242" s="17">
        <f>36.441 * CHOOSE(CONTROL!$C$9, $D$9, 100%, $F$9) + CHOOSE(CONTROL!$C$27, 0.0021, 0)</f>
        <v>36.443100000000001</v>
      </c>
      <c r="I242" s="17">
        <f>36.441 * CHOOSE(CONTROL!$C$9, $D$9, 100%, $F$9) + CHOOSE(CONTROL!$C$27, 0.0021, 0)</f>
        <v>36.443100000000001</v>
      </c>
      <c r="J242" s="17">
        <f>36.441 * CHOOSE(CONTROL!$C$9, $D$9, 100%, $F$9) + CHOOSE(CONTROL!$C$27, 0.0021, 0)</f>
        <v>36.443100000000001</v>
      </c>
      <c r="K242" s="17">
        <f>36.441 * CHOOSE(CONTROL!$C$9, $D$9, 100%, $F$9) + CHOOSE(CONTROL!$C$27, 0.0021, 0)</f>
        <v>36.443100000000001</v>
      </c>
      <c r="L242" s="17"/>
    </row>
    <row r="243" spans="1:12" ht="15" x14ac:dyDescent="0.2">
      <c r="A243" s="16">
        <v>47939</v>
      </c>
      <c r="B243" s="17">
        <f>36.371 * CHOOSE(CONTROL!$C$9, $D$9, 100%, $F$9) + CHOOSE(CONTROL!$C$27, 0.0021, 0)</f>
        <v>36.373100000000001</v>
      </c>
      <c r="C243" s="17">
        <f>35.9388 * CHOOSE(CONTROL!$C$9, $D$9, 100%, $F$9) + CHOOSE(CONTROL!$C$27, 0.0021, 0)</f>
        <v>35.940899999999999</v>
      </c>
      <c r="D243" s="17">
        <f>35.9388 * CHOOSE(CONTROL!$C$9, $D$9, 100%, $F$9) + CHOOSE(CONTROL!$C$27, 0.0021, 0)</f>
        <v>35.940899999999999</v>
      </c>
      <c r="E243" s="17">
        <f>35.8021 * CHOOSE(CONTROL!$C$9, $D$9, 100%, $F$9) + CHOOSE(CONTROL!$C$27, 0.0021, 0)</f>
        <v>35.804200000000002</v>
      </c>
      <c r="F243" s="17">
        <f>35.8021 * CHOOSE(CONTROL!$C$9, $D$9, 100%, $F$9) + CHOOSE(CONTROL!$C$27, 0.0021, 0)</f>
        <v>35.804200000000002</v>
      </c>
      <c r="G243" s="17">
        <f>36.0735 * CHOOSE(CONTROL!$C$9, $D$9, 100%, $F$9) + CHOOSE(CONTROL!$C$27, 0.0021, 0)</f>
        <v>36.075600000000001</v>
      </c>
      <c r="H243" s="17">
        <f>35.9388 * CHOOSE(CONTROL!$C$9, $D$9, 100%, $F$9) + CHOOSE(CONTROL!$C$27, 0.0021, 0)</f>
        <v>35.940899999999999</v>
      </c>
      <c r="I243" s="17">
        <f>35.9388 * CHOOSE(CONTROL!$C$9, $D$9, 100%, $F$9) + CHOOSE(CONTROL!$C$27, 0.0021, 0)</f>
        <v>35.940899999999999</v>
      </c>
      <c r="J243" s="17">
        <f>35.9388 * CHOOSE(CONTROL!$C$9, $D$9, 100%, $F$9) + CHOOSE(CONTROL!$C$27, 0.0021, 0)</f>
        <v>35.940899999999999</v>
      </c>
      <c r="K243" s="17">
        <f>35.9388 * CHOOSE(CONTROL!$C$9, $D$9, 100%, $F$9) + CHOOSE(CONTROL!$C$27, 0.0021, 0)</f>
        <v>35.940899999999999</v>
      </c>
      <c r="L243" s="17"/>
    </row>
    <row r="244" spans="1:12" ht="15" x14ac:dyDescent="0.2">
      <c r="A244" s="16">
        <v>47969</v>
      </c>
      <c r="B244" s="17">
        <f>37.0867 * CHOOSE(CONTROL!$C$9, $D$9, 100%, $F$9) + CHOOSE(CONTROL!$C$27, 0.0021, 0)</f>
        <v>37.088799999999999</v>
      </c>
      <c r="C244" s="17">
        <f>36.6544 * CHOOSE(CONTROL!$C$9, $D$9, 100%, $F$9) + CHOOSE(CONTROL!$C$27, 0.0021, 0)</f>
        <v>36.656500000000001</v>
      </c>
      <c r="D244" s="17">
        <f>36.6544 * CHOOSE(CONTROL!$C$9, $D$9, 100%, $F$9) + CHOOSE(CONTROL!$C$27, 0.0021, 0)</f>
        <v>36.656500000000001</v>
      </c>
      <c r="E244" s="17">
        <f>36.5178 * CHOOSE(CONTROL!$C$9, $D$9, 100%, $F$9) + CHOOSE(CONTROL!$C$27, 0.0021, 0)</f>
        <v>36.5199</v>
      </c>
      <c r="F244" s="17">
        <f>36.5178 * CHOOSE(CONTROL!$C$9, $D$9, 100%, $F$9) + CHOOSE(CONTROL!$C$27, 0.0021, 0)</f>
        <v>36.5199</v>
      </c>
      <c r="G244" s="17">
        <f>36.7892 * CHOOSE(CONTROL!$C$9, $D$9, 100%, $F$9) + CHOOSE(CONTROL!$C$27, 0.0021, 0)</f>
        <v>36.7913</v>
      </c>
      <c r="H244" s="17">
        <f>36.6544 * CHOOSE(CONTROL!$C$9, $D$9, 100%, $F$9) + CHOOSE(CONTROL!$C$27, 0.0021, 0)</f>
        <v>36.656500000000001</v>
      </c>
      <c r="I244" s="17">
        <f>36.6544 * CHOOSE(CONTROL!$C$9, $D$9, 100%, $F$9) + CHOOSE(CONTROL!$C$27, 0.0021, 0)</f>
        <v>36.656500000000001</v>
      </c>
      <c r="J244" s="17">
        <f>36.6544 * CHOOSE(CONTROL!$C$9, $D$9, 100%, $F$9) + CHOOSE(CONTROL!$C$27, 0.0021, 0)</f>
        <v>36.656500000000001</v>
      </c>
      <c r="K244" s="17">
        <f>36.6544 * CHOOSE(CONTROL!$C$9, $D$9, 100%, $F$9) + CHOOSE(CONTROL!$C$27, 0.0021, 0)</f>
        <v>36.656500000000001</v>
      </c>
      <c r="L244" s="17"/>
    </row>
    <row r="245" spans="1:12" ht="15" x14ac:dyDescent="0.2">
      <c r="A245" s="16">
        <v>48000</v>
      </c>
      <c r="B245" s="17">
        <f>37.5153 * CHOOSE(CONTROL!$C$9, $D$9, 100%, $F$9) + CHOOSE(CONTROL!$C$27, 0.0021, 0)</f>
        <v>37.517400000000002</v>
      </c>
      <c r="C245" s="17">
        <f>37.0831 * CHOOSE(CONTROL!$C$9, $D$9, 100%, $F$9) + CHOOSE(CONTROL!$C$27, 0.0021, 0)</f>
        <v>37.0852</v>
      </c>
      <c r="D245" s="17">
        <f>37.0831 * CHOOSE(CONTROL!$C$9, $D$9, 100%, $F$9) + CHOOSE(CONTROL!$C$27, 0.0021, 0)</f>
        <v>37.0852</v>
      </c>
      <c r="E245" s="17">
        <f>36.9464 * CHOOSE(CONTROL!$C$9, $D$9, 100%, $F$9) + CHOOSE(CONTROL!$C$27, 0.0021, 0)</f>
        <v>36.948499999999996</v>
      </c>
      <c r="F245" s="17">
        <f>36.9464 * CHOOSE(CONTROL!$C$9, $D$9, 100%, $F$9) + CHOOSE(CONTROL!$C$27, 0.0021, 0)</f>
        <v>36.948499999999996</v>
      </c>
      <c r="G245" s="17">
        <f>37.2178 * CHOOSE(CONTROL!$C$9, $D$9, 100%, $F$9) + CHOOSE(CONTROL!$C$27, 0.0021, 0)</f>
        <v>37.219899999999996</v>
      </c>
      <c r="H245" s="17">
        <f>37.0831 * CHOOSE(CONTROL!$C$9, $D$9, 100%, $F$9) + CHOOSE(CONTROL!$C$27, 0.0021, 0)</f>
        <v>37.0852</v>
      </c>
      <c r="I245" s="17">
        <f>37.0831 * CHOOSE(CONTROL!$C$9, $D$9, 100%, $F$9) + CHOOSE(CONTROL!$C$27, 0.0021, 0)</f>
        <v>37.0852</v>
      </c>
      <c r="J245" s="17">
        <f>37.0831 * CHOOSE(CONTROL!$C$9, $D$9, 100%, $F$9) + CHOOSE(CONTROL!$C$27, 0.0021, 0)</f>
        <v>37.0852</v>
      </c>
      <c r="K245" s="17">
        <f>37.0831 * CHOOSE(CONTROL!$C$9, $D$9, 100%, $F$9) + CHOOSE(CONTROL!$C$27, 0.0021, 0)</f>
        <v>37.0852</v>
      </c>
      <c r="L245" s="17"/>
    </row>
    <row r="246" spans="1:12" ht="15" x14ac:dyDescent="0.2">
      <c r="A246" s="16">
        <v>48030</v>
      </c>
      <c r="B246" s="17">
        <f>38.2225 * CHOOSE(CONTROL!$C$9, $D$9, 100%, $F$9) + CHOOSE(CONTROL!$C$27, 0.0021, 0)</f>
        <v>38.224599999999995</v>
      </c>
      <c r="C246" s="17">
        <f>37.7902 * CHOOSE(CONTROL!$C$9, $D$9, 100%, $F$9) + CHOOSE(CONTROL!$C$27, 0.0021, 0)</f>
        <v>37.792299999999997</v>
      </c>
      <c r="D246" s="17">
        <f>37.7902 * CHOOSE(CONTROL!$C$9, $D$9, 100%, $F$9) + CHOOSE(CONTROL!$C$27, 0.0021, 0)</f>
        <v>37.792299999999997</v>
      </c>
      <c r="E246" s="17">
        <f>37.6536 * CHOOSE(CONTROL!$C$9, $D$9, 100%, $F$9) + CHOOSE(CONTROL!$C$27, 0.0021, 0)</f>
        <v>37.655699999999996</v>
      </c>
      <c r="F246" s="17">
        <f>37.6536 * CHOOSE(CONTROL!$C$9, $D$9, 100%, $F$9) + CHOOSE(CONTROL!$C$27, 0.0021, 0)</f>
        <v>37.655699999999996</v>
      </c>
      <c r="G246" s="17">
        <f>37.9249 * CHOOSE(CONTROL!$C$9, $D$9, 100%, $F$9) + CHOOSE(CONTROL!$C$27, 0.0021, 0)</f>
        <v>37.927</v>
      </c>
      <c r="H246" s="17">
        <f>37.7902 * CHOOSE(CONTROL!$C$9, $D$9, 100%, $F$9) + CHOOSE(CONTROL!$C$27, 0.0021, 0)</f>
        <v>37.792299999999997</v>
      </c>
      <c r="I246" s="17">
        <f>37.7902 * CHOOSE(CONTROL!$C$9, $D$9, 100%, $F$9) + CHOOSE(CONTROL!$C$27, 0.0021, 0)</f>
        <v>37.792299999999997</v>
      </c>
      <c r="J246" s="17">
        <f>37.7902 * CHOOSE(CONTROL!$C$9, $D$9, 100%, $F$9) + CHOOSE(CONTROL!$C$27, 0.0021, 0)</f>
        <v>37.792299999999997</v>
      </c>
      <c r="K246" s="17">
        <f>37.7902 * CHOOSE(CONTROL!$C$9, $D$9, 100%, $F$9) + CHOOSE(CONTROL!$C$27, 0.0021, 0)</f>
        <v>37.792299999999997</v>
      </c>
      <c r="L246" s="17"/>
    </row>
    <row r="247" spans="1:12" ht="15" x14ac:dyDescent="0.2">
      <c r="A247" s="16">
        <v>48061</v>
      </c>
      <c r="B247" s="17">
        <f>38.4383 * CHOOSE(CONTROL!$C$9, $D$9, 100%, $F$9) + CHOOSE(CONTROL!$C$27, 0.0021, 0)</f>
        <v>38.440399999999997</v>
      </c>
      <c r="C247" s="17">
        <f>38.0061 * CHOOSE(CONTROL!$C$9, $D$9, 100%, $F$9) + CHOOSE(CONTROL!$C$27, 0.0021, 0)</f>
        <v>38.008200000000002</v>
      </c>
      <c r="D247" s="17">
        <f>38.0061 * CHOOSE(CONTROL!$C$9, $D$9, 100%, $F$9) + CHOOSE(CONTROL!$C$27, 0.0021, 0)</f>
        <v>38.008200000000002</v>
      </c>
      <c r="E247" s="17">
        <f>37.8694 * CHOOSE(CONTROL!$C$9, $D$9, 100%, $F$9) + CHOOSE(CONTROL!$C$27, 0.0021, 0)</f>
        <v>37.871499999999997</v>
      </c>
      <c r="F247" s="17">
        <f>37.8694 * CHOOSE(CONTROL!$C$9, $D$9, 100%, $F$9) + CHOOSE(CONTROL!$C$27, 0.0021, 0)</f>
        <v>37.871499999999997</v>
      </c>
      <c r="G247" s="17">
        <f>38.1408 * CHOOSE(CONTROL!$C$9, $D$9, 100%, $F$9) + CHOOSE(CONTROL!$C$27, 0.0021, 0)</f>
        <v>38.142899999999997</v>
      </c>
      <c r="H247" s="17">
        <f>38.0061 * CHOOSE(CONTROL!$C$9, $D$9, 100%, $F$9) + CHOOSE(CONTROL!$C$27, 0.0021, 0)</f>
        <v>38.008200000000002</v>
      </c>
      <c r="I247" s="17">
        <f>38.0061 * CHOOSE(CONTROL!$C$9, $D$9, 100%, $F$9) + CHOOSE(CONTROL!$C$27, 0.0021, 0)</f>
        <v>38.008200000000002</v>
      </c>
      <c r="J247" s="17">
        <f>38.0061 * CHOOSE(CONTROL!$C$9, $D$9, 100%, $F$9) + CHOOSE(CONTROL!$C$27, 0.0021, 0)</f>
        <v>38.008200000000002</v>
      </c>
      <c r="K247" s="17">
        <f>38.0061 * CHOOSE(CONTROL!$C$9, $D$9, 100%, $F$9) + CHOOSE(CONTROL!$C$27, 0.0021, 0)</f>
        <v>38.008200000000002</v>
      </c>
      <c r="L247" s="17"/>
    </row>
    <row r="248" spans="1:12" ht="15" x14ac:dyDescent="0.2">
      <c r="A248" s="16">
        <v>48092</v>
      </c>
      <c r="B248" s="17">
        <f>39.1733 * CHOOSE(CONTROL!$C$9, $D$9, 100%, $F$9) + CHOOSE(CONTROL!$C$27, 0.0021, 0)</f>
        <v>39.175399999999996</v>
      </c>
      <c r="C248" s="17">
        <f>38.7411 * CHOOSE(CONTROL!$C$9, $D$9, 100%, $F$9) + CHOOSE(CONTROL!$C$27, 0.0021, 0)</f>
        <v>38.743200000000002</v>
      </c>
      <c r="D248" s="17">
        <f>38.7411 * CHOOSE(CONTROL!$C$9, $D$9, 100%, $F$9) + CHOOSE(CONTROL!$C$27, 0.0021, 0)</f>
        <v>38.743200000000002</v>
      </c>
      <c r="E248" s="17">
        <f>38.6044 * CHOOSE(CONTROL!$C$9, $D$9, 100%, $F$9) + CHOOSE(CONTROL!$C$27, 0.0021, 0)</f>
        <v>38.606499999999997</v>
      </c>
      <c r="F248" s="17">
        <f>38.6044 * CHOOSE(CONTROL!$C$9, $D$9, 100%, $F$9) + CHOOSE(CONTROL!$C$27, 0.0021, 0)</f>
        <v>38.606499999999997</v>
      </c>
      <c r="G248" s="17">
        <f>38.8758 * CHOOSE(CONTROL!$C$9, $D$9, 100%, $F$9) + CHOOSE(CONTROL!$C$27, 0.0021, 0)</f>
        <v>38.877899999999997</v>
      </c>
      <c r="H248" s="17">
        <f>38.7411 * CHOOSE(CONTROL!$C$9, $D$9, 100%, $F$9) + CHOOSE(CONTROL!$C$27, 0.0021, 0)</f>
        <v>38.743200000000002</v>
      </c>
      <c r="I248" s="17">
        <f>38.7411 * CHOOSE(CONTROL!$C$9, $D$9, 100%, $F$9) + CHOOSE(CONTROL!$C$27, 0.0021, 0)</f>
        <v>38.743200000000002</v>
      </c>
      <c r="J248" s="17">
        <f>38.7411 * CHOOSE(CONTROL!$C$9, $D$9, 100%, $F$9) + CHOOSE(CONTROL!$C$27, 0.0021, 0)</f>
        <v>38.743200000000002</v>
      </c>
      <c r="K248" s="17">
        <f>38.7411 * CHOOSE(CONTROL!$C$9, $D$9, 100%, $F$9) + CHOOSE(CONTROL!$C$27, 0.0021, 0)</f>
        <v>38.743200000000002</v>
      </c>
      <c r="L248" s="17"/>
    </row>
    <row r="249" spans="1:12" ht="15" x14ac:dyDescent="0.2">
      <c r="A249" s="16">
        <v>48122</v>
      </c>
      <c r="B249" s="17">
        <f>40.1037 * CHOOSE(CONTROL!$C$9, $D$9, 100%, $F$9) + CHOOSE(CONTROL!$C$27, 0.0021, 0)</f>
        <v>40.105800000000002</v>
      </c>
      <c r="C249" s="17">
        <f>39.6715 * CHOOSE(CONTROL!$C$9, $D$9, 100%, $F$9) + CHOOSE(CONTROL!$C$27, 0.0021, 0)</f>
        <v>39.6736</v>
      </c>
      <c r="D249" s="17">
        <f>39.6715 * CHOOSE(CONTROL!$C$9, $D$9, 100%, $F$9) + CHOOSE(CONTROL!$C$27, 0.0021, 0)</f>
        <v>39.6736</v>
      </c>
      <c r="E249" s="17">
        <f>39.5348 * CHOOSE(CONTROL!$C$9, $D$9, 100%, $F$9) + CHOOSE(CONTROL!$C$27, 0.0021, 0)</f>
        <v>39.536899999999996</v>
      </c>
      <c r="F249" s="17">
        <f>39.5348 * CHOOSE(CONTROL!$C$9, $D$9, 100%, $F$9) + CHOOSE(CONTROL!$C$27, 0.0021, 0)</f>
        <v>39.536899999999996</v>
      </c>
      <c r="G249" s="17">
        <f>39.8062 * CHOOSE(CONTROL!$C$9, $D$9, 100%, $F$9) + CHOOSE(CONTROL!$C$27, 0.0021, 0)</f>
        <v>39.808299999999996</v>
      </c>
      <c r="H249" s="17">
        <f>39.6715 * CHOOSE(CONTROL!$C$9, $D$9, 100%, $F$9) + CHOOSE(CONTROL!$C$27, 0.0021, 0)</f>
        <v>39.6736</v>
      </c>
      <c r="I249" s="17">
        <f>39.6715 * CHOOSE(CONTROL!$C$9, $D$9, 100%, $F$9) + CHOOSE(CONTROL!$C$27, 0.0021, 0)</f>
        <v>39.6736</v>
      </c>
      <c r="J249" s="17">
        <f>39.6715 * CHOOSE(CONTROL!$C$9, $D$9, 100%, $F$9) + CHOOSE(CONTROL!$C$27, 0.0021, 0)</f>
        <v>39.6736</v>
      </c>
      <c r="K249" s="17">
        <f>39.6715 * CHOOSE(CONTROL!$C$9, $D$9, 100%, $F$9) + CHOOSE(CONTROL!$C$27, 0.0021, 0)</f>
        <v>39.6736</v>
      </c>
      <c r="L249" s="17"/>
    </row>
    <row r="250" spans="1:12" ht="15" x14ac:dyDescent="0.2">
      <c r="A250" s="16">
        <v>48153</v>
      </c>
      <c r="B250" s="17">
        <f>40.1911 * CHOOSE(CONTROL!$C$9, $D$9, 100%, $F$9) + CHOOSE(CONTROL!$C$27, 0.0021, 0)</f>
        <v>40.193199999999997</v>
      </c>
      <c r="C250" s="17">
        <f>39.7588 * CHOOSE(CONTROL!$C$9, $D$9, 100%, $F$9) + CHOOSE(CONTROL!$C$27, 0.0021, 0)</f>
        <v>39.760899999999999</v>
      </c>
      <c r="D250" s="17">
        <f>39.7588 * CHOOSE(CONTROL!$C$9, $D$9, 100%, $F$9) + CHOOSE(CONTROL!$C$27, 0.0021, 0)</f>
        <v>39.760899999999999</v>
      </c>
      <c r="E250" s="17">
        <f>39.6222 * CHOOSE(CONTROL!$C$9, $D$9, 100%, $F$9) + CHOOSE(CONTROL!$C$27, 0.0021, 0)</f>
        <v>39.624299999999998</v>
      </c>
      <c r="F250" s="17">
        <f>39.6222 * CHOOSE(CONTROL!$C$9, $D$9, 100%, $F$9) + CHOOSE(CONTROL!$C$27, 0.0021, 0)</f>
        <v>39.624299999999998</v>
      </c>
      <c r="G250" s="17">
        <f>39.8936 * CHOOSE(CONTROL!$C$9, $D$9, 100%, $F$9) + CHOOSE(CONTROL!$C$27, 0.0021, 0)</f>
        <v>39.895699999999998</v>
      </c>
      <c r="H250" s="17">
        <f>39.7588 * CHOOSE(CONTROL!$C$9, $D$9, 100%, $F$9) + CHOOSE(CONTROL!$C$27, 0.0021, 0)</f>
        <v>39.760899999999999</v>
      </c>
      <c r="I250" s="17">
        <f>39.7588 * CHOOSE(CONTROL!$C$9, $D$9, 100%, $F$9) + CHOOSE(CONTROL!$C$27, 0.0021, 0)</f>
        <v>39.760899999999999</v>
      </c>
      <c r="J250" s="17">
        <f>39.7588 * CHOOSE(CONTROL!$C$9, $D$9, 100%, $F$9) + CHOOSE(CONTROL!$C$27, 0.0021, 0)</f>
        <v>39.760899999999999</v>
      </c>
      <c r="K250" s="17">
        <f>39.7588 * CHOOSE(CONTROL!$C$9, $D$9, 100%, $F$9) + CHOOSE(CONTROL!$C$27, 0.0021, 0)</f>
        <v>39.760899999999999</v>
      </c>
      <c r="L250" s="17"/>
    </row>
    <row r="251" spans="1:12" ht="15" x14ac:dyDescent="0.2">
      <c r="A251" s="16">
        <v>48183</v>
      </c>
      <c r="B251" s="17">
        <f>39.448 * CHOOSE(CONTROL!$C$9, $D$9, 100%, $F$9) + CHOOSE(CONTROL!$C$27, 0.0021, 0)</f>
        <v>39.450099999999999</v>
      </c>
      <c r="C251" s="17">
        <f>39.0157 * CHOOSE(CONTROL!$C$9, $D$9, 100%, $F$9) + CHOOSE(CONTROL!$C$27, 0.0021, 0)</f>
        <v>39.017800000000001</v>
      </c>
      <c r="D251" s="17">
        <f>39.0157 * CHOOSE(CONTROL!$C$9, $D$9, 100%, $F$9) + CHOOSE(CONTROL!$C$27, 0.0021, 0)</f>
        <v>39.017800000000001</v>
      </c>
      <c r="E251" s="17">
        <f>38.8791 * CHOOSE(CONTROL!$C$9, $D$9, 100%, $F$9) + CHOOSE(CONTROL!$C$27, 0.0021, 0)</f>
        <v>38.8812</v>
      </c>
      <c r="F251" s="17">
        <f>38.8791 * CHOOSE(CONTROL!$C$9, $D$9, 100%, $F$9) + CHOOSE(CONTROL!$C$27, 0.0021, 0)</f>
        <v>38.8812</v>
      </c>
      <c r="G251" s="17">
        <f>39.1505 * CHOOSE(CONTROL!$C$9, $D$9, 100%, $F$9) + CHOOSE(CONTROL!$C$27, 0.0021, 0)</f>
        <v>39.1526</v>
      </c>
      <c r="H251" s="17">
        <f>39.0157 * CHOOSE(CONTROL!$C$9, $D$9, 100%, $F$9) + CHOOSE(CONTROL!$C$27, 0.0021, 0)</f>
        <v>39.017800000000001</v>
      </c>
      <c r="I251" s="17">
        <f>39.0157 * CHOOSE(CONTROL!$C$9, $D$9, 100%, $F$9) + CHOOSE(CONTROL!$C$27, 0.0021, 0)</f>
        <v>39.017800000000001</v>
      </c>
      <c r="J251" s="17">
        <f>39.0157 * CHOOSE(CONTROL!$C$9, $D$9, 100%, $F$9) + CHOOSE(CONTROL!$C$27, 0.0021, 0)</f>
        <v>39.017800000000001</v>
      </c>
      <c r="K251" s="17">
        <f>39.0157 * CHOOSE(CONTROL!$C$9, $D$9, 100%, $F$9) + CHOOSE(CONTROL!$C$27, 0.0021, 0)</f>
        <v>39.017800000000001</v>
      </c>
      <c r="L251" s="17"/>
    </row>
    <row r="252" spans="1:12" ht="15" x14ac:dyDescent="0.2">
      <c r="A252" s="16">
        <v>48214</v>
      </c>
      <c r="B252" s="17">
        <f>38.7082 * CHOOSE(CONTROL!$C$9, $D$9, 100%, $F$9) + CHOOSE(CONTROL!$C$27, 0.0021, 0)</f>
        <v>38.710299999999997</v>
      </c>
      <c r="C252" s="17">
        <f>38.276 * CHOOSE(CONTROL!$C$9, $D$9, 100%, $F$9) + CHOOSE(CONTROL!$C$27, 0.0021, 0)</f>
        <v>38.278100000000002</v>
      </c>
      <c r="D252" s="17">
        <f>38.276 * CHOOSE(CONTROL!$C$9, $D$9, 100%, $F$9) + CHOOSE(CONTROL!$C$27, 0.0021, 0)</f>
        <v>38.278100000000002</v>
      </c>
      <c r="E252" s="17">
        <f>38.1393 * CHOOSE(CONTROL!$C$9, $D$9, 100%, $F$9) + CHOOSE(CONTROL!$C$27, 0.0021, 0)</f>
        <v>38.141399999999997</v>
      </c>
      <c r="F252" s="17">
        <f>38.1393 * CHOOSE(CONTROL!$C$9, $D$9, 100%, $F$9) + CHOOSE(CONTROL!$C$27, 0.0021, 0)</f>
        <v>38.141399999999997</v>
      </c>
      <c r="G252" s="17">
        <f>38.4107 * CHOOSE(CONTROL!$C$9, $D$9, 100%, $F$9) + CHOOSE(CONTROL!$C$27, 0.0021, 0)</f>
        <v>38.412799999999997</v>
      </c>
      <c r="H252" s="17">
        <f>38.276 * CHOOSE(CONTROL!$C$9, $D$9, 100%, $F$9) + CHOOSE(CONTROL!$C$27, 0.0021, 0)</f>
        <v>38.278100000000002</v>
      </c>
      <c r="I252" s="17">
        <f>38.276 * CHOOSE(CONTROL!$C$9, $D$9, 100%, $F$9) + CHOOSE(CONTROL!$C$27, 0.0021, 0)</f>
        <v>38.278100000000002</v>
      </c>
      <c r="J252" s="17">
        <f>38.276 * CHOOSE(CONTROL!$C$9, $D$9, 100%, $F$9) + CHOOSE(CONTROL!$C$27, 0.0021, 0)</f>
        <v>38.278100000000002</v>
      </c>
      <c r="K252" s="17">
        <f>38.276 * CHOOSE(CONTROL!$C$9, $D$9, 100%, $F$9) + CHOOSE(CONTROL!$C$27, 0.0021, 0)</f>
        <v>38.278100000000002</v>
      </c>
      <c r="L252" s="17"/>
    </row>
    <row r="253" spans="1:12" ht="15" x14ac:dyDescent="0.2">
      <c r="A253" s="16">
        <v>48245</v>
      </c>
      <c r="B253" s="17">
        <f>37.6782 * CHOOSE(CONTROL!$C$9, $D$9, 100%, $F$9) + CHOOSE(CONTROL!$C$27, 0.0021, 0)</f>
        <v>37.680299999999995</v>
      </c>
      <c r="C253" s="17">
        <f>37.2459 * CHOOSE(CONTROL!$C$9, $D$9, 100%, $F$9) + CHOOSE(CONTROL!$C$27, 0.0021, 0)</f>
        <v>37.247999999999998</v>
      </c>
      <c r="D253" s="17">
        <f>37.2459 * CHOOSE(CONTROL!$C$9, $D$9, 100%, $F$9) + CHOOSE(CONTROL!$C$27, 0.0021, 0)</f>
        <v>37.247999999999998</v>
      </c>
      <c r="E253" s="17">
        <f>37.1093 * CHOOSE(CONTROL!$C$9, $D$9, 100%, $F$9) + CHOOSE(CONTROL!$C$27, 0.0021, 0)</f>
        <v>37.111399999999996</v>
      </c>
      <c r="F253" s="17">
        <f>37.1093 * CHOOSE(CONTROL!$C$9, $D$9, 100%, $F$9) + CHOOSE(CONTROL!$C$27, 0.0021, 0)</f>
        <v>37.111399999999996</v>
      </c>
      <c r="G253" s="17">
        <f>37.3807 * CHOOSE(CONTROL!$C$9, $D$9, 100%, $F$9) + CHOOSE(CONTROL!$C$27, 0.0021, 0)</f>
        <v>37.382799999999996</v>
      </c>
      <c r="H253" s="17">
        <f>37.2459 * CHOOSE(CONTROL!$C$9, $D$9, 100%, $F$9) + CHOOSE(CONTROL!$C$27, 0.0021, 0)</f>
        <v>37.247999999999998</v>
      </c>
      <c r="I253" s="17">
        <f>37.2459 * CHOOSE(CONTROL!$C$9, $D$9, 100%, $F$9) + CHOOSE(CONTROL!$C$27, 0.0021, 0)</f>
        <v>37.247999999999998</v>
      </c>
      <c r="J253" s="17">
        <f>37.2459 * CHOOSE(CONTROL!$C$9, $D$9, 100%, $F$9) + CHOOSE(CONTROL!$C$27, 0.0021, 0)</f>
        <v>37.247999999999998</v>
      </c>
      <c r="K253" s="17">
        <f>37.2459 * CHOOSE(CONTROL!$C$9, $D$9, 100%, $F$9) + CHOOSE(CONTROL!$C$27, 0.0021, 0)</f>
        <v>37.247999999999998</v>
      </c>
      <c r="L253" s="17"/>
    </row>
    <row r="254" spans="1:12" ht="15" x14ac:dyDescent="0.2">
      <c r="A254" s="16">
        <v>48274</v>
      </c>
      <c r="B254" s="17">
        <f>37.253 * CHOOSE(CONTROL!$C$9, $D$9, 100%, $F$9) + CHOOSE(CONTROL!$C$27, 0.0021, 0)</f>
        <v>37.255099999999999</v>
      </c>
      <c r="C254" s="17">
        <f>36.8207 * CHOOSE(CONTROL!$C$9, $D$9, 100%, $F$9) + CHOOSE(CONTROL!$C$27, 0.0021, 0)</f>
        <v>36.822800000000001</v>
      </c>
      <c r="D254" s="17">
        <f>36.8207 * CHOOSE(CONTROL!$C$9, $D$9, 100%, $F$9) + CHOOSE(CONTROL!$C$27, 0.0021, 0)</f>
        <v>36.822800000000001</v>
      </c>
      <c r="E254" s="17">
        <f>36.6841 * CHOOSE(CONTROL!$C$9, $D$9, 100%, $F$9) + CHOOSE(CONTROL!$C$27, 0.0021, 0)</f>
        <v>36.686199999999999</v>
      </c>
      <c r="F254" s="17">
        <f>36.6841 * CHOOSE(CONTROL!$C$9, $D$9, 100%, $F$9) + CHOOSE(CONTROL!$C$27, 0.0021, 0)</f>
        <v>36.686199999999999</v>
      </c>
      <c r="G254" s="17">
        <f>36.9555 * CHOOSE(CONTROL!$C$9, $D$9, 100%, $F$9) + CHOOSE(CONTROL!$C$27, 0.0021, 0)</f>
        <v>36.957599999999999</v>
      </c>
      <c r="H254" s="17">
        <f>36.8207 * CHOOSE(CONTROL!$C$9, $D$9, 100%, $F$9) + CHOOSE(CONTROL!$C$27, 0.0021, 0)</f>
        <v>36.822800000000001</v>
      </c>
      <c r="I254" s="17">
        <f>36.8207 * CHOOSE(CONTROL!$C$9, $D$9, 100%, $F$9) + CHOOSE(CONTROL!$C$27, 0.0021, 0)</f>
        <v>36.822800000000001</v>
      </c>
      <c r="J254" s="17">
        <f>36.8207 * CHOOSE(CONTROL!$C$9, $D$9, 100%, $F$9) + CHOOSE(CONTROL!$C$27, 0.0021, 0)</f>
        <v>36.822800000000001</v>
      </c>
      <c r="K254" s="17">
        <f>36.8207 * CHOOSE(CONTROL!$C$9, $D$9, 100%, $F$9) + CHOOSE(CONTROL!$C$27, 0.0021, 0)</f>
        <v>36.822800000000001</v>
      </c>
      <c r="L254" s="17"/>
    </row>
    <row r="255" spans="1:12" ht="15" x14ac:dyDescent="0.2">
      <c r="A255" s="16">
        <v>48305</v>
      </c>
      <c r="B255" s="17">
        <f>36.7453 * CHOOSE(CONTROL!$C$9, $D$9, 100%, $F$9) + CHOOSE(CONTROL!$C$27, 0.0021, 0)</f>
        <v>36.747399999999999</v>
      </c>
      <c r="C255" s="17">
        <f>36.3131 * CHOOSE(CONTROL!$C$9, $D$9, 100%, $F$9) + CHOOSE(CONTROL!$C$27, 0.0021, 0)</f>
        <v>36.315199999999997</v>
      </c>
      <c r="D255" s="17">
        <f>36.3131 * CHOOSE(CONTROL!$C$9, $D$9, 100%, $F$9) + CHOOSE(CONTROL!$C$27, 0.0021, 0)</f>
        <v>36.315199999999997</v>
      </c>
      <c r="E255" s="17">
        <f>36.1764 * CHOOSE(CONTROL!$C$9, $D$9, 100%, $F$9) + CHOOSE(CONTROL!$C$27, 0.0021, 0)</f>
        <v>36.1785</v>
      </c>
      <c r="F255" s="17">
        <f>36.1764 * CHOOSE(CONTROL!$C$9, $D$9, 100%, $F$9) + CHOOSE(CONTROL!$C$27, 0.0021, 0)</f>
        <v>36.1785</v>
      </c>
      <c r="G255" s="17">
        <f>36.4478 * CHOOSE(CONTROL!$C$9, $D$9, 100%, $F$9) + CHOOSE(CONTROL!$C$27, 0.0021, 0)</f>
        <v>36.4499</v>
      </c>
      <c r="H255" s="17">
        <f>36.3131 * CHOOSE(CONTROL!$C$9, $D$9, 100%, $F$9) + CHOOSE(CONTROL!$C$27, 0.0021, 0)</f>
        <v>36.315199999999997</v>
      </c>
      <c r="I255" s="17">
        <f>36.3131 * CHOOSE(CONTROL!$C$9, $D$9, 100%, $F$9) + CHOOSE(CONTROL!$C$27, 0.0021, 0)</f>
        <v>36.315199999999997</v>
      </c>
      <c r="J255" s="17">
        <f>36.3131 * CHOOSE(CONTROL!$C$9, $D$9, 100%, $F$9) + CHOOSE(CONTROL!$C$27, 0.0021, 0)</f>
        <v>36.315199999999997</v>
      </c>
      <c r="K255" s="17">
        <f>36.3131 * CHOOSE(CONTROL!$C$9, $D$9, 100%, $F$9) + CHOOSE(CONTROL!$C$27, 0.0021, 0)</f>
        <v>36.315199999999997</v>
      </c>
      <c r="L255" s="17"/>
    </row>
    <row r="256" spans="1:12" ht="15" x14ac:dyDescent="0.2">
      <c r="A256" s="16">
        <v>48335</v>
      </c>
      <c r="B256" s="17">
        <f>37.4688 * CHOOSE(CONTROL!$C$9, $D$9, 100%, $F$9) + CHOOSE(CONTROL!$C$27, 0.0021, 0)</f>
        <v>37.4709</v>
      </c>
      <c r="C256" s="17">
        <f>37.0366 * CHOOSE(CONTROL!$C$9, $D$9, 100%, $F$9) + CHOOSE(CONTROL!$C$27, 0.0021, 0)</f>
        <v>37.038699999999999</v>
      </c>
      <c r="D256" s="17">
        <f>37.0366 * CHOOSE(CONTROL!$C$9, $D$9, 100%, $F$9) + CHOOSE(CONTROL!$C$27, 0.0021, 0)</f>
        <v>37.038699999999999</v>
      </c>
      <c r="E256" s="17">
        <f>36.8999 * CHOOSE(CONTROL!$C$9, $D$9, 100%, $F$9) + CHOOSE(CONTROL!$C$27, 0.0021, 0)</f>
        <v>36.902000000000001</v>
      </c>
      <c r="F256" s="17">
        <f>36.8999 * CHOOSE(CONTROL!$C$9, $D$9, 100%, $F$9) + CHOOSE(CONTROL!$C$27, 0.0021, 0)</f>
        <v>36.902000000000001</v>
      </c>
      <c r="G256" s="17">
        <f>37.1713 * CHOOSE(CONTROL!$C$9, $D$9, 100%, $F$9) + CHOOSE(CONTROL!$C$27, 0.0021, 0)</f>
        <v>37.173400000000001</v>
      </c>
      <c r="H256" s="17">
        <f>37.0366 * CHOOSE(CONTROL!$C$9, $D$9, 100%, $F$9) + CHOOSE(CONTROL!$C$27, 0.0021, 0)</f>
        <v>37.038699999999999</v>
      </c>
      <c r="I256" s="17">
        <f>37.0366 * CHOOSE(CONTROL!$C$9, $D$9, 100%, $F$9) + CHOOSE(CONTROL!$C$27, 0.0021, 0)</f>
        <v>37.038699999999999</v>
      </c>
      <c r="J256" s="17">
        <f>37.0366 * CHOOSE(CONTROL!$C$9, $D$9, 100%, $F$9) + CHOOSE(CONTROL!$C$27, 0.0021, 0)</f>
        <v>37.038699999999999</v>
      </c>
      <c r="K256" s="17">
        <f>37.0366 * CHOOSE(CONTROL!$C$9, $D$9, 100%, $F$9) + CHOOSE(CONTROL!$C$27, 0.0021, 0)</f>
        <v>37.038699999999999</v>
      </c>
      <c r="L256" s="17"/>
    </row>
    <row r="257" spans="1:12" ht="15" x14ac:dyDescent="0.2">
      <c r="A257" s="16">
        <v>48366</v>
      </c>
      <c r="B257" s="17">
        <f>37.9022 * CHOOSE(CONTROL!$C$9, $D$9, 100%, $F$9) + CHOOSE(CONTROL!$C$27, 0.0021, 0)</f>
        <v>37.904299999999999</v>
      </c>
      <c r="C257" s="17">
        <f>37.4699 * CHOOSE(CONTROL!$C$9, $D$9, 100%, $F$9) + CHOOSE(CONTROL!$C$27, 0.0021, 0)</f>
        <v>37.472000000000001</v>
      </c>
      <c r="D257" s="17">
        <f>37.4699 * CHOOSE(CONTROL!$C$9, $D$9, 100%, $F$9) + CHOOSE(CONTROL!$C$27, 0.0021, 0)</f>
        <v>37.472000000000001</v>
      </c>
      <c r="E257" s="17">
        <f>37.3333 * CHOOSE(CONTROL!$C$9, $D$9, 100%, $F$9) + CHOOSE(CONTROL!$C$27, 0.0021, 0)</f>
        <v>37.3354</v>
      </c>
      <c r="F257" s="17">
        <f>37.3333 * CHOOSE(CONTROL!$C$9, $D$9, 100%, $F$9) + CHOOSE(CONTROL!$C$27, 0.0021, 0)</f>
        <v>37.3354</v>
      </c>
      <c r="G257" s="17">
        <f>37.6047 * CHOOSE(CONTROL!$C$9, $D$9, 100%, $F$9) + CHOOSE(CONTROL!$C$27, 0.0021, 0)</f>
        <v>37.6068</v>
      </c>
      <c r="H257" s="17">
        <f>37.4699 * CHOOSE(CONTROL!$C$9, $D$9, 100%, $F$9) + CHOOSE(CONTROL!$C$27, 0.0021, 0)</f>
        <v>37.472000000000001</v>
      </c>
      <c r="I257" s="17">
        <f>37.4699 * CHOOSE(CONTROL!$C$9, $D$9, 100%, $F$9) + CHOOSE(CONTROL!$C$27, 0.0021, 0)</f>
        <v>37.472000000000001</v>
      </c>
      <c r="J257" s="17">
        <f>37.4699 * CHOOSE(CONTROL!$C$9, $D$9, 100%, $F$9) + CHOOSE(CONTROL!$C$27, 0.0021, 0)</f>
        <v>37.472000000000001</v>
      </c>
      <c r="K257" s="17">
        <f>37.4699 * CHOOSE(CONTROL!$C$9, $D$9, 100%, $F$9) + CHOOSE(CONTROL!$C$27, 0.0021, 0)</f>
        <v>37.472000000000001</v>
      </c>
      <c r="L257" s="17"/>
    </row>
    <row r="258" spans="1:12" ht="15" x14ac:dyDescent="0.2">
      <c r="A258" s="16">
        <v>48396</v>
      </c>
      <c r="B258" s="17">
        <f>38.6171 * CHOOSE(CONTROL!$C$9, $D$9, 100%, $F$9) + CHOOSE(CONTROL!$C$27, 0.0021, 0)</f>
        <v>38.619199999999999</v>
      </c>
      <c r="C258" s="17">
        <f>38.1848 * CHOOSE(CONTROL!$C$9, $D$9, 100%, $F$9) + CHOOSE(CONTROL!$C$27, 0.0021, 0)</f>
        <v>38.186900000000001</v>
      </c>
      <c r="D258" s="17">
        <f>38.1848 * CHOOSE(CONTROL!$C$9, $D$9, 100%, $F$9) + CHOOSE(CONTROL!$C$27, 0.0021, 0)</f>
        <v>38.186900000000001</v>
      </c>
      <c r="E258" s="17">
        <f>38.0482 * CHOOSE(CONTROL!$C$9, $D$9, 100%, $F$9) + CHOOSE(CONTROL!$C$27, 0.0021, 0)</f>
        <v>38.0503</v>
      </c>
      <c r="F258" s="17">
        <f>38.0482 * CHOOSE(CONTROL!$C$9, $D$9, 100%, $F$9) + CHOOSE(CONTROL!$C$27, 0.0021, 0)</f>
        <v>38.0503</v>
      </c>
      <c r="G258" s="17">
        <f>38.3196 * CHOOSE(CONTROL!$C$9, $D$9, 100%, $F$9) + CHOOSE(CONTROL!$C$27, 0.0021, 0)</f>
        <v>38.3217</v>
      </c>
      <c r="H258" s="17">
        <f>38.1848 * CHOOSE(CONTROL!$C$9, $D$9, 100%, $F$9) + CHOOSE(CONTROL!$C$27, 0.0021, 0)</f>
        <v>38.186900000000001</v>
      </c>
      <c r="I258" s="17">
        <f>38.1848 * CHOOSE(CONTROL!$C$9, $D$9, 100%, $F$9) + CHOOSE(CONTROL!$C$27, 0.0021, 0)</f>
        <v>38.186900000000001</v>
      </c>
      <c r="J258" s="17">
        <f>38.1848 * CHOOSE(CONTROL!$C$9, $D$9, 100%, $F$9) + CHOOSE(CONTROL!$C$27, 0.0021, 0)</f>
        <v>38.186900000000001</v>
      </c>
      <c r="K258" s="17">
        <f>38.1848 * CHOOSE(CONTROL!$C$9, $D$9, 100%, $F$9) + CHOOSE(CONTROL!$C$27, 0.0021, 0)</f>
        <v>38.186900000000001</v>
      </c>
      <c r="L258" s="17"/>
    </row>
    <row r="259" spans="1:12" ht="15" x14ac:dyDescent="0.2">
      <c r="A259" s="16">
        <v>48427</v>
      </c>
      <c r="B259" s="17">
        <f>38.8353 * CHOOSE(CONTROL!$C$9, $D$9, 100%, $F$9) + CHOOSE(CONTROL!$C$27, 0.0021, 0)</f>
        <v>38.837399999999995</v>
      </c>
      <c r="C259" s="17">
        <f>38.403 * CHOOSE(CONTROL!$C$9, $D$9, 100%, $F$9) + CHOOSE(CONTROL!$C$27, 0.0021, 0)</f>
        <v>38.405099999999997</v>
      </c>
      <c r="D259" s="17">
        <f>38.403 * CHOOSE(CONTROL!$C$9, $D$9, 100%, $F$9) + CHOOSE(CONTROL!$C$27, 0.0021, 0)</f>
        <v>38.405099999999997</v>
      </c>
      <c r="E259" s="17">
        <f>38.2664 * CHOOSE(CONTROL!$C$9, $D$9, 100%, $F$9) + CHOOSE(CONTROL!$C$27, 0.0021, 0)</f>
        <v>38.268499999999996</v>
      </c>
      <c r="F259" s="17">
        <f>38.2664 * CHOOSE(CONTROL!$C$9, $D$9, 100%, $F$9) + CHOOSE(CONTROL!$C$27, 0.0021, 0)</f>
        <v>38.268499999999996</v>
      </c>
      <c r="G259" s="17">
        <f>38.5378 * CHOOSE(CONTROL!$C$9, $D$9, 100%, $F$9) + CHOOSE(CONTROL!$C$27, 0.0021, 0)</f>
        <v>38.539899999999996</v>
      </c>
      <c r="H259" s="17">
        <f>38.403 * CHOOSE(CONTROL!$C$9, $D$9, 100%, $F$9) + CHOOSE(CONTROL!$C$27, 0.0021, 0)</f>
        <v>38.405099999999997</v>
      </c>
      <c r="I259" s="17">
        <f>38.403 * CHOOSE(CONTROL!$C$9, $D$9, 100%, $F$9) + CHOOSE(CONTROL!$C$27, 0.0021, 0)</f>
        <v>38.405099999999997</v>
      </c>
      <c r="J259" s="17">
        <f>38.403 * CHOOSE(CONTROL!$C$9, $D$9, 100%, $F$9) + CHOOSE(CONTROL!$C$27, 0.0021, 0)</f>
        <v>38.405099999999997</v>
      </c>
      <c r="K259" s="17">
        <f>38.403 * CHOOSE(CONTROL!$C$9, $D$9, 100%, $F$9) + CHOOSE(CONTROL!$C$27, 0.0021, 0)</f>
        <v>38.405099999999997</v>
      </c>
      <c r="L259" s="17"/>
    </row>
    <row r="260" spans="1:12" ht="15" x14ac:dyDescent="0.2">
      <c r="A260" s="16">
        <v>48458</v>
      </c>
      <c r="B260" s="17">
        <f>39.5784 * CHOOSE(CONTROL!$C$9, $D$9, 100%, $F$9) + CHOOSE(CONTROL!$C$27, 0.0021, 0)</f>
        <v>39.580500000000001</v>
      </c>
      <c r="C260" s="17">
        <f>39.1461 * CHOOSE(CONTROL!$C$9, $D$9, 100%, $F$9) + CHOOSE(CONTROL!$C$27, 0.0021, 0)</f>
        <v>39.148199999999996</v>
      </c>
      <c r="D260" s="17">
        <f>39.1461 * CHOOSE(CONTROL!$C$9, $D$9, 100%, $F$9) + CHOOSE(CONTROL!$C$27, 0.0021, 0)</f>
        <v>39.148199999999996</v>
      </c>
      <c r="E260" s="17">
        <f>39.0095 * CHOOSE(CONTROL!$C$9, $D$9, 100%, $F$9) + CHOOSE(CONTROL!$C$27, 0.0021, 0)</f>
        <v>39.011600000000001</v>
      </c>
      <c r="F260" s="17">
        <f>39.0095 * CHOOSE(CONTROL!$C$9, $D$9, 100%, $F$9) + CHOOSE(CONTROL!$C$27, 0.0021, 0)</f>
        <v>39.011600000000001</v>
      </c>
      <c r="G260" s="17">
        <f>39.2809 * CHOOSE(CONTROL!$C$9, $D$9, 100%, $F$9) + CHOOSE(CONTROL!$C$27, 0.0021, 0)</f>
        <v>39.283000000000001</v>
      </c>
      <c r="H260" s="17">
        <f>39.1461 * CHOOSE(CONTROL!$C$9, $D$9, 100%, $F$9) + CHOOSE(CONTROL!$C$27, 0.0021, 0)</f>
        <v>39.148199999999996</v>
      </c>
      <c r="I260" s="17">
        <f>39.1461 * CHOOSE(CONTROL!$C$9, $D$9, 100%, $F$9) + CHOOSE(CONTROL!$C$27, 0.0021, 0)</f>
        <v>39.148199999999996</v>
      </c>
      <c r="J260" s="17">
        <f>39.1461 * CHOOSE(CONTROL!$C$9, $D$9, 100%, $F$9) + CHOOSE(CONTROL!$C$27, 0.0021, 0)</f>
        <v>39.148199999999996</v>
      </c>
      <c r="K260" s="17">
        <f>39.1461 * CHOOSE(CONTROL!$C$9, $D$9, 100%, $F$9) + CHOOSE(CONTROL!$C$27, 0.0021, 0)</f>
        <v>39.148199999999996</v>
      </c>
      <c r="L260" s="17"/>
    </row>
    <row r="261" spans="1:12" ht="15" x14ac:dyDescent="0.2">
      <c r="A261" s="16">
        <v>48488</v>
      </c>
      <c r="B261" s="17">
        <f>40.519 * CHOOSE(CONTROL!$C$9, $D$9, 100%, $F$9) + CHOOSE(CONTROL!$C$27, 0.0021, 0)</f>
        <v>40.521099999999997</v>
      </c>
      <c r="C261" s="17">
        <f>40.0868 * CHOOSE(CONTROL!$C$9, $D$9, 100%, $F$9) + CHOOSE(CONTROL!$C$27, 0.0021, 0)</f>
        <v>40.088899999999995</v>
      </c>
      <c r="D261" s="17">
        <f>40.0868 * CHOOSE(CONTROL!$C$9, $D$9, 100%, $F$9) + CHOOSE(CONTROL!$C$27, 0.0021, 0)</f>
        <v>40.088899999999995</v>
      </c>
      <c r="E261" s="17">
        <f>39.9501 * CHOOSE(CONTROL!$C$9, $D$9, 100%, $F$9) + CHOOSE(CONTROL!$C$27, 0.0021, 0)</f>
        <v>39.952199999999998</v>
      </c>
      <c r="F261" s="17">
        <f>39.9501 * CHOOSE(CONTROL!$C$9, $D$9, 100%, $F$9) + CHOOSE(CONTROL!$C$27, 0.0021, 0)</f>
        <v>39.952199999999998</v>
      </c>
      <c r="G261" s="17">
        <f>40.2215 * CHOOSE(CONTROL!$C$9, $D$9, 100%, $F$9) + CHOOSE(CONTROL!$C$27, 0.0021, 0)</f>
        <v>40.223599999999998</v>
      </c>
      <c r="H261" s="17">
        <f>40.0868 * CHOOSE(CONTROL!$C$9, $D$9, 100%, $F$9) + CHOOSE(CONTROL!$C$27, 0.0021, 0)</f>
        <v>40.088899999999995</v>
      </c>
      <c r="I261" s="17">
        <f>40.0868 * CHOOSE(CONTROL!$C$9, $D$9, 100%, $F$9) + CHOOSE(CONTROL!$C$27, 0.0021, 0)</f>
        <v>40.088899999999995</v>
      </c>
      <c r="J261" s="17">
        <f>40.0868 * CHOOSE(CONTROL!$C$9, $D$9, 100%, $F$9) + CHOOSE(CONTROL!$C$27, 0.0021, 0)</f>
        <v>40.088899999999995</v>
      </c>
      <c r="K261" s="17">
        <f>40.0868 * CHOOSE(CONTROL!$C$9, $D$9, 100%, $F$9) + CHOOSE(CONTROL!$C$27, 0.0021, 0)</f>
        <v>40.088899999999995</v>
      </c>
      <c r="L261" s="17"/>
    </row>
    <row r="262" spans="1:12" ht="15" x14ac:dyDescent="0.2">
      <c r="A262" s="16">
        <v>48519</v>
      </c>
      <c r="B262" s="17">
        <f>40.6073 * CHOOSE(CONTROL!$C$9, $D$9, 100%, $F$9) + CHOOSE(CONTROL!$C$27, 0.0021, 0)</f>
        <v>40.609400000000001</v>
      </c>
      <c r="C262" s="17">
        <f>40.1751 * CHOOSE(CONTROL!$C$9, $D$9, 100%, $F$9) + CHOOSE(CONTROL!$C$27, 0.0021, 0)</f>
        <v>40.177199999999999</v>
      </c>
      <c r="D262" s="17">
        <f>40.1751 * CHOOSE(CONTROL!$C$9, $D$9, 100%, $F$9) + CHOOSE(CONTROL!$C$27, 0.0021, 0)</f>
        <v>40.177199999999999</v>
      </c>
      <c r="E262" s="17">
        <f>40.0384 * CHOOSE(CONTROL!$C$9, $D$9, 100%, $F$9) + CHOOSE(CONTROL!$C$27, 0.0021, 0)</f>
        <v>40.040500000000002</v>
      </c>
      <c r="F262" s="17">
        <f>40.0384 * CHOOSE(CONTROL!$C$9, $D$9, 100%, $F$9) + CHOOSE(CONTROL!$C$27, 0.0021, 0)</f>
        <v>40.040500000000002</v>
      </c>
      <c r="G262" s="17">
        <f>40.3098 * CHOOSE(CONTROL!$C$9, $D$9, 100%, $F$9) + CHOOSE(CONTROL!$C$27, 0.0021, 0)</f>
        <v>40.311900000000001</v>
      </c>
      <c r="H262" s="17">
        <f>40.1751 * CHOOSE(CONTROL!$C$9, $D$9, 100%, $F$9) + CHOOSE(CONTROL!$C$27, 0.0021, 0)</f>
        <v>40.177199999999999</v>
      </c>
      <c r="I262" s="17">
        <f>40.1751 * CHOOSE(CONTROL!$C$9, $D$9, 100%, $F$9) + CHOOSE(CONTROL!$C$27, 0.0021, 0)</f>
        <v>40.177199999999999</v>
      </c>
      <c r="J262" s="17">
        <f>40.1751 * CHOOSE(CONTROL!$C$9, $D$9, 100%, $F$9) + CHOOSE(CONTROL!$C$27, 0.0021, 0)</f>
        <v>40.177199999999999</v>
      </c>
      <c r="K262" s="17">
        <f>40.1751 * CHOOSE(CONTROL!$C$9, $D$9, 100%, $F$9) + CHOOSE(CONTROL!$C$27, 0.0021, 0)</f>
        <v>40.177199999999999</v>
      </c>
      <c r="L262" s="17"/>
    </row>
    <row r="263" spans="1:12" ht="15" x14ac:dyDescent="0.2">
      <c r="A263" s="16">
        <v>48549</v>
      </c>
      <c r="B263" s="17">
        <f>39.8561 * CHOOSE(CONTROL!$C$9, $D$9, 100%, $F$9) + CHOOSE(CONTROL!$C$27, 0.0021, 0)</f>
        <v>39.858199999999997</v>
      </c>
      <c r="C263" s="17">
        <f>39.4238 * CHOOSE(CONTROL!$C$9, $D$9, 100%, $F$9) + CHOOSE(CONTROL!$C$27, 0.0021, 0)</f>
        <v>39.425899999999999</v>
      </c>
      <c r="D263" s="17">
        <f>39.4238 * CHOOSE(CONTROL!$C$9, $D$9, 100%, $F$9) + CHOOSE(CONTROL!$C$27, 0.0021, 0)</f>
        <v>39.425899999999999</v>
      </c>
      <c r="E263" s="17">
        <f>39.2872 * CHOOSE(CONTROL!$C$9, $D$9, 100%, $F$9) + CHOOSE(CONTROL!$C$27, 0.0021, 0)</f>
        <v>39.289299999999997</v>
      </c>
      <c r="F263" s="17">
        <f>39.2872 * CHOOSE(CONTROL!$C$9, $D$9, 100%, $F$9) + CHOOSE(CONTROL!$C$27, 0.0021, 0)</f>
        <v>39.289299999999997</v>
      </c>
      <c r="G263" s="17">
        <f>39.5585 * CHOOSE(CONTROL!$C$9, $D$9, 100%, $F$9) + CHOOSE(CONTROL!$C$27, 0.0021, 0)</f>
        <v>39.560600000000001</v>
      </c>
      <c r="H263" s="17">
        <f>39.4238 * CHOOSE(CONTROL!$C$9, $D$9, 100%, $F$9) + CHOOSE(CONTROL!$C$27, 0.0021, 0)</f>
        <v>39.425899999999999</v>
      </c>
      <c r="I263" s="17">
        <f>39.4238 * CHOOSE(CONTROL!$C$9, $D$9, 100%, $F$9) + CHOOSE(CONTROL!$C$27, 0.0021, 0)</f>
        <v>39.425899999999999</v>
      </c>
      <c r="J263" s="17">
        <f>39.4238 * CHOOSE(CONTROL!$C$9, $D$9, 100%, $F$9) + CHOOSE(CONTROL!$C$27, 0.0021, 0)</f>
        <v>39.425899999999999</v>
      </c>
      <c r="K263" s="17">
        <f>39.4238 * CHOOSE(CONTROL!$C$9, $D$9, 100%, $F$9) + CHOOSE(CONTROL!$C$27, 0.0021, 0)</f>
        <v>39.425899999999999</v>
      </c>
      <c r="L263" s="17"/>
    </row>
    <row r="264" spans="1:12" ht="15" x14ac:dyDescent="0.2">
      <c r="A264" s="16">
        <v>48580</v>
      </c>
      <c r="B264" s="17">
        <f>39.1082 * CHOOSE(CONTROL!$C$9, $D$9, 100%, $F$9) + CHOOSE(CONTROL!$C$27, 0.0021, 0)</f>
        <v>39.110299999999995</v>
      </c>
      <c r="C264" s="17">
        <f>38.6759 * CHOOSE(CONTROL!$C$9, $D$9, 100%, $F$9) + CHOOSE(CONTROL!$C$27, 0.0021, 0)</f>
        <v>38.677999999999997</v>
      </c>
      <c r="D264" s="17">
        <f>38.6759 * CHOOSE(CONTROL!$C$9, $D$9, 100%, $F$9) + CHOOSE(CONTROL!$C$27, 0.0021, 0)</f>
        <v>38.677999999999997</v>
      </c>
      <c r="E264" s="17">
        <f>38.5393 * CHOOSE(CONTROL!$C$9, $D$9, 100%, $F$9) + CHOOSE(CONTROL!$C$27, 0.0021, 0)</f>
        <v>38.541399999999996</v>
      </c>
      <c r="F264" s="17">
        <f>38.5393 * CHOOSE(CONTROL!$C$9, $D$9, 100%, $F$9) + CHOOSE(CONTROL!$C$27, 0.0021, 0)</f>
        <v>38.541399999999996</v>
      </c>
      <c r="G264" s="17">
        <f>38.8107 * CHOOSE(CONTROL!$C$9, $D$9, 100%, $F$9) + CHOOSE(CONTROL!$C$27, 0.0021, 0)</f>
        <v>38.812799999999996</v>
      </c>
      <c r="H264" s="17">
        <f>38.6759 * CHOOSE(CONTROL!$C$9, $D$9, 100%, $F$9) + CHOOSE(CONTROL!$C$27, 0.0021, 0)</f>
        <v>38.677999999999997</v>
      </c>
      <c r="I264" s="17">
        <f>38.6759 * CHOOSE(CONTROL!$C$9, $D$9, 100%, $F$9) + CHOOSE(CONTROL!$C$27, 0.0021, 0)</f>
        <v>38.677999999999997</v>
      </c>
      <c r="J264" s="17">
        <f>38.6759 * CHOOSE(CONTROL!$C$9, $D$9, 100%, $F$9) + CHOOSE(CONTROL!$C$27, 0.0021, 0)</f>
        <v>38.677999999999997</v>
      </c>
      <c r="K264" s="17">
        <f>38.6759 * CHOOSE(CONTROL!$C$9, $D$9, 100%, $F$9) + CHOOSE(CONTROL!$C$27, 0.0021, 0)</f>
        <v>38.677999999999997</v>
      </c>
      <c r="L264" s="17"/>
    </row>
    <row r="265" spans="1:12" ht="15" x14ac:dyDescent="0.2">
      <c r="A265" s="16">
        <v>48611</v>
      </c>
      <c r="B265" s="17">
        <f>38.0668 * CHOOSE(CONTROL!$C$9, $D$9, 100%, $F$9) + CHOOSE(CONTROL!$C$27, 0.0021, 0)</f>
        <v>38.068899999999999</v>
      </c>
      <c r="C265" s="17">
        <f>37.6346 * CHOOSE(CONTROL!$C$9, $D$9, 100%, $F$9) + CHOOSE(CONTROL!$C$27, 0.0021, 0)</f>
        <v>37.636699999999998</v>
      </c>
      <c r="D265" s="17">
        <f>37.6346 * CHOOSE(CONTROL!$C$9, $D$9, 100%, $F$9) + CHOOSE(CONTROL!$C$27, 0.0021, 0)</f>
        <v>37.636699999999998</v>
      </c>
      <c r="E265" s="17">
        <f>37.4979 * CHOOSE(CONTROL!$C$9, $D$9, 100%, $F$9) + CHOOSE(CONTROL!$C$27, 0.0021, 0)</f>
        <v>37.5</v>
      </c>
      <c r="F265" s="17">
        <f>37.4979 * CHOOSE(CONTROL!$C$9, $D$9, 100%, $F$9) + CHOOSE(CONTROL!$C$27, 0.0021, 0)</f>
        <v>37.5</v>
      </c>
      <c r="G265" s="17">
        <f>37.7693 * CHOOSE(CONTROL!$C$9, $D$9, 100%, $F$9) + CHOOSE(CONTROL!$C$27, 0.0021, 0)</f>
        <v>37.7714</v>
      </c>
      <c r="H265" s="17">
        <f>37.6346 * CHOOSE(CONTROL!$C$9, $D$9, 100%, $F$9) + CHOOSE(CONTROL!$C$27, 0.0021, 0)</f>
        <v>37.636699999999998</v>
      </c>
      <c r="I265" s="17">
        <f>37.6346 * CHOOSE(CONTROL!$C$9, $D$9, 100%, $F$9) + CHOOSE(CONTROL!$C$27, 0.0021, 0)</f>
        <v>37.636699999999998</v>
      </c>
      <c r="J265" s="17">
        <f>37.6346 * CHOOSE(CONTROL!$C$9, $D$9, 100%, $F$9) + CHOOSE(CONTROL!$C$27, 0.0021, 0)</f>
        <v>37.636699999999998</v>
      </c>
      <c r="K265" s="17">
        <f>37.6346 * CHOOSE(CONTROL!$C$9, $D$9, 100%, $F$9) + CHOOSE(CONTROL!$C$27, 0.0021, 0)</f>
        <v>37.636699999999998</v>
      </c>
      <c r="L265" s="17"/>
    </row>
    <row r="266" spans="1:12" ht="15" x14ac:dyDescent="0.2">
      <c r="A266" s="16">
        <v>48639</v>
      </c>
      <c r="B266" s="17">
        <f>37.637 * CHOOSE(CONTROL!$C$9, $D$9, 100%, $F$9) + CHOOSE(CONTROL!$C$27, 0.0021, 0)</f>
        <v>37.639099999999999</v>
      </c>
      <c r="C266" s="17">
        <f>37.2047 * CHOOSE(CONTROL!$C$9, $D$9, 100%, $F$9) + CHOOSE(CONTROL!$C$27, 0.0021, 0)</f>
        <v>37.206800000000001</v>
      </c>
      <c r="D266" s="17">
        <f>37.2047 * CHOOSE(CONTROL!$C$9, $D$9, 100%, $F$9) + CHOOSE(CONTROL!$C$27, 0.0021, 0)</f>
        <v>37.206800000000001</v>
      </c>
      <c r="E266" s="17">
        <f>37.0681 * CHOOSE(CONTROL!$C$9, $D$9, 100%, $F$9) + CHOOSE(CONTROL!$C$27, 0.0021, 0)</f>
        <v>37.0702</v>
      </c>
      <c r="F266" s="17">
        <f>37.0681 * CHOOSE(CONTROL!$C$9, $D$9, 100%, $F$9) + CHOOSE(CONTROL!$C$27, 0.0021, 0)</f>
        <v>37.0702</v>
      </c>
      <c r="G266" s="17">
        <f>37.3394 * CHOOSE(CONTROL!$C$9, $D$9, 100%, $F$9) + CHOOSE(CONTROL!$C$27, 0.0021, 0)</f>
        <v>37.341499999999996</v>
      </c>
      <c r="H266" s="17">
        <f>37.2047 * CHOOSE(CONTROL!$C$9, $D$9, 100%, $F$9) + CHOOSE(CONTROL!$C$27, 0.0021, 0)</f>
        <v>37.206800000000001</v>
      </c>
      <c r="I266" s="17">
        <f>37.2047 * CHOOSE(CONTROL!$C$9, $D$9, 100%, $F$9) + CHOOSE(CONTROL!$C$27, 0.0021, 0)</f>
        <v>37.206800000000001</v>
      </c>
      <c r="J266" s="17">
        <f>37.2047 * CHOOSE(CONTROL!$C$9, $D$9, 100%, $F$9) + CHOOSE(CONTROL!$C$27, 0.0021, 0)</f>
        <v>37.206800000000001</v>
      </c>
      <c r="K266" s="17">
        <f>37.2047 * CHOOSE(CONTROL!$C$9, $D$9, 100%, $F$9) + CHOOSE(CONTROL!$C$27, 0.0021, 0)</f>
        <v>37.206800000000001</v>
      </c>
      <c r="L266" s="17"/>
    </row>
    <row r="267" spans="1:12" ht="15" x14ac:dyDescent="0.2">
      <c r="A267" s="16">
        <v>48670</v>
      </c>
      <c r="B267" s="17">
        <f>37.1237 * CHOOSE(CONTROL!$C$9, $D$9, 100%, $F$9) + CHOOSE(CONTROL!$C$27, 0.0021, 0)</f>
        <v>37.125799999999998</v>
      </c>
      <c r="C267" s="17">
        <f>36.6914 * CHOOSE(CONTROL!$C$9, $D$9, 100%, $F$9) + CHOOSE(CONTROL!$C$27, 0.0021, 0)</f>
        <v>36.6935</v>
      </c>
      <c r="D267" s="17">
        <f>36.6914 * CHOOSE(CONTROL!$C$9, $D$9, 100%, $F$9) + CHOOSE(CONTROL!$C$27, 0.0021, 0)</f>
        <v>36.6935</v>
      </c>
      <c r="E267" s="17">
        <f>36.5548 * CHOOSE(CONTROL!$C$9, $D$9, 100%, $F$9) + CHOOSE(CONTROL!$C$27, 0.0021, 0)</f>
        <v>36.556899999999999</v>
      </c>
      <c r="F267" s="17">
        <f>36.5548 * CHOOSE(CONTROL!$C$9, $D$9, 100%, $F$9) + CHOOSE(CONTROL!$C$27, 0.0021, 0)</f>
        <v>36.556899999999999</v>
      </c>
      <c r="G267" s="17">
        <f>36.8262 * CHOOSE(CONTROL!$C$9, $D$9, 100%, $F$9) + CHOOSE(CONTROL!$C$27, 0.0021, 0)</f>
        <v>36.828299999999999</v>
      </c>
      <c r="H267" s="17">
        <f>36.6914 * CHOOSE(CONTROL!$C$9, $D$9, 100%, $F$9) + CHOOSE(CONTROL!$C$27, 0.0021, 0)</f>
        <v>36.6935</v>
      </c>
      <c r="I267" s="17">
        <f>36.6914 * CHOOSE(CONTROL!$C$9, $D$9, 100%, $F$9) + CHOOSE(CONTROL!$C$27, 0.0021, 0)</f>
        <v>36.6935</v>
      </c>
      <c r="J267" s="17">
        <f>36.6914 * CHOOSE(CONTROL!$C$9, $D$9, 100%, $F$9) + CHOOSE(CONTROL!$C$27, 0.0021, 0)</f>
        <v>36.6935</v>
      </c>
      <c r="K267" s="17">
        <f>36.6914 * CHOOSE(CONTROL!$C$9, $D$9, 100%, $F$9) + CHOOSE(CONTROL!$C$27, 0.0021, 0)</f>
        <v>36.6935</v>
      </c>
      <c r="L267" s="17"/>
    </row>
    <row r="268" spans="1:12" ht="15" x14ac:dyDescent="0.2">
      <c r="A268" s="16">
        <v>48700</v>
      </c>
      <c r="B268" s="17">
        <f>37.8552 * CHOOSE(CONTROL!$C$9, $D$9, 100%, $F$9) + CHOOSE(CONTROL!$C$27, 0.0021, 0)</f>
        <v>37.857300000000002</v>
      </c>
      <c r="C268" s="17">
        <f>37.4229 * CHOOSE(CONTROL!$C$9, $D$9, 100%, $F$9) + CHOOSE(CONTROL!$C$27, 0.0021, 0)</f>
        <v>37.424999999999997</v>
      </c>
      <c r="D268" s="17">
        <f>37.4229 * CHOOSE(CONTROL!$C$9, $D$9, 100%, $F$9) + CHOOSE(CONTROL!$C$27, 0.0021, 0)</f>
        <v>37.424999999999997</v>
      </c>
      <c r="E268" s="17">
        <f>37.2863 * CHOOSE(CONTROL!$C$9, $D$9, 100%, $F$9) + CHOOSE(CONTROL!$C$27, 0.0021, 0)</f>
        <v>37.288399999999996</v>
      </c>
      <c r="F268" s="17">
        <f>37.2863 * CHOOSE(CONTROL!$C$9, $D$9, 100%, $F$9) + CHOOSE(CONTROL!$C$27, 0.0021, 0)</f>
        <v>37.288399999999996</v>
      </c>
      <c r="G268" s="17">
        <f>37.5576 * CHOOSE(CONTROL!$C$9, $D$9, 100%, $F$9) + CHOOSE(CONTROL!$C$27, 0.0021, 0)</f>
        <v>37.559699999999999</v>
      </c>
      <c r="H268" s="17">
        <f>37.4229 * CHOOSE(CONTROL!$C$9, $D$9, 100%, $F$9) + CHOOSE(CONTROL!$C$27, 0.0021, 0)</f>
        <v>37.424999999999997</v>
      </c>
      <c r="I268" s="17">
        <f>37.4229 * CHOOSE(CONTROL!$C$9, $D$9, 100%, $F$9) + CHOOSE(CONTROL!$C$27, 0.0021, 0)</f>
        <v>37.424999999999997</v>
      </c>
      <c r="J268" s="17">
        <f>37.4229 * CHOOSE(CONTROL!$C$9, $D$9, 100%, $F$9) + CHOOSE(CONTROL!$C$27, 0.0021, 0)</f>
        <v>37.424999999999997</v>
      </c>
      <c r="K268" s="17">
        <f>37.4229 * CHOOSE(CONTROL!$C$9, $D$9, 100%, $F$9) + CHOOSE(CONTROL!$C$27, 0.0021, 0)</f>
        <v>37.424999999999997</v>
      </c>
      <c r="L268" s="17"/>
    </row>
    <row r="269" spans="1:12" ht="15" x14ac:dyDescent="0.2">
      <c r="A269" s="16">
        <v>48731</v>
      </c>
      <c r="B269" s="17">
        <f>38.2933 * CHOOSE(CONTROL!$C$9, $D$9, 100%, $F$9) + CHOOSE(CONTROL!$C$27, 0.0021, 0)</f>
        <v>38.295400000000001</v>
      </c>
      <c r="C269" s="17">
        <f>37.861 * CHOOSE(CONTROL!$C$9, $D$9, 100%, $F$9) + CHOOSE(CONTROL!$C$27, 0.0021, 0)</f>
        <v>37.863099999999996</v>
      </c>
      <c r="D269" s="17">
        <f>37.861 * CHOOSE(CONTROL!$C$9, $D$9, 100%, $F$9) + CHOOSE(CONTROL!$C$27, 0.0021, 0)</f>
        <v>37.863099999999996</v>
      </c>
      <c r="E269" s="17">
        <f>37.7244 * CHOOSE(CONTROL!$C$9, $D$9, 100%, $F$9) + CHOOSE(CONTROL!$C$27, 0.0021, 0)</f>
        <v>37.726500000000001</v>
      </c>
      <c r="F269" s="17">
        <f>37.7244 * CHOOSE(CONTROL!$C$9, $D$9, 100%, $F$9) + CHOOSE(CONTROL!$C$27, 0.0021, 0)</f>
        <v>37.726500000000001</v>
      </c>
      <c r="G269" s="17">
        <f>37.9958 * CHOOSE(CONTROL!$C$9, $D$9, 100%, $F$9) + CHOOSE(CONTROL!$C$27, 0.0021, 0)</f>
        <v>37.997900000000001</v>
      </c>
      <c r="H269" s="17">
        <f>37.861 * CHOOSE(CONTROL!$C$9, $D$9, 100%, $F$9) + CHOOSE(CONTROL!$C$27, 0.0021, 0)</f>
        <v>37.863099999999996</v>
      </c>
      <c r="I269" s="17">
        <f>37.861 * CHOOSE(CONTROL!$C$9, $D$9, 100%, $F$9) + CHOOSE(CONTROL!$C$27, 0.0021, 0)</f>
        <v>37.863099999999996</v>
      </c>
      <c r="J269" s="17">
        <f>37.861 * CHOOSE(CONTROL!$C$9, $D$9, 100%, $F$9) + CHOOSE(CONTROL!$C$27, 0.0021, 0)</f>
        <v>37.863099999999996</v>
      </c>
      <c r="K269" s="17">
        <f>37.861 * CHOOSE(CONTROL!$C$9, $D$9, 100%, $F$9) + CHOOSE(CONTROL!$C$27, 0.0021, 0)</f>
        <v>37.863099999999996</v>
      </c>
      <c r="L269" s="17"/>
    </row>
    <row r="270" spans="1:12" ht="15" x14ac:dyDescent="0.2">
      <c r="A270" s="16">
        <v>48761</v>
      </c>
      <c r="B270" s="17">
        <f>39.016 * CHOOSE(CONTROL!$C$9, $D$9, 100%, $F$9) + CHOOSE(CONTROL!$C$27, 0.0021, 0)</f>
        <v>39.018099999999997</v>
      </c>
      <c r="C270" s="17">
        <f>38.5838 * CHOOSE(CONTROL!$C$9, $D$9, 100%, $F$9) + CHOOSE(CONTROL!$C$27, 0.0021, 0)</f>
        <v>38.585899999999995</v>
      </c>
      <c r="D270" s="17">
        <f>38.5838 * CHOOSE(CONTROL!$C$9, $D$9, 100%, $F$9) + CHOOSE(CONTROL!$C$27, 0.0021, 0)</f>
        <v>38.585899999999995</v>
      </c>
      <c r="E270" s="17">
        <f>38.4471 * CHOOSE(CONTROL!$C$9, $D$9, 100%, $F$9) + CHOOSE(CONTROL!$C$27, 0.0021, 0)</f>
        <v>38.449199999999998</v>
      </c>
      <c r="F270" s="17">
        <f>38.4471 * CHOOSE(CONTROL!$C$9, $D$9, 100%, $F$9) + CHOOSE(CONTROL!$C$27, 0.0021, 0)</f>
        <v>38.449199999999998</v>
      </c>
      <c r="G270" s="17">
        <f>38.7185 * CHOOSE(CONTROL!$C$9, $D$9, 100%, $F$9) + CHOOSE(CONTROL!$C$27, 0.0021, 0)</f>
        <v>38.720599999999997</v>
      </c>
      <c r="H270" s="17">
        <f>38.5838 * CHOOSE(CONTROL!$C$9, $D$9, 100%, $F$9) + CHOOSE(CONTROL!$C$27, 0.0021, 0)</f>
        <v>38.585899999999995</v>
      </c>
      <c r="I270" s="17">
        <f>38.5838 * CHOOSE(CONTROL!$C$9, $D$9, 100%, $F$9) + CHOOSE(CONTROL!$C$27, 0.0021, 0)</f>
        <v>38.585899999999995</v>
      </c>
      <c r="J270" s="17">
        <f>38.5838 * CHOOSE(CONTROL!$C$9, $D$9, 100%, $F$9) + CHOOSE(CONTROL!$C$27, 0.0021, 0)</f>
        <v>38.585899999999995</v>
      </c>
      <c r="K270" s="17">
        <f>38.5838 * CHOOSE(CONTROL!$C$9, $D$9, 100%, $F$9) + CHOOSE(CONTROL!$C$27, 0.0021, 0)</f>
        <v>38.585899999999995</v>
      </c>
      <c r="L270" s="17"/>
    </row>
    <row r="271" spans="1:12" ht="15" x14ac:dyDescent="0.2">
      <c r="A271" s="16">
        <v>48792</v>
      </c>
      <c r="B271" s="17">
        <f>39.2366 * CHOOSE(CONTROL!$C$9, $D$9, 100%, $F$9) + CHOOSE(CONTROL!$C$27, 0.0021, 0)</f>
        <v>39.238700000000001</v>
      </c>
      <c r="C271" s="17">
        <f>38.8044 * CHOOSE(CONTROL!$C$9, $D$9, 100%, $F$9) + CHOOSE(CONTROL!$C$27, 0.0021, 0)</f>
        <v>38.8065</v>
      </c>
      <c r="D271" s="17">
        <f>38.8044 * CHOOSE(CONTROL!$C$9, $D$9, 100%, $F$9) + CHOOSE(CONTROL!$C$27, 0.0021, 0)</f>
        <v>38.8065</v>
      </c>
      <c r="E271" s="17">
        <f>38.6677 * CHOOSE(CONTROL!$C$9, $D$9, 100%, $F$9) + CHOOSE(CONTROL!$C$27, 0.0021, 0)</f>
        <v>38.669800000000002</v>
      </c>
      <c r="F271" s="17">
        <f>38.6677 * CHOOSE(CONTROL!$C$9, $D$9, 100%, $F$9) + CHOOSE(CONTROL!$C$27, 0.0021, 0)</f>
        <v>38.669800000000002</v>
      </c>
      <c r="G271" s="17">
        <f>38.9391 * CHOOSE(CONTROL!$C$9, $D$9, 100%, $F$9) + CHOOSE(CONTROL!$C$27, 0.0021, 0)</f>
        <v>38.941200000000002</v>
      </c>
      <c r="H271" s="17">
        <f>38.8044 * CHOOSE(CONTROL!$C$9, $D$9, 100%, $F$9) + CHOOSE(CONTROL!$C$27, 0.0021, 0)</f>
        <v>38.8065</v>
      </c>
      <c r="I271" s="17">
        <f>38.8044 * CHOOSE(CONTROL!$C$9, $D$9, 100%, $F$9) + CHOOSE(CONTROL!$C$27, 0.0021, 0)</f>
        <v>38.8065</v>
      </c>
      <c r="J271" s="17">
        <f>38.8044 * CHOOSE(CONTROL!$C$9, $D$9, 100%, $F$9) + CHOOSE(CONTROL!$C$27, 0.0021, 0)</f>
        <v>38.8065</v>
      </c>
      <c r="K271" s="17">
        <f>38.8044 * CHOOSE(CONTROL!$C$9, $D$9, 100%, $F$9) + CHOOSE(CONTROL!$C$27, 0.0021, 0)</f>
        <v>38.8065</v>
      </c>
      <c r="L271" s="17"/>
    </row>
    <row r="272" spans="1:12" ht="15" x14ac:dyDescent="0.2">
      <c r="A272" s="16">
        <v>48823</v>
      </c>
      <c r="B272" s="17">
        <f>39.9879 * CHOOSE(CONTROL!$C$9, $D$9, 100%, $F$9) + CHOOSE(CONTROL!$C$27, 0.0021, 0)</f>
        <v>39.99</v>
      </c>
      <c r="C272" s="17">
        <f>39.5557 * CHOOSE(CONTROL!$C$9, $D$9, 100%, $F$9) + CHOOSE(CONTROL!$C$27, 0.0021, 0)</f>
        <v>39.5578</v>
      </c>
      <c r="D272" s="17">
        <f>39.5557 * CHOOSE(CONTROL!$C$9, $D$9, 100%, $F$9) + CHOOSE(CONTROL!$C$27, 0.0021, 0)</f>
        <v>39.5578</v>
      </c>
      <c r="E272" s="17">
        <f>39.419 * CHOOSE(CONTROL!$C$9, $D$9, 100%, $F$9) + CHOOSE(CONTROL!$C$27, 0.0021, 0)</f>
        <v>39.421099999999996</v>
      </c>
      <c r="F272" s="17">
        <f>39.419 * CHOOSE(CONTROL!$C$9, $D$9, 100%, $F$9) + CHOOSE(CONTROL!$C$27, 0.0021, 0)</f>
        <v>39.421099999999996</v>
      </c>
      <c r="G272" s="17">
        <f>39.6904 * CHOOSE(CONTROL!$C$9, $D$9, 100%, $F$9) + CHOOSE(CONTROL!$C$27, 0.0021, 0)</f>
        <v>39.692499999999995</v>
      </c>
      <c r="H272" s="17">
        <f>39.5557 * CHOOSE(CONTROL!$C$9, $D$9, 100%, $F$9) + CHOOSE(CONTROL!$C$27, 0.0021, 0)</f>
        <v>39.5578</v>
      </c>
      <c r="I272" s="17">
        <f>39.5557 * CHOOSE(CONTROL!$C$9, $D$9, 100%, $F$9) + CHOOSE(CONTROL!$C$27, 0.0021, 0)</f>
        <v>39.5578</v>
      </c>
      <c r="J272" s="17">
        <f>39.5557 * CHOOSE(CONTROL!$C$9, $D$9, 100%, $F$9) + CHOOSE(CONTROL!$C$27, 0.0021, 0)</f>
        <v>39.5578</v>
      </c>
      <c r="K272" s="17">
        <f>39.5557 * CHOOSE(CONTROL!$C$9, $D$9, 100%, $F$9) + CHOOSE(CONTROL!$C$27, 0.0021, 0)</f>
        <v>39.5578</v>
      </c>
      <c r="L272" s="17"/>
    </row>
    <row r="273" spans="1:12" ht="15" x14ac:dyDescent="0.2">
      <c r="A273" s="16">
        <v>48853</v>
      </c>
      <c r="B273" s="17">
        <f>40.9389 * CHOOSE(CONTROL!$C$9, $D$9, 100%, $F$9) + CHOOSE(CONTROL!$C$27, 0.0021, 0)</f>
        <v>40.940999999999995</v>
      </c>
      <c r="C273" s="17">
        <f>40.5066 * CHOOSE(CONTROL!$C$9, $D$9, 100%, $F$9) + CHOOSE(CONTROL!$C$27, 0.0021, 0)</f>
        <v>40.508699999999997</v>
      </c>
      <c r="D273" s="17">
        <f>40.5066 * CHOOSE(CONTROL!$C$9, $D$9, 100%, $F$9) + CHOOSE(CONTROL!$C$27, 0.0021, 0)</f>
        <v>40.508699999999997</v>
      </c>
      <c r="E273" s="17">
        <f>40.37 * CHOOSE(CONTROL!$C$9, $D$9, 100%, $F$9) + CHOOSE(CONTROL!$C$27, 0.0021, 0)</f>
        <v>40.372099999999996</v>
      </c>
      <c r="F273" s="17">
        <f>40.37 * CHOOSE(CONTROL!$C$9, $D$9, 100%, $F$9) + CHOOSE(CONTROL!$C$27, 0.0021, 0)</f>
        <v>40.372099999999996</v>
      </c>
      <c r="G273" s="17">
        <f>40.6413 * CHOOSE(CONTROL!$C$9, $D$9, 100%, $F$9) + CHOOSE(CONTROL!$C$27, 0.0021, 0)</f>
        <v>40.6434</v>
      </c>
      <c r="H273" s="17">
        <f>40.5066 * CHOOSE(CONTROL!$C$9, $D$9, 100%, $F$9) + CHOOSE(CONTROL!$C$27, 0.0021, 0)</f>
        <v>40.508699999999997</v>
      </c>
      <c r="I273" s="17">
        <f>40.5066 * CHOOSE(CONTROL!$C$9, $D$9, 100%, $F$9) + CHOOSE(CONTROL!$C$27, 0.0021, 0)</f>
        <v>40.508699999999997</v>
      </c>
      <c r="J273" s="17">
        <f>40.5066 * CHOOSE(CONTROL!$C$9, $D$9, 100%, $F$9) + CHOOSE(CONTROL!$C$27, 0.0021, 0)</f>
        <v>40.508699999999997</v>
      </c>
      <c r="K273" s="17">
        <f>40.5066 * CHOOSE(CONTROL!$C$9, $D$9, 100%, $F$9) + CHOOSE(CONTROL!$C$27, 0.0021, 0)</f>
        <v>40.508699999999997</v>
      </c>
      <c r="L273" s="17"/>
    </row>
    <row r="274" spans="1:12" ht="15" x14ac:dyDescent="0.2">
      <c r="A274" s="16">
        <v>48884</v>
      </c>
      <c r="B274" s="17">
        <f>41.0281 * CHOOSE(CONTROL!$C$9, $D$9, 100%, $F$9) + CHOOSE(CONTROL!$C$27, 0.0021, 0)</f>
        <v>41.030200000000001</v>
      </c>
      <c r="C274" s="17">
        <f>40.5959 * CHOOSE(CONTROL!$C$9, $D$9, 100%, $F$9) + CHOOSE(CONTROL!$C$27, 0.0021, 0)</f>
        <v>40.597999999999999</v>
      </c>
      <c r="D274" s="17">
        <f>40.5959 * CHOOSE(CONTROL!$C$9, $D$9, 100%, $F$9) + CHOOSE(CONTROL!$C$27, 0.0021, 0)</f>
        <v>40.597999999999999</v>
      </c>
      <c r="E274" s="17">
        <f>40.4592 * CHOOSE(CONTROL!$C$9, $D$9, 100%, $F$9) + CHOOSE(CONTROL!$C$27, 0.0021, 0)</f>
        <v>40.461300000000001</v>
      </c>
      <c r="F274" s="17">
        <f>40.4592 * CHOOSE(CONTROL!$C$9, $D$9, 100%, $F$9) + CHOOSE(CONTROL!$C$27, 0.0021, 0)</f>
        <v>40.461300000000001</v>
      </c>
      <c r="G274" s="17">
        <f>40.7306 * CHOOSE(CONTROL!$C$9, $D$9, 100%, $F$9) + CHOOSE(CONTROL!$C$27, 0.0021, 0)</f>
        <v>40.732700000000001</v>
      </c>
      <c r="H274" s="17">
        <f>40.5959 * CHOOSE(CONTROL!$C$9, $D$9, 100%, $F$9) + CHOOSE(CONTROL!$C$27, 0.0021, 0)</f>
        <v>40.597999999999999</v>
      </c>
      <c r="I274" s="17">
        <f>40.5959 * CHOOSE(CONTROL!$C$9, $D$9, 100%, $F$9) + CHOOSE(CONTROL!$C$27, 0.0021, 0)</f>
        <v>40.597999999999999</v>
      </c>
      <c r="J274" s="17">
        <f>40.5959 * CHOOSE(CONTROL!$C$9, $D$9, 100%, $F$9) + CHOOSE(CONTROL!$C$27, 0.0021, 0)</f>
        <v>40.597999999999999</v>
      </c>
      <c r="K274" s="17">
        <f>40.5959 * CHOOSE(CONTROL!$C$9, $D$9, 100%, $F$9) + CHOOSE(CONTROL!$C$27, 0.0021, 0)</f>
        <v>40.597999999999999</v>
      </c>
      <c r="L274" s="17"/>
    </row>
    <row r="275" spans="1:12" ht="15" x14ac:dyDescent="0.2">
      <c r="A275" s="16">
        <v>48914</v>
      </c>
      <c r="B275" s="17">
        <f>40.2686 * CHOOSE(CONTROL!$C$9, $D$9, 100%, $F$9) + CHOOSE(CONTROL!$C$27, 0.0021, 0)</f>
        <v>40.270699999999998</v>
      </c>
      <c r="C275" s="17">
        <f>39.8364 * CHOOSE(CONTROL!$C$9, $D$9, 100%, $F$9) + CHOOSE(CONTROL!$C$27, 0.0021, 0)</f>
        <v>39.838499999999996</v>
      </c>
      <c r="D275" s="17">
        <f>39.8364 * CHOOSE(CONTROL!$C$9, $D$9, 100%, $F$9) + CHOOSE(CONTROL!$C$27, 0.0021, 0)</f>
        <v>39.838499999999996</v>
      </c>
      <c r="E275" s="17">
        <f>39.6997 * CHOOSE(CONTROL!$C$9, $D$9, 100%, $F$9) + CHOOSE(CONTROL!$C$27, 0.0021, 0)</f>
        <v>39.701799999999999</v>
      </c>
      <c r="F275" s="17">
        <f>39.6997 * CHOOSE(CONTROL!$C$9, $D$9, 100%, $F$9) + CHOOSE(CONTROL!$C$27, 0.0021, 0)</f>
        <v>39.701799999999999</v>
      </c>
      <c r="G275" s="17">
        <f>39.9711 * CHOOSE(CONTROL!$C$9, $D$9, 100%, $F$9) + CHOOSE(CONTROL!$C$27, 0.0021, 0)</f>
        <v>39.973199999999999</v>
      </c>
      <c r="H275" s="17">
        <f>39.8364 * CHOOSE(CONTROL!$C$9, $D$9, 100%, $F$9) + CHOOSE(CONTROL!$C$27, 0.0021, 0)</f>
        <v>39.838499999999996</v>
      </c>
      <c r="I275" s="17">
        <f>39.8364 * CHOOSE(CONTROL!$C$9, $D$9, 100%, $F$9) + CHOOSE(CONTROL!$C$27, 0.0021, 0)</f>
        <v>39.838499999999996</v>
      </c>
      <c r="J275" s="17">
        <f>39.8364 * CHOOSE(CONTROL!$C$9, $D$9, 100%, $F$9) + CHOOSE(CONTROL!$C$27, 0.0021, 0)</f>
        <v>39.838499999999996</v>
      </c>
      <c r="K275" s="17">
        <f>39.8364 * CHOOSE(CONTROL!$C$9, $D$9, 100%, $F$9) + CHOOSE(CONTROL!$C$27, 0.0021, 0)</f>
        <v>39.838499999999996</v>
      </c>
      <c r="L275" s="17"/>
    </row>
    <row r="276" spans="1:12" ht="15" x14ac:dyDescent="0.2">
      <c r="A276" s="16">
        <v>48945</v>
      </c>
      <c r="B276" s="17">
        <f>39.5125 * CHOOSE(CONTROL!$C$9, $D$9, 100%, $F$9) + CHOOSE(CONTROL!$C$27, 0.0021, 0)</f>
        <v>39.514600000000002</v>
      </c>
      <c r="C276" s="17">
        <f>39.0803 * CHOOSE(CONTROL!$C$9, $D$9, 100%, $F$9) + CHOOSE(CONTROL!$C$27, 0.0021, 0)</f>
        <v>39.0824</v>
      </c>
      <c r="D276" s="17">
        <f>39.0803 * CHOOSE(CONTROL!$C$9, $D$9, 100%, $F$9) + CHOOSE(CONTROL!$C$27, 0.0021, 0)</f>
        <v>39.0824</v>
      </c>
      <c r="E276" s="17">
        <f>38.9436 * CHOOSE(CONTROL!$C$9, $D$9, 100%, $F$9) + CHOOSE(CONTROL!$C$27, 0.0021, 0)</f>
        <v>38.945700000000002</v>
      </c>
      <c r="F276" s="17">
        <f>38.9436 * CHOOSE(CONTROL!$C$9, $D$9, 100%, $F$9) + CHOOSE(CONTROL!$C$27, 0.0021, 0)</f>
        <v>38.945700000000002</v>
      </c>
      <c r="G276" s="17">
        <f>39.215 * CHOOSE(CONTROL!$C$9, $D$9, 100%, $F$9) + CHOOSE(CONTROL!$C$27, 0.0021, 0)</f>
        <v>39.217100000000002</v>
      </c>
      <c r="H276" s="17">
        <f>39.0803 * CHOOSE(CONTROL!$C$9, $D$9, 100%, $F$9) + CHOOSE(CONTROL!$C$27, 0.0021, 0)</f>
        <v>39.0824</v>
      </c>
      <c r="I276" s="17">
        <f>39.0803 * CHOOSE(CONTROL!$C$9, $D$9, 100%, $F$9) + CHOOSE(CONTROL!$C$27, 0.0021, 0)</f>
        <v>39.0824</v>
      </c>
      <c r="J276" s="17">
        <f>39.0803 * CHOOSE(CONTROL!$C$9, $D$9, 100%, $F$9) + CHOOSE(CONTROL!$C$27, 0.0021, 0)</f>
        <v>39.0824</v>
      </c>
      <c r="K276" s="17">
        <f>39.0803 * CHOOSE(CONTROL!$C$9, $D$9, 100%, $F$9) + CHOOSE(CONTROL!$C$27, 0.0021, 0)</f>
        <v>39.0824</v>
      </c>
      <c r="L276" s="17"/>
    </row>
    <row r="277" spans="1:12" ht="15" x14ac:dyDescent="0.2">
      <c r="A277" s="16">
        <v>48976</v>
      </c>
      <c r="B277" s="17">
        <f>38.4597 * CHOOSE(CONTROL!$C$9, $D$9, 100%, $F$9) + CHOOSE(CONTROL!$C$27, 0.0021, 0)</f>
        <v>38.461799999999997</v>
      </c>
      <c r="C277" s="17">
        <f>38.0275 * CHOOSE(CONTROL!$C$9, $D$9, 100%, $F$9) + CHOOSE(CONTROL!$C$27, 0.0021, 0)</f>
        <v>38.029600000000002</v>
      </c>
      <c r="D277" s="17">
        <f>38.0275 * CHOOSE(CONTROL!$C$9, $D$9, 100%, $F$9) + CHOOSE(CONTROL!$C$27, 0.0021, 0)</f>
        <v>38.029600000000002</v>
      </c>
      <c r="E277" s="17">
        <f>37.8908 * CHOOSE(CONTROL!$C$9, $D$9, 100%, $F$9) + CHOOSE(CONTROL!$C$27, 0.0021, 0)</f>
        <v>37.892899999999997</v>
      </c>
      <c r="F277" s="17">
        <f>37.8908 * CHOOSE(CONTROL!$C$9, $D$9, 100%, $F$9) + CHOOSE(CONTROL!$C$27, 0.0021, 0)</f>
        <v>37.892899999999997</v>
      </c>
      <c r="G277" s="17">
        <f>38.1622 * CHOOSE(CONTROL!$C$9, $D$9, 100%, $F$9) + CHOOSE(CONTROL!$C$27, 0.0021, 0)</f>
        <v>38.164299999999997</v>
      </c>
      <c r="H277" s="17">
        <f>38.0275 * CHOOSE(CONTROL!$C$9, $D$9, 100%, $F$9) + CHOOSE(CONTROL!$C$27, 0.0021, 0)</f>
        <v>38.029600000000002</v>
      </c>
      <c r="I277" s="17">
        <f>38.0275 * CHOOSE(CONTROL!$C$9, $D$9, 100%, $F$9) + CHOOSE(CONTROL!$C$27, 0.0021, 0)</f>
        <v>38.029600000000002</v>
      </c>
      <c r="J277" s="17">
        <f>38.0275 * CHOOSE(CONTROL!$C$9, $D$9, 100%, $F$9) + CHOOSE(CONTROL!$C$27, 0.0021, 0)</f>
        <v>38.029600000000002</v>
      </c>
      <c r="K277" s="17">
        <f>38.0275 * CHOOSE(CONTROL!$C$9, $D$9, 100%, $F$9) + CHOOSE(CONTROL!$C$27, 0.0021, 0)</f>
        <v>38.029600000000002</v>
      </c>
      <c r="L277" s="17"/>
    </row>
    <row r="278" spans="1:12" ht="15" x14ac:dyDescent="0.2">
      <c r="A278" s="16">
        <v>49004</v>
      </c>
      <c r="B278" s="17">
        <f>38.0252 * CHOOSE(CONTROL!$C$9, $D$9, 100%, $F$9) + CHOOSE(CONTROL!$C$27, 0.0021, 0)</f>
        <v>38.027299999999997</v>
      </c>
      <c r="C278" s="17">
        <f>37.5929 * CHOOSE(CONTROL!$C$9, $D$9, 100%, $F$9) + CHOOSE(CONTROL!$C$27, 0.0021, 0)</f>
        <v>37.594999999999999</v>
      </c>
      <c r="D278" s="17">
        <f>37.5929 * CHOOSE(CONTROL!$C$9, $D$9, 100%, $F$9) + CHOOSE(CONTROL!$C$27, 0.0021, 0)</f>
        <v>37.594999999999999</v>
      </c>
      <c r="E278" s="17">
        <f>37.4562 * CHOOSE(CONTROL!$C$9, $D$9, 100%, $F$9) + CHOOSE(CONTROL!$C$27, 0.0021, 0)</f>
        <v>37.458300000000001</v>
      </c>
      <c r="F278" s="17">
        <f>37.4562 * CHOOSE(CONTROL!$C$9, $D$9, 100%, $F$9) + CHOOSE(CONTROL!$C$27, 0.0021, 0)</f>
        <v>37.458300000000001</v>
      </c>
      <c r="G278" s="17">
        <f>37.7276 * CHOOSE(CONTROL!$C$9, $D$9, 100%, $F$9) + CHOOSE(CONTROL!$C$27, 0.0021, 0)</f>
        <v>37.729700000000001</v>
      </c>
      <c r="H278" s="17">
        <f>37.5929 * CHOOSE(CONTROL!$C$9, $D$9, 100%, $F$9) + CHOOSE(CONTROL!$C$27, 0.0021, 0)</f>
        <v>37.594999999999999</v>
      </c>
      <c r="I278" s="17">
        <f>37.5929 * CHOOSE(CONTROL!$C$9, $D$9, 100%, $F$9) + CHOOSE(CONTROL!$C$27, 0.0021, 0)</f>
        <v>37.594999999999999</v>
      </c>
      <c r="J278" s="17">
        <f>37.5929 * CHOOSE(CONTROL!$C$9, $D$9, 100%, $F$9) + CHOOSE(CONTROL!$C$27, 0.0021, 0)</f>
        <v>37.594999999999999</v>
      </c>
      <c r="K278" s="17">
        <f>37.5929 * CHOOSE(CONTROL!$C$9, $D$9, 100%, $F$9) + CHOOSE(CONTROL!$C$27, 0.0021, 0)</f>
        <v>37.594999999999999</v>
      </c>
      <c r="L278" s="17"/>
    </row>
    <row r="279" spans="1:12" ht="15" x14ac:dyDescent="0.2">
      <c r="A279" s="16">
        <v>49035</v>
      </c>
      <c r="B279" s="17">
        <f>37.5062 * CHOOSE(CONTROL!$C$9, $D$9, 100%, $F$9) + CHOOSE(CONTROL!$C$27, 0.0021, 0)</f>
        <v>37.508299999999998</v>
      </c>
      <c r="C279" s="17">
        <f>37.074 * CHOOSE(CONTROL!$C$9, $D$9, 100%, $F$9) + CHOOSE(CONTROL!$C$27, 0.0021, 0)</f>
        <v>37.076099999999997</v>
      </c>
      <c r="D279" s="17">
        <f>37.074 * CHOOSE(CONTROL!$C$9, $D$9, 100%, $F$9) + CHOOSE(CONTROL!$C$27, 0.0021, 0)</f>
        <v>37.076099999999997</v>
      </c>
      <c r="E279" s="17">
        <f>36.9373 * CHOOSE(CONTROL!$C$9, $D$9, 100%, $F$9) + CHOOSE(CONTROL!$C$27, 0.0021, 0)</f>
        <v>36.939399999999999</v>
      </c>
      <c r="F279" s="17">
        <f>36.9373 * CHOOSE(CONTROL!$C$9, $D$9, 100%, $F$9) + CHOOSE(CONTROL!$C$27, 0.0021, 0)</f>
        <v>36.939399999999999</v>
      </c>
      <c r="G279" s="17">
        <f>37.2087 * CHOOSE(CONTROL!$C$9, $D$9, 100%, $F$9) + CHOOSE(CONTROL!$C$27, 0.0021, 0)</f>
        <v>37.210799999999999</v>
      </c>
      <c r="H279" s="17">
        <f>37.074 * CHOOSE(CONTROL!$C$9, $D$9, 100%, $F$9) + CHOOSE(CONTROL!$C$27, 0.0021, 0)</f>
        <v>37.076099999999997</v>
      </c>
      <c r="I279" s="17">
        <f>37.074 * CHOOSE(CONTROL!$C$9, $D$9, 100%, $F$9) + CHOOSE(CONTROL!$C$27, 0.0021, 0)</f>
        <v>37.076099999999997</v>
      </c>
      <c r="J279" s="17">
        <f>37.074 * CHOOSE(CONTROL!$C$9, $D$9, 100%, $F$9) + CHOOSE(CONTROL!$C$27, 0.0021, 0)</f>
        <v>37.076099999999997</v>
      </c>
      <c r="K279" s="17">
        <f>37.074 * CHOOSE(CONTROL!$C$9, $D$9, 100%, $F$9) + CHOOSE(CONTROL!$C$27, 0.0021, 0)</f>
        <v>37.076099999999997</v>
      </c>
      <c r="L279" s="17"/>
    </row>
    <row r="280" spans="1:12" ht="15" x14ac:dyDescent="0.2">
      <c r="A280" s="16">
        <v>49065</v>
      </c>
      <c r="B280" s="17">
        <f>38.2457 * CHOOSE(CONTROL!$C$9, $D$9, 100%, $F$9) + CHOOSE(CONTROL!$C$27, 0.0021, 0)</f>
        <v>38.247799999999998</v>
      </c>
      <c r="C280" s="17">
        <f>37.8135 * CHOOSE(CONTROL!$C$9, $D$9, 100%, $F$9) + CHOOSE(CONTROL!$C$27, 0.0021, 0)</f>
        <v>37.815599999999996</v>
      </c>
      <c r="D280" s="17">
        <f>37.8135 * CHOOSE(CONTROL!$C$9, $D$9, 100%, $F$9) + CHOOSE(CONTROL!$C$27, 0.0021, 0)</f>
        <v>37.815599999999996</v>
      </c>
      <c r="E280" s="17">
        <f>37.6768 * CHOOSE(CONTROL!$C$9, $D$9, 100%, $F$9) + CHOOSE(CONTROL!$C$27, 0.0021, 0)</f>
        <v>37.678899999999999</v>
      </c>
      <c r="F280" s="17">
        <f>37.6768 * CHOOSE(CONTROL!$C$9, $D$9, 100%, $F$9) + CHOOSE(CONTROL!$C$27, 0.0021, 0)</f>
        <v>37.678899999999999</v>
      </c>
      <c r="G280" s="17">
        <f>37.9482 * CHOOSE(CONTROL!$C$9, $D$9, 100%, $F$9) + CHOOSE(CONTROL!$C$27, 0.0021, 0)</f>
        <v>37.950299999999999</v>
      </c>
      <c r="H280" s="17">
        <f>37.8135 * CHOOSE(CONTROL!$C$9, $D$9, 100%, $F$9) + CHOOSE(CONTROL!$C$27, 0.0021, 0)</f>
        <v>37.815599999999996</v>
      </c>
      <c r="I280" s="17">
        <f>37.8135 * CHOOSE(CONTROL!$C$9, $D$9, 100%, $F$9) + CHOOSE(CONTROL!$C$27, 0.0021, 0)</f>
        <v>37.815599999999996</v>
      </c>
      <c r="J280" s="17">
        <f>37.8135 * CHOOSE(CONTROL!$C$9, $D$9, 100%, $F$9) + CHOOSE(CONTROL!$C$27, 0.0021, 0)</f>
        <v>37.815599999999996</v>
      </c>
      <c r="K280" s="17">
        <f>37.8135 * CHOOSE(CONTROL!$C$9, $D$9, 100%, $F$9) + CHOOSE(CONTROL!$C$27, 0.0021, 0)</f>
        <v>37.815599999999996</v>
      </c>
      <c r="L280" s="17"/>
    </row>
    <row r="281" spans="1:12" ht="15" x14ac:dyDescent="0.2">
      <c r="A281" s="16">
        <v>49096</v>
      </c>
      <c r="B281" s="17">
        <f>38.6887 * CHOOSE(CONTROL!$C$9, $D$9, 100%, $F$9) + CHOOSE(CONTROL!$C$27, 0.0021, 0)</f>
        <v>38.690799999999996</v>
      </c>
      <c r="C281" s="17">
        <f>38.2564 * CHOOSE(CONTROL!$C$9, $D$9, 100%, $F$9) + CHOOSE(CONTROL!$C$27, 0.0021, 0)</f>
        <v>38.258499999999998</v>
      </c>
      <c r="D281" s="17">
        <f>38.2564 * CHOOSE(CONTROL!$C$9, $D$9, 100%, $F$9) + CHOOSE(CONTROL!$C$27, 0.0021, 0)</f>
        <v>38.258499999999998</v>
      </c>
      <c r="E281" s="17">
        <f>38.1198 * CHOOSE(CONTROL!$C$9, $D$9, 100%, $F$9) + CHOOSE(CONTROL!$C$27, 0.0021, 0)</f>
        <v>38.121899999999997</v>
      </c>
      <c r="F281" s="17">
        <f>38.1198 * CHOOSE(CONTROL!$C$9, $D$9, 100%, $F$9) + CHOOSE(CONTROL!$C$27, 0.0021, 0)</f>
        <v>38.121899999999997</v>
      </c>
      <c r="G281" s="17">
        <f>38.3912 * CHOOSE(CONTROL!$C$9, $D$9, 100%, $F$9) + CHOOSE(CONTROL!$C$27, 0.0021, 0)</f>
        <v>38.393299999999996</v>
      </c>
      <c r="H281" s="17">
        <f>38.2564 * CHOOSE(CONTROL!$C$9, $D$9, 100%, $F$9) + CHOOSE(CONTROL!$C$27, 0.0021, 0)</f>
        <v>38.258499999999998</v>
      </c>
      <c r="I281" s="17">
        <f>38.2564 * CHOOSE(CONTROL!$C$9, $D$9, 100%, $F$9) + CHOOSE(CONTROL!$C$27, 0.0021, 0)</f>
        <v>38.258499999999998</v>
      </c>
      <c r="J281" s="17">
        <f>38.2564 * CHOOSE(CONTROL!$C$9, $D$9, 100%, $F$9) + CHOOSE(CONTROL!$C$27, 0.0021, 0)</f>
        <v>38.258499999999998</v>
      </c>
      <c r="K281" s="17">
        <f>38.2564 * CHOOSE(CONTROL!$C$9, $D$9, 100%, $F$9) + CHOOSE(CONTROL!$C$27, 0.0021, 0)</f>
        <v>38.258499999999998</v>
      </c>
      <c r="L281" s="17"/>
    </row>
    <row r="282" spans="1:12" ht="15" x14ac:dyDescent="0.2">
      <c r="A282" s="16">
        <v>49126</v>
      </c>
      <c r="B282" s="17">
        <f>39.4194 * CHOOSE(CONTROL!$C$9, $D$9, 100%, $F$9) + CHOOSE(CONTROL!$C$27, 0.0021, 0)</f>
        <v>39.421500000000002</v>
      </c>
      <c r="C282" s="17">
        <f>38.9871 * CHOOSE(CONTROL!$C$9, $D$9, 100%, $F$9) + CHOOSE(CONTROL!$C$27, 0.0021, 0)</f>
        <v>38.989199999999997</v>
      </c>
      <c r="D282" s="17">
        <f>38.9871 * CHOOSE(CONTROL!$C$9, $D$9, 100%, $F$9) + CHOOSE(CONTROL!$C$27, 0.0021, 0)</f>
        <v>38.989199999999997</v>
      </c>
      <c r="E282" s="17">
        <f>38.8505 * CHOOSE(CONTROL!$C$9, $D$9, 100%, $F$9) + CHOOSE(CONTROL!$C$27, 0.0021, 0)</f>
        <v>38.852599999999995</v>
      </c>
      <c r="F282" s="17">
        <f>38.8505 * CHOOSE(CONTROL!$C$9, $D$9, 100%, $F$9) + CHOOSE(CONTROL!$C$27, 0.0021, 0)</f>
        <v>38.852599999999995</v>
      </c>
      <c r="G282" s="17">
        <f>39.1218 * CHOOSE(CONTROL!$C$9, $D$9, 100%, $F$9) + CHOOSE(CONTROL!$C$27, 0.0021, 0)</f>
        <v>39.123899999999999</v>
      </c>
      <c r="H282" s="17">
        <f>38.9871 * CHOOSE(CONTROL!$C$9, $D$9, 100%, $F$9) + CHOOSE(CONTROL!$C$27, 0.0021, 0)</f>
        <v>38.989199999999997</v>
      </c>
      <c r="I282" s="17">
        <f>38.9871 * CHOOSE(CONTROL!$C$9, $D$9, 100%, $F$9) + CHOOSE(CONTROL!$C$27, 0.0021, 0)</f>
        <v>38.989199999999997</v>
      </c>
      <c r="J282" s="17">
        <f>38.9871 * CHOOSE(CONTROL!$C$9, $D$9, 100%, $F$9) + CHOOSE(CONTROL!$C$27, 0.0021, 0)</f>
        <v>38.989199999999997</v>
      </c>
      <c r="K282" s="17">
        <f>38.9871 * CHOOSE(CONTROL!$C$9, $D$9, 100%, $F$9) + CHOOSE(CONTROL!$C$27, 0.0021, 0)</f>
        <v>38.989199999999997</v>
      </c>
      <c r="L282" s="17"/>
    </row>
    <row r="283" spans="1:12" ht="15" x14ac:dyDescent="0.2">
      <c r="A283" s="16">
        <v>49157</v>
      </c>
      <c r="B283" s="17">
        <f>39.6424 * CHOOSE(CONTROL!$C$9, $D$9, 100%, $F$9) + CHOOSE(CONTROL!$C$27, 0.0021, 0)</f>
        <v>39.644500000000001</v>
      </c>
      <c r="C283" s="17">
        <f>39.2101 * CHOOSE(CONTROL!$C$9, $D$9, 100%, $F$9) + CHOOSE(CONTROL!$C$27, 0.0021, 0)</f>
        <v>39.212199999999996</v>
      </c>
      <c r="D283" s="17">
        <f>39.2101 * CHOOSE(CONTROL!$C$9, $D$9, 100%, $F$9) + CHOOSE(CONTROL!$C$27, 0.0021, 0)</f>
        <v>39.212199999999996</v>
      </c>
      <c r="E283" s="17">
        <f>39.0735 * CHOOSE(CONTROL!$C$9, $D$9, 100%, $F$9) + CHOOSE(CONTROL!$C$27, 0.0021, 0)</f>
        <v>39.075600000000001</v>
      </c>
      <c r="F283" s="17">
        <f>39.0735 * CHOOSE(CONTROL!$C$9, $D$9, 100%, $F$9) + CHOOSE(CONTROL!$C$27, 0.0021, 0)</f>
        <v>39.075600000000001</v>
      </c>
      <c r="G283" s="17">
        <f>39.3449 * CHOOSE(CONTROL!$C$9, $D$9, 100%, $F$9) + CHOOSE(CONTROL!$C$27, 0.0021, 0)</f>
        <v>39.347000000000001</v>
      </c>
      <c r="H283" s="17">
        <f>39.2101 * CHOOSE(CONTROL!$C$9, $D$9, 100%, $F$9) + CHOOSE(CONTROL!$C$27, 0.0021, 0)</f>
        <v>39.212199999999996</v>
      </c>
      <c r="I283" s="17">
        <f>39.2101 * CHOOSE(CONTROL!$C$9, $D$9, 100%, $F$9) + CHOOSE(CONTROL!$C$27, 0.0021, 0)</f>
        <v>39.212199999999996</v>
      </c>
      <c r="J283" s="17">
        <f>39.2101 * CHOOSE(CONTROL!$C$9, $D$9, 100%, $F$9) + CHOOSE(CONTROL!$C$27, 0.0021, 0)</f>
        <v>39.212199999999996</v>
      </c>
      <c r="K283" s="17">
        <f>39.2101 * CHOOSE(CONTROL!$C$9, $D$9, 100%, $F$9) + CHOOSE(CONTROL!$C$27, 0.0021, 0)</f>
        <v>39.212199999999996</v>
      </c>
      <c r="L283" s="17"/>
    </row>
    <row r="284" spans="1:12" ht="15" x14ac:dyDescent="0.2">
      <c r="A284" s="16">
        <v>49188</v>
      </c>
      <c r="B284" s="17">
        <f>40.4019 * CHOOSE(CONTROL!$C$9, $D$9, 100%, $F$9) + CHOOSE(CONTROL!$C$27, 0.0021, 0)</f>
        <v>40.403999999999996</v>
      </c>
      <c r="C284" s="17">
        <f>39.9697 * CHOOSE(CONTROL!$C$9, $D$9, 100%, $F$9) + CHOOSE(CONTROL!$C$27, 0.0021, 0)</f>
        <v>39.971800000000002</v>
      </c>
      <c r="D284" s="17">
        <f>39.9697 * CHOOSE(CONTROL!$C$9, $D$9, 100%, $F$9) + CHOOSE(CONTROL!$C$27, 0.0021, 0)</f>
        <v>39.971800000000002</v>
      </c>
      <c r="E284" s="17">
        <f>39.833 * CHOOSE(CONTROL!$C$9, $D$9, 100%, $F$9) + CHOOSE(CONTROL!$C$27, 0.0021, 0)</f>
        <v>39.835099999999997</v>
      </c>
      <c r="F284" s="17">
        <f>39.833 * CHOOSE(CONTROL!$C$9, $D$9, 100%, $F$9) + CHOOSE(CONTROL!$C$27, 0.0021, 0)</f>
        <v>39.835099999999997</v>
      </c>
      <c r="G284" s="17">
        <f>40.1044 * CHOOSE(CONTROL!$C$9, $D$9, 100%, $F$9) + CHOOSE(CONTROL!$C$27, 0.0021, 0)</f>
        <v>40.106499999999997</v>
      </c>
      <c r="H284" s="17">
        <f>39.9697 * CHOOSE(CONTROL!$C$9, $D$9, 100%, $F$9) + CHOOSE(CONTROL!$C$27, 0.0021, 0)</f>
        <v>39.971800000000002</v>
      </c>
      <c r="I284" s="17">
        <f>39.9697 * CHOOSE(CONTROL!$C$9, $D$9, 100%, $F$9) + CHOOSE(CONTROL!$C$27, 0.0021, 0)</f>
        <v>39.971800000000002</v>
      </c>
      <c r="J284" s="17">
        <f>39.9697 * CHOOSE(CONTROL!$C$9, $D$9, 100%, $F$9) + CHOOSE(CONTROL!$C$27, 0.0021, 0)</f>
        <v>39.971800000000002</v>
      </c>
      <c r="K284" s="17">
        <f>39.9697 * CHOOSE(CONTROL!$C$9, $D$9, 100%, $F$9) + CHOOSE(CONTROL!$C$27, 0.0021, 0)</f>
        <v>39.971800000000002</v>
      </c>
      <c r="L284" s="17"/>
    </row>
    <row r="285" spans="1:12" ht="15" x14ac:dyDescent="0.2">
      <c r="A285" s="16">
        <v>49218</v>
      </c>
      <c r="B285" s="17">
        <f>41.3633 * CHOOSE(CONTROL!$C$9, $D$9, 100%, $F$9) + CHOOSE(CONTROL!$C$27, 0.0021, 0)</f>
        <v>41.365400000000001</v>
      </c>
      <c r="C285" s="17">
        <f>40.9311 * CHOOSE(CONTROL!$C$9, $D$9, 100%, $F$9) + CHOOSE(CONTROL!$C$27, 0.0021, 0)</f>
        <v>40.933199999999999</v>
      </c>
      <c r="D285" s="17">
        <f>40.9311 * CHOOSE(CONTROL!$C$9, $D$9, 100%, $F$9) + CHOOSE(CONTROL!$C$27, 0.0021, 0)</f>
        <v>40.933199999999999</v>
      </c>
      <c r="E285" s="17">
        <f>40.7944 * CHOOSE(CONTROL!$C$9, $D$9, 100%, $F$9) + CHOOSE(CONTROL!$C$27, 0.0021, 0)</f>
        <v>40.796500000000002</v>
      </c>
      <c r="F285" s="17">
        <f>40.7944 * CHOOSE(CONTROL!$C$9, $D$9, 100%, $F$9) + CHOOSE(CONTROL!$C$27, 0.0021, 0)</f>
        <v>40.796500000000002</v>
      </c>
      <c r="G285" s="17">
        <f>41.0658 * CHOOSE(CONTROL!$C$9, $D$9, 100%, $F$9) + CHOOSE(CONTROL!$C$27, 0.0021, 0)</f>
        <v>41.067900000000002</v>
      </c>
      <c r="H285" s="17">
        <f>40.9311 * CHOOSE(CONTROL!$C$9, $D$9, 100%, $F$9) + CHOOSE(CONTROL!$C$27, 0.0021, 0)</f>
        <v>40.933199999999999</v>
      </c>
      <c r="I285" s="17">
        <f>40.9311 * CHOOSE(CONTROL!$C$9, $D$9, 100%, $F$9) + CHOOSE(CONTROL!$C$27, 0.0021, 0)</f>
        <v>40.933199999999999</v>
      </c>
      <c r="J285" s="17">
        <f>40.9311 * CHOOSE(CONTROL!$C$9, $D$9, 100%, $F$9) + CHOOSE(CONTROL!$C$27, 0.0021, 0)</f>
        <v>40.933199999999999</v>
      </c>
      <c r="K285" s="17">
        <f>40.9311 * CHOOSE(CONTROL!$C$9, $D$9, 100%, $F$9) + CHOOSE(CONTROL!$C$27, 0.0021, 0)</f>
        <v>40.933199999999999</v>
      </c>
      <c r="L285" s="17"/>
    </row>
    <row r="286" spans="1:12" ht="15" x14ac:dyDescent="0.2">
      <c r="A286" s="16">
        <v>49249</v>
      </c>
      <c r="B286" s="17">
        <f>41.4536 * CHOOSE(CONTROL!$C$9, $D$9, 100%, $F$9) + CHOOSE(CONTROL!$C$27, 0.0021, 0)</f>
        <v>41.4557</v>
      </c>
      <c r="C286" s="17">
        <f>41.0213 * CHOOSE(CONTROL!$C$9, $D$9, 100%, $F$9) + CHOOSE(CONTROL!$C$27, 0.0021, 0)</f>
        <v>41.023399999999995</v>
      </c>
      <c r="D286" s="17">
        <f>41.0213 * CHOOSE(CONTROL!$C$9, $D$9, 100%, $F$9) + CHOOSE(CONTROL!$C$27, 0.0021, 0)</f>
        <v>41.023399999999995</v>
      </c>
      <c r="E286" s="17">
        <f>40.8847 * CHOOSE(CONTROL!$C$9, $D$9, 100%, $F$9) + CHOOSE(CONTROL!$C$27, 0.0021, 0)</f>
        <v>40.886800000000001</v>
      </c>
      <c r="F286" s="17">
        <f>40.8847 * CHOOSE(CONTROL!$C$9, $D$9, 100%, $F$9) + CHOOSE(CONTROL!$C$27, 0.0021, 0)</f>
        <v>40.886800000000001</v>
      </c>
      <c r="G286" s="17">
        <f>41.156 * CHOOSE(CONTROL!$C$9, $D$9, 100%, $F$9) + CHOOSE(CONTROL!$C$27, 0.0021, 0)</f>
        <v>41.158099999999997</v>
      </c>
      <c r="H286" s="17">
        <f>41.0213 * CHOOSE(CONTROL!$C$9, $D$9, 100%, $F$9) + CHOOSE(CONTROL!$C$27, 0.0021, 0)</f>
        <v>41.023399999999995</v>
      </c>
      <c r="I286" s="17">
        <f>41.0213 * CHOOSE(CONTROL!$C$9, $D$9, 100%, $F$9) + CHOOSE(CONTROL!$C$27, 0.0021, 0)</f>
        <v>41.023399999999995</v>
      </c>
      <c r="J286" s="17">
        <f>41.0213 * CHOOSE(CONTROL!$C$9, $D$9, 100%, $F$9) + CHOOSE(CONTROL!$C$27, 0.0021, 0)</f>
        <v>41.023399999999995</v>
      </c>
      <c r="K286" s="17">
        <f>41.0213 * CHOOSE(CONTROL!$C$9, $D$9, 100%, $F$9) + CHOOSE(CONTROL!$C$27, 0.0021, 0)</f>
        <v>41.023399999999995</v>
      </c>
      <c r="L286" s="17"/>
    </row>
    <row r="287" spans="1:12" ht="15" x14ac:dyDescent="0.2">
      <c r="A287" s="16">
        <v>49279</v>
      </c>
      <c r="B287" s="17">
        <f>40.6857 * CHOOSE(CONTROL!$C$9, $D$9, 100%, $F$9) + CHOOSE(CONTROL!$C$27, 0.0021, 0)</f>
        <v>40.687799999999996</v>
      </c>
      <c r="C287" s="17">
        <f>40.2535 * CHOOSE(CONTROL!$C$9, $D$9, 100%, $F$9) + CHOOSE(CONTROL!$C$27, 0.0021, 0)</f>
        <v>40.255600000000001</v>
      </c>
      <c r="D287" s="17">
        <f>40.2535 * CHOOSE(CONTROL!$C$9, $D$9, 100%, $F$9) + CHOOSE(CONTROL!$C$27, 0.0021, 0)</f>
        <v>40.255600000000001</v>
      </c>
      <c r="E287" s="17">
        <f>40.1168 * CHOOSE(CONTROL!$C$9, $D$9, 100%, $F$9) + CHOOSE(CONTROL!$C$27, 0.0021, 0)</f>
        <v>40.118899999999996</v>
      </c>
      <c r="F287" s="17">
        <f>40.1168 * CHOOSE(CONTROL!$C$9, $D$9, 100%, $F$9) + CHOOSE(CONTROL!$C$27, 0.0021, 0)</f>
        <v>40.118899999999996</v>
      </c>
      <c r="G287" s="17">
        <f>40.3882 * CHOOSE(CONTROL!$C$9, $D$9, 100%, $F$9) + CHOOSE(CONTROL!$C$27, 0.0021, 0)</f>
        <v>40.390299999999996</v>
      </c>
      <c r="H287" s="17">
        <f>40.2535 * CHOOSE(CONTROL!$C$9, $D$9, 100%, $F$9) + CHOOSE(CONTROL!$C$27, 0.0021, 0)</f>
        <v>40.255600000000001</v>
      </c>
      <c r="I287" s="17">
        <f>40.2535 * CHOOSE(CONTROL!$C$9, $D$9, 100%, $F$9) + CHOOSE(CONTROL!$C$27, 0.0021, 0)</f>
        <v>40.255600000000001</v>
      </c>
      <c r="J287" s="17">
        <f>40.2535 * CHOOSE(CONTROL!$C$9, $D$9, 100%, $F$9) + CHOOSE(CONTROL!$C$27, 0.0021, 0)</f>
        <v>40.255600000000001</v>
      </c>
      <c r="K287" s="17">
        <f>40.2535 * CHOOSE(CONTROL!$C$9, $D$9, 100%, $F$9) + CHOOSE(CONTROL!$C$27, 0.0021, 0)</f>
        <v>40.255600000000001</v>
      </c>
      <c r="L287" s="17"/>
    </row>
    <row r="288" spans="1:12" ht="15" x14ac:dyDescent="0.2">
      <c r="A288" s="16">
        <v>49310</v>
      </c>
      <c r="B288" s="17">
        <f>39.9213 * CHOOSE(CONTROL!$C$9, $D$9, 100%, $F$9) + CHOOSE(CONTROL!$C$27, 0.0021, 0)</f>
        <v>39.923400000000001</v>
      </c>
      <c r="C288" s="17">
        <f>39.4891 * CHOOSE(CONTROL!$C$9, $D$9, 100%, $F$9) + CHOOSE(CONTROL!$C$27, 0.0021, 0)</f>
        <v>39.491199999999999</v>
      </c>
      <c r="D288" s="17">
        <f>39.4891 * CHOOSE(CONTROL!$C$9, $D$9, 100%, $F$9) + CHOOSE(CONTROL!$C$27, 0.0021, 0)</f>
        <v>39.491199999999999</v>
      </c>
      <c r="E288" s="17">
        <f>39.3524 * CHOOSE(CONTROL!$C$9, $D$9, 100%, $F$9) + CHOOSE(CONTROL!$C$27, 0.0021, 0)</f>
        <v>39.354500000000002</v>
      </c>
      <c r="F288" s="17">
        <f>39.3524 * CHOOSE(CONTROL!$C$9, $D$9, 100%, $F$9) + CHOOSE(CONTROL!$C$27, 0.0021, 0)</f>
        <v>39.354500000000002</v>
      </c>
      <c r="G288" s="17">
        <f>39.6238 * CHOOSE(CONTROL!$C$9, $D$9, 100%, $F$9) + CHOOSE(CONTROL!$C$27, 0.0021, 0)</f>
        <v>39.625900000000001</v>
      </c>
      <c r="H288" s="17">
        <f>39.4891 * CHOOSE(CONTROL!$C$9, $D$9, 100%, $F$9) + CHOOSE(CONTROL!$C$27, 0.0021, 0)</f>
        <v>39.491199999999999</v>
      </c>
      <c r="I288" s="17">
        <f>39.4891 * CHOOSE(CONTROL!$C$9, $D$9, 100%, $F$9) + CHOOSE(CONTROL!$C$27, 0.0021, 0)</f>
        <v>39.491199999999999</v>
      </c>
      <c r="J288" s="17">
        <f>39.4891 * CHOOSE(CONTROL!$C$9, $D$9, 100%, $F$9) + CHOOSE(CONTROL!$C$27, 0.0021, 0)</f>
        <v>39.491199999999999</v>
      </c>
      <c r="K288" s="17">
        <f>39.4891 * CHOOSE(CONTROL!$C$9, $D$9, 100%, $F$9) + CHOOSE(CONTROL!$C$27, 0.0021, 0)</f>
        <v>39.491199999999999</v>
      </c>
      <c r="L288" s="17"/>
    </row>
    <row r="289" spans="1:12" ht="15" x14ac:dyDescent="0.2">
      <c r="A289" s="16">
        <v>49341</v>
      </c>
      <c r="B289" s="17">
        <f>38.857 * CHOOSE(CONTROL!$C$9, $D$9, 100%, $F$9) + CHOOSE(CONTROL!$C$27, 0.0021, 0)</f>
        <v>38.859099999999998</v>
      </c>
      <c r="C289" s="17">
        <f>38.4247 * CHOOSE(CONTROL!$C$9, $D$9, 100%, $F$9) + CHOOSE(CONTROL!$C$27, 0.0021, 0)</f>
        <v>38.4268</v>
      </c>
      <c r="D289" s="17">
        <f>38.4247 * CHOOSE(CONTROL!$C$9, $D$9, 100%, $F$9) + CHOOSE(CONTROL!$C$27, 0.0021, 0)</f>
        <v>38.4268</v>
      </c>
      <c r="E289" s="17">
        <f>38.2881 * CHOOSE(CONTROL!$C$9, $D$9, 100%, $F$9) + CHOOSE(CONTROL!$C$27, 0.0021, 0)</f>
        <v>38.290199999999999</v>
      </c>
      <c r="F289" s="17">
        <f>38.2881 * CHOOSE(CONTROL!$C$9, $D$9, 100%, $F$9) + CHOOSE(CONTROL!$C$27, 0.0021, 0)</f>
        <v>38.290199999999999</v>
      </c>
      <c r="G289" s="17">
        <f>38.5594 * CHOOSE(CONTROL!$C$9, $D$9, 100%, $F$9) + CHOOSE(CONTROL!$C$27, 0.0021, 0)</f>
        <v>38.561499999999995</v>
      </c>
      <c r="H289" s="17">
        <f>38.4247 * CHOOSE(CONTROL!$C$9, $D$9, 100%, $F$9) + CHOOSE(CONTROL!$C$27, 0.0021, 0)</f>
        <v>38.4268</v>
      </c>
      <c r="I289" s="17">
        <f>38.4247 * CHOOSE(CONTROL!$C$9, $D$9, 100%, $F$9) + CHOOSE(CONTROL!$C$27, 0.0021, 0)</f>
        <v>38.4268</v>
      </c>
      <c r="J289" s="17">
        <f>38.4247 * CHOOSE(CONTROL!$C$9, $D$9, 100%, $F$9) + CHOOSE(CONTROL!$C$27, 0.0021, 0)</f>
        <v>38.4268</v>
      </c>
      <c r="K289" s="17">
        <f>38.4247 * CHOOSE(CONTROL!$C$9, $D$9, 100%, $F$9) + CHOOSE(CONTROL!$C$27, 0.0021, 0)</f>
        <v>38.4268</v>
      </c>
      <c r="L289" s="17"/>
    </row>
    <row r="290" spans="1:12" ht="15" x14ac:dyDescent="0.2">
      <c r="A290" s="16">
        <v>49369</v>
      </c>
      <c r="B290" s="17">
        <f>38.4176 * CHOOSE(CONTROL!$C$9, $D$9, 100%, $F$9) + CHOOSE(CONTROL!$C$27, 0.0021, 0)</f>
        <v>38.419699999999999</v>
      </c>
      <c r="C290" s="17">
        <f>37.9854 * CHOOSE(CONTROL!$C$9, $D$9, 100%, $F$9) + CHOOSE(CONTROL!$C$27, 0.0021, 0)</f>
        <v>37.987499999999997</v>
      </c>
      <c r="D290" s="17">
        <f>37.9854 * CHOOSE(CONTROL!$C$9, $D$9, 100%, $F$9) + CHOOSE(CONTROL!$C$27, 0.0021, 0)</f>
        <v>37.987499999999997</v>
      </c>
      <c r="E290" s="17">
        <f>37.8487 * CHOOSE(CONTROL!$C$9, $D$9, 100%, $F$9) + CHOOSE(CONTROL!$C$27, 0.0021, 0)</f>
        <v>37.8508</v>
      </c>
      <c r="F290" s="17">
        <f>37.8487 * CHOOSE(CONTROL!$C$9, $D$9, 100%, $F$9) + CHOOSE(CONTROL!$C$27, 0.0021, 0)</f>
        <v>37.8508</v>
      </c>
      <c r="G290" s="17">
        <f>38.1201 * CHOOSE(CONTROL!$C$9, $D$9, 100%, $F$9) + CHOOSE(CONTROL!$C$27, 0.0021, 0)</f>
        <v>38.122199999999999</v>
      </c>
      <c r="H290" s="17">
        <f>37.9854 * CHOOSE(CONTROL!$C$9, $D$9, 100%, $F$9) + CHOOSE(CONTROL!$C$27, 0.0021, 0)</f>
        <v>37.987499999999997</v>
      </c>
      <c r="I290" s="17">
        <f>37.9854 * CHOOSE(CONTROL!$C$9, $D$9, 100%, $F$9) + CHOOSE(CONTROL!$C$27, 0.0021, 0)</f>
        <v>37.987499999999997</v>
      </c>
      <c r="J290" s="17">
        <f>37.9854 * CHOOSE(CONTROL!$C$9, $D$9, 100%, $F$9) + CHOOSE(CONTROL!$C$27, 0.0021, 0)</f>
        <v>37.987499999999997</v>
      </c>
      <c r="K290" s="17">
        <f>37.9854 * CHOOSE(CONTROL!$C$9, $D$9, 100%, $F$9) + CHOOSE(CONTROL!$C$27, 0.0021, 0)</f>
        <v>37.987499999999997</v>
      </c>
      <c r="L290" s="17"/>
    </row>
    <row r="291" spans="1:12" ht="15" x14ac:dyDescent="0.2">
      <c r="A291" s="16">
        <v>49400</v>
      </c>
      <c r="B291" s="17">
        <f>37.893 * CHOOSE(CONTROL!$C$9, $D$9, 100%, $F$9) + CHOOSE(CONTROL!$C$27, 0.0021, 0)</f>
        <v>37.895099999999999</v>
      </c>
      <c r="C291" s="17">
        <f>37.4607 * CHOOSE(CONTROL!$C$9, $D$9, 100%, $F$9) + CHOOSE(CONTROL!$C$27, 0.0021, 0)</f>
        <v>37.462800000000001</v>
      </c>
      <c r="D291" s="17">
        <f>37.4607 * CHOOSE(CONTROL!$C$9, $D$9, 100%, $F$9) + CHOOSE(CONTROL!$C$27, 0.0021, 0)</f>
        <v>37.462800000000001</v>
      </c>
      <c r="E291" s="17">
        <f>37.3241 * CHOOSE(CONTROL!$C$9, $D$9, 100%, $F$9) + CHOOSE(CONTROL!$C$27, 0.0021, 0)</f>
        <v>37.3262</v>
      </c>
      <c r="F291" s="17">
        <f>37.3241 * CHOOSE(CONTROL!$C$9, $D$9, 100%, $F$9) + CHOOSE(CONTROL!$C$27, 0.0021, 0)</f>
        <v>37.3262</v>
      </c>
      <c r="G291" s="17">
        <f>37.5955 * CHOOSE(CONTROL!$C$9, $D$9, 100%, $F$9) + CHOOSE(CONTROL!$C$27, 0.0021, 0)</f>
        <v>37.5976</v>
      </c>
      <c r="H291" s="17">
        <f>37.4607 * CHOOSE(CONTROL!$C$9, $D$9, 100%, $F$9) + CHOOSE(CONTROL!$C$27, 0.0021, 0)</f>
        <v>37.462800000000001</v>
      </c>
      <c r="I291" s="17">
        <f>37.4607 * CHOOSE(CONTROL!$C$9, $D$9, 100%, $F$9) + CHOOSE(CONTROL!$C$27, 0.0021, 0)</f>
        <v>37.462800000000001</v>
      </c>
      <c r="J291" s="17">
        <f>37.4607 * CHOOSE(CONTROL!$C$9, $D$9, 100%, $F$9) + CHOOSE(CONTROL!$C$27, 0.0021, 0)</f>
        <v>37.462800000000001</v>
      </c>
      <c r="K291" s="17">
        <f>37.4607 * CHOOSE(CONTROL!$C$9, $D$9, 100%, $F$9) + CHOOSE(CONTROL!$C$27, 0.0021, 0)</f>
        <v>37.462800000000001</v>
      </c>
      <c r="L291" s="17"/>
    </row>
    <row r="292" spans="1:12" ht="15" x14ac:dyDescent="0.2">
      <c r="A292" s="16">
        <v>49430</v>
      </c>
      <c r="B292" s="17">
        <f>38.6406 * CHOOSE(CONTROL!$C$9, $D$9, 100%, $F$9) + CHOOSE(CONTROL!$C$27, 0.0021, 0)</f>
        <v>38.642699999999998</v>
      </c>
      <c r="C292" s="17">
        <f>38.2084 * CHOOSE(CONTROL!$C$9, $D$9, 100%, $F$9) + CHOOSE(CONTROL!$C$27, 0.0021, 0)</f>
        <v>38.210499999999996</v>
      </c>
      <c r="D292" s="17">
        <f>38.2084 * CHOOSE(CONTROL!$C$9, $D$9, 100%, $F$9) + CHOOSE(CONTROL!$C$27, 0.0021, 0)</f>
        <v>38.210499999999996</v>
      </c>
      <c r="E292" s="17">
        <f>38.0717 * CHOOSE(CONTROL!$C$9, $D$9, 100%, $F$9) + CHOOSE(CONTROL!$C$27, 0.0021, 0)</f>
        <v>38.073799999999999</v>
      </c>
      <c r="F292" s="17">
        <f>38.0717 * CHOOSE(CONTROL!$C$9, $D$9, 100%, $F$9) + CHOOSE(CONTROL!$C$27, 0.0021, 0)</f>
        <v>38.073799999999999</v>
      </c>
      <c r="G292" s="17">
        <f>38.3431 * CHOOSE(CONTROL!$C$9, $D$9, 100%, $F$9) + CHOOSE(CONTROL!$C$27, 0.0021, 0)</f>
        <v>38.345199999999998</v>
      </c>
      <c r="H292" s="17">
        <f>38.2084 * CHOOSE(CONTROL!$C$9, $D$9, 100%, $F$9) + CHOOSE(CONTROL!$C$27, 0.0021, 0)</f>
        <v>38.210499999999996</v>
      </c>
      <c r="I292" s="17">
        <f>38.2084 * CHOOSE(CONTROL!$C$9, $D$9, 100%, $F$9) + CHOOSE(CONTROL!$C$27, 0.0021, 0)</f>
        <v>38.210499999999996</v>
      </c>
      <c r="J292" s="17">
        <f>38.2084 * CHOOSE(CONTROL!$C$9, $D$9, 100%, $F$9) + CHOOSE(CONTROL!$C$27, 0.0021, 0)</f>
        <v>38.210499999999996</v>
      </c>
      <c r="K292" s="17">
        <f>38.2084 * CHOOSE(CONTROL!$C$9, $D$9, 100%, $F$9) + CHOOSE(CONTROL!$C$27, 0.0021, 0)</f>
        <v>38.210499999999996</v>
      </c>
      <c r="L292" s="17"/>
    </row>
    <row r="293" spans="1:12" ht="15" x14ac:dyDescent="0.2">
      <c r="A293" s="15">
        <v>49461</v>
      </c>
      <c r="B293" s="17">
        <f>39.0884 * CHOOSE(CONTROL!$C$9, $D$9, 100%, $F$9) + CHOOSE(CONTROL!$C$27, 0.0021, 0)</f>
        <v>39.090499999999999</v>
      </c>
      <c r="C293" s="17">
        <f>38.6562 * CHOOSE(CONTROL!$C$9, $D$9, 100%, $F$9) + CHOOSE(CONTROL!$C$27, 0.0021, 0)</f>
        <v>38.658299999999997</v>
      </c>
      <c r="D293" s="17">
        <f>38.6562 * CHOOSE(CONTROL!$C$9, $D$9, 100%, $F$9) + CHOOSE(CONTROL!$C$27, 0.0021, 0)</f>
        <v>38.658299999999997</v>
      </c>
      <c r="E293" s="17">
        <f>38.5195 * CHOOSE(CONTROL!$C$9, $D$9, 100%, $F$9) + CHOOSE(CONTROL!$C$27, 0.0021, 0)</f>
        <v>38.521599999999999</v>
      </c>
      <c r="F293" s="17">
        <f>38.5195 * CHOOSE(CONTROL!$C$9, $D$9, 100%, $F$9) + CHOOSE(CONTROL!$C$27, 0.0021, 0)</f>
        <v>38.521599999999999</v>
      </c>
      <c r="G293" s="17">
        <f>38.7909 * CHOOSE(CONTROL!$C$9, $D$9, 100%, $F$9) + CHOOSE(CONTROL!$C$27, 0.0021, 0)</f>
        <v>38.792999999999999</v>
      </c>
      <c r="H293" s="17">
        <f>38.6562 * CHOOSE(CONTROL!$C$9, $D$9, 100%, $F$9) + CHOOSE(CONTROL!$C$27, 0.0021, 0)</f>
        <v>38.658299999999997</v>
      </c>
      <c r="I293" s="17">
        <f>38.6562 * CHOOSE(CONTROL!$C$9, $D$9, 100%, $F$9) + CHOOSE(CONTROL!$C$27, 0.0021, 0)</f>
        <v>38.658299999999997</v>
      </c>
      <c r="J293" s="17">
        <f>38.6562 * CHOOSE(CONTROL!$C$9, $D$9, 100%, $F$9) + CHOOSE(CONTROL!$C$27, 0.0021, 0)</f>
        <v>38.658299999999997</v>
      </c>
      <c r="K293" s="17">
        <f>38.6562 * CHOOSE(CONTROL!$C$9, $D$9, 100%, $F$9) + CHOOSE(CONTROL!$C$27, 0.0021, 0)</f>
        <v>38.658299999999997</v>
      </c>
      <c r="L293" s="17"/>
    </row>
    <row r="294" spans="1:12" ht="15" x14ac:dyDescent="0.2">
      <c r="A294" s="15">
        <v>49491</v>
      </c>
      <c r="B294" s="17">
        <f>39.8271 * CHOOSE(CONTROL!$C$9, $D$9, 100%, $F$9) + CHOOSE(CONTROL!$C$27, 0.0021, 0)</f>
        <v>39.8292</v>
      </c>
      <c r="C294" s="17">
        <f>39.3949 * CHOOSE(CONTROL!$C$9, $D$9, 100%, $F$9) + CHOOSE(CONTROL!$C$27, 0.0021, 0)</f>
        <v>39.396999999999998</v>
      </c>
      <c r="D294" s="17">
        <f>39.3949 * CHOOSE(CONTROL!$C$9, $D$9, 100%, $F$9) + CHOOSE(CONTROL!$C$27, 0.0021, 0)</f>
        <v>39.396999999999998</v>
      </c>
      <c r="E294" s="17">
        <f>39.2582 * CHOOSE(CONTROL!$C$9, $D$9, 100%, $F$9) + CHOOSE(CONTROL!$C$27, 0.0021, 0)</f>
        <v>39.260300000000001</v>
      </c>
      <c r="F294" s="17">
        <f>39.2582 * CHOOSE(CONTROL!$C$9, $D$9, 100%, $F$9) + CHOOSE(CONTROL!$C$27, 0.0021, 0)</f>
        <v>39.260300000000001</v>
      </c>
      <c r="G294" s="17">
        <f>39.5296 * CHOOSE(CONTROL!$C$9, $D$9, 100%, $F$9) + CHOOSE(CONTROL!$C$27, 0.0021, 0)</f>
        <v>39.531700000000001</v>
      </c>
      <c r="H294" s="17">
        <f>39.3949 * CHOOSE(CONTROL!$C$9, $D$9, 100%, $F$9) + CHOOSE(CONTROL!$C$27, 0.0021, 0)</f>
        <v>39.396999999999998</v>
      </c>
      <c r="I294" s="17">
        <f>39.3949 * CHOOSE(CONTROL!$C$9, $D$9, 100%, $F$9) + CHOOSE(CONTROL!$C$27, 0.0021, 0)</f>
        <v>39.396999999999998</v>
      </c>
      <c r="J294" s="17">
        <f>39.3949 * CHOOSE(CONTROL!$C$9, $D$9, 100%, $F$9) + CHOOSE(CONTROL!$C$27, 0.0021, 0)</f>
        <v>39.396999999999998</v>
      </c>
      <c r="K294" s="17">
        <f>39.3949 * CHOOSE(CONTROL!$C$9, $D$9, 100%, $F$9) + CHOOSE(CONTROL!$C$27, 0.0021, 0)</f>
        <v>39.396999999999998</v>
      </c>
      <c r="L294" s="17"/>
    </row>
    <row r="295" spans="1:12" ht="15" x14ac:dyDescent="0.2">
      <c r="A295" s="15">
        <v>49522</v>
      </c>
      <c r="B295" s="17">
        <f>40.0526 * CHOOSE(CONTROL!$C$9, $D$9, 100%, $F$9) + CHOOSE(CONTROL!$C$27, 0.0021, 0)</f>
        <v>40.054699999999997</v>
      </c>
      <c r="C295" s="17">
        <f>39.6204 * CHOOSE(CONTROL!$C$9, $D$9, 100%, $F$9) + CHOOSE(CONTROL!$C$27, 0.0021, 0)</f>
        <v>39.622499999999995</v>
      </c>
      <c r="D295" s="17">
        <f>39.6204 * CHOOSE(CONTROL!$C$9, $D$9, 100%, $F$9) + CHOOSE(CONTROL!$C$27, 0.0021, 0)</f>
        <v>39.622499999999995</v>
      </c>
      <c r="E295" s="17">
        <f>39.4837 * CHOOSE(CONTROL!$C$9, $D$9, 100%, $F$9) + CHOOSE(CONTROL!$C$27, 0.0021, 0)</f>
        <v>39.485799999999998</v>
      </c>
      <c r="F295" s="17">
        <f>39.4837 * CHOOSE(CONTROL!$C$9, $D$9, 100%, $F$9) + CHOOSE(CONTROL!$C$27, 0.0021, 0)</f>
        <v>39.485799999999998</v>
      </c>
      <c r="G295" s="17">
        <f>39.7551 * CHOOSE(CONTROL!$C$9, $D$9, 100%, $F$9) + CHOOSE(CONTROL!$C$27, 0.0021, 0)</f>
        <v>39.757199999999997</v>
      </c>
      <c r="H295" s="17">
        <f>39.6204 * CHOOSE(CONTROL!$C$9, $D$9, 100%, $F$9) + CHOOSE(CONTROL!$C$27, 0.0021, 0)</f>
        <v>39.622499999999995</v>
      </c>
      <c r="I295" s="17">
        <f>39.6204 * CHOOSE(CONTROL!$C$9, $D$9, 100%, $F$9) + CHOOSE(CONTROL!$C$27, 0.0021, 0)</f>
        <v>39.622499999999995</v>
      </c>
      <c r="J295" s="17">
        <f>39.6204 * CHOOSE(CONTROL!$C$9, $D$9, 100%, $F$9) + CHOOSE(CONTROL!$C$27, 0.0021, 0)</f>
        <v>39.622499999999995</v>
      </c>
      <c r="K295" s="17">
        <f>39.6204 * CHOOSE(CONTROL!$C$9, $D$9, 100%, $F$9) + CHOOSE(CONTROL!$C$27, 0.0021, 0)</f>
        <v>39.622499999999995</v>
      </c>
      <c r="L295" s="17"/>
    </row>
    <row r="296" spans="1:12" ht="15" x14ac:dyDescent="0.2">
      <c r="A296" s="15">
        <v>49553</v>
      </c>
      <c r="B296" s="17">
        <f>40.8205 * CHOOSE(CONTROL!$C$9, $D$9, 100%, $F$9) + CHOOSE(CONTROL!$C$27, 0.0021, 0)</f>
        <v>40.822600000000001</v>
      </c>
      <c r="C296" s="17">
        <f>40.3882 * CHOOSE(CONTROL!$C$9, $D$9, 100%, $F$9) + CHOOSE(CONTROL!$C$27, 0.0021, 0)</f>
        <v>40.390299999999996</v>
      </c>
      <c r="D296" s="17">
        <f>40.3882 * CHOOSE(CONTROL!$C$9, $D$9, 100%, $F$9) + CHOOSE(CONTROL!$C$27, 0.0021, 0)</f>
        <v>40.390299999999996</v>
      </c>
      <c r="E296" s="17">
        <f>40.2516 * CHOOSE(CONTROL!$C$9, $D$9, 100%, $F$9) + CHOOSE(CONTROL!$C$27, 0.0021, 0)</f>
        <v>40.253700000000002</v>
      </c>
      <c r="F296" s="17">
        <f>40.2516 * CHOOSE(CONTROL!$C$9, $D$9, 100%, $F$9) + CHOOSE(CONTROL!$C$27, 0.0021, 0)</f>
        <v>40.253700000000002</v>
      </c>
      <c r="G296" s="17">
        <f>40.5229 * CHOOSE(CONTROL!$C$9, $D$9, 100%, $F$9) + CHOOSE(CONTROL!$C$27, 0.0021, 0)</f>
        <v>40.524999999999999</v>
      </c>
      <c r="H296" s="17">
        <f>40.3882 * CHOOSE(CONTROL!$C$9, $D$9, 100%, $F$9) + CHOOSE(CONTROL!$C$27, 0.0021, 0)</f>
        <v>40.390299999999996</v>
      </c>
      <c r="I296" s="17">
        <f>40.3882 * CHOOSE(CONTROL!$C$9, $D$9, 100%, $F$9) + CHOOSE(CONTROL!$C$27, 0.0021, 0)</f>
        <v>40.390299999999996</v>
      </c>
      <c r="J296" s="17">
        <f>40.3882 * CHOOSE(CONTROL!$C$9, $D$9, 100%, $F$9) + CHOOSE(CONTROL!$C$27, 0.0021, 0)</f>
        <v>40.390299999999996</v>
      </c>
      <c r="K296" s="17">
        <f>40.3882 * CHOOSE(CONTROL!$C$9, $D$9, 100%, $F$9) + CHOOSE(CONTROL!$C$27, 0.0021, 0)</f>
        <v>40.390299999999996</v>
      </c>
      <c r="L296" s="17"/>
    </row>
    <row r="297" spans="1:12" ht="15" x14ac:dyDescent="0.2">
      <c r="A297" s="15">
        <v>49583</v>
      </c>
      <c r="B297" s="17">
        <f>41.7924 * CHOOSE(CONTROL!$C$9, $D$9, 100%, $F$9) + CHOOSE(CONTROL!$C$27, 0.0021, 0)</f>
        <v>41.794499999999999</v>
      </c>
      <c r="C297" s="17">
        <f>41.3602 * CHOOSE(CONTROL!$C$9, $D$9, 100%, $F$9) + CHOOSE(CONTROL!$C$27, 0.0021, 0)</f>
        <v>41.362299999999998</v>
      </c>
      <c r="D297" s="17">
        <f>41.3602 * CHOOSE(CONTROL!$C$9, $D$9, 100%, $F$9) + CHOOSE(CONTROL!$C$27, 0.0021, 0)</f>
        <v>41.362299999999998</v>
      </c>
      <c r="E297" s="17">
        <f>41.2235 * CHOOSE(CONTROL!$C$9, $D$9, 100%, $F$9) + CHOOSE(CONTROL!$C$27, 0.0021, 0)</f>
        <v>41.2256</v>
      </c>
      <c r="F297" s="17">
        <f>41.2235 * CHOOSE(CONTROL!$C$9, $D$9, 100%, $F$9) + CHOOSE(CONTROL!$C$27, 0.0021, 0)</f>
        <v>41.2256</v>
      </c>
      <c r="G297" s="17">
        <f>41.4949 * CHOOSE(CONTROL!$C$9, $D$9, 100%, $F$9) + CHOOSE(CONTROL!$C$27, 0.0021, 0)</f>
        <v>41.497</v>
      </c>
      <c r="H297" s="17">
        <f>41.3602 * CHOOSE(CONTROL!$C$9, $D$9, 100%, $F$9) + CHOOSE(CONTROL!$C$27, 0.0021, 0)</f>
        <v>41.362299999999998</v>
      </c>
      <c r="I297" s="17">
        <f>41.3602 * CHOOSE(CONTROL!$C$9, $D$9, 100%, $F$9) + CHOOSE(CONTROL!$C$27, 0.0021, 0)</f>
        <v>41.362299999999998</v>
      </c>
      <c r="J297" s="17">
        <f>41.3602 * CHOOSE(CONTROL!$C$9, $D$9, 100%, $F$9) + CHOOSE(CONTROL!$C$27, 0.0021, 0)</f>
        <v>41.362299999999998</v>
      </c>
      <c r="K297" s="17">
        <f>41.3602 * CHOOSE(CONTROL!$C$9, $D$9, 100%, $F$9) + CHOOSE(CONTROL!$C$27, 0.0021, 0)</f>
        <v>41.362299999999998</v>
      </c>
      <c r="L297" s="17"/>
    </row>
    <row r="298" spans="1:12" ht="15" x14ac:dyDescent="0.2">
      <c r="A298" s="15">
        <v>49614</v>
      </c>
      <c r="B298" s="17">
        <f>41.8837 * CHOOSE(CONTROL!$C$9, $D$9, 100%, $F$9) + CHOOSE(CONTROL!$C$27, 0.0021, 0)</f>
        <v>41.885799999999996</v>
      </c>
      <c r="C298" s="17">
        <f>41.4514 * CHOOSE(CONTROL!$C$9, $D$9, 100%, $F$9) + CHOOSE(CONTROL!$C$27, 0.0021, 0)</f>
        <v>41.453499999999998</v>
      </c>
      <c r="D298" s="17">
        <f>41.4514 * CHOOSE(CONTROL!$C$9, $D$9, 100%, $F$9) + CHOOSE(CONTROL!$C$27, 0.0021, 0)</f>
        <v>41.453499999999998</v>
      </c>
      <c r="E298" s="17">
        <f>41.3148 * CHOOSE(CONTROL!$C$9, $D$9, 100%, $F$9) + CHOOSE(CONTROL!$C$27, 0.0021, 0)</f>
        <v>41.316899999999997</v>
      </c>
      <c r="F298" s="17">
        <f>41.3148 * CHOOSE(CONTROL!$C$9, $D$9, 100%, $F$9) + CHOOSE(CONTROL!$C$27, 0.0021, 0)</f>
        <v>41.316899999999997</v>
      </c>
      <c r="G298" s="17">
        <f>41.5861 * CHOOSE(CONTROL!$C$9, $D$9, 100%, $F$9) + CHOOSE(CONTROL!$C$27, 0.0021, 0)</f>
        <v>41.588200000000001</v>
      </c>
      <c r="H298" s="17">
        <f>41.4514 * CHOOSE(CONTROL!$C$9, $D$9, 100%, $F$9) + CHOOSE(CONTROL!$C$27, 0.0021, 0)</f>
        <v>41.453499999999998</v>
      </c>
      <c r="I298" s="17">
        <f>41.4514 * CHOOSE(CONTROL!$C$9, $D$9, 100%, $F$9) + CHOOSE(CONTROL!$C$27, 0.0021, 0)</f>
        <v>41.453499999999998</v>
      </c>
      <c r="J298" s="17">
        <f>41.4514 * CHOOSE(CONTROL!$C$9, $D$9, 100%, $F$9) + CHOOSE(CONTROL!$C$27, 0.0021, 0)</f>
        <v>41.453499999999998</v>
      </c>
      <c r="K298" s="17">
        <f>41.4514 * CHOOSE(CONTROL!$C$9, $D$9, 100%, $F$9) + CHOOSE(CONTROL!$C$27, 0.0021, 0)</f>
        <v>41.453499999999998</v>
      </c>
      <c r="L298" s="17"/>
    </row>
    <row r="299" spans="1:12" ht="15" x14ac:dyDescent="0.2">
      <c r="A299" s="15">
        <v>49644</v>
      </c>
      <c r="B299" s="17">
        <f>41.1074 * CHOOSE(CONTROL!$C$9, $D$9, 100%, $F$9) + CHOOSE(CONTROL!$C$27, 0.0021, 0)</f>
        <v>41.109499999999997</v>
      </c>
      <c r="C299" s="17">
        <f>40.6751 * CHOOSE(CONTROL!$C$9, $D$9, 100%, $F$9) + CHOOSE(CONTROL!$C$27, 0.0021, 0)</f>
        <v>40.677199999999999</v>
      </c>
      <c r="D299" s="17">
        <f>40.6751 * CHOOSE(CONTROL!$C$9, $D$9, 100%, $F$9) + CHOOSE(CONTROL!$C$27, 0.0021, 0)</f>
        <v>40.677199999999999</v>
      </c>
      <c r="E299" s="17">
        <f>40.5385 * CHOOSE(CONTROL!$C$9, $D$9, 100%, $F$9) + CHOOSE(CONTROL!$C$27, 0.0021, 0)</f>
        <v>40.540599999999998</v>
      </c>
      <c r="F299" s="17">
        <f>40.5385 * CHOOSE(CONTROL!$C$9, $D$9, 100%, $F$9) + CHOOSE(CONTROL!$C$27, 0.0021, 0)</f>
        <v>40.540599999999998</v>
      </c>
      <c r="G299" s="17">
        <f>40.8098 * CHOOSE(CONTROL!$C$9, $D$9, 100%, $F$9) + CHOOSE(CONTROL!$C$27, 0.0021, 0)</f>
        <v>40.811900000000001</v>
      </c>
      <c r="H299" s="17">
        <f>40.6751 * CHOOSE(CONTROL!$C$9, $D$9, 100%, $F$9) + CHOOSE(CONTROL!$C$27, 0.0021, 0)</f>
        <v>40.677199999999999</v>
      </c>
      <c r="I299" s="17">
        <f>40.6751 * CHOOSE(CONTROL!$C$9, $D$9, 100%, $F$9) + CHOOSE(CONTROL!$C$27, 0.0021, 0)</f>
        <v>40.677199999999999</v>
      </c>
      <c r="J299" s="17">
        <f>40.6751 * CHOOSE(CONTROL!$C$9, $D$9, 100%, $F$9) + CHOOSE(CONTROL!$C$27, 0.0021, 0)</f>
        <v>40.677199999999999</v>
      </c>
      <c r="K299" s="17">
        <f>40.6751 * CHOOSE(CONTROL!$C$9, $D$9, 100%, $F$9) + CHOOSE(CONTROL!$C$27, 0.0021, 0)</f>
        <v>40.677199999999999</v>
      </c>
      <c r="L299" s="17"/>
    </row>
    <row r="300" spans="1:12" ht="15" x14ac:dyDescent="0.2">
      <c r="A300" s="15">
        <v>49675</v>
      </c>
      <c r="B300" s="17">
        <f>40.3346 * CHOOSE(CONTROL!$C$9, $D$9, 100%, $F$9) + CHOOSE(CONTROL!$C$27, 0.0021, 0)</f>
        <v>40.3367</v>
      </c>
      <c r="C300" s="17">
        <f>39.9023 * CHOOSE(CONTROL!$C$9, $D$9, 100%, $F$9) + CHOOSE(CONTROL!$C$27, 0.0021, 0)</f>
        <v>39.904399999999995</v>
      </c>
      <c r="D300" s="17">
        <f>39.9023 * CHOOSE(CONTROL!$C$9, $D$9, 100%, $F$9) + CHOOSE(CONTROL!$C$27, 0.0021, 0)</f>
        <v>39.904399999999995</v>
      </c>
      <c r="E300" s="17">
        <f>39.7657 * CHOOSE(CONTROL!$C$9, $D$9, 100%, $F$9) + CHOOSE(CONTROL!$C$27, 0.0021, 0)</f>
        <v>39.767800000000001</v>
      </c>
      <c r="F300" s="17">
        <f>39.7657 * CHOOSE(CONTROL!$C$9, $D$9, 100%, $F$9) + CHOOSE(CONTROL!$C$27, 0.0021, 0)</f>
        <v>39.767800000000001</v>
      </c>
      <c r="G300" s="17">
        <f>40.0371 * CHOOSE(CONTROL!$C$9, $D$9, 100%, $F$9) + CHOOSE(CONTROL!$C$27, 0.0021, 0)</f>
        <v>40.039200000000001</v>
      </c>
      <c r="H300" s="17">
        <f>39.9023 * CHOOSE(CONTROL!$C$9, $D$9, 100%, $F$9) + CHOOSE(CONTROL!$C$27, 0.0021, 0)</f>
        <v>39.904399999999995</v>
      </c>
      <c r="I300" s="17">
        <f>39.9023 * CHOOSE(CONTROL!$C$9, $D$9, 100%, $F$9) + CHOOSE(CONTROL!$C$27, 0.0021, 0)</f>
        <v>39.904399999999995</v>
      </c>
      <c r="J300" s="17">
        <f>39.9023 * CHOOSE(CONTROL!$C$9, $D$9, 100%, $F$9) + CHOOSE(CONTROL!$C$27, 0.0021, 0)</f>
        <v>39.904399999999995</v>
      </c>
      <c r="K300" s="17">
        <f>39.9023 * CHOOSE(CONTROL!$C$9, $D$9, 100%, $F$9) + CHOOSE(CONTROL!$C$27, 0.0021, 0)</f>
        <v>39.904399999999995</v>
      </c>
      <c r="L300" s="17"/>
    </row>
    <row r="301" spans="1:12" ht="15" x14ac:dyDescent="0.2">
      <c r="A301" s="15">
        <v>49706</v>
      </c>
      <c r="B301" s="17">
        <f>39.2585 * CHOOSE(CONTROL!$C$9, $D$9, 100%, $F$9) + CHOOSE(CONTROL!$C$27, 0.0021, 0)</f>
        <v>39.260599999999997</v>
      </c>
      <c r="C301" s="17">
        <f>38.8263 * CHOOSE(CONTROL!$C$9, $D$9, 100%, $F$9) + CHOOSE(CONTROL!$C$27, 0.0021, 0)</f>
        <v>38.828400000000002</v>
      </c>
      <c r="D301" s="17">
        <f>38.8263 * CHOOSE(CONTROL!$C$9, $D$9, 100%, $F$9) + CHOOSE(CONTROL!$C$27, 0.0021, 0)</f>
        <v>38.828400000000002</v>
      </c>
      <c r="E301" s="17">
        <f>38.6896 * CHOOSE(CONTROL!$C$9, $D$9, 100%, $F$9) + CHOOSE(CONTROL!$C$27, 0.0021, 0)</f>
        <v>38.691699999999997</v>
      </c>
      <c r="F301" s="17">
        <f>38.6896 * CHOOSE(CONTROL!$C$9, $D$9, 100%, $F$9) + CHOOSE(CONTROL!$C$27, 0.0021, 0)</f>
        <v>38.691699999999997</v>
      </c>
      <c r="G301" s="17">
        <f>38.961 * CHOOSE(CONTROL!$C$9, $D$9, 100%, $F$9) + CHOOSE(CONTROL!$C$27, 0.0021, 0)</f>
        <v>38.963099999999997</v>
      </c>
      <c r="H301" s="17">
        <f>38.8263 * CHOOSE(CONTROL!$C$9, $D$9, 100%, $F$9) + CHOOSE(CONTROL!$C$27, 0.0021, 0)</f>
        <v>38.828400000000002</v>
      </c>
      <c r="I301" s="17">
        <f>38.8263 * CHOOSE(CONTROL!$C$9, $D$9, 100%, $F$9) + CHOOSE(CONTROL!$C$27, 0.0021, 0)</f>
        <v>38.828400000000002</v>
      </c>
      <c r="J301" s="17">
        <f>38.8263 * CHOOSE(CONTROL!$C$9, $D$9, 100%, $F$9) + CHOOSE(CONTROL!$C$27, 0.0021, 0)</f>
        <v>38.828400000000002</v>
      </c>
      <c r="K301" s="17">
        <f>38.8263 * CHOOSE(CONTROL!$C$9, $D$9, 100%, $F$9) + CHOOSE(CONTROL!$C$27, 0.0021, 0)</f>
        <v>38.828400000000002</v>
      </c>
      <c r="L301" s="17"/>
    </row>
    <row r="302" spans="1:12" ht="15" x14ac:dyDescent="0.2">
      <c r="A302" s="15">
        <v>49735</v>
      </c>
      <c r="B302" s="17">
        <f>38.8144 * CHOOSE(CONTROL!$C$9, $D$9, 100%, $F$9) + CHOOSE(CONTROL!$C$27, 0.0021, 0)</f>
        <v>38.816499999999998</v>
      </c>
      <c r="C302" s="17">
        <f>38.3821 * CHOOSE(CONTROL!$C$9, $D$9, 100%, $F$9) + CHOOSE(CONTROL!$C$27, 0.0021, 0)</f>
        <v>38.3842</v>
      </c>
      <c r="D302" s="17">
        <f>38.3821 * CHOOSE(CONTROL!$C$9, $D$9, 100%, $F$9) + CHOOSE(CONTROL!$C$27, 0.0021, 0)</f>
        <v>38.3842</v>
      </c>
      <c r="E302" s="17">
        <f>38.2455 * CHOOSE(CONTROL!$C$9, $D$9, 100%, $F$9) + CHOOSE(CONTROL!$C$27, 0.0021, 0)</f>
        <v>38.247599999999998</v>
      </c>
      <c r="F302" s="17">
        <f>38.2455 * CHOOSE(CONTROL!$C$9, $D$9, 100%, $F$9) + CHOOSE(CONTROL!$C$27, 0.0021, 0)</f>
        <v>38.247599999999998</v>
      </c>
      <c r="G302" s="17">
        <f>38.5168 * CHOOSE(CONTROL!$C$9, $D$9, 100%, $F$9) + CHOOSE(CONTROL!$C$27, 0.0021, 0)</f>
        <v>38.518900000000002</v>
      </c>
      <c r="H302" s="17">
        <f>38.3821 * CHOOSE(CONTROL!$C$9, $D$9, 100%, $F$9) + CHOOSE(CONTROL!$C$27, 0.0021, 0)</f>
        <v>38.3842</v>
      </c>
      <c r="I302" s="17">
        <f>38.3821 * CHOOSE(CONTROL!$C$9, $D$9, 100%, $F$9) + CHOOSE(CONTROL!$C$27, 0.0021, 0)</f>
        <v>38.3842</v>
      </c>
      <c r="J302" s="17">
        <f>38.3821 * CHOOSE(CONTROL!$C$9, $D$9, 100%, $F$9) + CHOOSE(CONTROL!$C$27, 0.0021, 0)</f>
        <v>38.3842</v>
      </c>
      <c r="K302" s="17">
        <f>38.3821 * CHOOSE(CONTROL!$C$9, $D$9, 100%, $F$9) + CHOOSE(CONTROL!$C$27, 0.0021, 0)</f>
        <v>38.3842</v>
      </c>
      <c r="L302" s="17"/>
    </row>
    <row r="303" spans="1:12" ht="15" x14ac:dyDescent="0.2">
      <c r="A303" s="15">
        <v>49766</v>
      </c>
      <c r="B303" s="17">
        <f>38.284 * CHOOSE(CONTROL!$C$9, $D$9, 100%, $F$9) + CHOOSE(CONTROL!$C$27, 0.0021, 0)</f>
        <v>38.286099999999998</v>
      </c>
      <c r="C303" s="17">
        <f>37.8517 * CHOOSE(CONTROL!$C$9, $D$9, 100%, $F$9) + CHOOSE(CONTROL!$C$27, 0.0021, 0)</f>
        <v>37.8538</v>
      </c>
      <c r="D303" s="17">
        <f>37.8517 * CHOOSE(CONTROL!$C$9, $D$9, 100%, $F$9) + CHOOSE(CONTROL!$C$27, 0.0021, 0)</f>
        <v>37.8538</v>
      </c>
      <c r="E303" s="17">
        <f>37.7151 * CHOOSE(CONTROL!$C$9, $D$9, 100%, $F$9) + CHOOSE(CONTROL!$C$27, 0.0021, 0)</f>
        <v>37.717199999999998</v>
      </c>
      <c r="F303" s="17">
        <f>37.7151 * CHOOSE(CONTROL!$C$9, $D$9, 100%, $F$9) + CHOOSE(CONTROL!$C$27, 0.0021, 0)</f>
        <v>37.717199999999998</v>
      </c>
      <c r="G303" s="17">
        <f>37.9865 * CHOOSE(CONTROL!$C$9, $D$9, 100%, $F$9) + CHOOSE(CONTROL!$C$27, 0.0021, 0)</f>
        <v>37.988599999999998</v>
      </c>
      <c r="H303" s="17">
        <f>37.8517 * CHOOSE(CONTROL!$C$9, $D$9, 100%, $F$9) + CHOOSE(CONTROL!$C$27, 0.0021, 0)</f>
        <v>37.8538</v>
      </c>
      <c r="I303" s="17">
        <f>37.8517 * CHOOSE(CONTROL!$C$9, $D$9, 100%, $F$9) + CHOOSE(CONTROL!$C$27, 0.0021, 0)</f>
        <v>37.8538</v>
      </c>
      <c r="J303" s="17">
        <f>37.8517 * CHOOSE(CONTROL!$C$9, $D$9, 100%, $F$9) + CHOOSE(CONTROL!$C$27, 0.0021, 0)</f>
        <v>37.8538</v>
      </c>
      <c r="K303" s="17">
        <f>37.8517 * CHOOSE(CONTROL!$C$9, $D$9, 100%, $F$9) + CHOOSE(CONTROL!$C$27, 0.0021, 0)</f>
        <v>37.8538</v>
      </c>
      <c r="L303" s="17"/>
    </row>
    <row r="304" spans="1:12" ht="15" x14ac:dyDescent="0.2">
      <c r="A304" s="15">
        <v>49796</v>
      </c>
      <c r="B304" s="17">
        <f>39.0398 * CHOOSE(CONTROL!$C$9, $D$9, 100%, $F$9) + CHOOSE(CONTROL!$C$27, 0.0021, 0)</f>
        <v>39.041899999999998</v>
      </c>
      <c r="C304" s="17">
        <f>38.6076 * CHOOSE(CONTROL!$C$9, $D$9, 100%, $F$9) + CHOOSE(CONTROL!$C$27, 0.0021, 0)</f>
        <v>38.609699999999997</v>
      </c>
      <c r="D304" s="17">
        <f>38.6076 * CHOOSE(CONTROL!$C$9, $D$9, 100%, $F$9) + CHOOSE(CONTROL!$C$27, 0.0021, 0)</f>
        <v>38.609699999999997</v>
      </c>
      <c r="E304" s="17">
        <f>38.4709 * CHOOSE(CONTROL!$C$9, $D$9, 100%, $F$9) + CHOOSE(CONTROL!$C$27, 0.0021, 0)</f>
        <v>38.472999999999999</v>
      </c>
      <c r="F304" s="17">
        <f>38.4709 * CHOOSE(CONTROL!$C$9, $D$9, 100%, $F$9) + CHOOSE(CONTROL!$C$27, 0.0021, 0)</f>
        <v>38.472999999999999</v>
      </c>
      <c r="G304" s="17">
        <f>38.7423 * CHOOSE(CONTROL!$C$9, $D$9, 100%, $F$9) + CHOOSE(CONTROL!$C$27, 0.0021, 0)</f>
        <v>38.744399999999999</v>
      </c>
      <c r="H304" s="17">
        <f>38.6076 * CHOOSE(CONTROL!$C$9, $D$9, 100%, $F$9) + CHOOSE(CONTROL!$C$27, 0.0021, 0)</f>
        <v>38.609699999999997</v>
      </c>
      <c r="I304" s="17">
        <f>38.6076 * CHOOSE(CONTROL!$C$9, $D$9, 100%, $F$9) + CHOOSE(CONTROL!$C$27, 0.0021, 0)</f>
        <v>38.609699999999997</v>
      </c>
      <c r="J304" s="17">
        <f>38.6076 * CHOOSE(CONTROL!$C$9, $D$9, 100%, $F$9) + CHOOSE(CONTROL!$C$27, 0.0021, 0)</f>
        <v>38.609699999999997</v>
      </c>
      <c r="K304" s="17">
        <f>38.6076 * CHOOSE(CONTROL!$C$9, $D$9, 100%, $F$9) + CHOOSE(CONTROL!$C$27, 0.0021, 0)</f>
        <v>38.609699999999997</v>
      </c>
      <c r="L304" s="17"/>
    </row>
    <row r="305" spans="1:12" ht="15" x14ac:dyDescent="0.2">
      <c r="A305" s="15">
        <v>49827</v>
      </c>
      <c r="B305" s="17">
        <f>39.4925 * CHOOSE(CONTROL!$C$9, $D$9, 100%, $F$9) + CHOOSE(CONTROL!$C$27, 0.0021, 0)</f>
        <v>39.494599999999998</v>
      </c>
      <c r="C305" s="17">
        <f>39.0603 * CHOOSE(CONTROL!$C$9, $D$9, 100%, $F$9) + CHOOSE(CONTROL!$C$27, 0.0021, 0)</f>
        <v>39.062399999999997</v>
      </c>
      <c r="D305" s="17">
        <f>39.0603 * CHOOSE(CONTROL!$C$9, $D$9, 100%, $F$9) + CHOOSE(CONTROL!$C$27, 0.0021, 0)</f>
        <v>39.062399999999997</v>
      </c>
      <c r="E305" s="17">
        <f>38.9236 * CHOOSE(CONTROL!$C$9, $D$9, 100%, $F$9) + CHOOSE(CONTROL!$C$27, 0.0021, 0)</f>
        <v>38.925699999999999</v>
      </c>
      <c r="F305" s="17">
        <f>38.9236 * CHOOSE(CONTROL!$C$9, $D$9, 100%, $F$9) + CHOOSE(CONTROL!$C$27, 0.0021, 0)</f>
        <v>38.925699999999999</v>
      </c>
      <c r="G305" s="17">
        <f>39.195 * CHOOSE(CONTROL!$C$9, $D$9, 100%, $F$9) + CHOOSE(CONTROL!$C$27, 0.0021, 0)</f>
        <v>39.197099999999999</v>
      </c>
      <c r="H305" s="17">
        <f>39.0603 * CHOOSE(CONTROL!$C$9, $D$9, 100%, $F$9) + CHOOSE(CONTROL!$C$27, 0.0021, 0)</f>
        <v>39.062399999999997</v>
      </c>
      <c r="I305" s="17">
        <f>39.0603 * CHOOSE(CONTROL!$C$9, $D$9, 100%, $F$9) + CHOOSE(CONTROL!$C$27, 0.0021, 0)</f>
        <v>39.062399999999997</v>
      </c>
      <c r="J305" s="17">
        <f>39.0603 * CHOOSE(CONTROL!$C$9, $D$9, 100%, $F$9) + CHOOSE(CONTROL!$C$27, 0.0021, 0)</f>
        <v>39.062399999999997</v>
      </c>
      <c r="K305" s="17">
        <f>39.0603 * CHOOSE(CONTROL!$C$9, $D$9, 100%, $F$9) + CHOOSE(CONTROL!$C$27, 0.0021, 0)</f>
        <v>39.062399999999997</v>
      </c>
      <c r="L305" s="17"/>
    </row>
    <row r="306" spans="1:12" ht="15" x14ac:dyDescent="0.2">
      <c r="A306" s="15">
        <v>49857</v>
      </c>
      <c r="B306" s="17">
        <f>40.2394 * CHOOSE(CONTROL!$C$9, $D$9, 100%, $F$9) + CHOOSE(CONTROL!$C$27, 0.0021, 0)</f>
        <v>40.241500000000002</v>
      </c>
      <c r="C306" s="17">
        <f>39.8071 * CHOOSE(CONTROL!$C$9, $D$9, 100%, $F$9) + CHOOSE(CONTROL!$C$27, 0.0021, 0)</f>
        <v>39.809199999999997</v>
      </c>
      <c r="D306" s="17">
        <f>39.8071 * CHOOSE(CONTROL!$C$9, $D$9, 100%, $F$9) + CHOOSE(CONTROL!$C$27, 0.0021, 0)</f>
        <v>39.809199999999997</v>
      </c>
      <c r="E306" s="17">
        <f>39.6705 * CHOOSE(CONTROL!$C$9, $D$9, 100%, $F$9) + CHOOSE(CONTROL!$C$27, 0.0021, 0)</f>
        <v>39.672599999999996</v>
      </c>
      <c r="F306" s="17">
        <f>39.6705 * CHOOSE(CONTROL!$C$9, $D$9, 100%, $F$9) + CHOOSE(CONTROL!$C$27, 0.0021, 0)</f>
        <v>39.672599999999996</v>
      </c>
      <c r="G306" s="17">
        <f>39.9418 * CHOOSE(CONTROL!$C$9, $D$9, 100%, $F$9) + CHOOSE(CONTROL!$C$27, 0.0021, 0)</f>
        <v>39.943899999999999</v>
      </c>
      <c r="H306" s="17">
        <f>39.8071 * CHOOSE(CONTROL!$C$9, $D$9, 100%, $F$9) + CHOOSE(CONTROL!$C$27, 0.0021, 0)</f>
        <v>39.809199999999997</v>
      </c>
      <c r="I306" s="17">
        <f>39.8071 * CHOOSE(CONTROL!$C$9, $D$9, 100%, $F$9) + CHOOSE(CONTROL!$C$27, 0.0021, 0)</f>
        <v>39.809199999999997</v>
      </c>
      <c r="J306" s="17">
        <f>39.8071 * CHOOSE(CONTROL!$C$9, $D$9, 100%, $F$9) + CHOOSE(CONTROL!$C$27, 0.0021, 0)</f>
        <v>39.809199999999997</v>
      </c>
      <c r="K306" s="17">
        <f>39.8071 * CHOOSE(CONTROL!$C$9, $D$9, 100%, $F$9) + CHOOSE(CONTROL!$C$27, 0.0021, 0)</f>
        <v>39.809199999999997</v>
      </c>
      <c r="L306" s="17"/>
    </row>
    <row r="307" spans="1:12" ht="15" x14ac:dyDescent="0.2">
      <c r="A307" s="15">
        <v>49888</v>
      </c>
      <c r="B307" s="17">
        <f>40.4673 * CHOOSE(CONTROL!$C$9, $D$9, 100%, $F$9) + CHOOSE(CONTROL!$C$27, 0.0021, 0)</f>
        <v>40.4694</v>
      </c>
      <c r="C307" s="17">
        <f>40.0351 * CHOOSE(CONTROL!$C$9, $D$9, 100%, $F$9) + CHOOSE(CONTROL!$C$27, 0.0021, 0)</f>
        <v>40.037199999999999</v>
      </c>
      <c r="D307" s="17">
        <f>40.0351 * CHOOSE(CONTROL!$C$9, $D$9, 100%, $F$9) + CHOOSE(CONTROL!$C$27, 0.0021, 0)</f>
        <v>40.037199999999999</v>
      </c>
      <c r="E307" s="17">
        <f>39.8984 * CHOOSE(CONTROL!$C$9, $D$9, 100%, $F$9) + CHOOSE(CONTROL!$C$27, 0.0021, 0)</f>
        <v>39.900500000000001</v>
      </c>
      <c r="F307" s="17">
        <f>39.8984 * CHOOSE(CONTROL!$C$9, $D$9, 100%, $F$9) + CHOOSE(CONTROL!$C$27, 0.0021, 0)</f>
        <v>39.900500000000001</v>
      </c>
      <c r="G307" s="17">
        <f>40.1698 * CHOOSE(CONTROL!$C$9, $D$9, 100%, $F$9) + CHOOSE(CONTROL!$C$27, 0.0021, 0)</f>
        <v>40.171900000000001</v>
      </c>
      <c r="H307" s="17">
        <f>40.0351 * CHOOSE(CONTROL!$C$9, $D$9, 100%, $F$9) + CHOOSE(CONTROL!$C$27, 0.0021, 0)</f>
        <v>40.037199999999999</v>
      </c>
      <c r="I307" s="17">
        <f>40.0351 * CHOOSE(CONTROL!$C$9, $D$9, 100%, $F$9) + CHOOSE(CONTROL!$C$27, 0.0021, 0)</f>
        <v>40.037199999999999</v>
      </c>
      <c r="J307" s="17">
        <f>40.0351 * CHOOSE(CONTROL!$C$9, $D$9, 100%, $F$9) + CHOOSE(CONTROL!$C$27, 0.0021, 0)</f>
        <v>40.037199999999999</v>
      </c>
      <c r="K307" s="17">
        <f>40.0351 * CHOOSE(CONTROL!$C$9, $D$9, 100%, $F$9) + CHOOSE(CONTROL!$C$27, 0.0021, 0)</f>
        <v>40.037199999999999</v>
      </c>
      <c r="L307" s="17"/>
    </row>
    <row r="308" spans="1:12" ht="15" x14ac:dyDescent="0.2">
      <c r="A308" s="15">
        <v>49919</v>
      </c>
      <c r="B308" s="17">
        <f>41.2436 * CHOOSE(CONTROL!$C$9, $D$9, 100%, $F$9) + CHOOSE(CONTROL!$C$27, 0.0021, 0)</f>
        <v>41.245699999999999</v>
      </c>
      <c r="C308" s="17">
        <f>40.8114 * CHOOSE(CONTROL!$C$9, $D$9, 100%, $F$9) + CHOOSE(CONTROL!$C$27, 0.0021, 0)</f>
        <v>40.813499999999998</v>
      </c>
      <c r="D308" s="17">
        <f>40.8114 * CHOOSE(CONTROL!$C$9, $D$9, 100%, $F$9) + CHOOSE(CONTROL!$C$27, 0.0021, 0)</f>
        <v>40.813499999999998</v>
      </c>
      <c r="E308" s="17">
        <f>40.6747 * CHOOSE(CONTROL!$C$9, $D$9, 100%, $F$9) + CHOOSE(CONTROL!$C$27, 0.0021, 0)</f>
        <v>40.6768</v>
      </c>
      <c r="F308" s="17">
        <f>40.6747 * CHOOSE(CONTROL!$C$9, $D$9, 100%, $F$9) + CHOOSE(CONTROL!$C$27, 0.0021, 0)</f>
        <v>40.6768</v>
      </c>
      <c r="G308" s="17">
        <f>40.9461 * CHOOSE(CONTROL!$C$9, $D$9, 100%, $F$9) + CHOOSE(CONTROL!$C$27, 0.0021, 0)</f>
        <v>40.9482</v>
      </c>
      <c r="H308" s="17">
        <f>40.8114 * CHOOSE(CONTROL!$C$9, $D$9, 100%, $F$9) + CHOOSE(CONTROL!$C$27, 0.0021, 0)</f>
        <v>40.813499999999998</v>
      </c>
      <c r="I308" s="17">
        <f>40.8114 * CHOOSE(CONTROL!$C$9, $D$9, 100%, $F$9) + CHOOSE(CONTROL!$C$27, 0.0021, 0)</f>
        <v>40.813499999999998</v>
      </c>
      <c r="J308" s="17">
        <f>40.8114 * CHOOSE(CONTROL!$C$9, $D$9, 100%, $F$9) + CHOOSE(CONTROL!$C$27, 0.0021, 0)</f>
        <v>40.813499999999998</v>
      </c>
      <c r="K308" s="17">
        <f>40.8114 * CHOOSE(CONTROL!$C$9, $D$9, 100%, $F$9) + CHOOSE(CONTROL!$C$27, 0.0021, 0)</f>
        <v>40.813499999999998</v>
      </c>
      <c r="L308" s="17"/>
    </row>
    <row r="309" spans="1:12" ht="15" x14ac:dyDescent="0.2">
      <c r="A309" s="15">
        <v>49949</v>
      </c>
      <c r="B309" s="17">
        <f>42.2263 * CHOOSE(CONTROL!$C$9, $D$9, 100%, $F$9) + CHOOSE(CONTROL!$C$27, 0.0021, 0)</f>
        <v>42.228400000000001</v>
      </c>
      <c r="C309" s="17">
        <f>41.794 * CHOOSE(CONTROL!$C$9, $D$9, 100%, $F$9) + CHOOSE(CONTROL!$C$27, 0.0021, 0)</f>
        <v>41.796099999999996</v>
      </c>
      <c r="D309" s="17">
        <f>41.794 * CHOOSE(CONTROL!$C$9, $D$9, 100%, $F$9) + CHOOSE(CONTROL!$C$27, 0.0021, 0)</f>
        <v>41.796099999999996</v>
      </c>
      <c r="E309" s="17">
        <f>41.6573 * CHOOSE(CONTROL!$C$9, $D$9, 100%, $F$9) + CHOOSE(CONTROL!$C$27, 0.0021, 0)</f>
        <v>41.659399999999998</v>
      </c>
      <c r="F309" s="17">
        <f>41.6573 * CHOOSE(CONTROL!$C$9, $D$9, 100%, $F$9) + CHOOSE(CONTROL!$C$27, 0.0021, 0)</f>
        <v>41.659399999999998</v>
      </c>
      <c r="G309" s="17">
        <f>41.9287 * CHOOSE(CONTROL!$C$9, $D$9, 100%, $F$9) + CHOOSE(CONTROL!$C$27, 0.0021, 0)</f>
        <v>41.930799999999998</v>
      </c>
      <c r="H309" s="17">
        <f>41.794 * CHOOSE(CONTROL!$C$9, $D$9, 100%, $F$9) + CHOOSE(CONTROL!$C$27, 0.0021, 0)</f>
        <v>41.796099999999996</v>
      </c>
      <c r="I309" s="17">
        <f>41.794 * CHOOSE(CONTROL!$C$9, $D$9, 100%, $F$9) + CHOOSE(CONTROL!$C$27, 0.0021, 0)</f>
        <v>41.796099999999996</v>
      </c>
      <c r="J309" s="17">
        <f>41.794 * CHOOSE(CONTROL!$C$9, $D$9, 100%, $F$9) + CHOOSE(CONTROL!$C$27, 0.0021, 0)</f>
        <v>41.796099999999996</v>
      </c>
      <c r="K309" s="17">
        <f>41.794 * CHOOSE(CONTROL!$C$9, $D$9, 100%, $F$9) + CHOOSE(CONTROL!$C$27, 0.0021, 0)</f>
        <v>41.796099999999996</v>
      </c>
      <c r="L309" s="17"/>
    </row>
    <row r="310" spans="1:12" ht="15" x14ac:dyDescent="0.2">
      <c r="A310" s="15">
        <v>49980</v>
      </c>
      <c r="B310" s="17">
        <f>42.3185 * CHOOSE(CONTROL!$C$9, $D$9, 100%, $F$9) + CHOOSE(CONTROL!$C$27, 0.0021, 0)</f>
        <v>42.320599999999999</v>
      </c>
      <c r="C310" s="17">
        <f>41.8863 * CHOOSE(CONTROL!$C$9, $D$9, 100%, $F$9) + CHOOSE(CONTROL!$C$27, 0.0021, 0)</f>
        <v>41.888399999999997</v>
      </c>
      <c r="D310" s="17">
        <f>41.8863 * CHOOSE(CONTROL!$C$9, $D$9, 100%, $F$9) + CHOOSE(CONTROL!$C$27, 0.0021, 0)</f>
        <v>41.888399999999997</v>
      </c>
      <c r="E310" s="17">
        <f>41.7496 * CHOOSE(CONTROL!$C$9, $D$9, 100%, $F$9) + CHOOSE(CONTROL!$C$27, 0.0021, 0)</f>
        <v>41.7517</v>
      </c>
      <c r="F310" s="17">
        <f>41.7496 * CHOOSE(CONTROL!$C$9, $D$9, 100%, $F$9) + CHOOSE(CONTROL!$C$27, 0.0021, 0)</f>
        <v>41.7517</v>
      </c>
      <c r="G310" s="17">
        <f>42.021 * CHOOSE(CONTROL!$C$9, $D$9, 100%, $F$9) + CHOOSE(CONTROL!$C$27, 0.0021, 0)</f>
        <v>42.023099999999999</v>
      </c>
      <c r="H310" s="17">
        <f>41.8863 * CHOOSE(CONTROL!$C$9, $D$9, 100%, $F$9) + CHOOSE(CONTROL!$C$27, 0.0021, 0)</f>
        <v>41.888399999999997</v>
      </c>
      <c r="I310" s="17">
        <f>41.8863 * CHOOSE(CONTROL!$C$9, $D$9, 100%, $F$9) + CHOOSE(CONTROL!$C$27, 0.0021, 0)</f>
        <v>41.888399999999997</v>
      </c>
      <c r="J310" s="17">
        <f>41.8863 * CHOOSE(CONTROL!$C$9, $D$9, 100%, $F$9) + CHOOSE(CONTROL!$C$27, 0.0021, 0)</f>
        <v>41.888399999999997</v>
      </c>
      <c r="K310" s="17">
        <f>41.8863 * CHOOSE(CONTROL!$C$9, $D$9, 100%, $F$9) + CHOOSE(CONTROL!$C$27, 0.0021, 0)</f>
        <v>41.888399999999997</v>
      </c>
      <c r="L310" s="17"/>
    </row>
    <row r="311" spans="1:12" ht="15" x14ac:dyDescent="0.2">
      <c r="A311" s="15">
        <v>50010</v>
      </c>
      <c r="B311" s="17">
        <f>41.5337 * CHOOSE(CONTROL!$C$9, $D$9, 100%, $F$9) + CHOOSE(CONTROL!$C$27, 0.0021, 0)</f>
        <v>41.535800000000002</v>
      </c>
      <c r="C311" s="17">
        <f>41.1014 * CHOOSE(CONTROL!$C$9, $D$9, 100%, $F$9) + CHOOSE(CONTROL!$C$27, 0.0021, 0)</f>
        <v>41.103499999999997</v>
      </c>
      <c r="D311" s="17">
        <f>41.1014 * CHOOSE(CONTROL!$C$9, $D$9, 100%, $F$9) + CHOOSE(CONTROL!$C$27, 0.0021, 0)</f>
        <v>41.103499999999997</v>
      </c>
      <c r="E311" s="17">
        <f>40.9648 * CHOOSE(CONTROL!$C$9, $D$9, 100%, $F$9) + CHOOSE(CONTROL!$C$27, 0.0021, 0)</f>
        <v>40.966899999999995</v>
      </c>
      <c r="F311" s="17">
        <f>40.9648 * CHOOSE(CONTROL!$C$9, $D$9, 100%, $F$9) + CHOOSE(CONTROL!$C$27, 0.0021, 0)</f>
        <v>40.966899999999995</v>
      </c>
      <c r="G311" s="17">
        <f>41.2361 * CHOOSE(CONTROL!$C$9, $D$9, 100%, $F$9) + CHOOSE(CONTROL!$C$27, 0.0021, 0)</f>
        <v>41.238199999999999</v>
      </c>
      <c r="H311" s="17">
        <f>41.1014 * CHOOSE(CONTROL!$C$9, $D$9, 100%, $F$9) + CHOOSE(CONTROL!$C$27, 0.0021, 0)</f>
        <v>41.103499999999997</v>
      </c>
      <c r="I311" s="17">
        <f>41.1014 * CHOOSE(CONTROL!$C$9, $D$9, 100%, $F$9) + CHOOSE(CONTROL!$C$27, 0.0021, 0)</f>
        <v>41.103499999999997</v>
      </c>
      <c r="J311" s="17">
        <f>41.1014 * CHOOSE(CONTROL!$C$9, $D$9, 100%, $F$9) + CHOOSE(CONTROL!$C$27, 0.0021, 0)</f>
        <v>41.103499999999997</v>
      </c>
      <c r="K311" s="17">
        <f>41.1014 * CHOOSE(CONTROL!$C$9, $D$9, 100%, $F$9) + CHOOSE(CONTROL!$C$27, 0.0021, 0)</f>
        <v>41.103499999999997</v>
      </c>
      <c r="L311" s="17"/>
    </row>
    <row r="312" spans="1:12" ht="15" x14ac:dyDescent="0.2">
      <c r="A312" s="15">
        <v>50041</v>
      </c>
      <c r="B312" s="17">
        <f>40.7524 * CHOOSE(CONTROL!$C$9, $D$9, 100%, $F$9) + CHOOSE(CONTROL!$C$27, 0.0021, 0)</f>
        <v>40.7545</v>
      </c>
      <c r="C312" s="17">
        <f>40.3202 * CHOOSE(CONTROL!$C$9, $D$9, 100%, $F$9) + CHOOSE(CONTROL!$C$27, 0.0021, 0)</f>
        <v>40.322299999999998</v>
      </c>
      <c r="D312" s="17">
        <f>40.3202 * CHOOSE(CONTROL!$C$9, $D$9, 100%, $F$9) + CHOOSE(CONTROL!$C$27, 0.0021, 0)</f>
        <v>40.322299999999998</v>
      </c>
      <c r="E312" s="17">
        <f>40.1835 * CHOOSE(CONTROL!$C$9, $D$9, 100%, $F$9) + CHOOSE(CONTROL!$C$27, 0.0021, 0)</f>
        <v>40.185600000000001</v>
      </c>
      <c r="F312" s="17">
        <f>40.1835 * CHOOSE(CONTROL!$C$9, $D$9, 100%, $F$9) + CHOOSE(CONTROL!$C$27, 0.0021, 0)</f>
        <v>40.185600000000001</v>
      </c>
      <c r="G312" s="17">
        <f>40.4549 * CHOOSE(CONTROL!$C$9, $D$9, 100%, $F$9) + CHOOSE(CONTROL!$C$27, 0.0021, 0)</f>
        <v>40.457000000000001</v>
      </c>
      <c r="H312" s="17">
        <f>40.3202 * CHOOSE(CONTROL!$C$9, $D$9, 100%, $F$9) + CHOOSE(CONTROL!$C$27, 0.0021, 0)</f>
        <v>40.322299999999998</v>
      </c>
      <c r="I312" s="17">
        <f>40.3202 * CHOOSE(CONTROL!$C$9, $D$9, 100%, $F$9) + CHOOSE(CONTROL!$C$27, 0.0021, 0)</f>
        <v>40.322299999999998</v>
      </c>
      <c r="J312" s="17">
        <f>40.3202 * CHOOSE(CONTROL!$C$9, $D$9, 100%, $F$9) + CHOOSE(CONTROL!$C$27, 0.0021, 0)</f>
        <v>40.322299999999998</v>
      </c>
      <c r="K312" s="17">
        <f>40.3202 * CHOOSE(CONTROL!$C$9, $D$9, 100%, $F$9) + CHOOSE(CONTROL!$C$27, 0.0021, 0)</f>
        <v>40.322299999999998</v>
      </c>
      <c r="L312" s="17"/>
    </row>
    <row r="313" spans="1:12" ht="15" x14ac:dyDescent="0.2">
      <c r="A313" s="15">
        <v>50072</v>
      </c>
      <c r="B313" s="17">
        <f>39.6645 * CHOOSE(CONTROL!$C$9, $D$9, 100%, $F$9) + CHOOSE(CONTROL!$C$27, 0.0021, 0)</f>
        <v>39.666599999999995</v>
      </c>
      <c r="C313" s="17">
        <f>39.2323 * CHOOSE(CONTROL!$C$9, $D$9, 100%, $F$9) + CHOOSE(CONTROL!$C$27, 0.0021, 0)</f>
        <v>39.234400000000001</v>
      </c>
      <c r="D313" s="17">
        <f>39.2323 * CHOOSE(CONTROL!$C$9, $D$9, 100%, $F$9) + CHOOSE(CONTROL!$C$27, 0.0021, 0)</f>
        <v>39.234400000000001</v>
      </c>
      <c r="E313" s="17">
        <f>39.0956 * CHOOSE(CONTROL!$C$9, $D$9, 100%, $F$9) + CHOOSE(CONTROL!$C$27, 0.0021, 0)</f>
        <v>39.097699999999996</v>
      </c>
      <c r="F313" s="17">
        <f>39.0956 * CHOOSE(CONTROL!$C$9, $D$9, 100%, $F$9) + CHOOSE(CONTROL!$C$27, 0.0021, 0)</f>
        <v>39.097699999999996</v>
      </c>
      <c r="G313" s="17">
        <f>39.367 * CHOOSE(CONTROL!$C$9, $D$9, 100%, $F$9) + CHOOSE(CONTROL!$C$27, 0.0021, 0)</f>
        <v>39.369099999999996</v>
      </c>
      <c r="H313" s="17">
        <f>39.2323 * CHOOSE(CONTROL!$C$9, $D$9, 100%, $F$9) + CHOOSE(CONTROL!$C$27, 0.0021, 0)</f>
        <v>39.234400000000001</v>
      </c>
      <c r="I313" s="17">
        <f>39.2323 * CHOOSE(CONTROL!$C$9, $D$9, 100%, $F$9) + CHOOSE(CONTROL!$C$27, 0.0021, 0)</f>
        <v>39.234400000000001</v>
      </c>
      <c r="J313" s="17">
        <f>39.2323 * CHOOSE(CONTROL!$C$9, $D$9, 100%, $F$9) + CHOOSE(CONTROL!$C$27, 0.0021, 0)</f>
        <v>39.234400000000001</v>
      </c>
      <c r="K313" s="17">
        <f>39.2323 * CHOOSE(CONTROL!$C$9, $D$9, 100%, $F$9) + CHOOSE(CONTROL!$C$27, 0.0021, 0)</f>
        <v>39.234400000000001</v>
      </c>
      <c r="L313" s="17"/>
    </row>
    <row r="314" spans="1:12" ht="15" x14ac:dyDescent="0.2">
      <c r="A314" s="15">
        <v>50100</v>
      </c>
      <c r="B314" s="17">
        <f>39.2155 * CHOOSE(CONTROL!$C$9, $D$9, 100%, $F$9) + CHOOSE(CONTROL!$C$27, 0.0021, 0)</f>
        <v>39.217599999999997</v>
      </c>
      <c r="C314" s="17">
        <f>38.7832 * CHOOSE(CONTROL!$C$9, $D$9, 100%, $F$9) + CHOOSE(CONTROL!$C$27, 0.0021, 0)</f>
        <v>38.785299999999999</v>
      </c>
      <c r="D314" s="17">
        <f>38.7832 * CHOOSE(CONTROL!$C$9, $D$9, 100%, $F$9) + CHOOSE(CONTROL!$C$27, 0.0021, 0)</f>
        <v>38.785299999999999</v>
      </c>
      <c r="E314" s="17">
        <f>38.6466 * CHOOSE(CONTROL!$C$9, $D$9, 100%, $F$9) + CHOOSE(CONTROL!$C$27, 0.0021, 0)</f>
        <v>38.648699999999998</v>
      </c>
      <c r="F314" s="17">
        <f>38.6466 * CHOOSE(CONTROL!$C$9, $D$9, 100%, $F$9) + CHOOSE(CONTROL!$C$27, 0.0021, 0)</f>
        <v>38.648699999999998</v>
      </c>
      <c r="G314" s="17">
        <f>38.9179 * CHOOSE(CONTROL!$C$9, $D$9, 100%, $F$9) + CHOOSE(CONTROL!$C$27, 0.0021, 0)</f>
        <v>38.92</v>
      </c>
      <c r="H314" s="17">
        <f>38.7832 * CHOOSE(CONTROL!$C$9, $D$9, 100%, $F$9) + CHOOSE(CONTROL!$C$27, 0.0021, 0)</f>
        <v>38.785299999999999</v>
      </c>
      <c r="I314" s="17">
        <f>38.7832 * CHOOSE(CONTROL!$C$9, $D$9, 100%, $F$9) + CHOOSE(CONTROL!$C$27, 0.0021, 0)</f>
        <v>38.785299999999999</v>
      </c>
      <c r="J314" s="17">
        <f>38.7832 * CHOOSE(CONTROL!$C$9, $D$9, 100%, $F$9) + CHOOSE(CONTROL!$C$27, 0.0021, 0)</f>
        <v>38.785299999999999</v>
      </c>
      <c r="K314" s="17">
        <f>38.7832 * CHOOSE(CONTROL!$C$9, $D$9, 100%, $F$9) + CHOOSE(CONTROL!$C$27, 0.0021, 0)</f>
        <v>38.785299999999999</v>
      </c>
      <c r="L314" s="17"/>
    </row>
    <row r="315" spans="1:12" ht="15" x14ac:dyDescent="0.2">
      <c r="A315" s="15">
        <v>50131</v>
      </c>
      <c r="B315" s="17">
        <f>38.6793 * CHOOSE(CONTROL!$C$9, $D$9, 100%, $F$9) + CHOOSE(CONTROL!$C$27, 0.0021, 0)</f>
        <v>38.681399999999996</v>
      </c>
      <c r="C315" s="17">
        <f>38.247 * CHOOSE(CONTROL!$C$9, $D$9, 100%, $F$9) + CHOOSE(CONTROL!$C$27, 0.0021, 0)</f>
        <v>38.249099999999999</v>
      </c>
      <c r="D315" s="17">
        <f>38.247 * CHOOSE(CONTROL!$C$9, $D$9, 100%, $F$9) + CHOOSE(CONTROL!$C$27, 0.0021, 0)</f>
        <v>38.249099999999999</v>
      </c>
      <c r="E315" s="17">
        <f>38.1104 * CHOOSE(CONTROL!$C$9, $D$9, 100%, $F$9) + CHOOSE(CONTROL!$C$27, 0.0021, 0)</f>
        <v>38.112499999999997</v>
      </c>
      <c r="F315" s="17">
        <f>38.1104 * CHOOSE(CONTROL!$C$9, $D$9, 100%, $F$9) + CHOOSE(CONTROL!$C$27, 0.0021, 0)</f>
        <v>38.112499999999997</v>
      </c>
      <c r="G315" s="17">
        <f>38.3817 * CHOOSE(CONTROL!$C$9, $D$9, 100%, $F$9) + CHOOSE(CONTROL!$C$27, 0.0021, 0)</f>
        <v>38.383800000000001</v>
      </c>
      <c r="H315" s="17">
        <f>38.247 * CHOOSE(CONTROL!$C$9, $D$9, 100%, $F$9) + CHOOSE(CONTROL!$C$27, 0.0021, 0)</f>
        <v>38.249099999999999</v>
      </c>
      <c r="I315" s="17">
        <f>38.247 * CHOOSE(CONTROL!$C$9, $D$9, 100%, $F$9) + CHOOSE(CONTROL!$C$27, 0.0021, 0)</f>
        <v>38.249099999999999</v>
      </c>
      <c r="J315" s="17">
        <f>38.247 * CHOOSE(CONTROL!$C$9, $D$9, 100%, $F$9) + CHOOSE(CONTROL!$C$27, 0.0021, 0)</f>
        <v>38.249099999999999</v>
      </c>
      <c r="K315" s="17">
        <f>38.247 * CHOOSE(CONTROL!$C$9, $D$9, 100%, $F$9) + CHOOSE(CONTROL!$C$27, 0.0021, 0)</f>
        <v>38.249099999999999</v>
      </c>
      <c r="L315" s="17"/>
    </row>
    <row r="316" spans="1:12" ht="15" x14ac:dyDescent="0.2">
      <c r="A316" s="15">
        <v>50161</v>
      </c>
      <c r="B316" s="17">
        <f>39.4434 * CHOOSE(CONTROL!$C$9, $D$9, 100%, $F$9) + CHOOSE(CONTROL!$C$27, 0.0021, 0)</f>
        <v>39.445499999999996</v>
      </c>
      <c r="C316" s="17">
        <f>39.0112 * CHOOSE(CONTROL!$C$9, $D$9, 100%, $F$9) + CHOOSE(CONTROL!$C$27, 0.0021, 0)</f>
        <v>39.013300000000001</v>
      </c>
      <c r="D316" s="17">
        <f>39.0112 * CHOOSE(CONTROL!$C$9, $D$9, 100%, $F$9) + CHOOSE(CONTROL!$C$27, 0.0021, 0)</f>
        <v>39.013300000000001</v>
      </c>
      <c r="E316" s="17">
        <f>38.8745 * CHOOSE(CONTROL!$C$9, $D$9, 100%, $F$9) + CHOOSE(CONTROL!$C$27, 0.0021, 0)</f>
        <v>38.876599999999996</v>
      </c>
      <c r="F316" s="17">
        <f>38.8745 * CHOOSE(CONTROL!$C$9, $D$9, 100%, $F$9) + CHOOSE(CONTROL!$C$27, 0.0021, 0)</f>
        <v>38.876599999999996</v>
      </c>
      <c r="G316" s="17">
        <f>39.1459 * CHOOSE(CONTROL!$C$9, $D$9, 100%, $F$9) + CHOOSE(CONTROL!$C$27, 0.0021, 0)</f>
        <v>39.147999999999996</v>
      </c>
      <c r="H316" s="17">
        <f>39.0112 * CHOOSE(CONTROL!$C$9, $D$9, 100%, $F$9) + CHOOSE(CONTROL!$C$27, 0.0021, 0)</f>
        <v>39.013300000000001</v>
      </c>
      <c r="I316" s="17">
        <f>39.0112 * CHOOSE(CONTROL!$C$9, $D$9, 100%, $F$9) + CHOOSE(CONTROL!$C$27, 0.0021, 0)</f>
        <v>39.013300000000001</v>
      </c>
      <c r="J316" s="17">
        <f>39.0112 * CHOOSE(CONTROL!$C$9, $D$9, 100%, $F$9) + CHOOSE(CONTROL!$C$27, 0.0021, 0)</f>
        <v>39.013300000000001</v>
      </c>
      <c r="K316" s="17">
        <f>39.0112 * CHOOSE(CONTROL!$C$9, $D$9, 100%, $F$9) + CHOOSE(CONTROL!$C$27, 0.0021, 0)</f>
        <v>39.013300000000001</v>
      </c>
      <c r="L316" s="17"/>
    </row>
    <row r="317" spans="1:12" ht="15" x14ac:dyDescent="0.2">
      <c r="A317" s="15">
        <v>50192</v>
      </c>
      <c r="B317" s="17">
        <f>39.9011 * CHOOSE(CONTROL!$C$9, $D$9, 100%, $F$9) + CHOOSE(CONTROL!$C$27, 0.0021, 0)</f>
        <v>39.903199999999998</v>
      </c>
      <c r="C317" s="17">
        <f>39.4689 * CHOOSE(CONTROL!$C$9, $D$9, 100%, $F$9) + CHOOSE(CONTROL!$C$27, 0.0021, 0)</f>
        <v>39.470999999999997</v>
      </c>
      <c r="D317" s="17">
        <f>39.4689 * CHOOSE(CONTROL!$C$9, $D$9, 100%, $F$9) + CHOOSE(CONTROL!$C$27, 0.0021, 0)</f>
        <v>39.470999999999997</v>
      </c>
      <c r="E317" s="17">
        <f>39.3322 * CHOOSE(CONTROL!$C$9, $D$9, 100%, $F$9) + CHOOSE(CONTROL!$C$27, 0.0021, 0)</f>
        <v>39.334299999999999</v>
      </c>
      <c r="F317" s="17">
        <f>39.3322 * CHOOSE(CONTROL!$C$9, $D$9, 100%, $F$9) + CHOOSE(CONTROL!$C$27, 0.0021, 0)</f>
        <v>39.334299999999999</v>
      </c>
      <c r="G317" s="17">
        <f>39.6036 * CHOOSE(CONTROL!$C$9, $D$9, 100%, $F$9) + CHOOSE(CONTROL!$C$27, 0.0021, 0)</f>
        <v>39.605699999999999</v>
      </c>
      <c r="H317" s="17">
        <f>39.4689 * CHOOSE(CONTROL!$C$9, $D$9, 100%, $F$9) + CHOOSE(CONTROL!$C$27, 0.0021, 0)</f>
        <v>39.470999999999997</v>
      </c>
      <c r="I317" s="17">
        <f>39.4689 * CHOOSE(CONTROL!$C$9, $D$9, 100%, $F$9) + CHOOSE(CONTROL!$C$27, 0.0021, 0)</f>
        <v>39.470999999999997</v>
      </c>
      <c r="J317" s="17">
        <f>39.4689 * CHOOSE(CONTROL!$C$9, $D$9, 100%, $F$9) + CHOOSE(CONTROL!$C$27, 0.0021, 0)</f>
        <v>39.470999999999997</v>
      </c>
      <c r="K317" s="17">
        <f>39.4689 * CHOOSE(CONTROL!$C$9, $D$9, 100%, $F$9) + CHOOSE(CONTROL!$C$27, 0.0021, 0)</f>
        <v>39.470999999999997</v>
      </c>
      <c r="L317" s="17"/>
    </row>
    <row r="318" spans="1:12" ht="15" x14ac:dyDescent="0.2">
      <c r="A318" s="15">
        <v>50222</v>
      </c>
      <c r="B318" s="17">
        <f>40.6561 * CHOOSE(CONTROL!$C$9, $D$9, 100%, $F$9) + CHOOSE(CONTROL!$C$27, 0.0021, 0)</f>
        <v>40.658200000000001</v>
      </c>
      <c r="C318" s="17">
        <f>40.2239 * CHOOSE(CONTROL!$C$9, $D$9, 100%, $F$9) + CHOOSE(CONTROL!$C$27, 0.0021, 0)</f>
        <v>40.225999999999999</v>
      </c>
      <c r="D318" s="17">
        <f>40.2239 * CHOOSE(CONTROL!$C$9, $D$9, 100%, $F$9) + CHOOSE(CONTROL!$C$27, 0.0021, 0)</f>
        <v>40.225999999999999</v>
      </c>
      <c r="E318" s="17">
        <f>40.0872 * CHOOSE(CONTROL!$C$9, $D$9, 100%, $F$9) + CHOOSE(CONTROL!$C$27, 0.0021, 0)</f>
        <v>40.089300000000001</v>
      </c>
      <c r="F318" s="17">
        <f>40.0872 * CHOOSE(CONTROL!$C$9, $D$9, 100%, $F$9) + CHOOSE(CONTROL!$C$27, 0.0021, 0)</f>
        <v>40.089300000000001</v>
      </c>
      <c r="G318" s="17">
        <f>40.3586 * CHOOSE(CONTROL!$C$9, $D$9, 100%, $F$9) + CHOOSE(CONTROL!$C$27, 0.0021, 0)</f>
        <v>40.360700000000001</v>
      </c>
      <c r="H318" s="17">
        <f>40.2239 * CHOOSE(CONTROL!$C$9, $D$9, 100%, $F$9) + CHOOSE(CONTROL!$C$27, 0.0021, 0)</f>
        <v>40.225999999999999</v>
      </c>
      <c r="I318" s="17">
        <f>40.2239 * CHOOSE(CONTROL!$C$9, $D$9, 100%, $F$9) + CHOOSE(CONTROL!$C$27, 0.0021, 0)</f>
        <v>40.225999999999999</v>
      </c>
      <c r="J318" s="17">
        <f>40.2239 * CHOOSE(CONTROL!$C$9, $D$9, 100%, $F$9) + CHOOSE(CONTROL!$C$27, 0.0021, 0)</f>
        <v>40.225999999999999</v>
      </c>
      <c r="K318" s="17">
        <f>40.2239 * CHOOSE(CONTROL!$C$9, $D$9, 100%, $F$9) + CHOOSE(CONTROL!$C$27, 0.0021, 0)</f>
        <v>40.225999999999999</v>
      </c>
      <c r="L318" s="17"/>
    </row>
    <row r="319" spans="1:12" ht="15" x14ac:dyDescent="0.2">
      <c r="A319" s="15">
        <v>50253</v>
      </c>
      <c r="B319" s="17">
        <f>40.8866 * CHOOSE(CONTROL!$C$9, $D$9, 100%, $F$9) + CHOOSE(CONTROL!$C$27, 0.0021, 0)</f>
        <v>40.8887</v>
      </c>
      <c r="C319" s="17">
        <f>40.4543 * CHOOSE(CONTROL!$C$9, $D$9, 100%, $F$9) + CHOOSE(CONTROL!$C$27, 0.0021, 0)</f>
        <v>40.456400000000002</v>
      </c>
      <c r="D319" s="17">
        <f>40.4543 * CHOOSE(CONTROL!$C$9, $D$9, 100%, $F$9) + CHOOSE(CONTROL!$C$27, 0.0021, 0)</f>
        <v>40.456400000000002</v>
      </c>
      <c r="E319" s="17">
        <f>40.3177 * CHOOSE(CONTROL!$C$9, $D$9, 100%, $F$9) + CHOOSE(CONTROL!$C$27, 0.0021, 0)</f>
        <v>40.319800000000001</v>
      </c>
      <c r="F319" s="17">
        <f>40.3177 * CHOOSE(CONTROL!$C$9, $D$9, 100%, $F$9) + CHOOSE(CONTROL!$C$27, 0.0021, 0)</f>
        <v>40.319800000000001</v>
      </c>
      <c r="G319" s="17">
        <f>40.5891 * CHOOSE(CONTROL!$C$9, $D$9, 100%, $F$9) + CHOOSE(CONTROL!$C$27, 0.0021, 0)</f>
        <v>40.591200000000001</v>
      </c>
      <c r="H319" s="17">
        <f>40.4543 * CHOOSE(CONTROL!$C$9, $D$9, 100%, $F$9) + CHOOSE(CONTROL!$C$27, 0.0021, 0)</f>
        <v>40.456400000000002</v>
      </c>
      <c r="I319" s="17">
        <f>40.4543 * CHOOSE(CONTROL!$C$9, $D$9, 100%, $F$9) + CHOOSE(CONTROL!$C$27, 0.0021, 0)</f>
        <v>40.456400000000002</v>
      </c>
      <c r="J319" s="17">
        <f>40.4543 * CHOOSE(CONTROL!$C$9, $D$9, 100%, $F$9) + CHOOSE(CONTROL!$C$27, 0.0021, 0)</f>
        <v>40.456400000000002</v>
      </c>
      <c r="K319" s="17">
        <f>40.4543 * CHOOSE(CONTROL!$C$9, $D$9, 100%, $F$9) + CHOOSE(CONTROL!$C$27, 0.0021, 0)</f>
        <v>40.456400000000002</v>
      </c>
      <c r="L319" s="17"/>
    </row>
    <row r="320" spans="1:12" ht="15" x14ac:dyDescent="0.2">
      <c r="A320" s="15">
        <v>50284</v>
      </c>
      <c r="B320" s="17">
        <f>41.6714 * CHOOSE(CONTROL!$C$9, $D$9, 100%, $F$9) + CHOOSE(CONTROL!$C$27, 0.0021, 0)</f>
        <v>41.673499999999997</v>
      </c>
      <c r="C320" s="17">
        <f>41.2392 * CHOOSE(CONTROL!$C$9, $D$9, 100%, $F$9) + CHOOSE(CONTROL!$C$27, 0.0021, 0)</f>
        <v>41.241299999999995</v>
      </c>
      <c r="D320" s="17">
        <f>41.2392 * CHOOSE(CONTROL!$C$9, $D$9, 100%, $F$9) + CHOOSE(CONTROL!$C$27, 0.0021, 0)</f>
        <v>41.241299999999995</v>
      </c>
      <c r="E320" s="17">
        <f>41.1025 * CHOOSE(CONTROL!$C$9, $D$9, 100%, $F$9) + CHOOSE(CONTROL!$C$27, 0.0021, 0)</f>
        <v>41.104599999999998</v>
      </c>
      <c r="F320" s="17">
        <f>41.1025 * CHOOSE(CONTROL!$C$9, $D$9, 100%, $F$9) + CHOOSE(CONTROL!$C$27, 0.0021, 0)</f>
        <v>41.104599999999998</v>
      </c>
      <c r="G320" s="17">
        <f>41.3739 * CHOOSE(CONTROL!$C$9, $D$9, 100%, $F$9) + CHOOSE(CONTROL!$C$27, 0.0021, 0)</f>
        <v>41.375999999999998</v>
      </c>
      <c r="H320" s="17">
        <f>41.2392 * CHOOSE(CONTROL!$C$9, $D$9, 100%, $F$9) + CHOOSE(CONTROL!$C$27, 0.0021, 0)</f>
        <v>41.241299999999995</v>
      </c>
      <c r="I320" s="17">
        <f>41.2392 * CHOOSE(CONTROL!$C$9, $D$9, 100%, $F$9) + CHOOSE(CONTROL!$C$27, 0.0021, 0)</f>
        <v>41.241299999999995</v>
      </c>
      <c r="J320" s="17">
        <f>41.2392 * CHOOSE(CONTROL!$C$9, $D$9, 100%, $F$9) + CHOOSE(CONTROL!$C$27, 0.0021, 0)</f>
        <v>41.241299999999995</v>
      </c>
      <c r="K320" s="17">
        <f>41.2392 * CHOOSE(CONTROL!$C$9, $D$9, 100%, $F$9) + CHOOSE(CONTROL!$C$27, 0.0021, 0)</f>
        <v>41.241299999999995</v>
      </c>
      <c r="L320" s="17"/>
    </row>
    <row r="321" spans="1:12" ht="15" x14ac:dyDescent="0.2">
      <c r="A321" s="15">
        <v>50314</v>
      </c>
      <c r="B321" s="17">
        <f>42.6648 * CHOOSE(CONTROL!$C$9, $D$9, 100%, $F$9) + CHOOSE(CONTROL!$C$27, 0.0021, 0)</f>
        <v>42.666899999999998</v>
      </c>
      <c r="C321" s="17">
        <f>42.2326 * CHOOSE(CONTROL!$C$9, $D$9, 100%, $F$9) + CHOOSE(CONTROL!$C$27, 0.0021, 0)</f>
        <v>42.234699999999997</v>
      </c>
      <c r="D321" s="17">
        <f>42.2326 * CHOOSE(CONTROL!$C$9, $D$9, 100%, $F$9) + CHOOSE(CONTROL!$C$27, 0.0021, 0)</f>
        <v>42.234699999999997</v>
      </c>
      <c r="E321" s="17">
        <f>42.0959 * CHOOSE(CONTROL!$C$9, $D$9, 100%, $F$9) + CHOOSE(CONTROL!$C$27, 0.0021, 0)</f>
        <v>42.097999999999999</v>
      </c>
      <c r="F321" s="17">
        <f>42.0959 * CHOOSE(CONTROL!$C$9, $D$9, 100%, $F$9) + CHOOSE(CONTROL!$C$27, 0.0021, 0)</f>
        <v>42.097999999999999</v>
      </c>
      <c r="G321" s="17">
        <f>42.3673 * CHOOSE(CONTROL!$C$9, $D$9, 100%, $F$9) + CHOOSE(CONTROL!$C$27, 0.0021, 0)</f>
        <v>42.369399999999999</v>
      </c>
      <c r="H321" s="17">
        <f>42.2326 * CHOOSE(CONTROL!$C$9, $D$9, 100%, $F$9) + CHOOSE(CONTROL!$C$27, 0.0021, 0)</f>
        <v>42.234699999999997</v>
      </c>
      <c r="I321" s="17">
        <f>42.2326 * CHOOSE(CONTROL!$C$9, $D$9, 100%, $F$9) + CHOOSE(CONTROL!$C$27, 0.0021, 0)</f>
        <v>42.234699999999997</v>
      </c>
      <c r="J321" s="17">
        <f>42.2326 * CHOOSE(CONTROL!$C$9, $D$9, 100%, $F$9) + CHOOSE(CONTROL!$C$27, 0.0021, 0)</f>
        <v>42.234699999999997</v>
      </c>
      <c r="K321" s="17">
        <f>42.2326 * CHOOSE(CONTROL!$C$9, $D$9, 100%, $F$9) + CHOOSE(CONTROL!$C$27, 0.0021, 0)</f>
        <v>42.234699999999997</v>
      </c>
      <c r="L321" s="17"/>
    </row>
    <row r="322" spans="1:12" ht="15" x14ac:dyDescent="0.2">
      <c r="A322" s="15">
        <v>50345</v>
      </c>
      <c r="B322" s="17">
        <f>42.7581 * CHOOSE(CONTROL!$C$9, $D$9, 100%, $F$9) + CHOOSE(CONTROL!$C$27, 0.0021, 0)</f>
        <v>42.760199999999998</v>
      </c>
      <c r="C322" s="17">
        <f>42.3259 * CHOOSE(CONTROL!$C$9, $D$9, 100%, $F$9) + CHOOSE(CONTROL!$C$27, 0.0021, 0)</f>
        <v>42.327999999999996</v>
      </c>
      <c r="D322" s="17">
        <f>42.3259 * CHOOSE(CONTROL!$C$9, $D$9, 100%, $F$9) + CHOOSE(CONTROL!$C$27, 0.0021, 0)</f>
        <v>42.327999999999996</v>
      </c>
      <c r="E322" s="17">
        <f>42.1892 * CHOOSE(CONTROL!$C$9, $D$9, 100%, $F$9) + CHOOSE(CONTROL!$C$27, 0.0021, 0)</f>
        <v>42.191299999999998</v>
      </c>
      <c r="F322" s="17">
        <f>42.1892 * CHOOSE(CONTROL!$C$9, $D$9, 100%, $F$9) + CHOOSE(CONTROL!$C$27, 0.0021, 0)</f>
        <v>42.191299999999998</v>
      </c>
      <c r="G322" s="17">
        <f>42.4606 * CHOOSE(CONTROL!$C$9, $D$9, 100%, $F$9) + CHOOSE(CONTROL!$C$27, 0.0021, 0)</f>
        <v>42.462699999999998</v>
      </c>
      <c r="H322" s="17">
        <f>42.3259 * CHOOSE(CONTROL!$C$9, $D$9, 100%, $F$9) + CHOOSE(CONTROL!$C$27, 0.0021, 0)</f>
        <v>42.327999999999996</v>
      </c>
      <c r="I322" s="17">
        <f>42.3259 * CHOOSE(CONTROL!$C$9, $D$9, 100%, $F$9) + CHOOSE(CONTROL!$C$27, 0.0021, 0)</f>
        <v>42.327999999999996</v>
      </c>
      <c r="J322" s="17">
        <f>42.3259 * CHOOSE(CONTROL!$C$9, $D$9, 100%, $F$9) + CHOOSE(CONTROL!$C$27, 0.0021, 0)</f>
        <v>42.327999999999996</v>
      </c>
      <c r="K322" s="17">
        <f>42.3259 * CHOOSE(CONTROL!$C$9, $D$9, 100%, $F$9) + CHOOSE(CONTROL!$C$27, 0.0021, 0)</f>
        <v>42.327999999999996</v>
      </c>
      <c r="L322" s="17"/>
    </row>
    <row r="323" spans="1:12" ht="15" x14ac:dyDescent="0.2">
      <c r="A323" s="15">
        <v>50375</v>
      </c>
      <c r="B323" s="17">
        <f>41.9647 * CHOOSE(CONTROL!$C$9, $D$9, 100%, $F$9) + CHOOSE(CONTROL!$C$27, 0.0021, 0)</f>
        <v>41.966799999999999</v>
      </c>
      <c r="C323" s="17">
        <f>41.5324 * CHOOSE(CONTROL!$C$9, $D$9, 100%, $F$9) + CHOOSE(CONTROL!$C$27, 0.0021, 0)</f>
        <v>41.534500000000001</v>
      </c>
      <c r="D323" s="17">
        <f>41.5324 * CHOOSE(CONTROL!$C$9, $D$9, 100%, $F$9) + CHOOSE(CONTROL!$C$27, 0.0021, 0)</f>
        <v>41.534500000000001</v>
      </c>
      <c r="E323" s="17">
        <f>41.3958 * CHOOSE(CONTROL!$C$9, $D$9, 100%, $F$9) + CHOOSE(CONTROL!$C$27, 0.0021, 0)</f>
        <v>41.3979</v>
      </c>
      <c r="F323" s="17">
        <f>41.3958 * CHOOSE(CONTROL!$C$9, $D$9, 100%, $F$9) + CHOOSE(CONTROL!$C$27, 0.0021, 0)</f>
        <v>41.3979</v>
      </c>
      <c r="G323" s="17">
        <f>41.6671 * CHOOSE(CONTROL!$C$9, $D$9, 100%, $F$9) + CHOOSE(CONTROL!$C$27, 0.0021, 0)</f>
        <v>41.669199999999996</v>
      </c>
      <c r="H323" s="17">
        <f>41.5324 * CHOOSE(CONTROL!$C$9, $D$9, 100%, $F$9) + CHOOSE(CONTROL!$C$27, 0.0021, 0)</f>
        <v>41.534500000000001</v>
      </c>
      <c r="I323" s="17">
        <f>41.5324 * CHOOSE(CONTROL!$C$9, $D$9, 100%, $F$9) + CHOOSE(CONTROL!$C$27, 0.0021, 0)</f>
        <v>41.534500000000001</v>
      </c>
      <c r="J323" s="17">
        <f>41.5324 * CHOOSE(CONTROL!$C$9, $D$9, 100%, $F$9) + CHOOSE(CONTROL!$C$27, 0.0021, 0)</f>
        <v>41.534500000000001</v>
      </c>
      <c r="K323" s="17">
        <f>41.5324 * CHOOSE(CONTROL!$C$9, $D$9, 100%, $F$9) + CHOOSE(CONTROL!$C$27, 0.0021, 0)</f>
        <v>41.534500000000001</v>
      </c>
      <c r="L323" s="17"/>
    </row>
    <row r="324" spans="1:12" ht="15.75" x14ac:dyDescent="0.25">
      <c r="A324" s="14">
        <v>50436</v>
      </c>
      <c r="B324" s="17">
        <f>41.1748 * CHOOSE(CONTROL!$C$9, $D$9, 100%, $F$9) + CHOOSE(CONTROL!$C$27, 0.0021, 0)</f>
        <v>41.176899999999996</v>
      </c>
      <c r="C324" s="17">
        <f>40.7426 * CHOOSE(CONTROL!$C$9, $D$9, 100%, $F$9) + CHOOSE(CONTROL!$C$27, 0.0021, 0)</f>
        <v>40.744700000000002</v>
      </c>
      <c r="D324" s="17">
        <f>40.7426 * CHOOSE(CONTROL!$C$9, $D$9, 100%, $F$9) + CHOOSE(CONTROL!$C$27, 0.0021, 0)</f>
        <v>40.744700000000002</v>
      </c>
      <c r="E324" s="17">
        <f>40.6059 * CHOOSE(CONTROL!$C$9, $D$9, 100%, $F$9) + CHOOSE(CONTROL!$C$27, 0.0021, 0)</f>
        <v>40.607999999999997</v>
      </c>
      <c r="F324" s="17">
        <f>40.6059 * CHOOSE(CONTROL!$C$9, $D$9, 100%, $F$9) + CHOOSE(CONTROL!$C$27, 0.0021, 0)</f>
        <v>40.607999999999997</v>
      </c>
      <c r="G324" s="17">
        <f>40.8773 * CHOOSE(CONTROL!$C$9, $D$9, 100%, $F$9) + CHOOSE(CONTROL!$C$27, 0.0021, 0)</f>
        <v>40.879399999999997</v>
      </c>
      <c r="H324" s="17">
        <f>40.7426 * CHOOSE(CONTROL!$C$9, $D$9, 100%, $F$9) + CHOOSE(CONTROL!$C$27, 0.0021, 0)</f>
        <v>40.744700000000002</v>
      </c>
      <c r="I324" s="17">
        <f>40.7426 * CHOOSE(CONTROL!$C$9, $D$9, 100%, $F$9) + CHOOSE(CONTROL!$C$27, 0.0021, 0)</f>
        <v>40.744700000000002</v>
      </c>
      <c r="J324" s="17">
        <f>40.7426 * CHOOSE(CONTROL!$C$9, $D$9, 100%, $F$9) + CHOOSE(CONTROL!$C$27, 0.0021, 0)</f>
        <v>40.744700000000002</v>
      </c>
      <c r="K324" s="17">
        <f>40.7426 * CHOOSE(CONTROL!$C$9, $D$9, 100%, $F$9) + CHOOSE(CONTROL!$C$27, 0.0021, 0)</f>
        <v>40.744700000000002</v>
      </c>
      <c r="L324" s="17"/>
    </row>
    <row r="325" spans="1:12" ht="15.75" x14ac:dyDescent="0.25">
      <c r="A325" s="14">
        <v>50464</v>
      </c>
      <c r="B325" s="17">
        <f>40.075 * CHOOSE(CONTROL!$C$9, $D$9, 100%, $F$9) + CHOOSE(CONTROL!$C$27, 0.0021, 0)</f>
        <v>40.077100000000002</v>
      </c>
      <c r="C325" s="17">
        <f>39.6427 * CHOOSE(CONTROL!$C$9, $D$9, 100%, $F$9) + CHOOSE(CONTROL!$C$27, 0.0021, 0)</f>
        <v>39.644799999999996</v>
      </c>
      <c r="D325" s="17">
        <f>39.6427 * CHOOSE(CONTROL!$C$9, $D$9, 100%, $F$9) + CHOOSE(CONTROL!$C$27, 0.0021, 0)</f>
        <v>39.644799999999996</v>
      </c>
      <c r="E325" s="17">
        <f>39.5061 * CHOOSE(CONTROL!$C$9, $D$9, 100%, $F$9) + CHOOSE(CONTROL!$C$27, 0.0021, 0)</f>
        <v>39.508200000000002</v>
      </c>
      <c r="F325" s="17">
        <f>39.5061 * CHOOSE(CONTROL!$C$9, $D$9, 100%, $F$9) + CHOOSE(CONTROL!$C$27, 0.0021, 0)</f>
        <v>39.508200000000002</v>
      </c>
      <c r="G325" s="17">
        <f>39.7775 * CHOOSE(CONTROL!$C$9, $D$9, 100%, $F$9) + CHOOSE(CONTROL!$C$27, 0.0021, 0)</f>
        <v>39.779600000000002</v>
      </c>
      <c r="H325" s="17">
        <f>39.6427 * CHOOSE(CONTROL!$C$9, $D$9, 100%, $F$9) + CHOOSE(CONTROL!$C$27, 0.0021, 0)</f>
        <v>39.644799999999996</v>
      </c>
      <c r="I325" s="17">
        <f>39.6427 * CHOOSE(CONTROL!$C$9, $D$9, 100%, $F$9) + CHOOSE(CONTROL!$C$27, 0.0021, 0)</f>
        <v>39.644799999999996</v>
      </c>
      <c r="J325" s="17">
        <f>39.6427 * CHOOSE(CONTROL!$C$9, $D$9, 100%, $F$9) + CHOOSE(CONTROL!$C$27, 0.0021, 0)</f>
        <v>39.644799999999996</v>
      </c>
      <c r="K325" s="17">
        <f>39.6427 * CHOOSE(CONTROL!$C$9, $D$9, 100%, $F$9) + CHOOSE(CONTROL!$C$27, 0.0021, 0)</f>
        <v>39.644799999999996</v>
      </c>
      <c r="L325" s="17"/>
    </row>
    <row r="326" spans="1:12" ht="15.75" x14ac:dyDescent="0.25">
      <c r="A326" s="14">
        <v>50495</v>
      </c>
      <c r="B326" s="17">
        <f>39.621 * CHOOSE(CONTROL!$C$9, $D$9, 100%, $F$9) + CHOOSE(CONTROL!$C$27, 0.0021, 0)</f>
        <v>39.623100000000001</v>
      </c>
      <c r="C326" s="17">
        <f>39.1888 * CHOOSE(CONTROL!$C$9, $D$9, 100%, $F$9) + CHOOSE(CONTROL!$C$27, 0.0021, 0)</f>
        <v>39.190899999999999</v>
      </c>
      <c r="D326" s="17">
        <f>39.1888 * CHOOSE(CONTROL!$C$9, $D$9, 100%, $F$9) + CHOOSE(CONTROL!$C$27, 0.0021, 0)</f>
        <v>39.190899999999999</v>
      </c>
      <c r="E326" s="17">
        <f>39.0521 * CHOOSE(CONTROL!$C$9, $D$9, 100%, $F$9) + CHOOSE(CONTROL!$C$27, 0.0021, 0)</f>
        <v>39.054200000000002</v>
      </c>
      <c r="F326" s="17">
        <f>39.0521 * CHOOSE(CONTROL!$C$9, $D$9, 100%, $F$9) + CHOOSE(CONTROL!$C$27, 0.0021, 0)</f>
        <v>39.054200000000002</v>
      </c>
      <c r="G326" s="17">
        <f>39.3235 * CHOOSE(CONTROL!$C$9, $D$9, 100%, $F$9) + CHOOSE(CONTROL!$C$27, 0.0021, 0)</f>
        <v>39.325600000000001</v>
      </c>
      <c r="H326" s="17">
        <f>39.1888 * CHOOSE(CONTROL!$C$9, $D$9, 100%, $F$9) + CHOOSE(CONTROL!$C$27, 0.0021, 0)</f>
        <v>39.190899999999999</v>
      </c>
      <c r="I326" s="17">
        <f>39.1888 * CHOOSE(CONTROL!$C$9, $D$9, 100%, $F$9) + CHOOSE(CONTROL!$C$27, 0.0021, 0)</f>
        <v>39.190899999999999</v>
      </c>
      <c r="J326" s="17">
        <f>39.1888 * CHOOSE(CONTROL!$C$9, $D$9, 100%, $F$9) + CHOOSE(CONTROL!$C$27, 0.0021, 0)</f>
        <v>39.190899999999999</v>
      </c>
      <c r="K326" s="17">
        <f>39.1888 * CHOOSE(CONTROL!$C$9, $D$9, 100%, $F$9) + CHOOSE(CONTROL!$C$27, 0.0021, 0)</f>
        <v>39.190899999999999</v>
      </c>
      <c r="L326" s="17"/>
    </row>
    <row r="327" spans="1:12" ht="15.75" x14ac:dyDescent="0.25">
      <c r="A327" s="14">
        <v>50525</v>
      </c>
      <c r="B327" s="17">
        <f>39.0789 * CHOOSE(CONTROL!$C$9, $D$9, 100%, $F$9) + CHOOSE(CONTROL!$C$27, 0.0021, 0)</f>
        <v>39.080999999999996</v>
      </c>
      <c r="C327" s="17">
        <f>38.6467 * CHOOSE(CONTROL!$C$9, $D$9, 100%, $F$9) + CHOOSE(CONTROL!$C$27, 0.0021, 0)</f>
        <v>38.648800000000001</v>
      </c>
      <c r="D327" s="17">
        <f>38.6467 * CHOOSE(CONTROL!$C$9, $D$9, 100%, $F$9) + CHOOSE(CONTROL!$C$27, 0.0021, 0)</f>
        <v>38.648800000000001</v>
      </c>
      <c r="E327" s="17">
        <f>38.51 * CHOOSE(CONTROL!$C$9, $D$9, 100%, $F$9) + CHOOSE(CONTROL!$C$27, 0.0021, 0)</f>
        <v>38.512099999999997</v>
      </c>
      <c r="F327" s="17">
        <f>38.51 * CHOOSE(CONTROL!$C$9, $D$9, 100%, $F$9) + CHOOSE(CONTROL!$C$27, 0.0021, 0)</f>
        <v>38.512099999999997</v>
      </c>
      <c r="G327" s="17">
        <f>38.7814 * CHOOSE(CONTROL!$C$9, $D$9, 100%, $F$9) + CHOOSE(CONTROL!$C$27, 0.0021, 0)</f>
        <v>38.783499999999997</v>
      </c>
      <c r="H327" s="17">
        <f>38.6467 * CHOOSE(CONTROL!$C$9, $D$9, 100%, $F$9) + CHOOSE(CONTROL!$C$27, 0.0021, 0)</f>
        <v>38.648800000000001</v>
      </c>
      <c r="I327" s="17">
        <f>38.6467 * CHOOSE(CONTROL!$C$9, $D$9, 100%, $F$9) + CHOOSE(CONTROL!$C$27, 0.0021, 0)</f>
        <v>38.648800000000001</v>
      </c>
      <c r="J327" s="17">
        <f>38.6467 * CHOOSE(CONTROL!$C$9, $D$9, 100%, $F$9) + CHOOSE(CONTROL!$C$27, 0.0021, 0)</f>
        <v>38.648800000000001</v>
      </c>
      <c r="K327" s="17">
        <f>38.6467 * CHOOSE(CONTROL!$C$9, $D$9, 100%, $F$9) + CHOOSE(CONTROL!$C$27, 0.0021, 0)</f>
        <v>38.648800000000001</v>
      </c>
      <c r="L327" s="17"/>
    </row>
    <row r="328" spans="1:12" ht="15.75" x14ac:dyDescent="0.25">
      <c r="A328" s="14">
        <v>50556</v>
      </c>
      <c r="B328" s="17">
        <f>39.8514 * CHOOSE(CONTROL!$C$9, $D$9, 100%, $F$9) + CHOOSE(CONTROL!$C$27, 0.0021, 0)</f>
        <v>39.853499999999997</v>
      </c>
      <c r="C328" s="17">
        <f>39.4192 * CHOOSE(CONTROL!$C$9, $D$9, 100%, $F$9) + CHOOSE(CONTROL!$C$27, 0.0021, 0)</f>
        <v>39.421299999999995</v>
      </c>
      <c r="D328" s="17">
        <f>39.4192 * CHOOSE(CONTROL!$C$9, $D$9, 100%, $F$9) + CHOOSE(CONTROL!$C$27, 0.0021, 0)</f>
        <v>39.421299999999995</v>
      </c>
      <c r="E328" s="17">
        <f>39.2825 * CHOOSE(CONTROL!$C$9, $D$9, 100%, $F$9) + CHOOSE(CONTROL!$C$27, 0.0021, 0)</f>
        <v>39.284599999999998</v>
      </c>
      <c r="F328" s="17">
        <f>39.2825 * CHOOSE(CONTROL!$C$9, $D$9, 100%, $F$9) + CHOOSE(CONTROL!$C$27, 0.0021, 0)</f>
        <v>39.284599999999998</v>
      </c>
      <c r="G328" s="17">
        <f>39.5539 * CHOOSE(CONTROL!$C$9, $D$9, 100%, $F$9) + CHOOSE(CONTROL!$C$27, 0.0021, 0)</f>
        <v>39.555999999999997</v>
      </c>
      <c r="H328" s="17">
        <f>39.4192 * CHOOSE(CONTROL!$C$9, $D$9, 100%, $F$9) + CHOOSE(CONTROL!$C$27, 0.0021, 0)</f>
        <v>39.421299999999995</v>
      </c>
      <c r="I328" s="17">
        <f>39.4192 * CHOOSE(CONTROL!$C$9, $D$9, 100%, $F$9) + CHOOSE(CONTROL!$C$27, 0.0021, 0)</f>
        <v>39.421299999999995</v>
      </c>
      <c r="J328" s="17">
        <f>39.4192 * CHOOSE(CONTROL!$C$9, $D$9, 100%, $F$9) + CHOOSE(CONTROL!$C$27, 0.0021, 0)</f>
        <v>39.421299999999995</v>
      </c>
      <c r="K328" s="17">
        <f>39.4192 * CHOOSE(CONTROL!$C$9, $D$9, 100%, $F$9) + CHOOSE(CONTROL!$C$27, 0.0021, 0)</f>
        <v>39.421299999999995</v>
      </c>
      <c r="L328" s="17"/>
    </row>
    <row r="329" spans="1:12" ht="15.75" x14ac:dyDescent="0.25">
      <c r="A329" s="14">
        <v>50586</v>
      </c>
      <c r="B329" s="17">
        <f>40.3142 * CHOOSE(CONTROL!$C$9, $D$9, 100%, $F$9) + CHOOSE(CONTROL!$C$27, 0.0021, 0)</f>
        <v>40.316299999999998</v>
      </c>
      <c r="C329" s="17">
        <f>39.8819 * CHOOSE(CONTROL!$C$9, $D$9, 100%, $F$9) + CHOOSE(CONTROL!$C$27, 0.0021, 0)</f>
        <v>39.884</v>
      </c>
      <c r="D329" s="17">
        <f>39.8819 * CHOOSE(CONTROL!$C$9, $D$9, 100%, $F$9) + CHOOSE(CONTROL!$C$27, 0.0021, 0)</f>
        <v>39.884</v>
      </c>
      <c r="E329" s="17">
        <f>39.7453 * CHOOSE(CONTROL!$C$9, $D$9, 100%, $F$9) + CHOOSE(CONTROL!$C$27, 0.0021, 0)</f>
        <v>39.747399999999999</v>
      </c>
      <c r="F329" s="17">
        <f>39.7453 * CHOOSE(CONTROL!$C$9, $D$9, 100%, $F$9) + CHOOSE(CONTROL!$C$27, 0.0021, 0)</f>
        <v>39.747399999999999</v>
      </c>
      <c r="G329" s="17">
        <f>40.0166 * CHOOSE(CONTROL!$C$9, $D$9, 100%, $F$9) + CHOOSE(CONTROL!$C$27, 0.0021, 0)</f>
        <v>40.018699999999995</v>
      </c>
      <c r="H329" s="17">
        <f>39.8819 * CHOOSE(CONTROL!$C$9, $D$9, 100%, $F$9) + CHOOSE(CONTROL!$C$27, 0.0021, 0)</f>
        <v>39.884</v>
      </c>
      <c r="I329" s="17">
        <f>39.8819 * CHOOSE(CONTROL!$C$9, $D$9, 100%, $F$9) + CHOOSE(CONTROL!$C$27, 0.0021, 0)</f>
        <v>39.884</v>
      </c>
      <c r="J329" s="17">
        <f>39.8819 * CHOOSE(CONTROL!$C$9, $D$9, 100%, $F$9) + CHOOSE(CONTROL!$C$27, 0.0021, 0)</f>
        <v>39.884</v>
      </c>
      <c r="K329" s="17">
        <f>39.8819 * CHOOSE(CONTROL!$C$9, $D$9, 100%, $F$9) + CHOOSE(CONTROL!$C$27, 0.0021, 0)</f>
        <v>39.884</v>
      </c>
      <c r="L329" s="17"/>
    </row>
    <row r="330" spans="1:12" ht="15.75" x14ac:dyDescent="0.25">
      <c r="A330" s="14">
        <v>50617</v>
      </c>
      <c r="B330" s="17">
        <f>41.0775 * CHOOSE(CONTROL!$C$9, $D$9, 100%, $F$9) + CHOOSE(CONTROL!$C$27, 0.0021, 0)</f>
        <v>41.079599999999999</v>
      </c>
      <c r="C330" s="17">
        <f>40.6452 * CHOOSE(CONTROL!$C$9, $D$9, 100%, $F$9) + CHOOSE(CONTROL!$C$27, 0.0021, 0)</f>
        <v>40.647300000000001</v>
      </c>
      <c r="D330" s="17">
        <f>40.6452 * CHOOSE(CONTROL!$C$9, $D$9, 100%, $F$9) + CHOOSE(CONTROL!$C$27, 0.0021, 0)</f>
        <v>40.647300000000001</v>
      </c>
      <c r="E330" s="17">
        <f>40.5086 * CHOOSE(CONTROL!$C$9, $D$9, 100%, $F$9) + CHOOSE(CONTROL!$C$27, 0.0021, 0)</f>
        <v>40.5107</v>
      </c>
      <c r="F330" s="17">
        <f>40.5086 * CHOOSE(CONTROL!$C$9, $D$9, 100%, $F$9) + CHOOSE(CONTROL!$C$27, 0.0021, 0)</f>
        <v>40.5107</v>
      </c>
      <c r="G330" s="17">
        <f>40.7799 * CHOOSE(CONTROL!$C$9, $D$9, 100%, $F$9) + CHOOSE(CONTROL!$C$27, 0.0021, 0)</f>
        <v>40.781999999999996</v>
      </c>
      <c r="H330" s="17">
        <f>40.6452 * CHOOSE(CONTROL!$C$9, $D$9, 100%, $F$9) + CHOOSE(CONTROL!$C$27, 0.0021, 0)</f>
        <v>40.647300000000001</v>
      </c>
      <c r="I330" s="17">
        <f>40.6452 * CHOOSE(CONTROL!$C$9, $D$9, 100%, $F$9) + CHOOSE(CONTROL!$C$27, 0.0021, 0)</f>
        <v>40.647300000000001</v>
      </c>
      <c r="J330" s="17">
        <f>40.6452 * CHOOSE(CONTROL!$C$9, $D$9, 100%, $F$9) + CHOOSE(CONTROL!$C$27, 0.0021, 0)</f>
        <v>40.647300000000001</v>
      </c>
      <c r="K330" s="17">
        <f>40.6452 * CHOOSE(CONTROL!$C$9, $D$9, 100%, $F$9) + CHOOSE(CONTROL!$C$27, 0.0021, 0)</f>
        <v>40.647300000000001</v>
      </c>
      <c r="L330" s="17"/>
    </row>
    <row r="331" spans="1:12" ht="15.75" x14ac:dyDescent="0.25">
      <c r="A331" s="14">
        <v>50648</v>
      </c>
      <c r="B331" s="17">
        <f>41.3105 * CHOOSE(CONTROL!$C$9, $D$9, 100%, $F$9) + CHOOSE(CONTROL!$C$27, 0.0021, 0)</f>
        <v>41.312599999999996</v>
      </c>
      <c r="C331" s="17">
        <f>40.8782 * CHOOSE(CONTROL!$C$9, $D$9, 100%, $F$9) + CHOOSE(CONTROL!$C$27, 0.0021, 0)</f>
        <v>40.880299999999998</v>
      </c>
      <c r="D331" s="17">
        <f>40.8782 * CHOOSE(CONTROL!$C$9, $D$9, 100%, $F$9) + CHOOSE(CONTROL!$C$27, 0.0021, 0)</f>
        <v>40.880299999999998</v>
      </c>
      <c r="E331" s="17">
        <f>40.7416 * CHOOSE(CONTROL!$C$9, $D$9, 100%, $F$9) + CHOOSE(CONTROL!$C$27, 0.0021, 0)</f>
        <v>40.743699999999997</v>
      </c>
      <c r="F331" s="17">
        <f>40.7416 * CHOOSE(CONTROL!$C$9, $D$9, 100%, $F$9) + CHOOSE(CONTROL!$C$27, 0.0021, 0)</f>
        <v>40.743699999999997</v>
      </c>
      <c r="G331" s="17">
        <f>41.0129 * CHOOSE(CONTROL!$C$9, $D$9, 100%, $F$9) + CHOOSE(CONTROL!$C$27, 0.0021, 0)</f>
        <v>41.015000000000001</v>
      </c>
      <c r="H331" s="17">
        <f>40.8782 * CHOOSE(CONTROL!$C$9, $D$9, 100%, $F$9) + CHOOSE(CONTROL!$C$27, 0.0021, 0)</f>
        <v>40.880299999999998</v>
      </c>
      <c r="I331" s="17">
        <f>40.8782 * CHOOSE(CONTROL!$C$9, $D$9, 100%, $F$9) + CHOOSE(CONTROL!$C$27, 0.0021, 0)</f>
        <v>40.880299999999998</v>
      </c>
      <c r="J331" s="17">
        <f>40.8782 * CHOOSE(CONTROL!$C$9, $D$9, 100%, $F$9) + CHOOSE(CONTROL!$C$27, 0.0021, 0)</f>
        <v>40.880299999999998</v>
      </c>
      <c r="K331" s="17">
        <f>40.8782 * CHOOSE(CONTROL!$C$9, $D$9, 100%, $F$9) + CHOOSE(CONTROL!$C$27, 0.0021, 0)</f>
        <v>40.880299999999998</v>
      </c>
      <c r="L331" s="17"/>
    </row>
    <row r="332" spans="1:12" ht="15.75" x14ac:dyDescent="0.25">
      <c r="A332" s="14">
        <v>50678</v>
      </c>
      <c r="B332" s="17">
        <f>42.1039 * CHOOSE(CONTROL!$C$9, $D$9, 100%, $F$9) + CHOOSE(CONTROL!$C$27, 0.0021, 0)</f>
        <v>42.106000000000002</v>
      </c>
      <c r="C332" s="17">
        <f>41.6716 * CHOOSE(CONTROL!$C$9, $D$9, 100%, $F$9) + CHOOSE(CONTROL!$C$27, 0.0021, 0)</f>
        <v>41.673699999999997</v>
      </c>
      <c r="D332" s="17">
        <f>41.6716 * CHOOSE(CONTROL!$C$9, $D$9, 100%, $F$9) + CHOOSE(CONTROL!$C$27, 0.0021, 0)</f>
        <v>41.673699999999997</v>
      </c>
      <c r="E332" s="17">
        <f>41.535 * CHOOSE(CONTROL!$C$9, $D$9, 100%, $F$9) + CHOOSE(CONTROL!$C$27, 0.0021, 0)</f>
        <v>41.537099999999995</v>
      </c>
      <c r="F332" s="17">
        <f>41.535 * CHOOSE(CONTROL!$C$9, $D$9, 100%, $F$9) + CHOOSE(CONTROL!$C$27, 0.0021, 0)</f>
        <v>41.537099999999995</v>
      </c>
      <c r="G332" s="17">
        <f>41.8064 * CHOOSE(CONTROL!$C$9, $D$9, 100%, $F$9) + CHOOSE(CONTROL!$C$27, 0.0021, 0)</f>
        <v>41.808499999999995</v>
      </c>
      <c r="H332" s="17">
        <f>41.6716 * CHOOSE(CONTROL!$C$9, $D$9, 100%, $F$9) + CHOOSE(CONTROL!$C$27, 0.0021, 0)</f>
        <v>41.673699999999997</v>
      </c>
      <c r="I332" s="17">
        <f>41.6716 * CHOOSE(CONTROL!$C$9, $D$9, 100%, $F$9) + CHOOSE(CONTROL!$C$27, 0.0021, 0)</f>
        <v>41.673699999999997</v>
      </c>
      <c r="J332" s="17">
        <f>41.6716 * CHOOSE(CONTROL!$C$9, $D$9, 100%, $F$9) + CHOOSE(CONTROL!$C$27, 0.0021, 0)</f>
        <v>41.673699999999997</v>
      </c>
      <c r="K332" s="17">
        <f>41.6716 * CHOOSE(CONTROL!$C$9, $D$9, 100%, $F$9) + CHOOSE(CONTROL!$C$27, 0.0021, 0)</f>
        <v>41.673699999999997</v>
      </c>
      <c r="L332" s="17"/>
    </row>
    <row r="333" spans="1:12" ht="15.75" x14ac:dyDescent="0.25">
      <c r="A333" s="14">
        <v>50709</v>
      </c>
      <c r="B333" s="17">
        <f>43.1082 * CHOOSE(CONTROL!$C$9, $D$9, 100%, $F$9) + CHOOSE(CONTROL!$C$27, 0.0021, 0)</f>
        <v>43.110299999999995</v>
      </c>
      <c r="C333" s="17">
        <f>42.676 * CHOOSE(CONTROL!$C$9, $D$9, 100%, $F$9) + CHOOSE(CONTROL!$C$27, 0.0021, 0)</f>
        <v>42.678100000000001</v>
      </c>
      <c r="D333" s="17">
        <f>42.676 * CHOOSE(CONTROL!$C$9, $D$9, 100%, $F$9) + CHOOSE(CONTROL!$C$27, 0.0021, 0)</f>
        <v>42.678100000000001</v>
      </c>
      <c r="E333" s="17">
        <f>42.5393 * CHOOSE(CONTROL!$C$9, $D$9, 100%, $F$9) + CHOOSE(CONTROL!$C$27, 0.0021, 0)</f>
        <v>42.541399999999996</v>
      </c>
      <c r="F333" s="17">
        <f>42.5393 * CHOOSE(CONTROL!$C$9, $D$9, 100%, $F$9) + CHOOSE(CONTROL!$C$27, 0.0021, 0)</f>
        <v>42.541399999999996</v>
      </c>
      <c r="G333" s="17">
        <f>42.8107 * CHOOSE(CONTROL!$C$9, $D$9, 100%, $F$9) + CHOOSE(CONTROL!$C$27, 0.0021, 0)</f>
        <v>42.812799999999996</v>
      </c>
      <c r="H333" s="17">
        <f>42.676 * CHOOSE(CONTROL!$C$9, $D$9, 100%, $F$9) + CHOOSE(CONTROL!$C$27, 0.0021, 0)</f>
        <v>42.678100000000001</v>
      </c>
      <c r="I333" s="17">
        <f>42.676 * CHOOSE(CONTROL!$C$9, $D$9, 100%, $F$9) + CHOOSE(CONTROL!$C$27, 0.0021, 0)</f>
        <v>42.678100000000001</v>
      </c>
      <c r="J333" s="17">
        <f>42.676 * CHOOSE(CONTROL!$C$9, $D$9, 100%, $F$9) + CHOOSE(CONTROL!$C$27, 0.0021, 0)</f>
        <v>42.678100000000001</v>
      </c>
      <c r="K333" s="17">
        <f>42.676 * CHOOSE(CONTROL!$C$9, $D$9, 100%, $F$9) + CHOOSE(CONTROL!$C$27, 0.0021, 0)</f>
        <v>42.678100000000001</v>
      </c>
      <c r="L333" s="17"/>
    </row>
    <row r="334" spans="1:12" ht="15.75" x14ac:dyDescent="0.25">
      <c r="A334" s="14">
        <v>50739</v>
      </c>
      <c r="B334" s="17">
        <f>43.2025 * CHOOSE(CONTROL!$C$9, $D$9, 100%, $F$9) + CHOOSE(CONTROL!$C$27, 0.0021, 0)</f>
        <v>43.204599999999999</v>
      </c>
      <c r="C334" s="17">
        <f>42.7703 * CHOOSE(CONTROL!$C$9, $D$9, 100%, $F$9) + CHOOSE(CONTROL!$C$27, 0.0021, 0)</f>
        <v>42.772399999999998</v>
      </c>
      <c r="D334" s="17">
        <f>42.7703 * CHOOSE(CONTROL!$C$9, $D$9, 100%, $F$9) + CHOOSE(CONTROL!$C$27, 0.0021, 0)</f>
        <v>42.772399999999998</v>
      </c>
      <c r="E334" s="17">
        <f>42.6336 * CHOOSE(CONTROL!$C$9, $D$9, 100%, $F$9) + CHOOSE(CONTROL!$C$27, 0.0021, 0)</f>
        <v>42.6357</v>
      </c>
      <c r="F334" s="17">
        <f>42.6336 * CHOOSE(CONTROL!$C$9, $D$9, 100%, $F$9) + CHOOSE(CONTROL!$C$27, 0.0021, 0)</f>
        <v>42.6357</v>
      </c>
      <c r="G334" s="17">
        <f>42.905 * CHOOSE(CONTROL!$C$9, $D$9, 100%, $F$9) + CHOOSE(CONTROL!$C$27, 0.0021, 0)</f>
        <v>42.9071</v>
      </c>
      <c r="H334" s="17">
        <f>42.7703 * CHOOSE(CONTROL!$C$9, $D$9, 100%, $F$9) + CHOOSE(CONTROL!$C$27, 0.0021, 0)</f>
        <v>42.772399999999998</v>
      </c>
      <c r="I334" s="17">
        <f>42.7703 * CHOOSE(CONTROL!$C$9, $D$9, 100%, $F$9) + CHOOSE(CONTROL!$C$27, 0.0021, 0)</f>
        <v>42.772399999999998</v>
      </c>
      <c r="J334" s="17">
        <f>42.7703 * CHOOSE(CONTROL!$C$9, $D$9, 100%, $F$9) + CHOOSE(CONTROL!$C$27, 0.0021, 0)</f>
        <v>42.772399999999998</v>
      </c>
      <c r="K334" s="17">
        <f>42.7703 * CHOOSE(CONTROL!$C$9, $D$9, 100%, $F$9) + CHOOSE(CONTROL!$C$27, 0.0021, 0)</f>
        <v>42.772399999999998</v>
      </c>
      <c r="L334" s="17"/>
    </row>
    <row r="335" spans="1:12" ht="15.75" x14ac:dyDescent="0.25">
      <c r="A335" s="14">
        <v>50770</v>
      </c>
      <c r="B335" s="17">
        <f>42.4004 * CHOOSE(CONTROL!$C$9, $D$9, 100%, $F$9) + CHOOSE(CONTROL!$C$27, 0.0021, 0)</f>
        <v>42.402499999999996</v>
      </c>
      <c r="C335" s="17">
        <f>41.9681 * CHOOSE(CONTROL!$C$9, $D$9, 100%, $F$9) + CHOOSE(CONTROL!$C$27, 0.0021, 0)</f>
        <v>41.970199999999998</v>
      </c>
      <c r="D335" s="17">
        <f>41.9681 * CHOOSE(CONTROL!$C$9, $D$9, 100%, $F$9) + CHOOSE(CONTROL!$C$27, 0.0021, 0)</f>
        <v>41.970199999999998</v>
      </c>
      <c r="E335" s="17">
        <f>41.8315 * CHOOSE(CONTROL!$C$9, $D$9, 100%, $F$9) + CHOOSE(CONTROL!$C$27, 0.0021, 0)</f>
        <v>41.833599999999997</v>
      </c>
      <c r="F335" s="17">
        <f>41.8315 * CHOOSE(CONTROL!$C$9, $D$9, 100%, $F$9) + CHOOSE(CONTROL!$C$27, 0.0021, 0)</f>
        <v>41.833599999999997</v>
      </c>
      <c r="G335" s="17">
        <f>42.1028 * CHOOSE(CONTROL!$C$9, $D$9, 100%, $F$9) + CHOOSE(CONTROL!$C$27, 0.0021, 0)</f>
        <v>42.104900000000001</v>
      </c>
      <c r="H335" s="17">
        <f>41.9681 * CHOOSE(CONTROL!$C$9, $D$9, 100%, $F$9) + CHOOSE(CONTROL!$C$27, 0.0021, 0)</f>
        <v>41.970199999999998</v>
      </c>
      <c r="I335" s="17">
        <f>41.9681 * CHOOSE(CONTROL!$C$9, $D$9, 100%, $F$9) + CHOOSE(CONTROL!$C$27, 0.0021, 0)</f>
        <v>41.970199999999998</v>
      </c>
      <c r="J335" s="17">
        <f>41.9681 * CHOOSE(CONTROL!$C$9, $D$9, 100%, $F$9) + CHOOSE(CONTROL!$C$27, 0.0021, 0)</f>
        <v>41.970199999999998</v>
      </c>
      <c r="K335" s="17">
        <f>41.9681 * CHOOSE(CONTROL!$C$9, $D$9, 100%, $F$9) + CHOOSE(CONTROL!$C$27, 0.0021, 0)</f>
        <v>41.970199999999998</v>
      </c>
      <c r="L335" s="17"/>
    </row>
    <row r="336" spans="1:12" ht="15.75" x14ac:dyDescent="0.25">
      <c r="A336" s="14">
        <v>50801</v>
      </c>
      <c r="B336" s="17">
        <f>41.6018 * CHOOSE(CONTROL!$C$9, $D$9, 100%, $F$9) + CHOOSE(CONTROL!$C$27, 0.0021, 0)</f>
        <v>41.603899999999996</v>
      </c>
      <c r="C336" s="17">
        <f>41.1696 * CHOOSE(CONTROL!$C$9, $D$9, 100%, $F$9) + CHOOSE(CONTROL!$C$27, 0.0021, 0)</f>
        <v>41.171700000000001</v>
      </c>
      <c r="D336" s="17">
        <f>41.1696 * CHOOSE(CONTROL!$C$9, $D$9, 100%, $F$9) + CHOOSE(CONTROL!$C$27, 0.0021, 0)</f>
        <v>41.171700000000001</v>
      </c>
      <c r="E336" s="17">
        <f>41.0329 * CHOOSE(CONTROL!$C$9, $D$9, 100%, $F$9) + CHOOSE(CONTROL!$C$27, 0.0021, 0)</f>
        <v>41.034999999999997</v>
      </c>
      <c r="F336" s="17">
        <f>41.0329 * CHOOSE(CONTROL!$C$9, $D$9, 100%, $F$9) + CHOOSE(CONTROL!$C$27, 0.0021, 0)</f>
        <v>41.034999999999997</v>
      </c>
      <c r="G336" s="17">
        <f>41.3043 * CHOOSE(CONTROL!$C$9, $D$9, 100%, $F$9) + CHOOSE(CONTROL!$C$27, 0.0021, 0)</f>
        <v>41.306399999999996</v>
      </c>
      <c r="H336" s="17">
        <f>41.1696 * CHOOSE(CONTROL!$C$9, $D$9, 100%, $F$9) + CHOOSE(CONTROL!$C$27, 0.0021, 0)</f>
        <v>41.171700000000001</v>
      </c>
      <c r="I336" s="17">
        <f>41.1696 * CHOOSE(CONTROL!$C$9, $D$9, 100%, $F$9) + CHOOSE(CONTROL!$C$27, 0.0021, 0)</f>
        <v>41.171700000000001</v>
      </c>
      <c r="J336" s="17">
        <f>41.1696 * CHOOSE(CONTROL!$C$9, $D$9, 100%, $F$9) + CHOOSE(CONTROL!$C$27, 0.0021, 0)</f>
        <v>41.171700000000001</v>
      </c>
      <c r="K336" s="17">
        <f>41.1696 * CHOOSE(CONTROL!$C$9, $D$9, 100%, $F$9) + CHOOSE(CONTROL!$C$27, 0.0021, 0)</f>
        <v>41.171700000000001</v>
      </c>
      <c r="L336" s="17"/>
    </row>
    <row r="337" spans="1:12" ht="15.75" x14ac:dyDescent="0.25">
      <c r="A337" s="14">
        <v>50829</v>
      </c>
      <c r="B337" s="17">
        <f>40.49 * CHOOSE(CONTROL!$C$9, $D$9, 100%, $F$9) + CHOOSE(CONTROL!$C$27, 0.0021, 0)</f>
        <v>40.492100000000001</v>
      </c>
      <c r="C337" s="17">
        <f>40.0577 * CHOOSE(CONTROL!$C$9, $D$9, 100%, $F$9) + CHOOSE(CONTROL!$C$27, 0.0021, 0)</f>
        <v>40.059799999999996</v>
      </c>
      <c r="D337" s="17">
        <f>40.0577 * CHOOSE(CONTROL!$C$9, $D$9, 100%, $F$9) + CHOOSE(CONTROL!$C$27, 0.0021, 0)</f>
        <v>40.059799999999996</v>
      </c>
      <c r="E337" s="17">
        <f>39.9211 * CHOOSE(CONTROL!$C$9, $D$9, 100%, $F$9) + CHOOSE(CONTROL!$C$27, 0.0021, 0)</f>
        <v>39.923200000000001</v>
      </c>
      <c r="F337" s="17">
        <f>39.9211 * CHOOSE(CONTROL!$C$9, $D$9, 100%, $F$9) + CHOOSE(CONTROL!$C$27, 0.0021, 0)</f>
        <v>39.923200000000001</v>
      </c>
      <c r="G337" s="17">
        <f>40.1924 * CHOOSE(CONTROL!$C$9, $D$9, 100%, $F$9) + CHOOSE(CONTROL!$C$27, 0.0021, 0)</f>
        <v>40.194499999999998</v>
      </c>
      <c r="H337" s="17">
        <f>40.0577 * CHOOSE(CONTROL!$C$9, $D$9, 100%, $F$9) + CHOOSE(CONTROL!$C$27, 0.0021, 0)</f>
        <v>40.059799999999996</v>
      </c>
      <c r="I337" s="17">
        <f>40.0577 * CHOOSE(CONTROL!$C$9, $D$9, 100%, $F$9) + CHOOSE(CONTROL!$C$27, 0.0021, 0)</f>
        <v>40.059799999999996</v>
      </c>
      <c r="J337" s="17">
        <f>40.0577 * CHOOSE(CONTROL!$C$9, $D$9, 100%, $F$9) + CHOOSE(CONTROL!$C$27, 0.0021, 0)</f>
        <v>40.059799999999996</v>
      </c>
      <c r="K337" s="17">
        <f>40.0577 * CHOOSE(CONTROL!$C$9, $D$9, 100%, $F$9) + CHOOSE(CONTROL!$C$27, 0.0021, 0)</f>
        <v>40.059799999999996</v>
      </c>
      <c r="L337" s="17"/>
    </row>
    <row r="338" spans="1:12" ht="15.75" x14ac:dyDescent="0.25">
      <c r="A338" s="14">
        <v>50860</v>
      </c>
      <c r="B338" s="17">
        <f>40.031 * CHOOSE(CONTROL!$C$9, $D$9, 100%, $F$9) + CHOOSE(CONTROL!$C$27, 0.0021, 0)</f>
        <v>40.033099999999997</v>
      </c>
      <c r="C338" s="17">
        <f>39.5987 * CHOOSE(CONTROL!$C$9, $D$9, 100%, $F$9) + CHOOSE(CONTROL!$C$27, 0.0021, 0)</f>
        <v>39.6008</v>
      </c>
      <c r="D338" s="17">
        <f>39.5987 * CHOOSE(CONTROL!$C$9, $D$9, 100%, $F$9) + CHOOSE(CONTROL!$C$27, 0.0021, 0)</f>
        <v>39.6008</v>
      </c>
      <c r="E338" s="17">
        <f>39.4621 * CHOOSE(CONTROL!$C$9, $D$9, 100%, $F$9) + CHOOSE(CONTROL!$C$27, 0.0021, 0)</f>
        <v>39.464199999999998</v>
      </c>
      <c r="F338" s="17">
        <f>39.4621 * CHOOSE(CONTROL!$C$9, $D$9, 100%, $F$9) + CHOOSE(CONTROL!$C$27, 0.0021, 0)</f>
        <v>39.464199999999998</v>
      </c>
      <c r="G338" s="17">
        <f>39.7334 * CHOOSE(CONTROL!$C$9, $D$9, 100%, $F$9) + CHOOSE(CONTROL!$C$27, 0.0021, 0)</f>
        <v>39.735500000000002</v>
      </c>
      <c r="H338" s="17">
        <f>39.5987 * CHOOSE(CONTROL!$C$9, $D$9, 100%, $F$9) + CHOOSE(CONTROL!$C$27, 0.0021, 0)</f>
        <v>39.6008</v>
      </c>
      <c r="I338" s="17">
        <f>39.5987 * CHOOSE(CONTROL!$C$9, $D$9, 100%, $F$9) + CHOOSE(CONTROL!$C$27, 0.0021, 0)</f>
        <v>39.6008</v>
      </c>
      <c r="J338" s="17">
        <f>39.5987 * CHOOSE(CONTROL!$C$9, $D$9, 100%, $F$9) + CHOOSE(CONTROL!$C$27, 0.0021, 0)</f>
        <v>39.6008</v>
      </c>
      <c r="K338" s="17">
        <f>39.5987 * CHOOSE(CONTROL!$C$9, $D$9, 100%, $F$9) + CHOOSE(CONTROL!$C$27, 0.0021, 0)</f>
        <v>39.6008</v>
      </c>
      <c r="L338" s="17"/>
    </row>
    <row r="339" spans="1:12" ht="15.75" x14ac:dyDescent="0.25">
      <c r="A339" s="14">
        <v>50890</v>
      </c>
      <c r="B339" s="17">
        <f>39.4829 * CHOOSE(CONTROL!$C$9, $D$9, 100%, $F$9) + CHOOSE(CONTROL!$C$27, 0.0021, 0)</f>
        <v>39.484999999999999</v>
      </c>
      <c r="C339" s="17">
        <f>39.0507 * CHOOSE(CONTROL!$C$9, $D$9, 100%, $F$9) + CHOOSE(CONTROL!$C$27, 0.0021, 0)</f>
        <v>39.052799999999998</v>
      </c>
      <c r="D339" s="17">
        <f>39.0507 * CHOOSE(CONTROL!$C$9, $D$9, 100%, $F$9) + CHOOSE(CONTROL!$C$27, 0.0021, 0)</f>
        <v>39.052799999999998</v>
      </c>
      <c r="E339" s="17">
        <f>38.914 * CHOOSE(CONTROL!$C$9, $D$9, 100%, $F$9) + CHOOSE(CONTROL!$C$27, 0.0021, 0)</f>
        <v>38.9161</v>
      </c>
      <c r="F339" s="17">
        <f>38.914 * CHOOSE(CONTROL!$C$9, $D$9, 100%, $F$9) + CHOOSE(CONTROL!$C$27, 0.0021, 0)</f>
        <v>38.9161</v>
      </c>
      <c r="G339" s="17">
        <f>39.1854 * CHOOSE(CONTROL!$C$9, $D$9, 100%, $F$9) + CHOOSE(CONTROL!$C$27, 0.0021, 0)</f>
        <v>39.1875</v>
      </c>
      <c r="H339" s="17">
        <f>39.0507 * CHOOSE(CONTROL!$C$9, $D$9, 100%, $F$9) + CHOOSE(CONTROL!$C$27, 0.0021, 0)</f>
        <v>39.052799999999998</v>
      </c>
      <c r="I339" s="17">
        <f>39.0507 * CHOOSE(CONTROL!$C$9, $D$9, 100%, $F$9) + CHOOSE(CONTROL!$C$27, 0.0021, 0)</f>
        <v>39.052799999999998</v>
      </c>
      <c r="J339" s="17">
        <f>39.0507 * CHOOSE(CONTROL!$C$9, $D$9, 100%, $F$9) + CHOOSE(CONTROL!$C$27, 0.0021, 0)</f>
        <v>39.052799999999998</v>
      </c>
      <c r="K339" s="17">
        <f>39.0507 * CHOOSE(CONTROL!$C$9, $D$9, 100%, $F$9) + CHOOSE(CONTROL!$C$27, 0.0021, 0)</f>
        <v>39.052799999999998</v>
      </c>
      <c r="L339" s="17"/>
    </row>
    <row r="340" spans="1:12" ht="15.75" x14ac:dyDescent="0.25">
      <c r="A340" s="14">
        <v>50921</v>
      </c>
      <c r="B340" s="17">
        <f>40.264 * CHOOSE(CONTROL!$C$9, $D$9, 100%, $F$9) + CHOOSE(CONTROL!$C$27, 0.0021, 0)</f>
        <v>40.266100000000002</v>
      </c>
      <c r="C340" s="17">
        <f>39.8317 * CHOOSE(CONTROL!$C$9, $D$9, 100%, $F$9) + CHOOSE(CONTROL!$C$27, 0.0021, 0)</f>
        <v>39.833799999999997</v>
      </c>
      <c r="D340" s="17">
        <f>39.8317 * CHOOSE(CONTROL!$C$9, $D$9, 100%, $F$9) + CHOOSE(CONTROL!$C$27, 0.0021, 0)</f>
        <v>39.833799999999997</v>
      </c>
      <c r="E340" s="17">
        <f>39.695 * CHOOSE(CONTROL!$C$9, $D$9, 100%, $F$9) + CHOOSE(CONTROL!$C$27, 0.0021, 0)</f>
        <v>39.697099999999999</v>
      </c>
      <c r="F340" s="17">
        <f>39.695 * CHOOSE(CONTROL!$C$9, $D$9, 100%, $F$9) + CHOOSE(CONTROL!$C$27, 0.0021, 0)</f>
        <v>39.697099999999999</v>
      </c>
      <c r="G340" s="17">
        <f>39.9664 * CHOOSE(CONTROL!$C$9, $D$9, 100%, $F$9) + CHOOSE(CONTROL!$C$27, 0.0021, 0)</f>
        <v>39.968499999999999</v>
      </c>
      <c r="H340" s="17">
        <f>39.8317 * CHOOSE(CONTROL!$C$9, $D$9, 100%, $F$9) + CHOOSE(CONTROL!$C$27, 0.0021, 0)</f>
        <v>39.833799999999997</v>
      </c>
      <c r="I340" s="17">
        <f>39.8317 * CHOOSE(CONTROL!$C$9, $D$9, 100%, $F$9) + CHOOSE(CONTROL!$C$27, 0.0021, 0)</f>
        <v>39.833799999999997</v>
      </c>
      <c r="J340" s="17">
        <f>39.8317 * CHOOSE(CONTROL!$C$9, $D$9, 100%, $F$9) + CHOOSE(CONTROL!$C$27, 0.0021, 0)</f>
        <v>39.833799999999997</v>
      </c>
      <c r="K340" s="17">
        <f>39.8317 * CHOOSE(CONTROL!$C$9, $D$9, 100%, $F$9) + CHOOSE(CONTROL!$C$27, 0.0021, 0)</f>
        <v>39.833799999999997</v>
      </c>
      <c r="L340" s="17"/>
    </row>
    <row r="341" spans="1:12" ht="15.75" x14ac:dyDescent="0.25">
      <c r="A341" s="14">
        <v>50951</v>
      </c>
      <c r="B341" s="17">
        <f>40.7318 * CHOOSE(CONTROL!$C$9, $D$9, 100%, $F$9) + CHOOSE(CONTROL!$C$27, 0.0021, 0)</f>
        <v>40.733899999999998</v>
      </c>
      <c r="C341" s="17">
        <f>40.2995 * CHOOSE(CONTROL!$C$9, $D$9, 100%, $F$9) + CHOOSE(CONTROL!$C$27, 0.0021, 0)</f>
        <v>40.301600000000001</v>
      </c>
      <c r="D341" s="17">
        <f>40.2995 * CHOOSE(CONTROL!$C$9, $D$9, 100%, $F$9) + CHOOSE(CONTROL!$C$27, 0.0021, 0)</f>
        <v>40.301600000000001</v>
      </c>
      <c r="E341" s="17">
        <f>40.1628 * CHOOSE(CONTROL!$C$9, $D$9, 100%, $F$9) + CHOOSE(CONTROL!$C$27, 0.0021, 0)</f>
        <v>40.164899999999996</v>
      </c>
      <c r="F341" s="17">
        <f>40.1628 * CHOOSE(CONTROL!$C$9, $D$9, 100%, $F$9) + CHOOSE(CONTROL!$C$27, 0.0021, 0)</f>
        <v>40.164899999999996</v>
      </c>
      <c r="G341" s="17">
        <f>40.4342 * CHOOSE(CONTROL!$C$9, $D$9, 100%, $F$9) + CHOOSE(CONTROL!$C$27, 0.0021, 0)</f>
        <v>40.436299999999996</v>
      </c>
      <c r="H341" s="17">
        <f>40.2995 * CHOOSE(CONTROL!$C$9, $D$9, 100%, $F$9) + CHOOSE(CONTROL!$C$27, 0.0021, 0)</f>
        <v>40.301600000000001</v>
      </c>
      <c r="I341" s="17">
        <f>40.2995 * CHOOSE(CONTROL!$C$9, $D$9, 100%, $F$9) + CHOOSE(CONTROL!$C$27, 0.0021, 0)</f>
        <v>40.301600000000001</v>
      </c>
      <c r="J341" s="17">
        <f>40.2995 * CHOOSE(CONTROL!$C$9, $D$9, 100%, $F$9) + CHOOSE(CONTROL!$C$27, 0.0021, 0)</f>
        <v>40.301600000000001</v>
      </c>
      <c r="K341" s="17">
        <f>40.2995 * CHOOSE(CONTROL!$C$9, $D$9, 100%, $F$9) + CHOOSE(CONTROL!$C$27, 0.0021, 0)</f>
        <v>40.301600000000001</v>
      </c>
      <c r="L341" s="17"/>
    </row>
    <row r="342" spans="1:12" ht="15.75" x14ac:dyDescent="0.25">
      <c r="A342" s="14">
        <v>50982</v>
      </c>
      <c r="B342" s="17">
        <f>41.5034 * CHOOSE(CONTROL!$C$9, $D$9, 100%, $F$9) + CHOOSE(CONTROL!$C$27, 0.0021, 0)</f>
        <v>41.505499999999998</v>
      </c>
      <c r="C342" s="17">
        <f>41.0712 * CHOOSE(CONTROL!$C$9, $D$9, 100%, $F$9) + CHOOSE(CONTROL!$C$27, 0.0021, 0)</f>
        <v>41.073299999999996</v>
      </c>
      <c r="D342" s="17">
        <f>41.0712 * CHOOSE(CONTROL!$C$9, $D$9, 100%, $F$9) + CHOOSE(CONTROL!$C$27, 0.0021, 0)</f>
        <v>41.073299999999996</v>
      </c>
      <c r="E342" s="17">
        <f>40.9345 * CHOOSE(CONTROL!$C$9, $D$9, 100%, $F$9) + CHOOSE(CONTROL!$C$27, 0.0021, 0)</f>
        <v>40.936599999999999</v>
      </c>
      <c r="F342" s="17">
        <f>40.9345 * CHOOSE(CONTROL!$C$9, $D$9, 100%, $F$9) + CHOOSE(CONTROL!$C$27, 0.0021, 0)</f>
        <v>40.936599999999999</v>
      </c>
      <c r="G342" s="17">
        <f>41.2059 * CHOOSE(CONTROL!$C$9, $D$9, 100%, $F$9) + CHOOSE(CONTROL!$C$27, 0.0021, 0)</f>
        <v>41.207999999999998</v>
      </c>
      <c r="H342" s="17">
        <f>41.0712 * CHOOSE(CONTROL!$C$9, $D$9, 100%, $F$9) + CHOOSE(CONTROL!$C$27, 0.0021, 0)</f>
        <v>41.073299999999996</v>
      </c>
      <c r="I342" s="17">
        <f>41.0712 * CHOOSE(CONTROL!$C$9, $D$9, 100%, $F$9) + CHOOSE(CONTROL!$C$27, 0.0021, 0)</f>
        <v>41.073299999999996</v>
      </c>
      <c r="J342" s="17">
        <f>41.0712 * CHOOSE(CONTROL!$C$9, $D$9, 100%, $F$9) + CHOOSE(CONTROL!$C$27, 0.0021, 0)</f>
        <v>41.073299999999996</v>
      </c>
      <c r="K342" s="17">
        <f>41.0712 * CHOOSE(CONTROL!$C$9, $D$9, 100%, $F$9) + CHOOSE(CONTROL!$C$27, 0.0021, 0)</f>
        <v>41.073299999999996</v>
      </c>
      <c r="L342" s="17"/>
    </row>
    <row r="343" spans="1:12" ht="15.75" x14ac:dyDescent="0.25">
      <c r="A343" s="14">
        <v>51013</v>
      </c>
      <c r="B343" s="17">
        <f>41.739 * CHOOSE(CONTROL!$C$9, $D$9, 100%, $F$9) + CHOOSE(CONTROL!$C$27, 0.0021, 0)</f>
        <v>41.741099999999996</v>
      </c>
      <c r="C343" s="17">
        <f>41.3067 * CHOOSE(CONTROL!$C$9, $D$9, 100%, $F$9) + CHOOSE(CONTROL!$C$27, 0.0021, 0)</f>
        <v>41.308799999999998</v>
      </c>
      <c r="D343" s="17">
        <f>41.3067 * CHOOSE(CONTROL!$C$9, $D$9, 100%, $F$9) + CHOOSE(CONTROL!$C$27, 0.0021, 0)</f>
        <v>41.308799999999998</v>
      </c>
      <c r="E343" s="17">
        <f>41.1701 * CHOOSE(CONTROL!$C$9, $D$9, 100%, $F$9) + CHOOSE(CONTROL!$C$27, 0.0021, 0)</f>
        <v>41.172199999999997</v>
      </c>
      <c r="F343" s="17">
        <f>41.1701 * CHOOSE(CONTROL!$C$9, $D$9, 100%, $F$9) + CHOOSE(CONTROL!$C$27, 0.0021, 0)</f>
        <v>41.172199999999997</v>
      </c>
      <c r="G343" s="17">
        <f>41.4415 * CHOOSE(CONTROL!$C$9, $D$9, 100%, $F$9) + CHOOSE(CONTROL!$C$27, 0.0021, 0)</f>
        <v>41.443599999999996</v>
      </c>
      <c r="H343" s="17">
        <f>41.3067 * CHOOSE(CONTROL!$C$9, $D$9, 100%, $F$9) + CHOOSE(CONTROL!$C$27, 0.0021, 0)</f>
        <v>41.308799999999998</v>
      </c>
      <c r="I343" s="17">
        <f>41.3067 * CHOOSE(CONTROL!$C$9, $D$9, 100%, $F$9) + CHOOSE(CONTROL!$C$27, 0.0021, 0)</f>
        <v>41.308799999999998</v>
      </c>
      <c r="J343" s="17">
        <f>41.3067 * CHOOSE(CONTROL!$C$9, $D$9, 100%, $F$9) + CHOOSE(CONTROL!$C$27, 0.0021, 0)</f>
        <v>41.308799999999998</v>
      </c>
      <c r="K343" s="17">
        <f>41.3067 * CHOOSE(CONTROL!$C$9, $D$9, 100%, $F$9) + CHOOSE(CONTROL!$C$27, 0.0021, 0)</f>
        <v>41.308799999999998</v>
      </c>
      <c r="L343" s="17"/>
    </row>
    <row r="344" spans="1:12" ht="15.75" x14ac:dyDescent="0.25">
      <c r="A344" s="14">
        <v>51043</v>
      </c>
      <c r="B344" s="17">
        <f>42.5411 * CHOOSE(CONTROL!$C$9, $D$9, 100%, $F$9) + CHOOSE(CONTROL!$C$27, 0.0021, 0)</f>
        <v>42.543199999999999</v>
      </c>
      <c r="C344" s="17">
        <f>42.1089 * CHOOSE(CONTROL!$C$9, $D$9, 100%, $F$9) + CHOOSE(CONTROL!$C$27, 0.0021, 0)</f>
        <v>42.110999999999997</v>
      </c>
      <c r="D344" s="17">
        <f>42.1089 * CHOOSE(CONTROL!$C$9, $D$9, 100%, $F$9) + CHOOSE(CONTROL!$C$27, 0.0021, 0)</f>
        <v>42.110999999999997</v>
      </c>
      <c r="E344" s="17">
        <f>41.9722 * CHOOSE(CONTROL!$C$9, $D$9, 100%, $F$9) + CHOOSE(CONTROL!$C$27, 0.0021, 0)</f>
        <v>41.974299999999999</v>
      </c>
      <c r="F344" s="17">
        <f>41.9722 * CHOOSE(CONTROL!$C$9, $D$9, 100%, $F$9) + CHOOSE(CONTROL!$C$27, 0.0021, 0)</f>
        <v>41.974299999999999</v>
      </c>
      <c r="G344" s="17">
        <f>42.2436 * CHOOSE(CONTROL!$C$9, $D$9, 100%, $F$9) + CHOOSE(CONTROL!$C$27, 0.0021, 0)</f>
        <v>42.245699999999999</v>
      </c>
      <c r="H344" s="17">
        <f>42.1089 * CHOOSE(CONTROL!$C$9, $D$9, 100%, $F$9) + CHOOSE(CONTROL!$C$27, 0.0021, 0)</f>
        <v>42.110999999999997</v>
      </c>
      <c r="I344" s="17">
        <f>42.1089 * CHOOSE(CONTROL!$C$9, $D$9, 100%, $F$9) + CHOOSE(CONTROL!$C$27, 0.0021, 0)</f>
        <v>42.110999999999997</v>
      </c>
      <c r="J344" s="17">
        <f>42.1089 * CHOOSE(CONTROL!$C$9, $D$9, 100%, $F$9) + CHOOSE(CONTROL!$C$27, 0.0021, 0)</f>
        <v>42.110999999999997</v>
      </c>
      <c r="K344" s="17">
        <f>42.1089 * CHOOSE(CONTROL!$C$9, $D$9, 100%, $F$9) + CHOOSE(CONTROL!$C$27, 0.0021, 0)</f>
        <v>42.110999999999997</v>
      </c>
      <c r="L344" s="17"/>
    </row>
    <row r="345" spans="1:12" ht="15.75" x14ac:dyDescent="0.25">
      <c r="A345" s="14">
        <v>51074</v>
      </c>
      <c r="B345" s="17">
        <f>43.5565 * CHOOSE(CONTROL!$C$9, $D$9, 100%, $F$9) + CHOOSE(CONTROL!$C$27, 0.0021, 0)</f>
        <v>43.558599999999998</v>
      </c>
      <c r="C345" s="17">
        <f>43.1243 * CHOOSE(CONTROL!$C$9, $D$9, 100%, $F$9) + CHOOSE(CONTROL!$C$27, 0.0021, 0)</f>
        <v>43.126399999999997</v>
      </c>
      <c r="D345" s="17">
        <f>43.1243 * CHOOSE(CONTROL!$C$9, $D$9, 100%, $F$9) + CHOOSE(CONTROL!$C$27, 0.0021, 0)</f>
        <v>43.126399999999997</v>
      </c>
      <c r="E345" s="17">
        <f>42.9876 * CHOOSE(CONTROL!$C$9, $D$9, 100%, $F$9) + CHOOSE(CONTROL!$C$27, 0.0021, 0)</f>
        <v>42.989699999999999</v>
      </c>
      <c r="F345" s="17">
        <f>42.9876 * CHOOSE(CONTROL!$C$9, $D$9, 100%, $F$9) + CHOOSE(CONTROL!$C$27, 0.0021, 0)</f>
        <v>42.989699999999999</v>
      </c>
      <c r="G345" s="17">
        <f>43.259 * CHOOSE(CONTROL!$C$9, $D$9, 100%, $F$9) + CHOOSE(CONTROL!$C$27, 0.0021, 0)</f>
        <v>43.261099999999999</v>
      </c>
      <c r="H345" s="17">
        <f>43.1243 * CHOOSE(CONTROL!$C$9, $D$9, 100%, $F$9) + CHOOSE(CONTROL!$C$27, 0.0021, 0)</f>
        <v>43.126399999999997</v>
      </c>
      <c r="I345" s="17">
        <f>43.1243 * CHOOSE(CONTROL!$C$9, $D$9, 100%, $F$9) + CHOOSE(CONTROL!$C$27, 0.0021, 0)</f>
        <v>43.126399999999997</v>
      </c>
      <c r="J345" s="17">
        <f>43.1243 * CHOOSE(CONTROL!$C$9, $D$9, 100%, $F$9) + CHOOSE(CONTROL!$C$27, 0.0021, 0)</f>
        <v>43.126399999999997</v>
      </c>
      <c r="K345" s="17">
        <f>43.1243 * CHOOSE(CONTROL!$C$9, $D$9, 100%, $F$9) + CHOOSE(CONTROL!$C$27, 0.0021, 0)</f>
        <v>43.126399999999997</v>
      </c>
      <c r="L345" s="17"/>
    </row>
    <row r="346" spans="1:12" ht="15.75" x14ac:dyDescent="0.25">
      <c r="A346" s="14">
        <v>51104</v>
      </c>
      <c r="B346" s="17">
        <f>43.6518 * CHOOSE(CONTROL!$C$9, $D$9, 100%, $F$9) + CHOOSE(CONTROL!$C$27, 0.0021, 0)</f>
        <v>43.6539</v>
      </c>
      <c r="C346" s="17">
        <f>43.2196 * CHOOSE(CONTROL!$C$9, $D$9, 100%, $F$9) + CHOOSE(CONTROL!$C$27, 0.0021, 0)</f>
        <v>43.221699999999998</v>
      </c>
      <c r="D346" s="17">
        <f>43.2196 * CHOOSE(CONTROL!$C$9, $D$9, 100%, $F$9) + CHOOSE(CONTROL!$C$27, 0.0021, 0)</f>
        <v>43.221699999999998</v>
      </c>
      <c r="E346" s="17">
        <f>43.0829 * CHOOSE(CONTROL!$C$9, $D$9, 100%, $F$9) + CHOOSE(CONTROL!$C$27, 0.0021, 0)</f>
        <v>43.085000000000001</v>
      </c>
      <c r="F346" s="17">
        <f>43.0829 * CHOOSE(CONTROL!$C$9, $D$9, 100%, $F$9) + CHOOSE(CONTROL!$C$27, 0.0021, 0)</f>
        <v>43.085000000000001</v>
      </c>
      <c r="G346" s="17">
        <f>43.3543 * CHOOSE(CONTROL!$C$9, $D$9, 100%, $F$9) + CHOOSE(CONTROL!$C$27, 0.0021, 0)</f>
        <v>43.356400000000001</v>
      </c>
      <c r="H346" s="17">
        <f>43.2196 * CHOOSE(CONTROL!$C$9, $D$9, 100%, $F$9) + CHOOSE(CONTROL!$C$27, 0.0021, 0)</f>
        <v>43.221699999999998</v>
      </c>
      <c r="I346" s="17">
        <f>43.2196 * CHOOSE(CONTROL!$C$9, $D$9, 100%, $F$9) + CHOOSE(CONTROL!$C$27, 0.0021, 0)</f>
        <v>43.221699999999998</v>
      </c>
      <c r="J346" s="17">
        <f>43.2196 * CHOOSE(CONTROL!$C$9, $D$9, 100%, $F$9) + CHOOSE(CONTROL!$C$27, 0.0021, 0)</f>
        <v>43.221699999999998</v>
      </c>
      <c r="K346" s="17">
        <f>43.2196 * CHOOSE(CONTROL!$C$9, $D$9, 100%, $F$9) + CHOOSE(CONTROL!$C$27, 0.0021, 0)</f>
        <v>43.221699999999998</v>
      </c>
      <c r="L346" s="17"/>
    </row>
    <row r="347" spans="1:12" ht="15.75" x14ac:dyDescent="0.25">
      <c r="A347" s="14">
        <v>51135</v>
      </c>
      <c r="B347" s="17">
        <f>42.8409 * CHOOSE(CONTROL!$C$9, $D$9, 100%, $F$9) + CHOOSE(CONTROL!$C$27, 0.0021, 0)</f>
        <v>42.842999999999996</v>
      </c>
      <c r="C347" s="17">
        <f>42.4086 * CHOOSE(CONTROL!$C$9, $D$9, 100%, $F$9) + CHOOSE(CONTROL!$C$27, 0.0021, 0)</f>
        <v>42.410699999999999</v>
      </c>
      <c r="D347" s="17">
        <f>42.4086 * CHOOSE(CONTROL!$C$9, $D$9, 100%, $F$9) + CHOOSE(CONTROL!$C$27, 0.0021, 0)</f>
        <v>42.410699999999999</v>
      </c>
      <c r="E347" s="17">
        <f>42.272 * CHOOSE(CONTROL!$C$9, $D$9, 100%, $F$9) + CHOOSE(CONTROL!$C$27, 0.0021, 0)</f>
        <v>42.274099999999997</v>
      </c>
      <c r="F347" s="17">
        <f>42.272 * CHOOSE(CONTROL!$C$9, $D$9, 100%, $F$9) + CHOOSE(CONTROL!$C$27, 0.0021, 0)</f>
        <v>42.274099999999997</v>
      </c>
      <c r="G347" s="17">
        <f>42.5433 * CHOOSE(CONTROL!$C$9, $D$9, 100%, $F$9) + CHOOSE(CONTROL!$C$27, 0.0021, 0)</f>
        <v>42.545400000000001</v>
      </c>
      <c r="H347" s="17">
        <f>42.4086 * CHOOSE(CONTROL!$C$9, $D$9, 100%, $F$9) + CHOOSE(CONTROL!$C$27, 0.0021, 0)</f>
        <v>42.410699999999999</v>
      </c>
      <c r="I347" s="17">
        <f>42.4086 * CHOOSE(CONTROL!$C$9, $D$9, 100%, $F$9) + CHOOSE(CONTROL!$C$27, 0.0021, 0)</f>
        <v>42.410699999999999</v>
      </c>
      <c r="J347" s="17">
        <f>42.4086 * CHOOSE(CONTROL!$C$9, $D$9, 100%, $F$9) + CHOOSE(CONTROL!$C$27, 0.0021, 0)</f>
        <v>42.410699999999999</v>
      </c>
      <c r="K347" s="17">
        <f>42.4086 * CHOOSE(CONTROL!$C$9, $D$9, 100%, $F$9) + CHOOSE(CONTROL!$C$27, 0.0021, 0)</f>
        <v>42.410699999999999</v>
      </c>
      <c r="L347" s="17"/>
    </row>
    <row r="348" spans="1:12" ht="15.75" x14ac:dyDescent="0.25">
      <c r="A348" s="14">
        <v>51166</v>
      </c>
      <c r="B348" s="17">
        <f>42.0336 * CHOOSE(CONTROL!$C$9, $D$9, 100%, $F$9) + CHOOSE(CONTROL!$C$27, 0.0021, 0)</f>
        <v>42.035699999999999</v>
      </c>
      <c r="C348" s="17">
        <f>41.6013 * CHOOSE(CONTROL!$C$9, $D$9, 100%, $F$9) + CHOOSE(CONTROL!$C$27, 0.0021, 0)</f>
        <v>41.603400000000001</v>
      </c>
      <c r="D348" s="17">
        <f>41.6013 * CHOOSE(CONTROL!$C$9, $D$9, 100%, $F$9) + CHOOSE(CONTROL!$C$27, 0.0021, 0)</f>
        <v>41.603400000000001</v>
      </c>
      <c r="E348" s="17">
        <f>41.4647 * CHOOSE(CONTROL!$C$9, $D$9, 100%, $F$9) + CHOOSE(CONTROL!$C$27, 0.0021, 0)</f>
        <v>41.466799999999999</v>
      </c>
      <c r="F348" s="17">
        <f>41.4647 * CHOOSE(CONTROL!$C$9, $D$9, 100%, $F$9) + CHOOSE(CONTROL!$C$27, 0.0021, 0)</f>
        <v>41.466799999999999</v>
      </c>
      <c r="G348" s="17">
        <f>41.736 * CHOOSE(CONTROL!$C$9, $D$9, 100%, $F$9) + CHOOSE(CONTROL!$C$27, 0.0021, 0)</f>
        <v>41.738099999999996</v>
      </c>
      <c r="H348" s="17">
        <f>41.6013 * CHOOSE(CONTROL!$C$9, $D$9, 100%, $F$9) + CHOOSE(CONTROL!$C$27, 0.0021, 0)</f>
        <v>41.603400000000001</v>
      </c>
      <c r="I348" s="17">
        <f>41.6013 * CHOOSE(CONTROL!$C$9, $D$9, 100%, $F$9) + CHOOSE(CONTROL!$C$27, 0.0021, 0)</f>
        <v>41.603400000000001</v>
      </c>
      <c r="J348" s="17">
        <f>41.6013 * CHOOSE(CONTROL!$C$9, $D$9, 100%, $F$9) + CHOOSE(CONTROL!$C$27, 0.0021, 0)</f>
        <v>41.603400000000001</v>
      </c>
      <c r="K348" s="17">
        <f>41.6013 * CHOOSE(CONTROL!$C$9, $D$9, 100%, $F$9) + CHOOSE(CONTROL!$C$27, 0.0021, 0)</f>
        <v>41.603400000000001</v>
      </c>
      <c r="L348" s="17"/>
    </row>
    <row r="349" spans="1:12" ht="15.75" x14ac:dyDescent="0.25">
      <c r="A349" s="14">
        <v>51194</v>
      </c>
      <c r="B349" s="17">
        <f>40.9095 * CHOOSE(CONTROL!$C$9, $D$9, 100%, $F$9) + CHOOSE(CONTROL!$C$27, 0.0021, 0)</f>
        <v>40.9116</v>
      </c>
      <c r="C349" s="17">
        <f>40.4772 * CHOOSE(CONTROL!$C$9, $D$9, 100%, $F$9) + CHOOSE(CONTROL!$C$27, 0.0021, 0)</f>
        <v>40.479300000000002</v>
      </c>
      <c r="D349" s="17">
        <f>40.4772 * CHOOSE(CONTROL!$C$9, $D$9, 100%, $F$9) + CHOOSE(CONTROL!$C$27, 0.0021, 0)</f>
        <v>40.479300000000002</v>
      </c>
      <c r="E349" s="17">
        <f>40.3406 * CHOOSE(CONTROL!$C$9, $D$9, 100%, $F$9) + CHOOSE(CONTROL!$C$27, 0.0021, 0)</f>
        <v>40.342700000000001</v>
      </c>
      <c r="F349" s="17">
        <f>40.3406 * CHOOSE(CONTROL!$C$9, $D$9, 100%, $F$9) + CHOOSE(CONTROL!$C$27, 0.0021, 0)</f>
        <v>40.342700000000001</v>
      </c>
      <c r="G349" s="17">
        <f>40.6119 * CHOOSE(CONTROL!$C$9, $D$9, 100%, $F$9) + CHOOSE(CONTROL!$C$27, 0.0021, 0)</f>
        <v>40.613999999999997</v>
      </c>
      <c r="H349" s="17">
        <f>40.4772 * CHOOSE(CONTROL!$C$9, $D$9, 100%, $F$9) + CHOOSE(CONTROL!$C$27, 0.0021, 0)</f>
        <v>40.479300000000002</v>
      </c>
      <c r="I349" s="17">
        <f>40.4772 * CHOOSE(CONTROL!$C$9, $D$9, 100%, $F$9) + CHOOSE(CONTROL!$C$27, 0.0021, 0)</f>
        <v>40.479300000000002</v>
      </c>
      <c r="J349" s="17">
        <f>40.4772 * CHOOSE(CONTROL!$C$9, $D$9, 100%, $F$9) + CHOOSE(CONTROL!$C$27, 0.0021, 0)</f>
        <v>40.479300000000002</v>
      </c>
      <c r="K349" s="17">
        <f>40.4772 * CHOOSE(CONTROL!$C$9, $D$9, 100%, $F$9) + CHOOSE(CONTROL!$C$27, 0.0021, 0)</f>
        <v>40.479300000000002</v>
      </c>
      <c r="L349" s="17"/>
    </row>
    <row r="350" spans="1:12" ht="15.75" x14ac:dyDescent="0.25">
      <c r="A350" s="14">
        <v>51226</v>
      </c>
      <c r="B350" s="17">
        <f>40.4455 * CHOOSE(CONTROL!$C$9, $D$9, 100%, $F$9) + CHOOSE(CONTROL!$C$27, 0.0021, 0)</f>
        <v>40.447600000000001</v>
      </c>
      <c r="C350" s="17">
        <f>40.0132 * CHOOSE(CONTROL!$C$9, $D$9, 100%, $F$9) + CHOOSE(CONTROL!$C$27, 0.0021, 0)</f>
        <v>40.015299999999996</v>
      </c>
      <c r="D350" s="17">
        <f>40.0132 * CHOOSE(CONTROL!$C$9, $D$9, 100%, $F$9) + CHOOSE(CONTROL!$C$27, 0.0021, 0)</f>
        <v>40.015299999999996</v>
      </c>
      <c r="E350" s="17">
        <f>39.8765 * CHOOSE(CONTROL!$C$9, $D$9, 100%, $F$9) + CHOOSE(CONTROL!$C$27, 0.0021, 0)</f>
        <v>39.878599999999999</v>
      </c>
      <c r="F350" s="17">
        <f>39.8765 * CHOOSE(CONTROL!$C$9, $D$9, 100%, $F$9) + CHOOSE(CONTROL!$C$27, 0.0021, 0)</f>
        <v>39.878599999999999</v>
      </c>
      <c r="G350" s="17">
        <f>40.1479 * CHOOSE(CONTROL!$C$9, $D$9, 100%, $F$9) + CHOOSE(CONTROL!$C$27, 0.0021, 0)</f>
        <v>40.15</v>
      </c>
      <c r="H350" s="17">
        <f>40.0132 * CHOOSE(CONTROL!$C$9, $D$9, 100%, $F$9) + CHOOSE(CONTROL!$C$27, 0.0021, 0)</f>
        <v>40.015299999999996</v>
      </c>
      <c r="I350" s="17">
        <f>40.0132 * CHOOSE(CONTROL!$C$9, $D$9, 100%, $F$9) + CHOOSE(CONTROL!$C$27, 0.0021, 0)</f>
        <v>40.015299999999996</v>
      </c>
      <c r="J350" s="17">
        <f>40.0132 * CHOOSE(CONTROL!$C$9, $D$9, 100%, $F$9) + CHOOSE(CONTROL!$C$27, 0.0021, 0)</f>
        <v>40.015299999999996</v>
      </c>
      <c r="K350" s="17">
        <f>40.0132 * CHOOSE(CONTROL!$C$9, $D$9, 100%, $F$9) + CHOOSE(CONTROL!$C$27, 0.0021, 0)</f>
        <v>40.015299999999996</v>
      </c>
      <c r="L350" s="17"/>
    </row>
    <row r="351" spans="1:12" ht="15.75" x14ac:dyDescent="0.25">
      <c r="A351" s="14">
        <v>51256</v>
      </c>
      <c r="B351" s="17">
        <f>39.8914 * CHOOSE(CONTROL!$C$9, $D$9, 100%, $F$9) + CHOOSE(CONTROL!$C$27, 0.0021, 0)</f>
        <v>39.893499999999996</v>
      </c>
      <c r="C351" s="17">
        <f>39.4591 * CHOOSE(CONTROL!$C$9, $D$9, 100%, $F$9) + CHOOSE(CONTROL!$C$27, 0.0021, 0)</f>
        <v>39.461199999999998</v>
      </c>
      <c r="D351" s="17">
        <f>39.4591 * CHOOSE(CONTROL!$C$9, $D$9, 100%, $F$9) + CHOOSE(CONTROL!$C$27, 0.0021, 0)</f>
        <v>39.461199999999998</v>
      </c>
      <c r="E351" s="17">
        <f>39.3225 * CHOOSE(CONTROL!$C$9, $D$9, 100%, $F$9) + CHOOSE(CONTROL!$C$27, 0.0021, 0)</f>
        <v>39.324599999999997</v>
      </c>
      <c r="F351" s="17">
        <f>39.3225 * CHOOSE(CONTROL!$C$9, $D$9, 100%, $F$9) + CHOOSE(CONTROL!$C$27, 0.0021, 0)</f>
        <v>39.324599999999997</v>
      </c>
      <c r="G351" s="17">
        <f>39.5939 * CHOOSE(CONTROL!$C$9, $D$9, 100%, $F$9) + CHOOSE(CONTROL!$C$27, 0.0021, 0)</f>
        <v>39.595999999999997</v>
      </c>
      <c r="H351" s="17">
        <f>39.4591 * CHOOSE(CONTROL!$C$9, $D$9, 100%, $F$9) + CHOOSE(CONTROL!$C$27, 0.0021, 0)</f>
        <v>39.461199999999998</v>
      </c>
      <c r="I351" s="17">
        <f>39.4591 * CHOOSE(CONTROL!$C$9, $D$9, 100%, $F$9) + CHOOSE(CONTROL!$C$27, 0.0021, 0)</f>
        <v>39.461199999999998</v>
      </c>
      <c r="J351" s="17">
        <f>39.4591 * CHOOSE(CONTROL!$C$9, $D$9, 100%, $F$9) + CHOOSE(CONTROL!$C$27, 0.0021, 0)</f>
        <v>39.461199999999998</v>
      </c>
      <c r="K351" s="17">
        <f>39.4591 * CHOOSE(CONTROL!$C$9, $D$9, 100%, $F$9) + CHOOSE(CONTROL!$C$27, 0.0021, 0)</f>
        <v>39.461199999999998</v>
      </c>
      <c r="L351" s="17"/>
    </row>
    <row r="352" spans="1:12" ht="15.75" x14ac:dyDescent="0.25">
      <c r="A352" s="14">
        <v>51287</v>
      </c>
      <c r="B352" s="17">
        <f>40.681 * CHOOSE(CONTROL!$C$9, $D$9, 100%, $F$9) + CHOOSE(CONTROL!$C$27, 0.0021, 0)</f>
        <v>40.683099999999996</v>
      </c>
      <c r="C352" s="17">
        <f>40.2487 * CHOOSE(CONTROL!$C$9, $D$9, 100%, $F$9) + CHOOSE(CONTROL!$C$27, 0.0021, 0)</f>
        <v>40.250799999999998</v>
      </c>
      <c r="D352" s="17">
        <f>40.2487 * CHOOSE(CONTROL!$C$9, $D$9, 100%, $F$9) + CHOOSE(CONTROL!$C$27, 0.0021, 0)</f>
        <v>40.250799999999998</v>
      </c>
      <c r="E352" s="17">
        <f>40.1121 * CHOOSE(CONTROL!$C$9, $D$9, 100%, $F$9) + CHOOSE(CONTROL!$C$27, 0.0021, 0)</f>
        <v>40.114199999999997</v>
      </c>
      <c r="F352" s="17">
        <f>40.1121 * CHOOSE(CONTROL!$C$9, $D$9, 100%, $F$9) + CHOOSE(CONTROL!$C$27, 0.0021, 0)</f>
        <v>40.114199999999997</v>
      </c>
      <c r="G352" s="17">
        <f>40.3835 * CHOOSE(CONTROL!$C$9, $D$9, 100%, $F$9) + CHOOSE(CONTROL!$C$27, 0.0021, 0)</f>
        <v>40.385599999999997</v>
      </c>
      <c r="H352" s="17">
        <f>40.2487 * CHOOSE(CONTROL!$C$9, $D$9, 100%, $F$9) + CHOOSE(CONTROL!$C$27, 0.0021, 0)</f>
        <v>40.250799999999998</v>
      </c>
      <c r="I352" s="17">
        <f>40.2487 * CHOOSE(CONTROL!$C$9, $D$9, 100%, $F$9) + CHOOSE(CONTROL!$C$27, 0.0021, 0)</f>
        <v>40.250799999999998</v>
      </c>
      <c r="J352" s="17">
        <f>40.2487 * CHOOSE(CONTROL!$C$9, $D$9, 100%, $F$9) + CHOOSE(CONTROL!$C$27, 0.0021, 0)</f>
        <v>40.250799999999998</v>
      </c>
      <c r="K352" s="17">
        <f>40.2487 * CHOOSE(CONTROL!$C$9, $D$9, 100%, $F$9) + CHOOSE(CONTROL!$C$27, 0.0021, 0)</f>
        <v>40.250799999999998</v>
      </c>
      <c r="L352" s="17"/>
    </row>
    <row r="353" spans="1:12" ht="15.75" x14ac:dyDescent="0.25">
      <c r="A353" s="14">
        <v>51317</v>
      </c>
      <c r="B353" s="17">
        <f>41.1539 * CHOOSE(CONTROL!$C$9, $D$9, 100%, $F$9) + CHOOSE(CONTROL!$C$27, 0.0021, 0)</f>
        <v>41.155999999999999</v>
      </c>
      <c r="C353" s="17">
        <f>40.7217 * CHOOSE(CONTROL!$C$9, $D$9, 100%, $F$9) + CHOOSE(CONTROL!$C$27, 0.0021, 0)</f>
        <v>40.723799999999997</v>
      </c>
      <c r="D353" s="17">
        <f>40.7217 * CHOOSE(CONTROL!$C$9, $D$9, 100%, $F$9) + CHOOSE(CONTROL!$C$27, 0.0021, 0)</f>
        <v>40.723799999999997</v>
      </c>
      <c r="E353" s="17">
        <f>40.585 * CHOOSE(CONTROL!$C$9, $D$9, 100%, $F$9) + CHOOSE(CONTROL!$C$27, 0.0021, 0)</f>
        <v>40.5871</v>
      </c>
      <c r="F353" s="17">
        <f>40.585 * CHOOSE(CONTROL!$C$9, $D$9, 100%, $F$9) + CHOOSE(CONTROL!$C$27, 0.0021, 0)</f>
        <v>40.5871</v>
      </c>
      <c r="G353" s="17">
        <f>40.8564 * CHOOSE(CONTROL!$C$9, $D$9, 100%, $F$9) + CHOOSE(CONTROL!$C$27, 0.0021, 0)</f>
        <v>40.858499999999999</v>
      </c>
      <c r="H353" s="17">
        <f>40.7217 * CHOOSE(CONTROL!$C$9, $D$9, 100%, $F$9) + CHOOSE(CONTROL!$C$27, 0.0021, 0)</f>
        <v>40.723799999999997</v>
      </c>
      <c r="I353" s="17">
        <f>40.7217 * CHOOSE(CONTROL!$C$9, $D$9, 100%, $F$9) + CHOOSE(CONTROL!$C$27, 0.0021, 0)</f>
        <v>40.723799999999997</v>
      </c>
      <c r="J353" s="17">
        <f>40.7217 * CHOOSE(CONTROL!$C$9, $D$9, 100%, $F$9) + CHOOSE(CONTROL!$C$27, 0.0021, 0)</f>
        <v>40.723799999999997</v>
      </c>
      <c r="K353" s="17">
        <f>40.7217 * CHOOSE(CONTROL!$C$9, $D$9, 100%, $F$9) + CHOOSE(CONTROL!$C$27, 0.0021, 0)</f>
        <v>40.723799999999997</v>
      </c>
      <c r="L353" s="17"/>
    </row>
    <row r="354" spans="1:12" ht="15.75" x14ac:dyDescent="0.25">
      <c r="A354" s="14">
        <v>51348</v>
      </c>
      <c r="B354" s="17">
        <f>41.9341 * CHOOSE(CONTROL!$C$9, $D$9, 100%, $F$9) + CHOOSE(CONTROL!$C$27, 0.0021, 0)</f>
        <v>41.936199999999999</v>
      </c>
      <c r="C354" s="17">
        <f>41.5019 * CHOOSE(CONTROL!$C$9, $D$9, 100%, $F$9) + CHOOSE(CONTROL!$C$27, 0.0021, 0)</f>
        <v>41.503999999999998</v>
      </c>
      <c r="D354" s="17">
        <f>41.5019 * CHOOSE(CONTROL!$C$9, $D$9, 100%, $F$9) + CHOOSE(CONTROL!$C$27, 0.0021, 0)</f>
        <v>41.503999999999998</v>
      </c>
      <c r="E354" s="17">
        <f>41.3652 * CHOOSE(CONTROL!$C$9, $D$9, 100%, $F$9) + CHOOSE(CONTROL!$C$27, 0.0021, 0)</f>
        <v>41.3673</v>
      </c>
      <c r="F354" s="17">
        <f>41.3652 * CHOOSE(CONTROL!$C$9, $D$9, 100%, $F$9) + CHOOSE(CONTROL!$C$27, 0.0021, 0)</f>
        <v>41.3673</v>
      </c>
      <c r="G354" s="17">
        <f>41.6366 * CHOOSE(CONTROL!$C$9, $D$9, 100%, $F$9) + CHOOSE(CONTROL!$C$27, 0.0021, 0)</f>
        <v>41.6387</v>
      </c>
      <c r="H354" s="17">
        <f>41.5019 * CHOOSE(CONTROL!$C$9, $D$9, 100%, $F$9) + CHOOSE(CONTROL!$C$27, 0.0021, 0)</f>
        <v>41.503999999999998</v>
      </c>
      <c r="I354" s="17">
        <f>41.5019 * CHOOSE(CONTROL!$C$9, $D$9, 100%, $F$9) + CHOOSE(CONTROL!$C$27, 0.0021, 0)</f>
        <v>41.503999999999998</v>
      </c>
      <c r="J354" s="17">
        <f>41.5019 * CHOOSE(CONTROL!$C$9, $D$9, 100%, $F$9) + CHOOSE(CONTROL!$C$27, 0.0021, 0)</f>
        <v>41.503999999999998</v>
      </c>
      <c r="K354" s="17">
        <f>41.5019 * CHOOSE(CONTROL!$C$9, $D$9, 100%, $F$9) + CHOOSE(CONTROL!$C$27, 0.0021, 0)</f>
        <v>41.503999999999998</v>
      </c>
      <c r="L354" s="17"/>
    </row>
    <row r="355" spans="1:12" ht="15.75" x14ac:dyDescent="0.25">
      <c r="A355" s="14">
        <v>51379</v>
      </c>
      <c r="B355" s="17">
        <f>42.1722 * CHOOSE(CONTROL!$C$9, $D$9, 100%, $F$9) + CHOOSE(CONTROL!$C$27, 0.0021, 0)</f>
        <v>42.174299999999995</v>
      </c>
      <c r="C355" s="17">
        <f>41.74 * CHOOSE(CONTROL!$C$9, $D$9, 100%, $F$9) + CHOOSE(CONTROL!$C$27, 0.0021, 0)</f>
        <v>41.742100000000001</v>
      </c>
      <c r="D355" s="17">
        <f>41.74 * CHOOSE(CONTROL!$C$9, $D$9, 100%, $F$9) + CHOOSE(CONTROL!$C$27, 0.0021, 0)</f>
        <v>41.742100000000001</v>
      </c>
      <c r="E355" s="17">
        <f>41.6033 * CHOOSE(CONTROL!$C$9, $D$9, 100%, $F$9) + CHOOSE(CONTROL!$C$27, 0.0021, 0)</f>
        <v>41.605399999999996</v>
      </c>
      <c r="F355" s="17">
        <f>41.6033 * CHOOSE(CONTROL!$C$9, $D$9, 100%, $F$9) + CHOOSE(CONTROL!$C$27, 0.0021, 0)</f>
        <v>41.605399999999996</v>
      </c>
      <c r="G355" s="17">
        <f>41.8747 * CHOOSE(CONTROL!$C$9, $D$9, 100%, $F$9) + CHOOSE(CONTROL!$C$27, 0.0021, 0)</f>
        <v>41.876799999999996</v>
      </c>
      <c r="H355" s="17">
        <f>41.74 * CHOOSE(CONTROL!$C$9, $D$9, 100%, $F$9) + CHOOSE(CONTROL!$C$27, 0.0021, 0)</f>
        <v>41.742100000000001</v>
      </c>
      <c r="I355" s="17">
        <f>41.74 * CHOOSE(CONTROL!$C$9, $D$9, 100%, $F$9) + CHOOSE(CONTROL!$C$27, 0.0021, 0)</f>
        <v>41.742100000000001</v>
      </c>
      <c r="J355" s="17">
        <f>41.74 * CHOOSE(CONTROL!$C$9, $D$9, 100%, $F$9) + CHOOSE(CONTROL!$C$27, 0.0021, 0)</f>
        <v>41.742100000000001</v>
      </c>
      <c r="K355" s="17">
        <f>41.74 * CHOOSE(CONTROL!$C$9, $D$9, 100%, $F$9) + CHOOSE(CONTROL!$C$27, 0.0021, 0)</f>
        <v>41.742100000000001</v>
      </c>
      <c r="L355" s="17"/>
    </row>
    <row r="356" spans="1:12" ht="15.75" x14ac:dyDescent="0.25">
      <c r="A356" s="14">
        <v>51409</v>
      </c>
      <c r="B356" s="17">
        <f>42.9832 * CHOOSE(CONTROL!$C$9, $D$9, 100%, $F$9) + CHOOSE(CONTROL!$C$27, 0.0021, 0)</f>
        <v>42.985299999999995</v>
      </c>
      <c r="C356" s="17">
        <f>42.5509 * CHOOSE(CONTROL!$C$9, $D$9, 100%, $F$9) + CHOOSE(CONTROL!$C$27, 0.0021, 0)</f>
        <v>42.552999999999997</v>
      </c>
      <c r="D356" s="17">
        <f>42.5509 * CHOOSE(CONTROL!$C$9, $D$9, 100%, $F$9) + CHOOSE(CONTROL!$C$27, 0.0021, 0)</f>
        <v>42.552999999999997</v>
      </c>
      <c r="E356" s="17">
        <f>42.4143 * CHOOSE(CONTROL!$C$9, $D$9, 100%, $F$9) + CHOOSE(CONTROL!$C$27, 0.0021, 0)</f>
        <v>42.416399999999996</v>
      </c>
      <c r="F356" s="17">
        <f>42.4143 * CHOOSE(CONTROL!$C$9, $D$9, 100%, $F$9) + CHOOSE(CONTROL!$C$27, 0.0021, 0)</f>
        <v>42.416399999999996</v>
      </c>
      <c r="G356" s="17">
        <f>42.6857 * CHOOSE(CONTROL!$C$9, $D$9, 100%, $F$9) + CHOOSE(CONTROL!$C$27, 0.0021, 0)</f>
        <v>42.687799999999996</v>
      </c>
      <c r="H356" s="17">
        <f>42.5509 * CHOOSE(CONTROL!$C$9, $D$9, 100%, $F$9) + CHOOSE(CONTROL!$C$27, 0.0021, 0)</f>
        <v>42.552999999999997</v>
      </c>
      <c r="I356" s="17">
        <f>42.5509 * CHOOSE(CONTROL!$C$9, $D$9, 100%, $F$9) + CHOOSE(CONTROL!$C$27, 0.0021, 0)</f>
        <v>42.552999999999997</v>
      </c>
      <c r="J356" s="17">
        <f>42.5509 * CHOOSE(CONTROL!$C$9, $D$9, 100%, $F$9) + CHOOSE(CONTROL!$C$27, 0.0021, 0)</f>
        <v>42.552999999999997</v>
      </c>
      <c r="K356" s="17">
        <f>42.5509 * CHOOSE(CONTROL!$C$9, $D$9, 100%, $F$9) + CHOOSE(CONTROL!$C$27, 0.0021, 0)</f>
        <v>42.552999999999997</v>
      </c>
      <c r="L356" s="17"/>
    </row>
    <row r="357" spans="1:12" ht="15.75" x14ac:dyDescent="0.25">
      <c r="A357" s="14">
        <v>51440</v>
      </c>
      <c r="B357" s="17">
        <f>44.0097 * CHOOSE(CONTROL!$C$9, $D$9, 100%, $F$9) + CHOOSE(CONTROL!$C$27, 0.0021, 0)</f>
        <v>44.011800000000001</v>
      </c>
      <c r="C357" s="17">
        <f>43.5775 * CHOOSE(CONTROL!$C$9, $D$9, 100%, $F$9) + CHOOSE(CONTROL!$C$27, 0.0021, 0)</f>
        <v>43.579599999999999</v>
      </c>
      <c r="D357" s="17">
        <f>43.5775 * CHOOSE(CONTROL!$C$9, $D$9, 100%, $F$9) + CHOOSE(CONTROL!$C$27, 0.0021, 0)</f>
        <v>43.579599999999999</v>
      </c>
      <c r="E357" s="17">
        <f>43.4408 * CHOOSE(CONTROL!$C$9, $D$9, 100%, $F$9) + CHOOSE(CONTROL!$C$27, 0.0021, 0)</f>
        <v>43.442900000000002</v>
      </c>
      <c r="F357" s="17">
        <f>43.4408 * CHOOSE(CONTROL!$C$9, $D$9, 100%, $F$9) + CHOOSE(CONTROL!$C$27, 0.0021, 0)</f>
        <v>43.442900000000002</v>
      </c>
      <c r="G357" s="17">
        <f>43.7122 * CHOOSE(CONTROL!$C$9, $D$9, 100%, $F$9) + CHOOSE(CONTROL!$C$27, 0.0021, 0)</f>
        <v>43.714300000000001</v>
      </c>
      <c r="H357" s="17">
        <f>43.5775 * CHOOSE(CONTROL!$C$9, $D$9, 100%, $F$9) + CHOOSE(CONTROL!$C$27, 0.0021, 0)</f>
        <v>43.579599999999999</v>
      </c>
      <c r="I357" s="17">
        <f>43.5775 * CHOOSE(CONTROL!$C$9, $D$9, 100%, $F$9) + CHOOSE(CONTROL!$C$27, 0.0021, 0)</f>
        <v>43.579599999999999</v>
      </c>
      <c r="J357" s="17">
        <f>43.5775 * CHOOSE(CONTROL!$C$9, $D$9, 100%, $F$9) + CHOOSE(CONTROL!$C$27, 0.0021, 0)</f>
        <v>43.579599999999999</v>
      </c>
      <c r="K357" s="17">
        <f>43.5775 * CHOOSE(CONTROL!$C$9, $D$9, 100%, $F$9) + CHOOSE(CONTROL!$C$27, 0.0021, 0)</f>
        <v>43.579599999999999</v>
      </c>
      <c r="L357" s="17"/>
    </row>
    <row r="358" spans="1:12" ht="15.75" x14ac:dyDescent="0.25">
      <c r="A358" s="14">
        <v>51470</v>
      </c>
      <c r="B358" s="17">
        <f>44.1061 * CHOOSE(CONTROL!$C$9, $D$9, 100%, $F$9) + CHOOSE(CONTROL!$C$27, 0.0021, 0)</f>
        <v>44.108199999999997</v>
      </c>
      <c r="C358" s="17">
        <f>43.6738 * CHOOSE(CONTROL!$C$9, $D$9, 100%, $F$9) + CHOOSE(CONTROL!$C$27, 0.0021, 0)</f>
        <v>43.675899999999999</v>
      </c>
      <c r="D358" s="17">
        <f>43.6738 * CHOOSE(CONTROL!$C$9, $D$9, 100%, $F$9) + CHOOSE(CONTROL!$C$27, 0.0021, 0)</f>
        <v>43.675899999999999</v>
      </c>
      <c r="E358" s="17">
        <f>43.5372 * CHOOSE(CONTROL!$C$9, $D$9, 100%, $F$9) + CHOOSE(CONTROL!$C$27, 0.0021, 0)</f>
        <v>43.539299999999997</v>
      </c>
      <c r="F358" s="17">
        <f>43.5372 * CHOOSE(CONTROL!$C$9, $D$9, 100%, $F$9) + CHOOSE(CONTROL!$C$27, 0.0021, 0)</f>
        <v>43.539299999999997</v>
      </c>
      <c r="G358" s="17">
        <f>43.8086 * CHOOSE(CONTROL!$C$9, $D$9, 100%, $F$9) + CHOOSE(CONTROL!$C$27, 0.0021, 0)</f>
        <v>43.810699999999997</v>
      </c>
      <c r="H358" s="17">
        <f>43.6738 * CHOOSE(CONTROL!$C$9, $D$9, 100%, $F$9) + CHOOSE(CONTROL!$C$27, 0.0021, 0)</f>
        <v>43.675899999999999</v>
      </c>
      <c r="I358" s="17">
        <f>43.6738 * CHOOSE(CONTROL!$C$9, $D$9, 100%, $F$9) + CHOOSE(CONTROL!$C$27, 0.0021, 0)</f>
        <v>43.675899999999999</v>
      </c>
      <c r="J358" s="17">
        <f>43.6738 * CHOOSE(CONTROL!$C$9, $D$9, 100%, $F$9) + CHOOSE(CONTROL!$C$27, 0.0021, 0)</f>
        <v>43.675899999999999</v>
      </c>
      <c r="K358" s="17">
        <f>43.6738 * CHOOSE(CONTROL!$C$9, $D$9, 100%, $F$9) + CHOOSE(CONTROL!$C$27, 0.0021, 0)</f>
        <v>43.675899999999999</v>
      </c>
      <c r="L358" s="17"/>
    </row>
    <row r="359" spans="1:12" ht="15.75" x14ac:dyDescent="0.25">
      <c r="A359" s="14">
        <v>51501</v>
      </c>
      <c r="B359" s="17">
        <f>43.2862 * CHOOSE(CONTROL!$C$9, $D$9, 100%, $F$9) + CHOOSE(CONTROL!$C$27, 0.0021, 0)</f>
        <v>43.2883</v>
      </c>
      <c r="C359" s="17">
        <f>42.854 * CHOOSE(CONTROL!$C$9, $D$9, 100%, $F$9) + CHOOSE(CONTROL!$C$27, 0.0021, 0)</f>
        <v>42.856099999999998</v>
      </c>
      <c r="D359" s="17">
        <f>42.854 * CHOOSE(CONTROL!$C$9, $D$9, 100%, $F$9) + CHOOSE(CONTROL!$C$27, 0.0021, 0)</f>
        <v>42.856099999999998</v>
      </c>
      <c r="E359" s="17">
        <f>42.7173 * CHOOSE(CONTROL!$C$9, $D$9, 100%, $F$9) + CHOOSE(CONTROL!$C$27, 0.0021, 0)</f>
        <v>42.7194</v>
      </c>
      <c r="F359" s="17">
        <f>42.7173 * CHOOSE(CONTROL!$C$9, $D$9, 100%, $F$9) + CHOOSE(CONTROL!$C$27, 0.0021, 0)</f>
        <v>42.7194</v>
      </c>
      <c r="G359" s="17">
        <f>42.9887 * CHOOSE(CONTROL!$C$9, $D$9, 100%, $F$9) + CHOOSE(CONTROL!$C$27, 0.0021, 0)</f>
        <v>42.9908</v>
      </c>
      <c r="H359" s="17">
        <f>42.854 * CHOOSE(CONTROL!$C$9, $D$9, 100%, $F$9) + CHOOSE(CONTROL!$C$27, 0.0021, 0)</f>
        <v>42.856099999999998</v>
      </c>
      <c r="I359" s="17">
        <f>42.854 * CHOOSE(CONTROL!$C$9, $D$9, 100%, $F$9) + CHOOSE(CONTROL!$C$27, 0.0021, 0)</f>
        <v>42.856099999999998</v>
      </c>
      <c r="J359" s="17">
        <f>42.854 * CHOOSE(CONTROL!$C$9, $D$9, 100%, $F$9) + CHOOSE(CONTROL!$C$27, 0.0021, 0)</f>
        <v>42.856099999999998</v>
      </c>
      <c r="K359" s="17">
        <f>42.854 * CHOOSE(CONTROL!$C$9, $D$9, 100%, $F$9) + CHOOSE(CONTROL!$C$27, 0.0021, 0)</f>
        <v>42.856099999999998</v>
      </c>
      <c r="L359" s="17"/>
    </row>
    <row r="360" spans="1:12" ht="15.75" x14ac:dyDescent="0.25">
      <c r="A360" s="14">
        <v>51532</v>
      </c>
      <c r="B360" s="17">
        <f>42.47 * CHOOSE(CONTROL!$C$9, $D$9, 100%, $F$9) + CHOOSE(CONTROL!$C$27, 0.0021, 0)</f>
        <v>42.472099999999998</v>
      </c>
      <c r="C360" s="17">
        <f>42.0378 * CHOOSE(CONTROL!$C$9, $D$9, 100%, $F$9) + CHOOSE(CONTROL!$C$27, 0.0021, 0)</f>
        <v>42.039899999999996</v>
      </c>
      <c r="D360" s="17">
        <f>42.0378 * CHOOSE(CONTROL!$C$9, $D$9, 100%, $F$9) + CHOOSE(CONTROL!$C$27, 0.0021, 0)</f>
        <v>42.039899999999996</v>
      </c>
      <c r="E360" s="17">
        <f>41.9011 * CHOOSE(CONTROL!$C$9, $D$9, 100%, $F$9) + CHOOSE(CONTROL!$C$27, 0.0021, 0)</f>
        <v>41.903199999999998</v>
      </c>
      <c r="F360" s="17">
        <f>41.9011 * CHOOSE(CONTROL!$C$9, $D$9, 100%, $F$9) + CHOOSE(CONTROL!$C$27, 0.0021, 0)</f>
        <v>41.903199999999998</v>
      </c>
      <c r="G360" s="17">
        <f>42.1725 * CHOOSE(CONTROL!$C$9, $D$9, 100%, $F$9) + CHOOSE(CONTROL!$C$27, 0.0021, 0)</f>
        <v>42.174599999999998</v>
      </c>
      <c r="H360" s="17">
        <f>42.0378 * CHOOSE(CONTROL!$C$9, $D$9, 100%, $F$9) + CHOOSE(CONTROL!$C$27, 0.0021, 0)</f>
        <v>42.039899999999996</v>
      </c>
      <c r="I360" s="17">
        <f>42.0378 * CHOOSE(CONTROL!$C$9, $D$9, 100%, $F$9) + CHOOSE(CONTROL!$C$27, 0.0021, 0)</f>
        <v>42.039899999999996</v>
      </c>
      <c r="J360" s="17">
        <f>42.0378 * CHOOSE(CONTROL!$C$9, $D$9, 100%, $F$9) + CHOOSE(CONTROL!$C$27, 0.0021, 0)</f>
        <v>42.039899999999996</v>
      </c>
      <c r="K360" s="17">
        <f>42.0378 * CHOOSE(CONTROL!$C$9, $D$9, 100%, $F$9) + CHOOSE(CONTROL!$C$27, 0.0021, 0)</f>
        <v>42.039899999999996</v>
      </c>
      <c r="L360" s="17"/>
    </row>
    <row r="361" spans="1:12" ht="15.75" x14ac:dyDescent="0.25">
      <c r="A361" s="14">
        <v>51560</v>
      </c>
      <c r="B361" s="17">
        <f>41.3336 * CHOOSE(CONTROL!$C$9, $D$9, 100%, $F$9) + CHOOSE(CONTROL!$C$27, 0.0021, 0)</f>
        <v>41.335699999999996</v>
      </c>
      <c r="C361" s="17">
        <f>40.9014 * CHOOSE(CONTROL!$C$9, $D$9, 100%, $F$9) + CHOOSE(CONTROL!$C$27, 0.0021, 0)</f>
        <v>40.903500000000001</v>
      </c>
      <c r="D361" s="17">
        <f>40.9014 * CHOOSE(CONTROL!$C$9, $D$9, 100%, $F$9) + CHOOSE(CONTROL!$C$27, 0.0021, 0)</f>
        <v>40.903500000000001</v>
      </c>
      <c r="E361" s="17">
        <f>40.7647 * CHOOSE(CONTROL!$C$9, $D$9, 100%, $F$9) + CHOOSE(CONTROL!$C$27, 0.0021, 0)</f>
        <v>40.766799999999996</v>
      </c>
      <c r="F361" s="17">
        <f>40.7647 * CHOOSE(CONTROL!$C$9, $D$9, 100%, $F$9) + CHOOSE(CONTROL!$C$27, 0.0021, 0)</f>
        <v>40.766799999999996</v>
      </c>
      <c r="G361" s="17">
        <f>41.0361 * CHOOSE(CONTROL!$C$9, $D$9, 100%, $F$9) + CHOOSE(CONTROL!$C$27, 0.0021, 0)</f>
        <v>41.038199999999996</v>
      </c>
      <c r="H361" s="17">
        <f>40.9014 * CHOOSE(CONTROL!$C$9, $D$9, 100%, $F$9) + CHOOSE(CONTROL!$C$27, 0.0021, 0)</f>
        <v>40.903500000000001</v>
      </c>
      <c r="I361" s="17">
        <f>40.9014 * CHOOSE(CONTROL!$C$9, $D$9, 100%, $F$9) + CHOOSE(CONTROL!$C$27, 0.0021, 0)</f>
        <v>40.903500000000001</v>
      </c>
      <c r="J361" s="17">
        <f>40.9014 * CHOOSE(CONTROL!$C$9, $D$9, 100%, $F$9) + CHOOSE(CONTROL!$C$27, 0.0021, 0)</f>
        <v>40.903500000000001</v>
      </c>
      <c r="K361" s="17">
        <f>40.9014 * CHOOSE(CONTROL!$C$9, $D$9, 100%, $F$9) + CHOOSE(CONTROL!$C$27, 0.0021, 0)</f>
        <v>40.903500000000001</v>
      </c>
      <c r="L361" s="17"/>
    </row>
    <row r="362" spans="1:12" ht="15.75" x14ac:dyDescent="0.25">
      <c r="A362" s="14">
        <v>51591</v>
      </c>
      <c r="B362" s="17">
        <f>40.8645 * CHOOSE(CONTROL!$C$9, $D$9, 100%, $F$9) + CHOOSE(CONTROL!$C$27, 0.0021, 0)</f>
        <v>40.866599999999998</v>
      </c>
      <c r="C362" s="17">
        <f>40.4322 * CHOOSE(CONTROL!$C$9, $D$9, 100%, $F$9) + CHOOSE(CONTROL!$C$27, 0.0021, 0)</f>
        <v>40.4343</v>
      </c>
      <c r="D362" s="17">
        <f>40.4322 * CHOOSE(CONTROL!$C$9, $D$9, 100%, $F$9) + CHOOSE(CONTROL!$C$27, 0.0021, 0)</f>
        <v>40.4343</v>
      </c>
      <c r="E362" s="17">
        <f>40.2956 * CHOOSE(CONTROL!$C$9, $D$9, 100%, $F$9) + CHOOSE(CONTROL!$C$27, 0.0021, 0)</f>
        <v>40.297699999999999</v>
      </c>
      <c r="F362" s="17">
        <f>40.2956 * CHOOSE(CONTROL!$C$9, $D$9, 100%, $F$9) + CHOOSE(CONTROL!$C$27, 0.0021, 0)</f>
        <v>40.297699999999999</v>
      </c>
      <c r="G362" s="17">
        <f>40.567 * CHOOSE(CONTROL!$C$9, $D$9, 100%, $F$9) + CHOOSE(CONTROL!$C$27, 0.0021, 0)</f>
        <v>40.569099999999999</v>
      </c>
      <c r="H362" s="17">
        <f>40.4322 * CHOOSE(CONTROL!$C$9, $D$9, 100%, $F$9) + CHOOSE(CONTROL!$C$27, 0.0021, 0)</f>
        <v>40.4343</v>
      </c>
      <c r="I362" s="17">
        <f>40.4322 * CHOOSE(CONTROL!$C$9, $D$9, 100%, $F$9) + CHOOSE(CONTROL!$C$27, 0.0021, 0)</f>
        <v>40.4343</v>
      </c>
      <c r="J362" s="17">
        <f>40.4322 * CHOOSE(CONTROL!$C$9, $D$9, 100%, $F$9) + CHOOSE(CONTROL!$C$27, 0.0021, 0)</f>
        <v>40.4343</v>
      </c>
      <c r="K362" s="17">
        <f>40.4322 * CHOOSE(CONTROL!$C$9, $D$9, 100%, $F$9) + CHOOSE(CONTROL!$C$27, 0.0021, 0)</f>
        <v>40.4343</v>
      </c>
      <c r="L362" s="17"/>
    </row>
    <row r="363" spans="1:12" ht="15.75" x14ac:dyDescent="0.25">
      <c r="A363" s="14">
        <v>51621</v>
      </c>
      <c r="B363" s="17">
        <f>40.3043 * CHOOSE(CONTROL!$C$9, $D$9, 100%, $F$9) + CHOOSE(CONTROL!$C$27, 0.0021, 0)</f>
        <v>40.306399999999996</v>
      </c>
      <c r="C363" s="17">
        <f>39.8721 * CHOOSE(CONTROL!$C$9, $D$9, 100%, $F$9) + CHOOSE(CONTROL!$C$27, 0.0021, 0)</f>
        <v>39.874200000000002</v>
      </c>
      <c r="D363" s="17">
        <f>39.8721 * CHOOSE(CONTROL!$C$9, $D$9, 100%, $F$9) + CHOOSE(CONTROL!$C$27, 0.0021, 0)</f>
        <v>39.874200000000002</v>
      </c>
      <c r="E363" s="17">
        <f>39.7354 * CHOOSE(CONTROL!$C$9, $D$9, 100%, $F$9) + CHOOSE(CONTROL!$C$27, 0.0021, 0)</f>
        <v>39.737499999999997</v>
      </c>
      <c r="F363" s="17">
        <f>39.7354 * CHOOSE(CONTROL!$C$9, $D$9, 100%, $F$9) + CHOOSE(CONTROL!$C$27, 0.0021, 0)</f>
        <v>39.737499999999997</v>
      </c>
      <c r="G363" s="17">
        <f>40.0068 * CHOOSE(CONTROL!$C$9, $D$9, 100%, $F$9) + CHOOSE(CONTROL!$C$27, 0.0021, 0)</f>
        <v>40.008899999999997</v>
      </c>
      <c r="H363" s="17">
        <f>39.8721 * CHOOSE(CONTROL!$C$9, $D$9, 100%, $F$9) + CHOOSE(CONTROL!$C$27, 0.0021, 0)</f>
        <v>39.874200000000002</v>
      </c>
      <c r="I363" s="17">
        <f>39.8721 * CHOOSE(CONTROL!$C$9, $D$9, 100%, $F$9) + CHOOSE(CONTROL!$C$27, 0.0021, 0)</f>
        <v>39.874200000000002</v>
      </c>
      <c r="J363" s="17">
        <f>39.8721 * CHOOSE(CONTROL!$C$9, $D$9, 100%, $F$9) + CHOOSE(CONTROL!$C$27, 0.0021, 0)</f>
        <v>39.874200000000002</v>
      </c>
      <c r="K363" s="17">
        <f>39.8721 * CHOOSE(CONTROL!$C$9, $D$9, 100%, $F$9) + CHOOSE(CONTROL!$C$27, 0.0021, 0)</f>
        <v>39.874200000000002</v>
      </c>
      <c r="L363" s="17"/>
    </row>
    <row r="364" spans="1:12" ht="15.75" x14ac:dyDescent="0.25">
      <c r="A364" s="14">
        <v>51652</v>
      </c>
      <c r="B364" s="17">
        <f>41.1026 * CHOOSE(CONTROL!$C$9, $D$9, 100%, $F$9) + CHOOSE(CONTROL!$C$27, 0.0021, 0)</f>
        <v>41.104700000000001</v>
      </c>
      <c r="C364" s="17">
        <f>40.6704 * CHOOSE(CONTROL!$C$9, $D$9, 100%, $F$9) + CHOOSE(CONTROL!$C$27, 0.0021, 0)</f>
        <v>40.672499999999999</v>
      </c>
      <c r="D364" s="17">
        <f>40.6704 * CHOOSE(CONTROL!$C$9, $D$9, 100%, $F$9) + CHOOSE(CONTROL!$C$27, 0.0021, 0)</f>
        <v>40.672499999999999</v>
      </c>
      <c r="E364" s="17">
        <f>40.5337 * CHOOSE(CONTROL!$C$9, $D$9, 100%, $F$9) + CHOOSE(CONTROL!$C$27, 0.0021, 0)</f>
        <v>40.535800000000002</v>
      </c>
      <c r="F364" s="17">
        <f>40.5337 * CHOOSE(CONTROL!$C$9, $D$9, 100%, $F$9) + CHOOSE(CONTROL!$C$27, 0.0021, 0)</f>
        <v>40.535800000000002</v>
      </c>
      <c r="G364" s="17">
        <f>40.8051 * CHOOSE(CONTROL!$C$9, $D$9, 100%, $F$9) + CHOOSE(CONTROL!$C$27, 0.0021, 0)</f>
        <v>40.807200000000002</v>
      </c>
      <c r="H364" s="17">
        <f>40.6704 * CHOOSE(CONTROL!$C$9, $D$9, 100%, $F$9) + CHOOSE(CONTROL!$C$27, 0.0021, 0)</f>
        <v>40.672499999999999</v>
      </c>
      <c r="I364" s="17">
        <f>40.6704 * CHOOSE(CONTROL!$C$9, $D$9, 100%, $F$9) + CHOOSE(CONTROL!$C$27, 0.0021, 0)</f>
        <v>40.672499999999999</v>
      </c>
      <c r="J364" s="17">
        <f>40.6704 * CHOOSE(CONTROL!$C$9, $D$9, 100%, $F$9) + CHOOSE(CONTROL!$C$27, 0.0021, 0)</f>
        <v>40.672499999999999</v>
      </c>
      <c r="K364" s="17">
        <f>40.6704 * CHOOSE(CONTROL!$C$9, $D$9, 100%, $F$9) + CHOOSE(CONTROL!$C$27, 0.0021, 0)</f>
        <v>40.672499999999999</v>
      </c>
      <c r="L364" s="17"/>
    </row>
    <row r="365" spans="1:12" ht="15.75" x14ac:dyDescent="0.25">
      <c r="A365" s="14">
        <v>51682</v>
      </c>
      <c r="B365" s="17">
        <f>41.5807 * CHOOSE(CONTROL!$C$9, $D$9, 100%, $F$9) + CHOOSE(CONTROL!$C$27, 0.0021, 0)</f>
        <v>41.582799999999999</v>
      </c>
      <c r="C365" s="17">
        <f>41.1485 * CHOOSE(CONTROL!$C$9, $D$9, 100%, $F$9) + CHOOSE(CONTROL!$C$27, 0.0021, 0)</f>
        <v>41.150599999999997</v>
      </c>
      <c r="D365" s="17">
        <f>41.1485 * CHOOSE(CONTROL!$C$9, $D$9, 100%, $F$9) + CHOOSE(CONTROL!$C$27, 0.0021, 0)</f>
        <v>41.150599999999997</v>
      </c>
      <c r="E365" s="17">
        <f>41.0118 * CHOOSE(CONTROL!$C$9, $D$9, 100%, $F$9) + CHOOSE(CONTROL!$C$27, 0.0021, 0)</f>
        <v>41.0139</v>
      </c>
      <c r="F365" s="17">
        <f>41.0118 * CHOOSE(CONTROL!$C$9, $D$9, 100%, $F$9) + CHOOSE(CONTROL!$C$27, 0.0021, 0)</f>
        <v>41.0139</v>
      </c>
      <c r="G365" s="17">
        <f>41.2832 * CHOOSE(CONTROL!$C$9, $D$9, 100%, $F$9) + CHOOSE(CONTROL!$C$27, 0.0021, 0)</f>
        <v>41.285299999999999</v>
      </c>
      <c r="H365" s="17">
        <f>41.1485 * CHOOSE(CONTROL!$C$9, $D$9, 100%, $F$9) + CHOOSE(CONTROL!$C$27, 0.0021, 0)</f>
        <v>41.150599999999997</v>
      </c>
      <c r="I365" s="17">
        <f>41.1485 * CHOOSE(CONTROL!$C$9, $D$9, 100%, $F$9) + CHOOSE(CONTROL!$C$27, 0.0021, 0)</f>
        <v>41.150599999999997</v>
      </c>
      <c r="J365" s="17">
        <f>41.1485 * CHOOSE(CONTROL!$C$9, $D$9, 100%, $F$9) + CHOOSE(CONTROL!$C$27, 0.0021, 0)</f>
        <v>41.150599999999997</v>
      </c>
      <c r="K365" s="17">
        <f>41.1485 * CHOOSE(CONTROL!$C$9, $D$9, 100%, $F$9) + CHOOSE(CONTROL!$C$27, 0.0021, 0)</f>
        <v>41.150599999999997</v>
      </c>
      <c r="L365" s="17"/>
    </row>
    <row r="366" spans="1:12" ht="15.75" x14ac:dyDescent="0.25">
      <c r="A366" s="14">
        <v>51713</v>
      </c>
      <c r="B366" s="17">
        <f>42.3695 * CHOOSE(CONTROL!$C$9, $D$9, 100%, $F$9) + CHOOSE(CONTROL!$C$27, 0.0021, 0)</f>
        <v>42.371600000000001</v>
      </c>
      <c r="C366" s="17">
        <f>41.9372 * CHOOSE(CONTROL!$C$9, $D$9, 100%, $F$9) + CHOOSE(CONTROL!$C$27, 0.0021, 0)</f>
        <v>41.939299999999996</v>
      </c>
      <c r="D366" s="17">
        <f>41.9372 * CHOOSE(CONTROL!$C$9, $D$9, 100%, $F$9) + CHOOSE(CONTROL!$C$27, 0.0021, 0)</f>
        <v>41.939299999999996</v>
      </c>
      <c r="E366" s="17">
        <f>41.8006 * CHOOSE(CONTROL!$C$9, $D$9, 100%, $F$9) + CHOOSE(CONTROL!$C$27, 0.0021, 0)</f>
        <v>41.802700000000002</v>
      </c>
      <c r="F366" s="17">
        <f>41.8006 * CHOOSE(CONTROL!$C$9, $D$9, 100%, $F$9) + CHOOSE(CONTROL!$C$27, 0.0021, 0)</f>
        <v>41.802700000000002</v>
      </c>
      <c r="G366" s="17">
        <f>42.072 * CHOOSE(CONTROL!$C$9, $D$9, 100%, $F$9) + CHOOSE(CONTROL!$C$27, 0.0021, 0)</f>
        <v>42.074100000000001</v>
      </c>
      <c r="H366" s="17">
        <f>41.9372 * CHOOSE(CONTROL!$C$9, $D$9, 100%, $F$9) + CHOOSE(CONTROL!$C$27, 0.0021, 0)</f>
        <v>41.939299999999996</v>
      </c>
      <c r="I366" s="17">
        <f>41.9372 * CHOOSE(CONTROL!$C$9, $D$9, 100%, $F$9) + CHOOSE(CONTROL!$C$27, 0.0021, 0)</f>
        <v>41.939299999999996</v>
      </c>
      <c r="J366" s="17">
        <f>41.9372 * CHOOSE(CONTROL!$C$9, $D$9, 100%, $F$9) + CHOOSE(CONTROL!$C$27, 0.0021, 0)</f>
        <v>41.939299999999996</v>
      </c>
      <c r="K366" s="17">
        <f>41.9372 * CHOOSE(CONTROL!$C$9, $D$9, 100%, $F$9) + CHOOSE(CONTROL!$C$27, 0.0021, 0)</f>
        <v>41.939299999999996</v>
      </c>
      <c r="L366" s="17"/>
    </row>
    <row r="367" spans="1:12" ht="15.75" x14ac:dyDescent="0.25">
      <c r="A367" s="14">
        <v>51744</v>
      </c>
      <c r="B367" s="17">
        <f>42.6102 * CHOOSE(CONTROL!$C$9, $D$9, 100%, $F$9) + CHOOSE(CONTROL!$C$27, 0.0021, 0)</f>
        <v>42.612299999999998</v>
      </c>
      <c r="C367" s="17">
        <f>42.178 * CHOOSE(CONTROL!$C$9, $D$9, 100%, $F$9) + CHOOSE(CONTROL!$C$27, 0.0021, 0)</f>
        <v>42.180099999999996</v>
      </c>
      <c r="D367" s="17">
        <f>42.178 * CHOOSE(CONTROL!$C$9, $D$9, 100%, $F$9) + CHOOSE(CONTROL!$C$27, 0.0021, 0)</f>
        <v>42.180099999999996</v>
      </c>
      <c r="E367" s="17">
        <f>42.0413 * CHOOSE(CONTROL!$C$9, $D$9, 100%, $F$9) + CHOOSE(CONTROL!$C$27, 0.0021, 0)</f>
        <v>42.043399999999998</v>
      </c>
      <c r="F367" s="17">
        <f>42.0413 * CHOOSE(CONTROL!$C$9, $D$9, 100%, $F$9) + CHOOSE(CONTROL!$C$27, 0.0021, 0)</f>
        <v>42.043399999999998</v>
      </c>
      <c r="G367" s="17">
        <f>42.3127 * CHOOSE(CONTROL!$C$9, $D$9, 100%, $F$9) + CHOOSE(CONTROL!$C$27, 0.0021, 0)</f>
        <v>42.314799999999998</v>
      </c>
      <c r="H367" s="17">
        <f>42.178 * CHOOSE(CONTROL!$C$9, $D$9, 100%, $F$9) + CHOOSE(CONTROL!$C$27, 0.0021, 0)</f>
        <v>42.180099999999996</v>
      </c>
      <c r="I367" s="17">
        <f>42.178 * CHOOSE(CONTROL!$C$9, $D$9, 100%, $F$9) + CHOOSE(CONTROL!$C$27, 0.0021, 0)</f>
        <v>42.180099999999996</v>
      </c>
      <c r="J367" s="17">
        <f>42.178 * CHOOSE(CONTROL!$C$9, $D$9, 100%, $F$9) + CHOOSE(CONTROL!$C$27, 0.0021, 0)</f>
        <v>42.180099999999996</v>
      </c>
      <c r="K367" s="17">
        <f>42.178 * CHOOSE(CONTROL!$C$9, $D$9, 100%, $F$9) + CHOOSE(CONTROL!$C$27, 0.0021, 0)</f>
        <v>42.180099999999996</v>
      </c>
      <c r="L367" s="17"/>
    </row>
    <row r="368" spans="1:12" ht="15.75" x14ac:dyDescent="0.25">
      <c r="A368" s="14">
        <v>51774</v>
      </c>
      <c r="B368" s="17">
        <f>43.4301 * CHOOSE(CONTROL!$C$9, $D$9, 100%, $F$9) + CHOOSE(CONTROL!$C$27, 0.0021, 0)</f>
        <v>43.432200000000002</v>
      </c>
      <c r="C368" s="17">
        <f>42.9978 * CHOOSE(CONTROL!$C$9, $D$9, 100%, $F$9) + CHOOSE(CONTROL!$C$27, 0.0021, 0)</f>
        <v>42.999899999999997</v>
      </c>
      <c r="D368" s="17">
        <f>42.9978 * CHOOSE(CONTROL!$C$9, $D$9, 100%, $F$9) + CHOOSE(CONTROL!$C$27, 0.0021, 0)</f>
        <v>42.999899999999997</v>
      </c>
      <c r="E368" s="17">
        <f>42.8612 * CHOOSE(CONTROL!$C$9, $D$9, 100%, $F$9) + CHOOSE(CONTROL!$C$27, 0.0021, 0)</f>
        <v>42.863299999999995</v>
      </c>
      <c r="F368" s="17">
        <f>42.8612 * CHOOSE(CONTROL!$C$9, $D$9, 100%, $F$9) + CHOOSE(CONTROL!$C$27, 0.0021, 0)</f>
        <v>42.863299999999995</v>
      </c>
      <c r="G368" s="17">
        <f>43.1326 * CHOOSE(CONTROL!$C$9, $D$9, 100%, $F$9) + CHOOSE(CONTROL!$C$27, 0.0021, 0)</f>
        <v>43.134699999999995</v>
      </c>
      <c r="H368" s="17">
        <f>42.9978 * CHOOSE(CONTROL!$C$9, $D$9, 100%, $F$9) + CHOOSE(CONTROL!$C$27, 0.0021, 0)</f>
        <v>42.999899999999997</v>
      </c>
      <c r="I368" s="17">
        <f>42.9978 * CHOOSE(CONTROL!$C$9, $D$9, 100%, $F$9) + CHOOSE(CONTROL!$C$27, 0.0021, 0)</f>
        <v>42.999899999999997</v>
      </c>
      <c r="J368" s="17">
        <f>42.9978 * CHOOSE(CONTROL!$C$9, $D$9, 100%, $F$9) + CHOOSE(CONTROL!$C$27, 0.0021, 0)</f>
        <v>42.999899999999997</v>
      </c>
      <c r="K368" s="17">
        <f>42.9978 * CHOOSE(CONTROL!$C$9, $D$9, 100%, $F$9) + CHOOSE(CONTROL!$C$27, 0.0021, 0)</f>
        <v>42.999899999999997</v>
      </c>
      <c r="L368" s="17"/>
    </row>
    <row r="369" spans="1:12" ht="15.75" x14ac:dyDescent="0.25">
      <c r="A369" s="14">
        <v>51805</v>
      </c>
      <c r="B369" s="17">
        <f>44.4679 * CHOOSE(CONTROL!$C$9, $D$9, 100%, $F$9) + CHOOSE(CONTROL!$C$27, 0.0021, 0)</f>
        <v>44.47</v>
      </c>
      <c r="C369" s="17">
        <f>44.0357 * CHOOSE(CONTROL!$C$9, $D$9, 100%, $F$9) + CHOOSE(CONTROL!$C$27, 0.0021, 0)</f>
        <v>44.037799999999997</v>
      </c>
      <c r="D369" s="17">
        <f>44.0357 * CHOOSE(CONTROL!$C$9, $D$9, 100%, $F$9) + CHOOSE(CONTROL!$C$27, 0.0021, 0)</f>
        <v>44.037799999999997</v>
      </c>
      <c r="E369" s="17">
        <f>43.899 * CHOOSE(CONTROL!$C$9, $D$9, 100%, $F$9) + CHOOSE(CONTROL!$C$27, 0.0021, 0)</f>
        <v>43.9011</v>
      </c>
      <c r="F369" s="17">
        <f>43.899 * CHOOSE(CONTROL!$C$9, $D$9, 100%, $F$9) + CHOOSE(CONTROL!$C$27, 0.0021, 0)</f>
        <v>43.9011</v>
      </c>
      <c r="G369" s="17">
        <f>44.1704 * CHOOSE(CONTROL!$C$9, $D$9, 100%, $F$9) + CHOOSE(CONTROL!$C$27, 0.0021, 0)</f>
        <v>44.172499999999999</v>
      </c>
      <c r="H369" s="17">
        <f>44.0357 * CHOOSE(CONTROL!$C$9, $D$9, 100%, $F$9) + CHOOSE(CONTROL!$C$27, 0.0021, 0)</f>
        <v>44.037799999999997</v>
      </c>
      <c r="I369" s="17">
        <f>44.0357 * CHOOSE(CONTROL!$C$9, $D$9, 100%, $F$9) + CHOOSE(CONTROL!$C$27, 0.0021, 0)</f>
        <v>44.037799999999997</v>
      </c>
      <c r="J369" s="17">
        <f>44.0357 * CHOOSE(CONTROL!$C$9, $D$9, 100%, $F$9) + CHOOSE(CONTROL!$C$27, 0.0021, 0)</f>
        <v>44.037799999999997</v>
      </c>
      <c r="K369" s="17">
        <f>44.0357 * CHOOSE(CONTROL!$C$9, $D$9, 100%, $F$9) + CHOOSE(CONTROL!$C$27, 0.0021, 0)</f>
        <v>44.037799999999997</v>
      </c>
      <c r="L369" s="17"/>
    </row>
    <row r="370" spans="1:12" ht="15.75" x14ac:dyDescent="0.25">
      <c r="A370" s="14">
        <v>51835</v>
      </c>
      <c r="B370" s="17">
        <f>44.5653 * CHOOSE(CONTROL!$C$9, $D$9, 100%, $F$9) + CHOOSE(CONTROL!$C$27, 0.0021, 0)</f>
        <v>44.567399999999999</v>
      </c>
      <c r="C370" s="17">
        <f>44.1331 * CHOOSE(CONTROL!$C$9, $D$9, 100%, $F$9) + CHOOSE(CONTROL!$C$27, 0.0021, 0)</f>
        <v>44.135199999999998</v>
      </c>
      <c r="D370" s="17">
        <f>44.1331 * CHOOSE(CONTROL!$C$9, $D$9, 100%, $F$9) + CHOOSE(CONTROL!$C$27, 0.0021, 0)</f>
        <v>44.135199999999998</v>
      </c>
      <c r="E370" s="17">
        <f>43.9964 * CHOOSE(CONTROL!$C$9, $D$9, 100%, $F$9) + CHOOSE(CONTROL!$C$27, 0.0021, 0)</f>
        <v>43.9985</v>
      </c>
      <c r="F370" s="17">
        <f>43.9964 * CHOOSE(CONTROL!$C$9, $D$9, 100%, $F$9) + CHOOSE(CONTROL!$C$27, 0.0021, 0)</f>
        <v>43.9985</v>
      </c>
      <c r="G370" s="17">
        <f>44.2678 * CHOOSE(CONTROL!$C$9, $D$9, 100%, $F$9) + CHOOSE(CONTROL!$C$27, 0.0021, 0)</f>
        <v>44.2699</v>
      </c>
      <c r="H370" s="17">
        <f>44.1331 * CHOOSE(CONTROL!$C$9, $D$9, 100%, $F$9) + CHOOSE(CONTROL!$C$27, 0.0021, 0)</f>
        <v>44.135199999999998</v>
      </c>
      <c r="I370" s="17">
        <f>44.1331 * CHOOSE(CONTROL!$C$9, $D$9, 100%, $F$9) + CHOOSE(CONTROL!$C$27, 0.0021, 0)</f>
        <v>44.135199999999998</v>
      </c>
      <c r="J370" s="17">
        <f>44.1331 * CHOOSE(CONTROL!$C$9, $D$9, 100%, $F$9) + CHOOSE(CONTROL!$C$27, 0.0021, 0)</f>
        <v>44.135199999999998</v>
      </c>
      <c r="K370" s="17">
        <f>44.1331 * CHOOSE(CONTROL!$C$9, $D$9, 100%, $F$9) + CHOOSE(CONTROL!$C$27, 0.0021, 0)</f>
        <v>44.135199999999998</v>
      </c>
      <c r="L370" s="17"/>
    </row>
    <row r="371" spans="1:12" ht="15.75" x14ac:dyDescent="0.25">
      <c r="A371" s="14">
        <v>51866</v>
      </c>
      <c r="B371" s="17">
        <f>43.7364 * CHOOSE(CONTROL!$C$9, $D$9, 100%, $F$9) + CHOOSE(CONTROL!$C$27, 0.0021, 0)</f>
        <v>43.738500000000002</v>
      </c>
      <c r="C371" s="17">
        <f>43.3042 * CHOOSE(CONTROL!$C$9, $D$9, 100%, $F$9) + CHOOSE(CONTROL!$C$27, 0.0021, 0)</f>
        <v>43.3063</v>
      </c>
      <c r="D371" s="17">
        <f>43.3042 * CHOOSE(CONTROL!$C$9, $D$9, 100%, $F$9) + CHOOSE(CONTROL!$C$27, 0.0021, 0)</f>
        <v>43.3063</v>
      </c>
      <c r="E371" s="17">
        <f>43.1675 * CHOOSE(CONTROL!$C$9, $D$9, 100%, $F$9) + CHOOSE(CONTROL!$C$27, 0.0021, 0)</f>
        <v>43.169599999999996</v>
      </c>
      <c r="F371" s="17">
        <f>43.1675 * CHOOSE(CONTROL!$C$9, $D$9, 100%, $F$9) + CHOOSE(CONTROL!$C$27, 0.0021, 0)</f>
        <v>43.169599999999996</v>
      </c>
      <c r="G371" s="17">
        <f>43.4389 * CHOOSE(CONTROL!$C$9, $D$9, 100%, $F$9) + CHOOSE(CONTROL!$C$27, 0.0021, 0)</f>
        <v>43.440999999999995</v>
      </c>
      <c r="H371" s="17">
        <f>43.3042 * CHOOSE(CONTROL!$C$9, $D$9, 100%, $F$9) + CHOOSE(CONTROL!$C$27, 0.0021, 0)</f>
        <v>43.3063</v>
      </c>
      <c r="I371" s="17">
        <f>43.3042 * CHOOSE(CONTROL!$C$9, $D$9, 100%, $F$9) + CHOOSE(CONTROL!$C$27, 0.0021, 0)</f>
        <v>43.3063</v>
      </c>
      <c r="J371" s="17">
        <f>43.3042 * CHOOSE(CONTROL!$C$9, $D$9, 100%, $F$9) + CHOOSE(CONTROL!$C$27, 0.0021, 0)</f>
        <v>43.3063</v>
      </c>
      <c r="K371" s="17">
        <f>43.3042 * CHOOSE(CONTROL!$C$9, $D$9, 100%, $F$9) + CHOOSE(CONTROL!$C$27, 0.0021, 0)</f>
        <v>43.3063</v>
      </c>
      <c r="L371" s="17"/>
    </row>
    <row r="372" spans="1:12" ht="15.75" x14ac:dyDescent="0.25">
      <c r="A372" s="14">
        <v>51897</v>
      </c>
      <c r="B372" s="17">
        <f>42.9113 * CHOOSE(CONTROL!$C$9, $D$9, 100%, $F$9) + CHOOSE(CONTROL!$C$27, 0.0021, 0)</f>
        <v>42.913399999999996</v>
      </c>
      <c r="C372" s="17">
        <f>42.4791 * CHOOSE(CONTROL!$C$9, $D$9, 100%, $F$9) + CHOOSE(CONTROL!$C$27, 0.0021, 0)</f>
        <v>42.481200000000001</v>
      </c>
      <c r="D372" s="17">
        <f>42.4791 * CHOOSE(CONTROL!$C$9, $D$9, 100%, $F$9) + CHOOSE(CONTROL!$C$27, 0.0021, 0)</f>
        <v>42.481200000000001</v>
      </c>
      <c r="E372" s="17">
        <f>42.3424 * CHOOSE(CONTROL!$C$9, $D$9, 100%, $F$9) + CHOOSE(CONTROL!$C$27, 0.0021, 0)</f>
        <v>42.344499999999996</v>
      </c>
      <c r="F372" s="17">
        <f>42.3424 * CHOOSE(CONTROL!$C$9, $D$9, 100%, $F$9) + CHOOSE(CONTROL!$C$27, 0.0021, 0)</f>
        <v>42.344499999999996</v>
      </c>
      <c r="G372" s="17">
        <f>42.6138 * CHOOSE(CONTROL!$C$9, $D$9, 100%, $F$9) + CHOOSE(CONTROL!$C$27, 0.0021, 0)</f>
        <v>42.615899999999996</v>
      </c>
      <c r="H372" s="17">
        <f>42.4791 * CHOOSE(CONTROL!$C$9, $D$9, 100%, $F$9) + CHOOSE(CONTROL!$C$27, 0.0021, 0)</f>
        <v>42.481200000000001</v>
      </c>
      <c r="I372" s="17">
        <f>42.4791 * CHOOSE(CONTROL!$C$9, $D$9, 100%, $F$9) + CHOOSE(CONTROL!$C$27, 0.0021, 0)</f>
        <v>42.481200000000001</v>
      </c>
      <c r="J372" s="17">
        <f>42.4791 * CHOOSE(CONTROL!$C$9, $D$9, 100%, $F$9) + CHOOSE(CONTROL!$C$27, 0.0021, 0)</f>
        <v>42.481200000000001</v>
      </c>
      <c r="K372" s="17">
        <f>42.4791 * CHOOSE(CONTROL!$C$9, $D$9, 100%, $F$9) + CHOOSE(CONTROL!$C$27, 0.0021, 0)</f>
        <v>42.481200000000001</v>
      </c>
      <c r="L372" s="17"/>
    </row>
    <row r="373" spans="1:12" ht="15.75" x14ac:dyDescent="0.25">
      <c r="A373" s="14">
        <v>51925</v>
      </c>
      <c r="B373" s="17">
        <f>41.7624 * CHOOSE(CONTROL!$C$9, $D$9, 100%, $F$9) + CHOOSE(CONTROL!$C$27, 0.0021, 0)</f>
        <v>41.764499999999998</v>
      </c>
      <c r="C373" s="17">
        <f>41.3301 * CHOOSE(CONTROL!$C$9, $D$9, 100%, $F$9) + CHOOSE(CONTROL!$C$27, 0.0021, 0)</f>
        <v>41.3322</v>
      </c>
      <c r="D373" s="17">
        <f>41.3301 * CHOOSE(CONTROL!$C$9, $D$9, 100%, $F$9) + CHOOSE(CONTROL!$C$27, 0.0021, 0)</f>
        <v>41.3322</v>
      </c>
      <c r="E373" s="17">
        <f>41.1935 * CHOOSE(CONTROL!$C$9, $D$9, 100%, $F$9) + CHOOSE(CONTROL!$C$27, 0.0021, 0)</f>
        <v>41.195599999999999</v>
      </c>
      <c r="F373" s="17">
        <f>41.1935 * CHOOSE(CONTROL!$C$9, $D$9, 100%, $F$9) + CHOOSE(CONTROL!$C$27, 0.0021, 0)</f>
        <v>41.195599999999999</v>
      </c>
      <c r="G373" s="17">
        <f>41.4649 * CHOOSE(CONTROL!$C$9, $D$9, 100%, $F$9) + CHOOSE(CONTROL!$C$27, 0.0021, 0)</f>
        <v>41.466999999999999</v>
      </c>
      <c r="H373" s="17">
        <f>41.3301 * CHOOSE(CONTROL!$C$9, $D$9, 100%, $F$9) + CHOOSE(CONTROL!$C$27, 0.0021, 0)</f>
        <v>41.3322</v>
      </c>
      <c r="I373" s="17">
        <f>41.3301 * CHOOSE(CONTROL!$C$9, $D$9, 100%, $F$9) + CHOOSE(CONTROL!$C$27, 0.0021, 0)</f>
        <v>41.3322</v>
      </c>
      <c r="J373" s="17">
        <f>41.3301 * CHOOSE(CONTROL!$C$9, $D$9, 100%, $F$9) + CHOOSE(CONTROL!$C$27, 0.0021, 0)</f>
        <v>41.3322</v>
      </c>
      <c r="K373" s="17">
        <f>41.3301 * CHOOSE(CONTROL!$C$9, $D$9, 100%, $F$9) + CHOOSE(CONTROL!$C$27, 0.0021, 0)</f>
        <v>41.3322</v>
      </c>
      <c r="L373" s="17"/>
    </row>
    <row r="374" spans="1:12" ht="15.75" x14ac:dyDescent="0.25">
      <c r="A374" s="14">
        <v>51956</v>
      </c>
      <c r="B374" s="17">
        <f>41.2881 * CHOOSE(CONTROL!$C$9, $D$9, 100%, $F$9) + CHOOSE(CONTROL!$C$27, 0.0021, 0)</f>
        <v>41.290199999999999</v>
      </c>
      <c r="C374" s="17">
        <f>40.8559 * CHOOSE(CONTROL!$C$9, $D$9, 100%, $F$9) + CHOOSE(CONTROL!$C$27, 0.0021, 0)</f>
        <v>40.857999999999997</v>
      </c>
      <c r="D374" s="17">
        <f>40.8559 * CHOOSE(CONTROL!$C$9, $D$9, 100%, $F$9) + CHOOSE(CONTROL!$C$27, 0.0021, 0)</f>
        <v>40.857999999999997</v>
      </c>
      <c r="E374" s="17">
        <f>40.7192 * CHOOSE(CONTROL!$C$9, $D$9, 100%, $F$9) + CHOOSE(CONTROL!$C$27, 0.0021, 0)</f>
        <v>40.721299999999999</v>
      </c>
      <c r="F374" s="17">
        <f>40.7192 * CHOOSE(CONTROL!$C$9, $D$9, 100%, $F$9) + CHOOSE(CONTROL!$C$27, 0.0021, 0)</f>
        <v>40.721299999999999</v>
      </c>
      <c r="G374" s="17">
        <f>40.9906 * CHOOSE(CONTROL!$C$9, $D$9, 100%, $F$9) + CHOOSE(CONTROL!$C$27, 0.0021, 0)</f>
        <v>40.992699999999999</v>
      </c>
      <c r="H374" s="17">
        <f>40.8559 * CHOOSE(CONTROL!$C$9, $D$9, 100%, $F$9) + CHOOSE(CONTROL!$C$27, 0.0021, 0)</f>
        <v>40.857999999999997</v>
      </c>
      <c r="I374" s="17">
        <f>40.8559 * CHOOSE(CONTROL!$C$9, $D$9, 100%, $F$9) + CHOOSE(CONTROL!$C$27, 0.0021, 0)</f>
        <v>40.857999999999997</v>
      </c>
      <c r="J374" s="17">
        <f>40.8559 * CHOOSE(CONTROL!$C$9, $D$9, 100%, $F$9) + CHOOSE(CONTROL!$C$27, 0.0021, 0)</f>
        <v>40.857999999999997</v>
      </c>
      <c r="K374" s="17">
        <f>40.8559 * CHOOSE(CONTROL!$C$9, $D$9, 100%, $F$9) + CHOOSE(CONTROL!$C$27, 0.0021, 0)</f>
        <v>40.857999999999997</v>
      </c>
      <c r="L374" s="17"/>
    </row>
    <row r="375" spans="1:12" ht="15.75" x14ac:dyDescent="0.25">
      <c r="A375" s="14">
        <v>51986</v>
      </c>
      <c r="B375" s="17">
        <f>40.7218 * CHOOSE(CONTROL!$C$9, $D$9, 100%, $F$9) + CHOOSE(CONTROL!$C$27, 0.0021, 0)</f>
        <v>40.7239</v>
      </c>
      <c r="C375" s="17">
        <f>40.2896 * CHOOSE(CONTROL!$C$9, $D$9, 100%, $F$9) + CHOOSE(CONTROL!$C$27, 0.0021, 0)</f>
        <v>40.291699999999999</v>
      </c>
      <c r="D375" s="17">
        <f>40.2896 * CHOOSE(CONTROL!$C$9, $D$9, 100%, $F$9) + CHOOSE(CONTROL!$C$27, 0.0021, 0)</f>
        <v>40.291699999999999</v>
      </c>
      <c r="E375" s="17">
        <f>40.1529 * CHOOSE(CONTROL!$C$9, $D$9, 100%, $F$9) + CHOOSE(CONTROL!$C$27, 0.0021, 0)</f>
        <v>40.155000000000001</v>
      </c>
      <c r="F375" s="17">
        <f>40.1529 * CHOOSE(CONTROL!$C$9, $D$9, 100%, $F$9) + CHOOSE(CONTROL!$C$27, 0.0021, 0)</f>
        <v>40.155000000000001</v>
      </c>
      <c r="G375" s="17">
        <f>40.4243 * CHOOSE(CONTROL!$C$9, $D$9, 100%, $F$9) + CHOOSE(CONTROL!$C$27, 0.0021, 0)</f>
        <v>40.426400000000001</v>
      </c>
      <c r="H375" s="17">
        <f>40.2896 * CHOOSE(CONTROL!$C$9, $D$9, 100%, $F$9) + CHOOSE(CONTROL!$C$27, 0.0021, 0)</f>
        <v>40.291699999999999</v>
      </c>
      <c r="I375" s="17">
        <f>40.2896 * CHOOSE(CONTROL!$C$9, $D$9, 100%, $F$9) + CHOOSE(CONTROL!$C$27, 0.0021, 0)</f>
        <v>40.291699999999999</v>
      </c>
      <c r="J375" s="17">
        <f>40.2896 * CHOOSE(CONTROL!$C$9, $D$9, 100%, $F$9) + CHOOSE(CONTROL!$C$27, 0.0021, 0)</f>
        <v>40.291699999999999</v>
      </c>
      <c r="K375" s="17">
        <f>40.2896 * CHOOSE(CONTROL!$C$9, $D$9, 100%, $F$9) + CHOOSE(CONTROL!$C$27, 0.0021, 0)</f>
        <v>40.291699999999999</v>
      </c>
      <c r="L375" s="17"/>
    </row>
    <row r="376" spans="1:12" ht="15.75" x14ac:dyDescent="0.25">
      <c r="A376" s="14">
        <v>52017</v>
      </c>
      <c r="B376" s="17">
        <f>41.5289 * CHOOSE(CONTROL!$C$9, $D$9, 100%, $F$9) + CHOOSE(CONTROL!$C$27, 0.0021, 0)</f>
        <v>41.530999999999999</v>
      </c>
      <c r="C376" s="17">
        <f>41.0966 * CHOOSE(CONTROL!$C$9, $D$9, 100%, $F$9) + CHOOSE(CONTROL!$C$27, 0.0021, 0)</f>
        <v>41.098700000000001</v>
      </c>
      <c r="D376" s="17">
        <f>41.0966 * CHOOSE(CONTROL!$C$9, $D$9, 100%, $F$9) + CHOOSE(CONTROL!$C$27, 0.0021, 0)</f>
        <v>41.098700000000001</v>
      </c>
      <c r="E376" s="17">
        <f>40.96 * CHOOSE(CONTROL!$C$9, $D$9, 100%, $F$9) + CHOOSE(CONTROL!$C$27, 0.0021, 0)</f>
        <v>40.9621</v>
      </c>
      <c r="F376" s="17">
        <f>40.96 * CHOOSE(CONTROL!$C$9, $D$9, 100%, $F$9) + CHOOSE(CONTROL!$C$27, 0.0021, 0)</f>
        <v>40.9621</v>
      </c>
      <c r="G376" s="17">
        <f>41.2313 * CHOOSE(CONTROL!$C$9, $D$9, 100%, $F$9) + CHOOSE(CONTROL!$C$27, 0.0021, 0)</f>
        <v>41.233399999999996</v>
      </c>
      <c r="H376" s="17">
        <f>41.0966 * CHOOSE(CONTROL!$C$9, $D$9, 100%, $F$9) + CHOOSE(CONTROL!$C$27, 0.0021, 0)</f>
        <v>41.098700000000001</v>
      </c>
      <c r="I376" s="17">
        <f>41.0966 * CHOOSE(CONTROL!$C$9, $D$9, 100%, $F$9) + CHOOSE(CONTROL!$C$27, 0.0021, 0)</f>
        <v>41.098700000000001</v>
      </c>
      <c r="J376" s="17">
        <f>41.0966 * CHOOSE(CONTROL!$C$9, $D$9, 100%, $F$9) + CHOOSE(CONTROL!$C$27, 0.0021, 0)</f>
        <v>41.098700000000001</v>
      </c>
      <c r="K376" s="17">
        <f>41.0966 * CHOOSE(CONTROL!$C$9, $D$9, 100%, $F$9) + CHOOSE(CONTROL!$C$27, 0.0021, 0)</f>
        <v>41.098700000000001</v>
      </c>
      <c r="L376" s="17"/>
    </row>
    <row r="377" spans="1:12" ht="15.75" x14ac:dyDescent="0.25">
      <c r="A377" s="14">
        <v>52047</v>
      </c>
      <c r="B377" s="17">
        <f>42.0122 * CHOOSE(CONTROL!$C$9, $D$9, 100%, $F$9) + CHOOSE(CONTROL!$C$27, 0.0021, 0)</f>
        <v>42.014299999999999</v>
      </c>
      <c r="C377" s="17">
        <f>41.58 * CHOOSE(CONTROL!$C$9, $D$9, 100%, $F$9) + CHOOSE(CONTROL!$C$27, 0.0021, 0)</f>
        <v>41.582099999999997</v>
      </c>
      <c r="D377" s="17">
        <f>41.58 * CHOOSE(CONTROL!$C$9, $D$9, 100%, $F$9) + CHOOSE(CONTROL!$C$27, 0.0021, 0)</f>
        <v>41.582099999999997</v>
      </c>
      <c r="E377" s="17">
        <f>41.4433 * CHOOSE(CONTROL!$C$9, $D$9, 100%, $F$9) + CHOOSE(CONTROL!$C$27, 0.0021, 0)</f>
        <v>41.445399999999999</v>
      </c>
      <c r="F377" s="17">
        <f>41.4433 * CHOOSE(CONTROL!$C$9, $D$9, 100%, $F$9) + CHOOSE(CONTROL!$C$27, 0.0021, 0)</f>
        <v>41.445399999999999</v>
      </c>
      <c r="G377" s="17">
        <f>41.7147 * CHOOSE(CONTROL!$C$9, $D$9, 100%, $F$9) + CHOOSE(CONTROL!$C$27, 0.0021, 0)</f>
        <v>41.716799999999999</v>
      </c>
      <c r="H377" s="17">
        <f>41.58 * CHOOSE(CONTROL!$C$9, $D$9, 100%, $F$9) + CHOOSE(CONTROL!$C$27, 0.0021, 0)</f>
        <v>41.582099999999997</v>
      </c>
      <c r="I377" s="17">
        <f>41.58 * CHOOSE(CONTROL!$C$9, $D$9, 100%, $F$9) + CHOOSE(CONTROL!$C$27, 0.0021, 0)</f>
        <v>41.582099999999997</v>
      </c>
      <c r="J377" s="17">
        <f>41.58 * CHOOSE(CONTROL!$C$9, $D$9, 100%, $F$9) + CHOOSE(CONTROL!$C$27, 0.0021, 0)</f>
        <v>41.582099999999997</v>
      </c>
      <c r="K377" s="17">
        <f>41.58 * CHOOSE(CONTROL!$C$9, $D$9, 100%, $F$9) + CHOOSE(CONTROL!$C$27, 0.0021, 0)</f>
        <v>41.582099999999997</v>
      </c>
      <c r="L377" s="17"/>
    </row>
    <row r="378" spans="1:12" ht="15.75" x14ac:dyDescent="0.25">
      <c r="A378" s="14">
        <v>52078</v>
      </c>
      <c r="B378" s="17">
        <f>42.8096 * CHOOSE(CONTROL!$C$9, $D$9, 100%, $F$9) + CHOOSE(CONTROL!$C$27, 0.0021, 0)</f>
        <v>42.811700000000002</v>
      </c>
      <c r="C378" s="17">
        <f>42.3774 * CHOOSE(CONTROL!$C$9, $D$9, 100%, $F$9) + CHOOSE(CONTROL!$C$27, 0.0021, 0)</f>
        <v>42.3795</v>
      </c>
      <c r="D378" s="17">
        <f>42.3774 * CHOOSE(CONTROL!$C$9, $D$9, 100%, $F$9) + CHOOSE(CONTROL!$C$27, 0.0021, 0)</f>
        <v>42.3795</v>
      </c>
      <c r="E378" s="17">
        <f>42.2407 * CHOOSE(CONTROL!$C$9, $D$9, 100%, $F$9) + CHOOSE(CONTROL!$C$27, 0.0021, 0)</f>
        <v>42.242799999999995</v>
      </c>
      <c r="F378" s="17">
        <f>42.2407 * CHOOSE(CONTROL!$C$9, $D$9, 100%, $F$9) + CHOOSE(CONTROL!$C$27, 0.0021, 0)</f>
        <v>42.242799999999995</v>
      </c>
      <c r="G378" s="17">
        <f>42.5121 * CHOOSE(CONTROL!$C$9, $D$9, 100%, $F$9) + CHOOSE(CONTROL!$C$27, 0.0021, 0)</f>
        <v>42.514199999999995</v>
      </c>
      <c r="H378" s="17">
        <f>42.3774 * CHOOSE(CONTROL!$C$9, $D$9, 100%, $F$9) + CHOOSE(CONTROL!$C$27, 0.0021, 0)</f>
        <v>42.3795</v>
      </c>
      <c r="I378" s="17">
        <f>42.3774 * CHOOSE(CONTROL!$C$9, $D$9, 100%, $F$9) + CHOOSE(CONTROL!$C$27, 0.0021, 0)</f>
        <v>42.3795</v>
      </c>
      <c r="J378" s="17">
        <f>42.3774 * CHOOSE(CONTROL!$C$9, $D$9, 100%, $F$9) + CHOOSE(CONTROL!$C$27, 0.0021, 0)</f>
        <v>42.3795</v>
      </c>
      <c r="K378" s="17">
        <f>42.3774 * CHOOSE(CONTROL!$C$9, $D$9, 100%, $F$9) + CHOOSE(CONTROL!$C$27, 0.0021, 0)</f>
        <v>42.3795</v>
      </c>
      <c r="L378" s="17"/>
    </row>
    <row r="379" spans="1:12" ht="15.75" x14ac:dyDescent="0.25">
      <c r="A379" s="14">
        <v>52109</v>
      </c>
      <c r="B379" s="17">
        <f>43.053 * CHOOSE(CONTROL!$C$9, $D$9, 100%, $F$9) + CHOOSE(CONTROL!$C$27, 0.0021, 0)</f>
        <v>43.055099999999996</v>
      </c>
      <c r="C379" s="17">
        <f>42.6208 * CHOOSE(CONTROL!$C$9, $D$9, 100%, $F$9) + CHOOSE(CONTROL!$C$27, 0.0021, 0)</f>
        <v>42.622900000000001</v>
      </c>
      <c r="D379" s="17">
        <f>42.6208 * CHOOSE(CONTROL!$C$9, $D$9, 100%, $F$9) + CHOOSE(CONTROL!$C$27, 0.0021, 0)</f>
        <v>42.622900000000001</v>
      </c>
      <c r="E379" s="17">
        <f>42.4841 * CHOOSE(CONTROL!$C$9, $D$9, 100%, $F$9) + CHOOSE(CONTROL!$C$27, 0.0021, 0)</f>
        <v>42.486199999999997</v>
      </c>
      <c r="F379" s="17">
        <f>42.4841 * CHOOSE(CONTROL!$C$9, $D$9, 100%, $F$9) + CHOOSE(CONTROL!$C$27, 0.0021, 0)</f>
        <v>42.486199999999997</v>
      </c>
      <c r="G379" s="17">
        <f>42.7555 * CHOOSE(CONTROL!$C$9, $D$9, 100%, $F$9) + CHOOSE(CONTROL!$C$27, 0.0021, 0)</f>
        <v>42.757599999999996</v>
      </c>
      <c r="H379" s="17">
        <f>42.6208 * CHOOSE(CONTROL!$C$9, $D$9, 100%, $F$9) + CHOOSE(CONTROL!$C$27, 0.0021, 0)</f>
        <v>42.622900000000001</v>
      </c>
      <c r="I379" s="17">
        <f>42.6208 * CHOOSE(CONTROL!$C$9, $D$9, 100%, $F$9) + CHOOSE(CONTROL!$C$27, 0.0021, 0)</f>
        <v>42.622900000000001</v>
      </c>
      <c r="J379" s="17">
        <f>42.6208 * CHOOSE(CONTROL!$C$9, $D$9, 100%, $F$9) + CHOOSE(CONTROL!$C$27, 0.0021, 0)</f>
        <v>42.622900000000001</v>
      </c>
      <c r="K379" s="17">
        <f>42.6208 * CHOOSE(CONTROL!$C$9, $D$9, 100%, $F$9) + CHOOSE(CONTROL!$C$27, 0.0021, 0)</f>
        <v>42.622900000000001</v>
      </c>
      <c r="L379" s="17"/>
    </row>
    <row r="380" spans="1:12" ht="15.75" x14ac:dyDescent="0.25">
      <c r="A380" s="14">
        <v>52139</v>
      </c>
      <c r="B380" s="17">
        <f>43.8819 * CHOOSE(CONTROL!$C$9, $D$9, 100%, $F$9) + CHOOSE(CONTROL!$C$27, 0.0021, 0)</f>
        <v>43.884</v>
      </c>
      <c r="C380" s="17">
        <f>43.4497 * CHOOSE(CONTROL!$C$9, $D$9, 100%, $F$9) + CHOOSE(CONTROL!$C$27, 0.0021, 0)</f>
        <v>43.451799999999999</v>
      </c>
      <c r="D380" s="17">
        <f>43.4497 * CHOOSE(CONTROL!$C$9, $D$9, 100%, $F$9) + CHOOSE(CONTROL!$C$27, 0.0021, 0)</f>
        <v>43.451799999999999</v>
      </c>
      <c r="E380" s="17">
        <f>43.313 * CHOOSE(CONTROL!$C$9, $D$9, 100%, $F$9) + CHOOSE(CONTROL!$C$27, 0.0021, 0)</f>
        <v>43.315100000000001</v>
      </c>
      <c r="F380" s="17">
        <f>43.313 * CHOOSE(CONTROL!$C$9, $D$9, 100%, $F$9) + CHOOSE(CONTROL!$C$27, 0.0021, 0)</f>
        <v>43.315100000000001</v>
      </c>
      <c r="G380" s="17">
        <f>43.5844 * CHOOSE(CONTROL!$C$9, $D$9, 100%, $F$9) + CHOOSE(CONTROL!$C$27, 0.0021, 0)</f>
        <v>43.586500000000001</v>
      </c>
      <c r="H380" s="17">
        <f>43.4497 * CHOOSE(CONTROL!$C$9, $D$9, 100%, $F$9) + CHOOSE(CONTROL!$C$27, 0.0021, 0)</f>
        <v>43.451799999999999</v>
      </c>
      <c r="I380" s="17">
        <f>43.4497 * CHOOSE(CONTROL!$C$9, $D$9, 100%, $F$9) + CHOOSE(CONTROL!$C$27, 0.0021, 0)</f>
        <v>43.451799999999999</v>
      </c>
      <c r="J380" s="17">
        <f>43.4497 * CHOOSE(CONTROL!$C$9, $D$9, 100%, $F$9) + CHOOSE(CONTROL!$C$27, 0.0021, 0)</f>
        <v>43.451799999999999</v>
      </c>
      <c r="K380" s="17">
        <f>43.4497 * CHOOSE(CONTROL!$C$9, $D$9, 100%, $F$9) + CHOOSE(CONTROL!$C$27, 0.0021, 0)</f>
        <v>43.451799999999999</v>
      </c>
      <c r="L380" s="17"/>
    </row>
    <row r="381" spans="1:12" ht="15.75" x14ac:dyDescent="0.25">
      <c r="A381" s="14">
        <v>52170</v>
      </c>
      <c r="B381" s="17">
        <f>44.9311 * CHOOSE(CONTROL!$C$9, $D$9, 100%, $F$9) + CHOOSE(CONTROL!$C$27, 0.0021, 0)</f>
        <v>44.933199999999999</v>
      </c>
      <c r="C381" s="17">
        <f>44.4989 * CHOOSE(CONTROL!$C$9, $D$9, 100%, $F$9) + CHOOSE(CONTROL!$C$27, 0.0021, 0)</f>
        <v>44.500999999999998</v>
      </c>
      <c r="D381" s="17">
        <f>44.4989 * CHOOSE(CONTROL!$C$9, $D$9, 100%, $F$9) + CHOOSE(CONTROL!$C$27, 0.0021, 0)</f>
        <v>44.500999999999998</v>
      </c>
      <c r="E381" s="17">
        <f>44.3622 * CHOOSE(CONTROL!$C$9, $D$9, 100%, $F$9) + CHOOSE(CONTROL!$C$27, 0.0021, 0)</f>
        <v>44.3643</v>
      </c>
      <c r="F381" s="17">
        <f>44.3622 * CHOOSE(CONTROL!$C$9, $D$9, 100%, $F$9) + CHOOSE(CONTROL!$C$27, 0.0021, 0)</f>
        <v>44.3643</v>
      </c>
      <c r="G381" s="17">
        <f>44.6336 * CHOOSE(CONTROL!$C$9, $D$9, 100%, $F$9) + CHOOSE(CONTROL!$C$27, 0.0021, 0)</f>
        <v>44.6357</v>
      </c>
      <c r="H381" s="17">
        <f>44.4989 * CHOOSE(CONTROL!$C$9, $D$9, 100%, $F$9) + CHOOSE(CONTROL!$C$27, 0.0021, 0)</f>
        <v>44.500999999999998</v>
      </c>
      <c r="I381" s="17">
        <f>44.4989 * CHOOSE(CONTROL!$C$9, $D$9, 100%, $F$9) + CHOOSE(CONTROL!$C$27, 0.0021, 0)</f>
        <v>44.500999999999998</v>
      </c>
      <c r="J381" s="17">
        <f>44.4989 * CHOOSE(CONTROL!$C$9, $D$9, 100%, $F$9) + CHOOSE(CONTROL!$C$27, 0.0021, 0)</f>
        <v>44.500999999999998</v>
      </c>
      <c r="K381" s="17">
        <f>44.4989 * CHOOSE(CONTROL!$C$9, $D$9, 100%, $F$9) + CHOOSE(CONTROL!$C$27, 0.0021, 0)</f>
        <v>44.500999999999998</v>
      </c>
      <c r="L381" s="17"/>
    </row>
    <row r="382" spans="1:12" ht="15.75" x14ac:dyDescent="0.25">
      <c r="A382" s="14">
        <v>52200</v>
      </c>
      <c r="B382" s="17">
        <f>45.0296 * CHOOSE(CONTROL!$C$9, $D$9, 100%, $F$9) + CHOOSE(CONTROL!$C$27, 0.0021, 0)</f>
        <v>45.031700000000001</v>
      </c>
      <c r="C382" s="17">
        <f>44.5974 * CHOOSE(CONTROL!$C$9, $D$9, 100%, $F$9) + CHOOSE(CONTROL!$C$27, 0.0021, 0)</f>
        <v>44.599499999999999</v>
      </c>
      <c r="D382" s="17">
        <f>44.5974 * CHOOSE(CONTROL!$C$9, $D$9, 100%, $F$9) + CHOOSE(CONTROL!$C$27, 0.0021, 0)</f>
        <v>44.599499999999999</v>
      </c>
      <c r="E382" s="17">
        <f>44.4607 * CHOOSE(CONTROL!$C$9, $D$9, 100%, $F$9) + CHOOSE(CONTROL!$C$27, 0.0021, 0)</f>
        <v>44.462800000000001</v>
      </c>
      <c r="F382" s="17">
        <f>44.4607 * CHOOSE(CONTROL!$C$9, $D$9, 100%, $F$9) + CHOOSE(CONTROL!$C$27, 0.0021, 0)</f>
        <v>44.462800000000001</v>
      </c>
      <c r="G382" s="17">
        <f>44.7321 * CHOOSE(CONTROL!$C$9, $D$9, 100%, $F$9) + CHOOSE(CONTROL!$C$27, 0.0021, 0)</f>
        <v>44.734200000000001</v>
      </c>
      <c r="H382" s="17">
        <f>44.5974 * CHOOSE(CONTROL!$C$9, $D$9, 100%, $F$9) + CHOOSE(CONTROL!$C$27, 0.0021, 0)</f>
        <v>44.599499999999999</v>
      </c>
      <c r="I382" s="17">
        <f>44.5974 * CHOOSE(CONTROL!$C$9, $D$9, 100%, $F$9) + CHOOSE(CONTROL!$C$27, 0.0021, 0)</f>
        <v>44.599499999999999</v>
      </c>
      <c r="J382" s="17">
        <f>44.5974 * CHOOSE(CONTROL!$C$9, $D$9, 100%, $F$9) + CHOOSE(CONTROL!$C$27, 0.0021, 0)</f>
        <v>44.599499999999999</v>
      </c>
      <c r="K382" s="17">
        <f>44.5974 * CHOOSE(CONTROL!$C$9, $D$9, 100%, $F$9) + CHOOSE(CONTROL!$C$27, 0.0021, 0)</f>
        <v>44.599499999999999</v>
      </c>
      <c r="L382" s="17"/>
    </row>
    <row r="383" spans="1:12" ht="15.75" x14ac:dyDescent="0.25">
      <c r="A383" s="14">
        <v>52231</v>
      </c>
      <c r="B383" s="17">
        <f>44.1916 * CHOOSE(CONTROL!$C$9, $D$9, 100%, $F$9) + CHOOSE(CONTROL!$C$27, 0.0021, 0)</f>
        <v>44.1937</v>
      </c>
      <c r="C383" s="17">
        <f>43.7594 * CHOOSE(CONTROL!$C$9, $D$9, 100%, $F$9) + CHOOSE(CONTROL!$C$27, 0.0021, 0)</f>
        <v>43.761499999999998</v>
      </c>
      <c r="D383" s="17">
        <f>43.7594 * CHOOSE(CONTROL!$C$9, $D$9, 100%, $F$9) + CHOOSE(CONTROL!$C$27, 0.0021, 0)</f>
        <v>43.761499999999998</v>
      </c>
      <c r="E383" s="17">
        <f>43.6227 * CHOOSE(CONTROL!$C$9, $D$9, 100%, $F$9) + CHOOSE(CONTROL!$C$27, 0.0021, 0)</f>
        <v>43.6248</v>
      </c>
      <c r="F383" s="17">
        <f>43.6227 * CHOOSE(CONTROL!$C$9, $D$9, 100%, $F$9) + CHOOSE(CONTROL!$C$27, 0.0021, 0)</f>
        <v>43.6248</v>
      </c>
      <c r="G383" s="17">
        <f>43.8941 * CHOOSE(CONTROL!$C$9, $D$9, 100%, $F$9) + CHOOSE(CONTROL!$C$27, 0.0021, 0)</f>
        <v>43.8962</v>
      </c>
      <c r="H383" s="17">
        <f>43.7594 * CHOOSE(CONTROL!$C$9, $D$9, 100%, $F$9) + CHOOSE(CONTROL!$C$27, 0.0021, 0)</f>
        <v>43.761499999999998</v>
      </c>
      <c r="I383" s="17">
        <f>43.7594 * CHOOSE(CONTROL!$C$9, $D$9, 100%, $F$9) + CHOOSE(CONTROL!$C$27, 0.0021, 0)</f>
        <v>43.761499999999998</v>
      </c>
      <c r="J383" s="17">
        <f>43.7594 * CHOOSE(CONTROL!$C$9, $D$9, 100%, $F$9) + CHOOSE(CONTROL!$C$27, 0.0021, 0)</f>
        <v>43.761499999999998</v>
      </c>
      <c r="K383" s="17">
        <f>43.7594 * CHOOSE(CONTROL!$C$9, $D$9, 100%, $F$9) + CHOOSE(CONTROL!$C$27, 0.0021, 0)</f>
        <v>43.761499999999998</v>
      </c>
      <c r="L383" s="17"/>
    </row>
    <row r="384" spans="1:12" ht="15.75" x14ac:dyDescent="0.25">
      <c r="A384" s="14">
        <v>52262</v>
      </c>
      <c r="B384" s="17">
        <f>43.3574 * CHOOSE(CONTROL!$C$9, $D$9, 100%, $F$9) + CHOOSE(CONTROL!$C$27, 0.0021, 0)</f>
        <v>43.359499999999997</v>
      </c>
      <c r="C384" s="17">
        <f>42.9252 * CHOOSE(CONTROL!$C$9, $D$9, 100%, $F$9) + CHOOSE(CONTROL!$C$27, 0.0021, 0)</f>
        <v>42.927299999999995</v>
      </c>
      <c r="D384" s="17">
        <f>42.9252 * CHOOSE(CONTROL!$C$9, $D$9, 100%, $F$9) + CHOOSE(CONTROL!$C$27, 0.0021, 0)</f>
        <v>42.927299999999995</v>
      </c>
      <c r="E384" s="17">
        <f>42.7885 * CHOOSE(CONTROL!$C$9, $D$9, 100%, $F$9) + CHOOSE(CONTROL!$C$27, 0.0021, 0)</f>
        <v>42.790599999999998</v>
      </c>
      <c r="F384" s="17">
        <f>42.7885 * CHOOSE(CONTROL!$C$9, $D$9, 100%, $F$9) + CHOOSE(CONTROL!$C$27, 0.0021, 0)</f>
        <v>42.790599999999998</v>
      </c>
      <c r="G384" s="17">
        <f>43.0599 * CHOOSE(CONTROL!$C$9, $D$9, 100%, $F$9) + CHOOSE(CONTROL!$C$27, 0.0021, 0)</f>
        <v>43.061999999999998</v>
      </c>
      <c r="H384" s="17">
        <f>42.9252 * CHOOSE(CONTROL!$C$9, $D$9, 100%, $F$9) + CHOOSE(CONTROL!$C$27, 0.0021, 0)</f>
        <v>42.927299999999995</v>
      </c>
      <c r="I384" s="17">
        <f>42.9252 * CHOOSE(CONTROL!$C$9, $D$9, 100%, $F$9) + CHOOSE(CONTROL!$C$27, 0.0021, 0)</f>
        <v>42.927299999999995</v>
      </c>
      <c r="J384" s="17">
        <f>42.9252 * CHOOSE(CONTROL!$C$9, $D$9, 100%, $F$9) + CHOOSE(CONTROL!$C$27, 0.0021, 0)</f>
        <v>42.927299999999995</v>
      </c>
      <c r="K384" s="17">
        <f>42.9252 * CHOOSE(CONTROL!$C$9, $D$9, 100%, $F$9) + CHOOSE(CONTROL!$C$27, 0.0021, 0)</f>
        <v>42.927299999999995</v>
      </c>
      <c r="L384" s="17"/>
    </row>
    <row r="385" spans="1:12" ht="15.75" x14ac:dyDescent="0.25">
      <c r="A385" s="14">
        <v>52290</v>
      </c>
      <c r="B385" s="17">
        <f>42.1959 * CHOOSE(CONTROL!$C$9, $D$9, 100%, $F$9) + CHOOSE(CONTROL!$C$27, 0.0021, 0)</f>
        <v>42.198</v>
      </c>
      <c r="C385" s="17">
        <f>41.7636 * CHOOSE(CONTROL!$C$9, $D$9, 100%, $F$9) + CHOOSE(CONTROL!$C$27, 0.0021, 0)</f>
        <v>41.765699999999995</v>
      </c>
      <c r="D385" s="17">
        <f>41.7636 * CHOOSE(CONTROL!$C$9, $D$9, 100%, $F$9) + CHOOSE(CONTROL!$C$27, 0.0021, 0)</f>
        <v>41.765699999999995</v>
      </c>
      <c r="E385" s="17">
        <f>41.627 * CHOOSE(CONTROL!$C$9, $D$9, 100%, $F$9) + CHOOSE(CONTROL!$C$27, 0.0021, 0)</f>
        <v>41.629100000000001</v>
      </c>
      <c r="F385" s="17">
        <f>41.627 * CHOOSE(CONTROL!$C$9, $D$9, 100%, $F$9) + CHOOSE(CONTROL!$C$27, 0.0021, 0)</f>
        <v>41.629100000000001</v>
      </c>
      <c r="G385" s="17">
        <f>41.8984 * CHOOSE(CONTROL!$C$9, $D$9, 100%, $F$9) + CHOOSE(CONTROL!$C$27, 0.0021, 0)</f>
        <v>41.900500000000001</v>
      </c>
      <c r="H385" s="17">
        <f>41.7636 * CHOOSE(CONTROL!$C$9, $D$9, 100%, $F$9) + CHOOSE(CONTROL!$C$27, 0.0021, 0)</f>
        <v>41.765699999999995</v>
      </c>
      <c r="I385" s="17">
        <f>41.7636 * CHOOSE(CONTROL!$C$9, $D$9, 100%, $F$9) + CHOOSE(CONTROL!$C$27, 0.0021, 0)</f>
        <v>41.765699999999995</v>
      </c>
      <c r="J385" s="17">
        <f>41.7636 * CHOOSE(CONTROL!$C$9, $D$9, 100%, $F$9) + CHOOSE(CONTROL!$C$27, 0.0021, 0)</f>
        <v>41.765699999999995</v>
      </c>
      <c r="K385" s="17">
        <f>41.7636 * CHOOSE(CONTROL!$C$9, $D$9, 100%, $F$9) + CHOOSE(CONTROL!$C$27, 0.0021, 0)</f>
        <v>41.765699999999995</v>
      </c>
      <c r="L385" s="17"/>
    </row>
    <row r="386" spans="1:12" ht="15.75" x14ac:dyDescent="0.25">
      <c r="A386" s="14">
        <v>52321</v>
      </c>
      <c r="B386" s="17">
        <f>41.7164 * CHOOSE(CONTROL!$C$9, $D$9, 100%, $F$9) + CHOOSE(CONTROL!$C$27, 0.0021, 0)</f>
        <v>41.718499999999999</v>
      </c>
      <c r="C386" s="17">
        <f>41.2842 * CHOOSE(CONTROL!$C$9, $D$9, 100%, $F$9) + CHOOSE(CONTROL!$C$27, 0.0021, 0)</f>
        <v>41.286299999999997</v>
      </c>
      <c r="D386" s="17">
        <f>41.2842 * CHOOSE(CONTROL!$C$9, $D$9, 100%, $F$9) + CHOOSE(CONTROL!$C$27, 0.0021, 0)</f>
        <v>41.286299999999997</v>
      </c>
      <c r="E386" s="17">
        <f>41.1475 * CHOOSE(CONTROL!$C$9, $D$9, 100%, $F$9) + CHOOSE(CONTROL!$C$27, 0.0021, 0)</f>
        <v>41.1496</v>
      </c>
      <c r="F386" s="17">
        <f>41.1475 * CHOOSE(CONTROL!$C$9, $D$9, 100%, $F$9) + CHOOSE(CONTROL!$C$27, 0.0021, 0)</f>
        <v>41.1496</v>
      </c>
      <c r="G386" s="17">
        <f>41.4189 * CHOOSE(CONTROL!$C$9, $D$9, 100%, $F$9) + CHOOSE(CONTROL!$C$27, 0.0021, 0)</f>
        <v>41.420999999999999</v>
      </c>
      <c r="H386" s="17">
        <f>41.2842 * CHOOSE(CONTROL!$C$9, $D$9, 100%, $F$9) + CHOOSE(CONTROL!$C$27, 0.0021, 0)</f>
        <v>41.286299999999997</v>
      </c>
      <c r="I386" s="17">
        <f>41.2842 * CHOOSE(CONTROL!$C$9, $D$9, 100%, $F$9) + CHOOSE(CONTROL!$C$27, 0.0021, 0)</f>
        <v>41.286299999999997</v>
      </c>
      <c r="J386" s="17">
        <f>41.2842 * CHOOSE(CONTROL!$C$9, $D$9, 100%, $F$9) + CHOOSE(CONTROL!$C$27, 0.0021, 0)</f>
        <v>41.286299999999997</v>
      </c>
      <c r="K386" s="17">
        <f>41.2842 * CHOOSE(CONTROL!$C$9, $D$9, 100%, $F$9) + CHOOSE(CONTROL!$C$27, 0.0021, 0)</f>
        <v>41.286299999999997</v>
      </c>
      <c r="L386" s="17"/>
    </row>
    <row r="387" spans="1:12" ht="15.75" x14ac:dyDescent="0.25">
      <c r="A387" s="14">
        <v>52351</v>
      </c>
      <c r="B387" s="17">
        <f>41.1439 * CHOOSE(CONTROL!$C$9, $D$9, 100%, $F$9) + CHOOSE(CONTROL!$C$27, 0.0021, 0)</f>
        <v>41.146000000000001</v>
      </c>
      <c r="C387" s="17">
        <f>40.7116 * CHOOSE(CONTROL!$C$9, $D$9, 100%, $F$9) + CHOOSE(CONTROL!$C$27, 0.0021, 0)</f>
        <v>40.713699999999996</v>
      </c>
      <c r="D387" s="17">
        <f>40.7116 * CHOOSE(CONTROL!$C$9, $D$9, 100%, $F$9) + CHOOSE(CONTROL!$C$27, 0.0021, 0)</f>
        <v>40.713699999999996</v>
      </c>
      <c r="E387" s="17">
        <f>40.575 * CHOOSE(CONTROL!$C$9, $D$9, 100%, $F$9) + CHOOSE(CONTROL!$C$27, 0.0021, 0)</f>
        <v>40.577100000000002</v>
      </c>
      <c r="F387" s="17">
        <f>40.575 * CHOOSE(CONTROL!$C$9, $D$9, 100%, $F$9) + CHOOSE(CONTROL!$C$27, 0.0021, 0)</f>
        <v>40.577100000000002</v>
      </c>
      <c r="G387" s="17">
        <f>40.8464 * CHOOSE(CONTROL!$C$9, $D$9, 100%, $F$9) + CHOOSE(CONTROL!$C$27, 0.0021, 0)</f>
        <v>40.848500000000001</v>
      </c>
      <c r="H387" s="17">
        <f>40.7116 * CHOOSE(CONTROL!$C$9, $D$9, 100%, $F$9) + CHOOSE(CONTROL!$C$27, 0.0021, 0)</f>
        <v>40.713699999999996</v>
      </c>
      <c r="I387" s="17">
        <f>40.7116 * CHOOSE(CONTROL!$C$9, $D$9, 100%, $F$9) + CHOOSE(CONTROL!$C$27, 0.0021, 0)</f>
        <v>40.713699999999996</v>
      </c>
      <c r="J387" s="17">
        <f>40.7116 * CHOOSE(CONTROL!$C$9, $D$9, 100%, $F$9) + CHOOSE(CONTROL!$C$27, 0.0021, 0)</f>
        <v>40.713699999999996</v>
      </c>
      <c r="K387" s="17">
        <f>40.7116 * CHOOSE(CONTROL!$C$9, $D$9, 100%, $F$9) + CHOOSE(CONTROL!$C$27, 0.0021, 0)</f>
        <v>40.713699999999996</v>
      </c>
      <c r="L387" s="17"/>
    </row>
    <row r="388" spans="1:12" ht="15.75" x14ac:dyDescent="0.25">
      <c r="A388" s="14">
        <v>52382</v>
      </c>
      <c r="B388" s="17">
        <f>41.9598 * CHOOSE(CONTROL!$C$9, $D$9, 100%, $F$9) + CHOOSE(CONTROL!$C$27, 0.0021, 0)</f>
        <v>41.9619</v>
      </c>
      <c r="C388" s="17">
        <f>41.5275 * CHOOSE(CONTROL!$C$9, $D$9, 100%, $F$9) + CHOOSE(CONTROL!$C$27, 0.0021, 0)</f>
        <v>41.529600000000002</v>
      </c>
      <c r="D388" s="17">
        <f>41.5275 * CHOOSE(CONTROL!$C$9, $D$9, 100%, $F$9) + CHOOSE(CONTROL!$C$27, 0.0021, 0)</f>
        <v>41.529600000000002</v>
      </c>
      <c r="E388" s="17">
        <f>41.3909 * CHOOSE(CONTROL!$C$9, $D$9, 100%, $F$9) + CHOOSE(CONTROL!$C$27, 0.0021, 0)</f>
        <v>41.393000000000001</v>
      </c>
      <c r="F388" s="17">
        <f>41.3909 * CHOOSE(CONTROL!$C$9, $D$9, 100%, $F$9) + CHOOSE(CONTROL!$C$27, 0.0021, 0)</f>
        <v>41.393000000000001</v>
      </c>
      <c r="G388" s="17">
        <f>41.6623 * CHOOSE(CONTROL!$C$9, $D$9, 100%, $F$9) + CHOOSE(CONTROL!$C$27, 0.0021, 0)</f>
        <v>41.664400000000001</v>
      </c>
      <c r="H388" s="17">
        <f>41.5275 * CHOOSE(CONTROL!$C$9, $D$9, 100%, $F$9) + CHOOSE(CONTROL!$C$27, 0.0021, 0)</f>
        <v>41.529600000000002</v>
      </c>
      <c r="I388" s="17">
        <f>41.5275 * CHOOSE(CONTROL!$C$9, $D$9, 100%, $F$9) + CHOOSE(CONTROL!$C$27, 0.0021, 0)</f>
        <v>41.529600000000002</v>
      </c>
      <c r="J388" s="17">
        <f>41.5275 * CHOOSE(CONTROL!$C$9, $D$9, 100%, $F$9) + CHOOSE(CONTROL!$C$27, 0.0021, 0)</f>
        <v>41.529600000000002</v>
      </c>
      <c r="K388" s="17">
        <f>41.5275 * CHOOSE(CONTROL!$C$9, $D$9, 100%, $F$9) + CHOOSE(CONTROL!$C$27, 0.0021, 0)</f>
        <v>41.529600000000002</v>
      </c>
      <c r="L388" s="17"/>
    </row>
    <row r="389" spans="1:12" ht="15.75" x14ac:dyDescent="0.25">
      <c r="A389" s="14">
        <v>52412</v>
      </c>
      <c r="B389" s="17">
        <f>42.4485 * CHOOSE(CONTROL!$C$9, $D$9, 100%, $F$9) + CHOOSE(CONTROL!$C$27, 0.0021, 0)</f>
        <v>42.450600000000001</v>
      </c>
      <c r="C389" s="17">
        <f>42.0162 * CHOOSE(CONTROL!$C$9, $D$9, 100%, $F$9) + CHOOSE(CONTROL!$C$27, 0.0021, 0)</f>
        <v>42.018299999999996</v>
      </c>
      <c r="D389" s="17">
        <f>42.0162 * CHOOSE(CONTROL!$C$9, $D$9, 100%, $F$9) + CHOOSE(CONTROL!$C$27, 0.0021, 0)</f>
        <v>42.018299999999996</v>
      </c>
      <c r="E389" s="17">
        <f>41.8796 * CHOOSE(CONTROL!$C$9, $D$9, 100%, $F$9) + CHOOSE(CONTROL!$C$27, 0.0021, 0)</f>
        <v>41.881700000000002</v>
      </c>
      <c r="F389" s="17">
        <f>41.8796 * CHOOSE(CONTROL!$C$9, $D$9, 100%, $F$9) + CHOOSE(CONTROL!$C$27, 0.0021, 0)</f>
        <v>41.881700000000002</v>
      </c>
      <c r="G389" s="17">
        <f>42.1509 * CHOOSE(CONTROL!$C$9, $D$9, 100%, $F$9) + CHOOSE(CONTROL!$C$27, 0.0021, 0)</f>
        <v>42.152999999999999</v>
      </c>
      <c r="H389" s="17">
        <f>42.0162 * CHOOSE(CONTROL!$C$9, $D$9, 100%, $F$9) + CHOOSE(CONTROL!$C$27, 0.0021, 0)</f>
        <v>42.018299999999996</v>
      </c>
      <c r="I389" s="17">
        <f>42.0162 * CHOOSE(CONTROL!$C$9, $D$9, 100%, $F$9) + CHOOSE(CONTROL!$C$27, 0.0021, 0)</f>
        <v>42.018299999999996</v>
      </c>
      <c r="J389" s="17">
        <f>42.0162 * CHOOSE(CONTROL!$C$9, $D$9, 100%, $F$9) + CHOOSE(CONTROL!$C$27, 0.0021, 0)</f>
        <v>42.018299999999996</v>
      </c>
      <c r="K389" s="17">
        <f>42.0162 * CHOOSE(CONTROL!$C$9, $D$9, 100%, $F$9) + CHOOSE(CONTROL!$C$27, 0.0021, 0)</f>
        <v>42.018299999999996</v>
      </c>
      <c r="L389" s="17"/>
    </row>
    <row r="390" spans="1:12" ht="15.75" x14ac:dyDescent="0.25">
      <c r="A390" s="14">
        <v>52443</v>
      </c>
      <c r="B390" s="17">
        <f>43.2546 * CHOOSE(CONTROL!$C$9, $D$9, 100%, $F$9) + CHOOSE(CONTROL!$C$27, 0.0021, 0)</f>
        <v>43.256700000000002</v>
      </c>
      <c r="C390" s="17">
        <f>42.8224 * CHOOSE(CONTROL!$C$9, $D$9, 100%, $F$9) + CHOOSE(CONTROL!$C$27, 0.0021, 0)</f>
        <v>42.8245</v>
      </c>
      <c r="D390" s="17">
        <f>42.8224 * CHOOSE(CONTROL!$C$9, $D$9, 100%, $F$9) + CHOOSE(CONTROL!$C$27, 0.0021, 0)</f>
        <v>42.8245</v>
      </c>
      <c r="E390" s="17">
        <f>42.6857 * CHOOSE(CONTROL!$C$9, $D$9, 100%, $F$9) + CHOOSE(CONTROL!$C$27, 0.0021, 0)</f>
        <v>42.687799999999996</v>
      </c>
      <c r="F390" s="17">
        <f>42.6857 * CHOOSE(CONTROL!$C$9, $D$9, 100%, $F$9) + CHOOSE(CONTROL!$C$27, 0.0021, 0)</f>
        <v>42.687799999999996</v>
      </c>
      <c r="G390" s="17">
        <f>42.9571 * CHOOSE(CONTROL!$C$9, $D$9, 100%, $F$9) + CHOOSE(CONTROL!$C$27, 0.0021, 0)</f>
        <v>42.959199999999996</v>
      </c>
      <c r="H390" s="17">
        <f>42.8224 * CHOOSE(CONTROL!$C$9, $D$9, 100%, $F$9) + CHOOSE(CONTROL!$C$27, 0.0021, 0)</f>
        <v>42.8245</v>
      </c>
      <c r="I390" s="17">
        <f>42.8224 * CHOOSE(CONTROL!$C$9, $D$9, 100%, $F$9) + CHOOSE(CONTROL!$C$27, 0.0021, 0)</f>
        <v>42.8245</v>
      </c>
      <c r="J390" s="17">
        <f>42.8224 * CHOOSE(CONTROL!$C$9, $D$9, 100%, $F$9) + CHOOSE(CONTROL!$C$27, 0.0021, 0)</f>
        <v>42.8245</v>
      </c>
      <c r="K390" s="17">
        <f>42.8224 * CHOOSE(CONTROL!$C$9, $D$9, 100%, $F$9) + CHOOSE(CONTROL!$C$27, 0.0021, 0)</f>
        <v>42.8245</v>
      </c>
      <c r="L390" s="17"/>
    </row>
    <row r="391" spans="1:12" ht="15.75" x14ac:dyDescent="0.25">
      <c r="A391" s="14">
        <v>52474</v>
      </c>
      <c r="B391" s="17">
        <f>43.5007 * CHOOSE(CONTROL!$C$9, $D$9, 100%, $F$9) + CHOOSE(CONTROL!$C$27, 0.0021, 0)</f>
        <v>43.502800000000001</v>
      </c>
      <c r="C391" s="17">
        <f>43.0685 * CHOOSE(CONTROL!$C$9, $D$9, 100%, $F$9) + CHOOSE(CONTROL!$C$27, 0.0021, 0)</f>
        <v>43.070599999999999</v>
      </c>
      <c r="D391" s="17">
        <f>43.0685 * CHOOSE(CONTROL!$C$9, $D$9, 100%, $F$9) + CHOOSE(CONTROL!$C$27, 0.0021, 0)</f>
        <v>43.070599999999999</v>
      </c>
      <c r="E391" s="17">
        <f>42.9318 * CHOOSE(CONTROL!$C$9, $D$9, 100%, $F$9) + CHOOSE(CONTROL!$C$27, 0.0021, 0)</f>
        <v>42.933900000000001</v>
      </c>
      <c r="F391" s="17">
        <f>42.9318 * CHOOSE(CONTROL!$C$9, $D$9, 100%, $F$9) + CHOOSE(CONTROL!$C$27, 0.0021, 0)</f>
        <v>42.933900000000001</v>
      </c>
      <c r="G391" s="17">
        <f>43.2032 * CHOOSE(CONTROL!$C$9, $D$9, 100%, $F$9) + CHOOSE(CONTROL!$C$27, 0.0021, 0)</f>
        <v>43.205300000000001</v>
      </c>
      <c r="H391" s="17">
        <f>43.0685 * CHOOSE(CONTROL!$C$9, $D$9, 100%, $F$9) + CHOOSE(CONTROL!$C$27, 0.0021, 0)</f>
        <v>43.070599999999999</v>
      </c>
      <c r="I391" s="17">
        <f>43.0685 * CHOOSE(CONTROL!$C$9, $D$9, 100%, $F$9) + CHOOSE(CONTROL!$C$27, 0.0021, 0)</f>
        <v>43.070599999999999</v>
      </c>
      <c r="J391" s="17">
        <f>43.0685 * CHOOSE(CONTROL!$C$9, $D$9, 100%, $F$9) + CHOOSE(CONTROL!$C$27, 0.0021, 0)</f>
        <v>43.070599999999999</v>
      </c>
      <c r="K391" s="17">
        <f>43.0685 * CHOOSE(CONTROL!$C$9, $D$9, 100%, $F$9) + CHOOSE(CONTROL!$C$27, 0.0021, 0)</f>
        <v>43.070599999999999</v>
      </c>
      <c r="L391" s="17"/>
    </row>
    <row r="392" spans="1:12" ht="15.75" x14ac:dyDescent="0.25">
      <c r="A392" s="14">
        <v>52504</v>
      </c>
      <c r="B392" s="17">
        <f>44.3387 * CHOOSE(CONTROL!$C$9, $D$9, 100%, $F$9) + CHOOSE(CONTROL!$C$27, 0.0021, 0)</f>
        <v>44.340800000000002</v>
      </c>
      <c r="C392" s="17">
        <f>43.9064 * CHOOSE(CONTROL!$C$9, $D$9, 100%, $F$9) + CHOOSE(CONTROL!$C$27, 0.0021, 0)</f>
        <v>43.908499999999997</v>
      </c>
      <c r="D392" s="17">
        <f>43.9064 * CHOOSE(CONTROL!$C$9, $D$9, 100%, $F$9) + CHOOSE(CONTROL!$C$27, 0.0021, 0)</f>
        <v>43.908499999999997</v>
      </c>
      <c r="E392" s="17">
        <f>43.7698 * CHOOSE(CONTROL!$C$9, $D$9, 100%, $F$9) + CHOOSE(CONTROL!$C$27, 0.0021, 0)</f>
        <v>43.771899999999995</v>
      </c>
      <c r="F392" s="17">
        <f>43.7698 * CHOOSE(CONTROL!$C$9, $D$9, 100%, $F$9) + CHOOSE(CONTROL!$C$27, 0.0021, 0)</f>
        <v>43.771899999999995</v>
      </c>
      <c r="G392" s="17">
        <f>44.0411 * CHOOSE(CONTROL!$C$9, $D$9, 100%, $F$9) + CHOOSE(CONTROL!$C$27, 0.0021, 0)</f>
        <v>44.043199999999999</v>
      </c>
      <c r="H392" s="17">
        <f>43.9064 * CHOOSE(CONTROL!$C$9, $D$9, 100%, $F$9) + CHOOSE(CONTROL!$C$27, 0.0021, 0)</f>
        <v>43.908499999999997</v>
      </c>
      <c r="I392" s="17">
        <f>43.9064 * CHOOSE(CONTROL!$C$9, $D$9, 100%, $F$9) + CHOOSE(CONTROL!$C$27, 0.0021, 0)</f>
        <v>43.908499999999997</v>
      </c>
      <c r="J392" s="17">
        <f>43.9064 * CHOOSE(CONTROL!$C$9, $D$9, 100%, $F$9) + CHOOSE(CONTROL!$C$27, 0.0021, 0)</f>
        <v>43.908499999999997</v>
      </c>
      <c r="K392" s="17">
        <f>43.9064 * CHOOSE(CONTROL!$C$9, $D$9, 100%, $F$9) + CHOOSE(CONTROL!$C$27, 0.0021, 0)</f>
        <v>43.908499999999997</v>
      </c>
      <c r="L392" s="17"/>
    </row>
    <row r="393" spans="1:12" ht="15.75" x14ac:dyDescent="0.25">
      <c r="A393" s="14">
        <v>52535</v>
      </c>
      <c r="B393" s="17">
        <f>45.3994 * CHOOSE(CONTROL!$C$9, $D$9, 100%, $F$9) + CHOOSE(CONTROL!$C$27, 0.0021, 0)</f>
        <v>45.401499999999999</v>
      </c>
      <c r="C393" s="17">
        <f>44.9672 * CHOOSE(CONTROL!$C$9, $D$9, 100%, $F$9) + CHOOSE(CONTROL!$C$27, 0.0021, 0)</f>
        <v>44.969299999999997</v>
      </c>
      <c r="D393" s="17">
        <f>44.9672 * CHOOSE(CONTROL!$C$9, $D$9, 100%, $F$9) + CHOOSE(CONTROL!$C$27, 0.0021, 0)</f>
        <v>44.969299999999997</v>
      </c>
      <c r="E393" s="17">
        <f>44.8305 * CHOOSE(CONTROL!$C$9, $D$9, 100%, $F$9) + CHOOSE(CONTROL!$C$27, 0.0021, 0)</f>
        <v>44.832599999999999</v>
      </c>
      <c r="F393" s="17">
        <f>44.8305 * CHOOSE(CONTROL!$C$9, $D$9, 100%, $F$9) + CHOOSE(CONTROL!$C$27, 0.0021, 0)</f>
        <v>44.832599999999999</v>
      </c>
      <c r="G393" s="17">
        <f>45.1019 * CHOOSE(CONTROL!$C$9, $D$9, 100%, $F$9) + CHOOSE(CONTROL!$C$27, 0.0021, 0)</f>
        <v>45.103999999999999</v>
      </c>
      <c r="H393" s="17">
        <f>44.9672 * CHOOSE(CONTROL!$C$9, $D$9, 100%, $F$9) + CHOOSE(CONTROL!$C$27, 0.0021, 0)</f>
        <v>44.969299999999997</v>
      </c>
      <c r="I393" s="17">
        <f>44.9672 * CHOOSE(CONTROL!$C$9, $D$9, 100%, $F$9) + CHOOSE(CONTROL!$C$27, 0.0021, 0)</f>
        <v>44.969299999999997</v>
      </c>
      <c r="J393" s="17">
        <f>44.9672 * CHOOSE(CONTROL!$C$9, $D$9, 100%, $F$9) + CHOOSE(CONTROL!$C$27, 0.0021, 0)</f>
        <v>44.969299999999997</v>
      </c>
      <c r="K393" s="17">
        <f>44.9672 * CHOOSE(CONTROL!$C$9, $D$9, 100%, $F$9) + CHOOSE(CONTROL!$C$27, 0.0021, 0)</f>
        <v>44.969299999999997</v>
      </c>
      <c r="L393" s="17"/>
    </row>
    <row r="394" spans="1:12" ht="15.75" x14ac:dyDescent="0.25">
      <c r="A394" s="14">
        <v>52565</v>
      </c>
      <c r="B394" s="17">
        <f>45.499 * CHOOSE(CONTROL!$C$9, $D$9, 100%, $F$9) + CHOOSE(CONTROL!$C$27, 0.0021, 0)</f>
        <v>45.501100000000001</v>
      </c>
      <c r="C394" s="17">
        <f>45.0667 * CHOOSE(CONTROL!$C$9, $D$9, 100%, $F$9) + CHOOSE(CONTROL!$C$27, 0.0021, 0)</f>
        <v>45.068799999999996</v>
      </c>
      <c r="D394" s="17">
        <f>45.0667 * CHOOSE(CONTROL!$C$9, $D$9, 100%, $F$9) + CHOOSE(CONTROL!$C$27, 0.0021, 0)</f>
        <v>45.068799999999996</v>
      </c>
      <c r="E394" s="17">
        <f>44.9301 * CHOOSE(CONTROL!$C$9, $D$9, 100%, $F$9) + CHOOSE(CONTROL!$C$27, 0.0021, 0)</f>
        <v>44.932200000000002</v>
      </c>
      <c r="F394" s="17">
        <f>44.9301 * CHOOSE(CONTROL!$C$9, $D$9, 100%, $F$9) + CHOOSE(CONTROL!$C$27, 0.0021, 0)</f>
        <v>44.932200000000002</v>
      </c>
      <c r="G394" s="17">
        <f>45.2015 * CHOOSE(CONTROL!$C$9, $D$9, 100%, $F$9) + CHOOSE(CONTROL!$C$27, 0.0021, 0)</f>
        <v>45.203600000000002</v>
      </c>
      <c r="H394" s="17">
        <f>45.0667 * CHOOSE(CONTROL!$C$9, $D$9, 100%, $F$9) + CHOOSE(CONTROL!$C$27, 0.0021, 0)</f>
        <v>45.068799999999996</v>
      </c>
      <c r="I394" s="17">
        <f>45.0667 * CHOOSE(CONTROL!$C$9, $D$9, 100%, $F$9) + CHOOSE(CONTROL!$C$27, 0.0021, 0)</f>
        <v>45.068799999999996</v>
      </c>
      <c r="J394" s="17">
        <f>45.0667 * CHOOSE(CONTROL!$C$9, $D$9, 100%, $F$9) + CHOOSE(CONTROL!$C$27, 0.0021, 0)</f>
        <v>45.068799999999996</v>
      </c>
      <c r="K394" s="17">
        <f>45.0667 * CHOOSE(CONTROL!$C$9, $D$9, 100%, $F$9) + CHOOSE(CONTROL!$C$27, 0.0021, 0)</f>
        <v>45.068799999999996</v>
      </c>
      <c r="L394" s="17"/>
    </row>
    <row r="395" spans="1:12" ht="15.75" x14ac:dyDescent="0.25">
      <c r="A395" s="14">
        <v>52596</v>
      </c>
      <c r="B395" s="17">
        <f>44.6518 * CHOOSE(CONTROL!$C$9, $D$9, 100%, $F$9) + CHOOSE(CONTROL!$C$27, 0.0021, 0)</f>
        <v>44.6539</v>
      </c>
      <c r="C395" s="17">
        <f>44.2196 * CHOOSE(CONTROL!$C$9, $D$9, 100%, $F$9) + CHOOSE(CONTROL!$C$27, 0.0021, 0)</f>
        <v>44.221699999999998</v>
      </c>
      <c r="D395" s="17">
        <f>44.2196 * CHOOSE(CONTROL!$C$9, $D$9, 100%, $F$9) + CHOOSE(CONTROL!$C$27, 0.0021, 0)</f>
        <v>44.221699999999998</v>
      </c>
      <c r="E395" s="17">
        <f>44.0829 * CHOOSE(CONTROL!$C$9, $D$9, 100%, $F$9) + CHOOSE(CONTROL!$C$27, 0.0021, 0)</f>
        <v>44.085000000000001</v>
      </c>
      <c r="F395" s="17">
        <f>44.0829 * CHOOSE(CONTROL!$C$9, $D$9, 100%, $F$9) + CHOOSE(CONTROL!$C$27, 0.0021, 0)</f>
        <v>44.085000000000001</v>
      </c>
      <c r="G395" s="17">
        <f>44.3543 * CHOOSE(CONTROL!$C$9, $D$9, 100%, $F$9) + CHOOSE(CONTROL!$C$27, 0.0021, 0)</f>
        <v>44.356400000000001</v>
      </c>
      <c r="H395" s="17">
        <f>44.2196 * CHOOSE(CONTROL!$C$9, $D$9, 100%, $F$9) + CHOOSE(CONTROL!$C$27, 0.0021, 0)</f>
        <v>44.221699999999998</v>
      </c>
      <c r="I395" s="17">
        <f>44.2196 * CHOOSE(CONTROL!$C$9, $D$9, 100%, $F$9) + CHOOSE(CONTROL!$C$27, 0.0021, 0)</f>
        <v>44.221699999999998</v>
      </c>
      <c r="J395" s="17">
        <f>44.2196 * CHOOSE(CONTROL!$C$9, $D$9, 100%, $F$9) + CHOOSE(CONTROL!$C$27, 0.0021, 0)</f>
        <v>44.221699999999998</v>
      </c>
      <c r="K395" s="17">
        <f>44.2196 * CHOOSE(CONTROL!$C$9, $D$9, 100%, $F$9) + CHOOSE(CONTROL!$C$27, 0.0021, 0)</f>
        <v>44.221699999999998</v>
      </c>
      <c r="L395" s="17"/>
    </row>
    <row r="396" spans="1:12" ht="15.75" x14ac:dyDescent="0.25">
      <c r="A396" s="14">
        <v>52627</v>
      </c>
      <c r="B396" s="17">
        <f>43.8084 * CHOOSE(CONTROL!$C$9, $D$9, 100%, $F$9) + CHOOSE(CONTROL!$C$27, 0.0021, 0)</f>
        <v>43.810499999999998</v>
      </c>
      <c r="C396" s="17">
        <f>43.3762 * CHOOSE(CONTROL!$C$9, $D$9, 100%, $F$9) + CHOOSE(CONTROL!$C$27, 0.0021, 0)</f>
        <v>43.378299999999996</v>
      </c>
      <c r="D396" s="17">
        <f>43.3762 * CHOOSE(CONTROL!$C$9, $D$9, 100%, $F$9) + CHOOSE(CONTROL!$C$27, 0.0021, 0)</f>
        <v>43.378299999999996</v>
      </c>
      <c r="E396" s="17">
        <f>43.2395 * CHOOSE(CONTROL!$C$9, $D$9, 100%, $F$9) + CHOOSE(CONTROL!$C$27, 0.0021, 0)</f>
        <v>43.241599999999998</v>
      </c>
      <c r="F396" s="17">
        <f>43.2395 * CHOOSE(CONTROL!$C$9, $D$9, 100%, $F$9) + CHOOSE(CONTROL!$C$27, 0.0021, 0)</f>
        <v>43.241599999999998</v>
      </c>
      <c r="G396" s="17">
        <f>43.5109 * CHOOSE(CONTROL!$C$9, $D$9, 100%, $F$9) + CHOOSE(CONTROL!$C$27, 0.0021, 0)</f>
        <v>43.512999999999998</v>
      </c>
      <c r="H396" s="17">
        <f>43.3762 * CHOOSE(CONTROL!$C$9, $D$9, 100%, $F$9) + CHOOSE(CONTROL!$C$27, 0.0021, 0)</f>
        <v>43.378299999999996</v>
      </c>
      <c r="I396" s="17">
        <f>43.3762 * CHOOSE(CONTROL!$C$9, $D$9, 100%, $F$9) + CHOOSE(CONTROL!$C$27, 0.0021, 0)</f>
        <v>43.378299999999996</v>
      </c>
      <c r="J396" s="17">
        <f>43.3762 * CHOOSE(CONTROL!$C$9, $D$9, 100%, $F$9) + CHOOSE(CONTROL!$C$27, 0.0021, 0)</f>
        <v>43.378299999999996</v>
      </c>
      <c r="K396" s="17">
        <f>43.3762 * CHOOSE(CONTROL!$C$9, $D$9, 100%, $F$9) + CHOOSE(CONTROL!$C$27, 0.0021, 0)</f>
        <v>43.378299999999996</v>
      </c>
      <c r="L396" s="17"/>
    </row>
    <row r="397" spans="1:12" ht="15.75" x14ac:dyDescent="0.25">
      <c r="A397" s="14">
        <v>52655</v>
      </c>
      <c r="B397" s="17">
        <f>42.6341 * CHOOSE(CONTROL!$C$9, $D$9, 100%, $F$9) + CHOOSE(CONTROL!$C$27, 0.0021, 0)</f>
        <v>42.636199999999995</v>
      </c>
      <c r="C397" s="17">
        <f>42.2019 * CHOOSE(CONTROL!$C$9, $D$9, 100%, $F$9) + CHOOSE(CONTROL!$C$27, 0.0021, 0)</f>
        <v>42.204000000000001</v>
      </c>
      <c r="D397" s="17">
        <f>42.2019 * CHOOSE(CONTROL!$C$9, $D$9, 100%, $F$9) + CHOOSE(CONTROL!$C$27, 0.0021, 0)</f>
        <v>42.204000000000001</v>
      </c>
      <c r="E397" s="17">
        <f>42.0652 * CHOOSE(CONTROL!$C$9, $D$9, 100%, $F$9) + CHOOSE(CONTROL!$C$27, 0.0021, 0)</f>
        <v>42.067299999999996</v>
      </c>
      <c r="F397" s="17">
        <f>42.0652 * CHOOSE(CONTROL!$C$9, $D$9, 100%, $F$9) + CHOOSE(CONTROL!$C$27, 0.0021, 0)</f>
        <v>42.067299999999996</v>
      </c>
      <c r="G397" s="17">
        <f>42.3366 * CHOOSE(CONTROL!$C$9, $D$9, 100%, $F$9) + CHOOSE(CONTROL!$C$27, 0.0021, 0)</f>
        <v>42.338699999999996</v>
      </c>
      <c r="H397" s="17">
        <f>42.2019 * CHOOSE(CONTROL!$C$9, $D$9, 100%, $F$9) + CHOOSE(CONTROL!$C$27, 0.0021, 0)</f>
        <v>42.204000000000001</v>
      </c>
      <c r="I397" s="17">
        <f>42.2019 * CHOOSE(CONTROL!$C$9, $D$9, 100%, $F$9) + CHOOSE(CONTROL!$C$27, 0.0021, 0)</f>
        <v>42.204000000000001</v>
      </c>
      <c r="J397" s="17">
        <f>42.2019 * CHOOSE(CONTROL!$C$9, $D$9, 100%, $F$9) + CHOOSE(CONTROL!$C$27, 0.0021, 0)</f>
        <v>42.204000000000001</v>
      </c>
      <c r="K397" s="17">
        <f>42.2019 * CHOOSE(CONTROL!$C$9, $D$9, 100%, $F$9) + CHOOSE(CONTROL!$C$27, 0.0021, 0)</f>
        <v>42.204000000000001</v>
      </c>
      <c r="L397" s="17"/>
    </row>
    <row r="398" spans="1:12" ht="15.75" x14ac:dyDescent="0.25">
      <c r="A398" s="14">
        <v>52687</v>
      </c>
      <c r="B398" s="17">
        <f>42.1494 * CHOOSE(CONTROL!$C$9, $D$9, 100%, $F$9) + CHOOSE(CONTROL!$C$27, 0.0021, 0)</f>
        <v>42.151499999999999</v>
      </c>
      <c r="C398" s="17">
        <f>41.7171 * CHOOSE(CONTROL!$C$9, $D$9, 100%, $F$9) + CHOOSE(CONTROL!$C$27, 0.0021, 0)</f>
        <v>41.719200000000001</v>
      </c>
      <c r="D398" s="17">
        <f>41.7171 * CHOOSE(CONTROL!$C$9, $D$9, 100%, $F$9) + CHOOSE(CONTROL!$C$27, 0.0021, 0)</f>
        <v>41.719200000000001</v>
      </c>
      <c r="E398" s="17">
        <f>41.5805 * CHOOSE(CONTROL!$C$9, $D$9, 100%, $F$9) + CHOOSE(CONTROL!$C$27, 0.0021, 0)</f>
        <v>41.582599999999999</v>
      </c>
      <c r="F398" s="17">
        <f>41.5805 * CHOOSE(CONTROL!$C$9, $D$9, 100%, $F$9) + CHOOSE(CONTROL!$C$27, 0.0021, 0)</f>
        <v>41.582599999999999</v>
      </c>
      <c r="G398" s="17">
        <f>41.8519 * CHOOSE(CONTROL!$C$9, $D$9, 100%, $F$9) + CHOOSE(CONTROL!$C$27, 0.0021, 0)</f>
        <v>41.853999999999999</v>
      </c>
      <c r="H398" s="17">
        <f>41.7171 * CHOOSE(CONTROL!$C$9, $D$9, 100%, $F$9) + CHOOSE(CONTROL!$C$27, 0.0021, 0)</f>
        <v>41.719200000000001</v>
      </c>
      <c r="I398" s="17">
        <f>41.7171 * CHOOSE(CONTROL!$C$9, $D$9, 100%, $F$9) + CHOOSE(CONTROL!$C$27, 0.0021, 0)</f>
        <v>41.719200000000001</v>
      </c>
      <c r="J398" s="17">
        <f>41.7171 * CHOOSE(CONTROL!$C$9, $D$9, 100%, $F$9) + CHOOSE(CONTROL!$C$27, 0.0021, 0)</f>
        <v>41.719200000000001</v>
      </c>
      <c r="K398" s="17">
        <f>41.7171 * CHOOSE(CONTROL!$C$9, $D$9, 100%, $F$9) + CHOOSE(CONTROL!$C$27, 0.0021, 0)</f>
        <v>41.719200000000001</v>
      </c>
      <c r="L398" s="17"/>
    </row>
    <row r="399" spans="1:12" ht="15.75" x14ac:dyDescent="0.25">
      <c r="A399" s="14">
        <v>52717</v>
      </c>
      <c r="B399" s="17">
        <f>41.5706 * CHOOSE(CONTROL!$C$9, $D$9, 100%, $F$9) + CHOOSE(CONTROL!$C$27, 0.0021, 0)</f>
        <v>41.572699999999998</v>
      </c>
      <c r="C399" s="17">
        <f>41.1383 * CHOOSE(CONTROL!$C$9, $D$9, 100%, $F$9) + CHOOSE(CONTROL!$C$27, 0.0021, 0)</f>
        <v>41.1404</v>
      </c>
      <c r="D399" s="17">
        <f>41.1383 * CHOOSE(CONTROL!$C$9, $D$9, 100%, $F$9) + CHOOSE(CONTROL!$C$27, 0.0021, 0)</f>
        <v>41.1404</v>
      </c>
      <c r="E399" s="17">
        <f>41.0017 * CHOOSE(CONTROL!$C$9, $D$9, 100%, $F$9) + CHOOSE(CONTROL!$C$27, 0.0021, 0)</f>
        <v>41.003799999999998</v>
      </c>
      <c r="F399" s="17">
        <f>41.0017 * CHOOSE(CONTROL!$C$9, $D$9, 100%, $F$9) + CHOOSE(CONTROL!$C$27, 0.0021, 0)</f>
        <v>41.003799999999998</v>
      </c>
      <c r="G399" s="17">
        <f>41.2731 * CHOOSE(CONTROL!$C$9, $D$9, 100%, $F$9) + CHOOSE(CONTROL!$C$27, 0.0021, 0)</f>
        <v>41.275199999999998</v>
      </c>
      <c r="H399" s="17">
        <f>41.1383 * CHOOSE(CONTROL!$C$9, $D$9, 100%, $F$9) + CHOOSE(CONTROL!$C$27, 0.0021, 0)</f>
        <v>41.1404</v>
      </c>
      <c r="I399" s="17">
        <f>41.1383 * CHOOSE(CONTROL!$C$9, $D$9, 100%, $F$9) + CHOOSE(CONTROL!$C$27, 0.0021, 0)</f>
        <v>41.1404</v>
      </c>
      <c r="J399" s="17">
        <f>41.1383 * CHOOSE(CONTROL!$C$9, $D$9, 100%, $F$9) + CHOOSE(CONTROL!$C$27, 0.0021, 0)</f>
        <v>41.1404</v>
      </c>
      <c r="K399" s="17">
        <f>41.1383 * CHOOSE(CONTROL!$C$9, $D$9, 100%, $F$9) + CHOOSE(CONTROL!$C$27, 0.0021, 0)</f>
        <v>41.1404</v>
      </c>
      <c r="L399" s="17"/>
    </row>
    <row r="400" spans="1:12" ht="15.75" x14ac:dyDescent="0.25">
      <c r="A400" s="14">
        <v>52748</v>
      </c>
      <c r="B400" s="17">
        <f>42.3954 * CHOOSE(CONTROL!$C$9, $D$9, 100%, $F$9) + CHOOSE(CONTROL!$C$27, 0.0021, 0)</f>
        <v>42.397500000000001</v>
      </c>
      <c r="C400" s="17">
        <f>41.9632 * CHOOSE(CONTROL!$C$9, $D$9, 100%, $F$9) + CHOOSE(CONTROL!$C$27, 0.0021, 0)</f>
        <v>41.965299999999999</v>
      </c>
      <c r="D400" s="17">
        <f>41.9632 * CHOOSE(CONTROL!$C$9, $D$9, 100%, $F$9) + CHOOSE(CONTROL!$C$27, 0.0021, 0)</f>
        <v>41.965299999999999</v>
      </c>
      <c r="E400" s="17">
        <f>41.8265 * CHOOSE(CONTROL!$C$9, $D$9, 100%, $F$9) + CHOOSE(CONTROL!$C$27, 0.0021, 0)</f>
        <v>41.828600000000002</v>
      </c>
      <c r="F400" s="17">
        <f>41.8265 * CHOOSE(CONTROL!$C$9, $D$9, 100%, $F$9) + CHOOSE(CONTROL!$C$27, 0.0021, 0)</f>
        <v>41.828600000000002</v>
      </c>
      <c r="G400" s="17">
        <f>42.0979 * CHOOSE(CONTROL!$C$9, $D$9, 100%, $F$9) + CHOOSE(CONTROL!$C$27, 0.0021, 0)</f>
        <v>42.1</v>
      </c>
      <c r="H400" s="17">
        <f>41.9632 * CHOOSE(CONTROL!$C$9, $D$9, 100%, $F$9) + CHOOSE(CONTROL!$C$27, 0.0021, 0)</f>
        <v>41.965299999999999</v>
      </c>
      <c r="I400" s="17">
        <f>41.9632 * CHOOSE(CONTROL!$C$9, $D$9, 100%, $F$9) + CHOOSE(CONTROL!$C$27, 0.0021, 0)</f>
        <v>41.965299999999999</v>
      </c>
      <c r="J400" s="17">
        <f>41.9632 * CHOOSE(CONTROL!$C$9, $D$9, 100%, $F$9) + CHOOSE(CONTROL!$C$27, 0.0021, 0)</f>
        <v>41.965299999999999</v>
      </c>
      <c r="K400" s="17">
        <f>41.9632 * CHOOSE(CONTROL!$C$9, $D$9, 100%, $F$9) + CHOOSE(CONTROL!$C$27, 0.0021, 0)</f>
        <v>41.965299999999999</v>
      </c>
      <c r="L400" s="17"/>
    </row>
    <row r="401" spans="1:12" ht="15.75" x14ac:dyDescent="0.25">
      <c r="A401" s="14">
        <v>52778</v>
      </c>
      <c r="B401" s="17">
        <f>42.8895 * CHOOSE(CONTROL!$C$9, $D$9, 100%, $F$9) + CHOOSE(CONTROL!$C$27, 0.0021, 0)</f>
        <v>42.891599999999997</v>
      </c>
      <c r="C401" s="17">
        <f>42.4573 * CHOOSE(CONTROL!$C$9, $D$9, 100%, $F$9) + CHOOSE(CONTROL!$C$27, 0.0021, 0)</f>
        <v>42.459399999999995</v>
      </c>
      <c r="D401" s="17">
        <f>42.4573 * CHOOSE(CONTROL!$C$9, $D$9, 100%, $F$9) + CHOOSE(CONTROL!$C$27, 0.0021, 0)</f>
        <v>42.459399999999995</v>
      </c>
      <c r="E401" s="17">
        <f>42.3206 * CHOOSE(CONTROL!$C$9, $D$9, 100%, $F$9) + CHOOSE(CONTROL!$C$27, 0.0021, 0)</f>
        <v>42.322699999999998</v>
      </c>
      <c r="F401" s="17">
        <f>42.3206 * CHOOSE(CONTROL!$C$9, $D$9, 100%, $F$9) + CHOOSE(CONTROL!$C$27, 0.0021, 0)</f>
        <v>42.322699999999998</v>
      </c>
      <c r="G401" s="17">
        <f>42.592 * CHOOSE(CONTROL!$C$9, $D$9, 100%, $F$9) + CHOOSE(CONTROL!$C$27, 0.0021, 0)</f>
        <v>42.594099999999997</v>
      </c>
      <c r="H401" s="17">
        <f>42.4573 * CHOOSE(CONTROL!$C$9, $D$9, 100%, $F$9) + CHOOSE(CONTROL!$C$27, 0.0021, 0)</f>
        <v>42.459399999999995</v>
      </c>
      <c r="I401" s="17">
        <f>42.4573 * CHOOSE(CONTROL!$C$9, $D$9, 100%, $F$9) + CHOOSE(CONTROL!$C$27, 0.0021, 0)</f>
        <v>42.459399999999995</v>
      </c>
      <c r="J401" s="17">
        <f>42.4573 * CHOOSE(CONTROL!$C$9, $D$9, 100%, $F$9) + CHOOSE(CONTROL!$C$27, 0.0021, 0)</f>
        <v>42.459399999999995</v>
      </c>
      <c r="K401" s="17">
        <f>42.4573 * CHOOSE(CONTROL!$C$9, $D$9, 100%, $F$9) + CHOOSE(CONTROL!$C$27, 0.0021, 0)</f>
        <v>42.459399999999995</v>
      </c>
      <c r="L401" s="17"/>
    </row>
    <row r="402" spans="1:12" ht="15.75" x14ac:dyDescent="0.25">
      <c r="A402" s="14">
        <v>52809</v>
      </c>
      <c r="B402" s="17">
        <f>43.7045 * CHOOSE(CONTROL!$C$9, $D$9, 100%, $F$9) + CHOOSE(CONTROL!$C$27, 0.0021, 0)</f>
        <v>43.706600000000002</v>
      </c>
      <c r="C402" s="17">
        <f>43.2723 * CHOOSE(CONTROL!$C$9, $D$9, 100%, $F$9) + CHOOSE(CONTROL!$C$27, 0.0021, 0)</f>
        <v>43.2744</v>
      </c>
      <c r="D402" s="17">
        <f>43.2723 * CHOOSE(CONTROL!$C$9, $D$9, 100%, $F$9) + CHOOSE(CONTROL!$C$27, 0.0021, 0)</f>
        <v>43.2744</v>
      </c>
      <c r="E402" s="17">
        <f>43.1356 * CHOOSE(CONTROL!$C$9, $D$9, 100%, $F$9) + CHOOSE(CONTROL!$C$27, 0.0021, 0)</f>
        <v>43.137699999999995</v>
      </c>
      <c r="F402" s="17">
        <f>43.1356 * CHOOSE(CONTROL!$C$9, $D$9, 100%, $F$9) + CHOOSE(CONTROL!$C$27, 0.0021, 0)</f>
        <v>43.137699999999995</v>
      </c>
      <c r="G402" s="17">
        <f>43.407 * CHOOSE(CONTROL!$C$9, $D$9, 100%, $F$9) + CHOOSE(CONTROL!$C$27, 0.0021, 0)</f>
        <v>43.409099999999995</v>
      </c>
      <c r="H402" s="17">
        <f>43.2723 * CHOOSE(CONTROL!$C$9, $D$9, 100%, $F$9) + CHOOSE(CONTROL!$C$27, 0.0021, 0)</f>
        <v>43.2744</v>
      </c>
      <c r="I402" s="17">
        <f>43.2723 * CHOOSE(CONTROL!$C$9, $D$9, 100%, $F$9) + CHOOSE(CONTROL!$C$27, 0.0021, 0)</f>
        <v>43.2744</v>
      </c>
      <c r="J402" s="17">
        <f>43.2723 * CHOOSE(CONTROL!$C$9, $D$9, 100%, $F$9) + CHOOSE(CONTROL!$C$27, 0.0021, 0)</f>
        <v>43.2744</v>
      </c>
      <c r="K402" s="17">
        <f>43.2723 * CHOOSE(CONTROL!$C$9, $D$9, 100%, $F$9) + CHOOSE(CONTROL!$C$27, 0.0021, 0)</f>
        <v>43.2744</v>
      </c>
      <c r="L402" s="17"/>
    </row>
    <row r="403" spans="1:12" ht="15.75" x14ac:dyDescent="0.25">
      <c r="A403" s="14">
        <v>52840</v>
      </c>
      <c r="B403" s="17">
        <f>43.9533 * CHOOSE(CONTROL!$C$9, $D$9, 100%, $F$9) + CHOOSE(CONTROL!$C$27, 0.0021, 0)</f>
        <v>43.955399999999997</v>
      </c>
      <c r="C403" s="17">
        <f>43.521 * CHOOSE(CONTROL!$C$9, $D$9, 100%, $F$9) + CHOOSE(CONTROL!$C$27, 0.0021, 0)</f>
        <v>43.523099999999999</v>
      </c>
      <c r="D403" s="17">
        <f>43.521 * CHOOSE(CONTROL!$C$9, $D$9, 100%, $F$9) + CHOOSE(CONTROL!$C$27, 0.0021, 0)</f>
        <v>43.523099999999999</v>
      </c>
      <c r="E403" s="17">
        <f>43.3844 * CHOOSE(CONTROL!$C$9, $D$9, 100%, $F$9) + CHOOSE(CONTROL!$C$27, 0.0021, 0)</f>
        <v>43.386499999999998</v>
      </c>
      <c r="F403" s="17">
        <f>43.3844 * CHOOSE(CONTROL!$C$9, $D$9, 100%, $F$9) + CHOOSE(CONTROL!$C$27, 0.0021, 0)</f>
        <v>43.386499999999998</v>
      </c>
      <c r="G403" s="17">
        <f>43.6558 * CHOOSE(CONTROL!$C$9, $D$9, 100%, $F$9) + CHOOSE(CONTROL!$C$27, 0.0021, 0)</f>
        <v>43.657899999999998</v>
      </c>
      <c r="H403" s="17">
        <f>43.521 * CHOOSE(CONTROL!$C$9, $D$9, 100%, $F$9) + CHOOSE(CONTROL!$C$27, 0.0021, 0)</f>
        <v>43.523099999999999</v>
      </c>
      <c r="I403" s="17">
        <f>43.521 * CHOOSE(CONTROL!$C$9, $D$9, 100%, $F$9) + CHOOSE(CONTROL!$C$27, 0.0021, 0)</f>
        <v>43.523099999999999</v>
      </c>
      <c r="J403" s="17">
        <f>43.521 * CHOOSE(CONTROL!$C$9, $D$9, 100%, $F$9) + CHOOSE(CONTROL!$C$27, 0.0021, 0)</f>
        <v>43.523099999999999</v>
      </c>
      <c r="K403" s="17">
        <f>43.521 * CHOOSE(CONTROL!$C$9, $D$9, 100%, $F$9) + CHOOSE(CONTROL!$C$27, 0.0021, 0)</f>
        <v>43.523099999999999</v>
      </c>
      <c r="L403" s="17"/>
    </row>
    <row r="404" spans="1:12" ht="15.75" x14ac:dyDescent="0.25">
      <c r="A404" s="14">
        <v>52870</v>
      </c>
      <c r="B404" s="17">
        <f>44.8005 * CHOOSE(CONTROL!$C$9, $D$9, 100%, $F$9) + CHOOSE(CONTROL!$C$27, 0.0021, 0)</f>
        <v>44.802599999999998</v>
      </c>
      <c r="C404" s="17">
        <f>44.3682 * CHOOSE(CONTROL!$C$9, $D$9, 100%, $F$9) + CHOOSE(CONTROL!$C$27, 0.0021, 0)</f>
        <v>44.3703</v>
      </c>
      <c r="D404" s="17">
        <f>44.3682 * CHOOSE(CONTROL!$C$9, $D$9, 100%, $F$9) + CHOOSE(CONTROL!$C$27, 0.0021, 0)</f>
        <v>44.3703</v>
      </c>
      <c r="E404" s="17">
        <f>44.2316 * CHOOSE(CONTROL!$C$9, $D$9, 100%, $F$9) + CHOOSE(CONTROL!$C$27, 0.0021, 0)</f>
        <v>44.233699999999999</v>
      </c>
      <c r="F404" s="17">
        <f>44.2316 * CHOOSE(CONTROL!$C$9, $D$9, 100%, $F$9) + CHOOSE(CONTROL!$C$27, 0.0021, 0)</f>
        <v>44.233699999999999</v>
      </c>
      <c r="G404" s="17">
        <f>44.5029 * CHOOSE(CONTROL!$C$9, $D$9, 100%, $F$9) + CHOOSE(CONTROL!$C$27, 0.0021, 0)</f>
        <v>44.504999999999995</v>
      </c>
      <c r="H404" s="17">
        <f>44.3682 * CHOOSE(CONTROL!$C$9, $D$9, 100%, $F$9) + CHOOSE(CONTROL!$C$27, 0.0021, 0)</f>
        <v>44.3703</v>
      </c>
      <c r="I404" s="17">
        <f>44.3682 * CHOOSE(CONTROL!$C$9, $D$9, 100%, $F$9) + CHOOSE(CONTROL!$C$27, 0.0021, 0)</f>
        <v>44.3703</v>
      </c>
      <c r="J404" s="17">
        <f>44.3682 * CHOOSE(CONTROL!$C$9, $D$9, 100%, $F$9) + CHOOSE(CONTROL!$C$27, 0.0021, 0)</f>
        <v>44.3703</v>
      </c>
      <c r="K404" s="17">
        <f>44.3682 * CHOOSE(CONTROL!$C$9, $D$9, 100%, $F$9) + CHOOSE(CONTROL!$C$27, 0.0021, 0)</f>
        <v>44.3703</v>
      </c>
      <c r="L404" s="17"/>
    </row>
    <row r="405" spans="1:12" ht="15.75" x14ac:dyDescent="0.25">
      <c r="A405" s="14">
        <v>52901</v>
      </c>
      <c r="B405" s="17">
        <f>45.8728 * CHOOSE(CONTROL!$C$9, $D$9, 100%, $F$9) + CHOOSE(CONTROL!$C$27, 0.0021, 0)</f>
        <v>45.874899999999997</v>
      </c>
      <c r="C405" s="17">
        <f>45.4406 * CHOOSE(CONTROL!$C$9, $D$9, 100%, $F$9) + CHOOSE(CONTROL!$C$27, 0.0021, 0)</f>
        <v>45.442700000000002</v>
      </c>
      <c r="D405" s="17">
        <f>45.4406 * CHOOSE(CONTROL!$C$9, $D$9, 100%, $F$9) + CHOOSE(CONTROL!$C$27, 0.0021, 0)</f>
        <v>45.442700000000002</v>
      </c>
      <c r="E405" s="17">
        <f>45.3039 * CHOOSE(CONTROL!$C$9, $D$9, 100%, $F$9) + CHOOSE(CONTROL!$C$27, 0.0021, 0)</f>
        <v>45.305999999999997</v>
      </c>
      <c r="F405" s="17">
        <f>45.3039 * CHOOSE(CONTROL!$C$9, $D$9, 100%, $F$9) + CHOOSE(CONTROL!$C$27, 0.0021, 0)</f>
        <v>45.305999999999997</v>
      </c>
      <c r="G405" s="17">
        <f>45.5753 * CHOOSE(CONTROL!$C$9, $D$9, 100%, $F$9) + CHOOSE(CONTROL!$C$27, 0.0021, 0)</f>
        <v>45.577399999999997</v>
      </c>
      <c r="H405" s="17">
        <f>45.4406 * CHOOSE(CONTROL!$C$9, $D$9, 100%, $F$9) + CHOOSE(CONTROL!$C$27, 0.0021, 0)</f>
        <v>45.442700000000002</v>
      </c>
      <c r="I405" s="17">
        <f>45.4406 * CHOOSE(CONTROL!$C$9, $D$9, 100%, $F$9) + CHOOSE(CONTROL!$C$27, 0.0021, 0)</f>
        <v>45.442700000000002</v>
      </c>
      <c r="J405" s="17">
        <f>45.4406 * CHOOSE(CONTROL!$C$9, $D$9, 100%, $F$9) + CHOOSE(CONTROL!$C$27, 0.0021, 0)</f>
        <v>45.442700000000002</v>
      </c>
      <c r="K405" s="17">
        <f>45.4406 * CHOOSE(CONTROL!$C$9, $D$9, 100%, $F$9) + CHOOSE(CONTROL!$C$27, 0.0021, 0)</f>
        <v>45.442700000000002</v>
      </c>
      <c r="L405" s="17"/>
    </row>
    <row r="406" spans="1:12" ht="15.75" x14ac:dyDescent="0.25">
      <c r="A406" s="14">
        <v>52931</v>
      </c>
      <c r="B406" s="17">
        <f>45.9735 * CHOOSE(CONTROL!$C$9, $D$9, 100%, $F$9) + CHOOSE(CONTROL!$C$27, 0.0021, 0)</f>
        <v>45.9756</v>
      </c>
      <c r="C406" s="17">
        <f>45.5413 * CHOOSE(CONTROL!$C$9, $D$9, 100%, $F$9) + CHOOSE(CONTROL!$C$27, 0.0021, 0)</f>
        <v>45.543399999999998</v>
      </c>
      <c r="D406" s="17">
        <f>45.5413 * CHOOSE(CONTROL!$C$9, $D$9, 100%, $F$9) + CHOOSE(CONTROL!$C$27, 0.0021, 0)</f>
        <v>45.543399999999998</v>
      </c>
      <c r="E406" s="17">
        <f>45.4046 * CHOOSE(CONTROL!$C$9, $D$9, 100%, $F$9) + CHOOSE(CONTROL!$C$27, 0.0021, 0)</f>
        <v>45.406700000000001</v>
      </c>
      <c r="F406" s="17">
        <f>45.4046 * CHOOSE(CONTROL!$C$9, $D$9, 100%, $F$9) + CHOOSE(CONTROL!$C$27, 0.0021, 0)</f>
        <v>45.406700000000001</v>
      </c>
      <c r="G406" s="17">
        <f>45.676 * CHOOSE(CONTROL!$C$9, $D$9, 100%, $F$9) + CHOOSE(CONTROL!$C$27, 0.0021, 0)</f>
        <v>45.678100000000001</v>
      </c>
      <c r="H406" s="17">
        <f>45.5413 * CHOOSE(CONTROL!$C$9, $D$9, 100%, $F$9) + CHOOSE(CONTROL!$C$27, 0.0021, 0)</f>
        <v>45.543399999999998</v>
      </c>
      <c r="I406" s="17">
        <f>45.5413 * CHOOSE(CONTROL!$C$9, $D$9, 100%, $F$9) + CHOOSE(CONTROL!$C$27, 0.0021, 0)</f>
        <v>45.543399999999998</v>
      </c>
      <c r="J406" s="17">
        <f>45.5413 * CHOOSE(CONTROL!$C$9, $D$9, 100%, $F$9) + CHOOSE(CONTROL!$C$27, 0.0021, 0)</f>
        <v>45.543399999999998</v>
      </c>
      <c r="K406" s="17">
        <f>45.5413 * CHOOSE(CONTROL!$C$9, $D$9, 100%, $F$9) + CHOOSE(CONTROL!$C$27, 0.0021, 0)</f>
        <v>45.543399999999998</v>
      </c>
      <c r="L406" s="17"/>
    </row>
    <row r="407" spans="1:12" ht="15.75" x14ac:dyDescent="0.25">
      <c r="A407" s="14">
        <v>52962</v>
      </c>
      <c r="B407" s="17">
        <f>45.117 * CHOOSE(CONTROL!$C$9, $D$9, 100%, $F$9) + CHOOSE(CONTROL!$C$27, 0.0021, 0)</f>
        <v>45.119099999999996</v>
      </c>
      <c r="C407" s="17">
        <f>44.6848 * CHOOSE(CONTROL!$C$9, $D$9, 100%, $F$9) + CHOOSE(CONTROL!$C$27, 0.0021, 0)</f>
        <v>44.686900000000001</v>
      </c>
      <c r="D407" s="17">
        <f>44.6848 * CHOOSE(CONTROL!$C$9, $D$9, 100%, $F$9) + CHOOSE(CONTROL!$C$27, 0.0021, 0)</f>
        <v>44.686900000000001</v>
      </c>
      <c r="E407" s="17">
        <f>44.5481 * CHOOSE(CONTROL!$C$9, $D$9, 100%, $F$9) + CHOOSE(CONTROL!$C$27, 0.0021, 0)</f>
        <v>44.550199999999997</v>
      </c>
      <c r="F407" s="17">
        <f>44.5481 * CHOOSE(CONTROL!$C$9, $D$9, 100%, $F$9) + CHOOSE(CONTROL!$C$27, 0.0021, 0)</f>
        <v>44.550199999999997</v>
      </c>
      <c r="G407" s="17">
        <f>44.8195 * CHOOSE(CONTROL!$C$9, $D$9, 100%, $F$9) + CHOOSE(CONTROL!$C$27, 0.0021, 0)</f>
        <v>44.821599999999997</v>
      </c>
      <c r="H407" s="17">
        <f>44.6848 * CHOOSE(CONTROL!$C$9, $D$9, 100%, $F$9) + CHOOSE(CONTROL!$C$27, 0.0021, 0)</f>
        <v>44.686900000000001</v>
      </c>
      <c r="I407" s="17">
        <f>44.6848 * CHOOSE(CONTROL!$C$9, $D$9, 100%, $F$9) + CHOOSE(CONTROL!$C$27, 0.0021, 0)</f>
        <v>44.686900000000001</v>
      </c>
      <c r="J407" s="17">
        <f>44.6848 * CHOOSE(CONTROL!$C$9, $D$9, 100%, $F$9) + CHOOSE(CONTROL!$C$27, 0.0021, 0)</f>
        <v>44.686900000000001</v>
      </c>
      <c r="K407" s="17">
        <f>44.6848 * CHOOSE(CONTROL!$C$9, $D$9, 100%, $F$9) + CHOOSE(CONTROL!$C$27, 0.0021, 0)</f>
        <v>44.686900000000001</v>
      </c>
      <c r="L407" s="17"/>
    </row>
    <row r="408" spans="1:12" ht="15.75" x14ac:dyDescent="0.25">
      <c r="A408" s="14">
        <v>52993</v>
      </c>
      <c r="B408" s="17">
        <f>44.2644 * CHOOSE(CONTROL!$C$9, $D$9, 100%, $F$9) + CHOOSE(CONTROL!$C$27, 0.0021, 0)</f>
        <v>44.266500000000001</v>
      </c>
      <c r="C408" s="17">
        <f>43.8322 * CHOOSE(CONTROL!$C$9, $D$9, 100%, $F$9) + CHOOSE(CONTROL!$C$27, 0.0021, 0)</f>
        <v>43.834299999999999</v>
      </c>
      <c r="D408" s="17">
        <f>43.8322 * CHOOSE(CONTROL!$C$9, $D$9, 100%, $F$9) + CHOOSE(CONTROL!$C$27, 0.0021, 0)</f>
        <v>43.834299999999999</v>
      </c>
      <c r="E408" s="17">
        <f>43.6955 * CHOOSE(CONTROL!$C$9, $D$9, 100%, $F$9) + CHOOSE(CONTROL!$C$27, 0.0021, 0)</f>
        <v>43.697600000000001</v>
      </c>
      <c r="F408" s="17">
        <f>43.6955 * CHOOSE(CONTROL!$C$9, $D$9, 100%, $F$9) + CHOOSE(CONTROL!$C$27, 0.0021, 0)</f>
        <v>43.697600000000001</v>
      </c>
      <c r="G408" s="17">
        <f>43.9669 * CHOOSE(CONTROL!$C$9, $D$9, 100%, $F$9) + CHOOSE(CONTROL!$C$27, 0.0021, 0)</f>
        <v>43.969000000000001</v>
      </c>
      <c r="H408" s="17">
        <f>43.8322 * CHOOSE(CONTROL!$C$9, $D$9, 100%, $F$9) + CHOOSE(CONTROL!$C$27, 0.0021, 0)</f>
        <v>43.834299999999999</v>
      </c>
      <c r="I408" s="17">
        <f>43.8322 * CHOOSE(CONTROL!$C$9, $D$9, 100%, $F$9) + CHOOSE(CONTROL!$C$27, 0.0021, 0)</f>
        <v>43.834299999999999</v>
      </c>
      <c r="J408" s="17">
        <f>43.8322 * CHOOSE(CONTROL!$C$9, $D$9, 100%, $F$9) + CHOOSE(CONTROL!$C$27, 0.0021, 0)</f>
        <v>43.834299999999999</v>
      </c>
      <c r="K408" s="17">
        <f>43.8322 * CHOOSE(CONTROL!$C$9, $D$9, 100%, $F$9) + CHOOSE(CONTROL!$C$27, 0.0021, 0)</f>
        <v>43.834299999999999</v>
      </c>
      <c r="L408" s="17"/>
    </row>
    <row r="409" spans="1:12" ht="15.75" x14ac:dyDescent="0.25">
      <c r="A409" s="14">
        <v>53021</v>
      </c>
      <c r="B409" s="17">
        <f>43.0772 * CHOOSE(CONTROL!$C$9, $D$9, 100%, $F$9) + CHOOSE(CONTROL!$C$27, 0.0021, 0)</f>
        <v>43.079299999999996</v>
      </c>
      <c r="C409" s="17">
        <f>42.645 * CHOOSE(CONTROL!$C$9, $D$9, 100%, $F$9) + CHOOSE(CONTROL!$C$27, 0.0021, 0)</f>
        <v>42.647100000000002</v>
      </c>
      <c r="D409" s="17">
        <f>42.645 * CHOOSE(CONTROL!$C$9, $D$9, 100%, $F$9) + CHOOSE(CONTROL!$C$27, 0.0021, 0)</f>
        <v>42.647100000000002</v>
      </c>
      <c r="E409" s="17">
        <f>42.5083 * CHOOSE(CONTROL!$C$9, $D$9, 100%, $F$9) + CHOOSE(CONTROL!$C$27, 0.0021, 0)</f>
        <v>42.510399999999997</v>
      </c>
      <c r="F409" s="17">
        <f>42.5083 * CHOOSE(CONTROL!$C$9, $D$9, 100%, $F$9) + CHOOSE(CONTROL!$C$27, 0.0021, 0)</f>
        <v>42.510399999999997</v>
      </c>
      <c r="G409" s="17">
        <f>42.7797 * CHOOSE(CONTROL!$C$9, $D$9, 100%, $F$9) + CHOOSE(CONTROL!$C$27, 0.0021, 0)</f>
        <v>42.781799999999997</v>
      </c>
      <c r="H409" s="17">
        <f>42.645 * CHOOSE(CONTROL!$C$9, $D$9, 100%, $F$9) + CHOOSE(CONTROL!$C$27, 0.0021, 0)</f>
        <v>42.647100000000002</v>
      </c>
      <c r="I409" s="17">
        <f>42.645 * CHOOSE(CONTROL!$C$9, $D$9, 100%, $F$9) + CHOOSE(CONTROL!$C$27, 0.0021, 0)</f>
        <v>42.647100000000002</v>
      </c>
      <c r="J409" s="17">
        <f>42.645 * CHOOSE(CONTROL!$C$9, $D$9, 100%, $F$9) + CHOOSE(CONTROL!$C$27, 0.0021, 0)</f>
        <v>42.647100000000002</v>
      </c>
      <c r="K409" s="17">
        <f>42.645 * CHOOSE(CONTROL!$C$9, $D$9, 100%, $F$9) + CHOOSE(CONTROL!$C$27, 0.0021, 0)</f>
        <v>42.647100000000002</v>
      </c>
      <c r="L409" s="17"/>
    </row>
    <row r="410" spans="1:12" ht="15.75" x14ac:dyDescent="0.25">
      <c r="A410" s="14">
        <v>53052</v>
      </c>
      <c r="B410" s="17">
        <f>42.5871 * CHOOSE(CONTROL!$C$9, $D$9, 100%, $F$9) + CHOOSE(CONTROL!$C$27, 0.0021, 0)</f>
        <v>42.589199999999998</v>
      </c>
      <c r="C410" s="17">
        <f>42.1549 * CHOOSE(CONTROL!$C$9, $D$9, 100%, $F$9) + CHOOSE(CONTROL!$C$27, 0.0021, 0)</f>
        <v>42.156999999999996</v>
      </c>
      <c r="D410" s="17">
        <f>42.1549 * CHOOSE(CONTROL!$C$9, $D$9, 100%, $F$9) + CHOOSE(CONTROL!$C$27, 0.0021, 0)</f>
        <v>42.156999999999996</v>
      </c>
      <c r="E410" s="17">
        <f>42.0182 * CHOOSE(CONTROL!$C$9, $D$9, 100%, $F$9) + CHOOSE(CONTROL!$C$27, 0.0021, 0)</f>
        <v>42.020299999999999</v>
      </c>
      <c r="F410" s="17">
        <f>42.0182 * CHOOSE(CONTROL!$C$9, $D$9, 100%, $F$9) + CHOOSE(CONTROL!$C$27, 0.0021, 0)</f>
        <v>42.020299999999999</v>
      </c>
      <c r="G410" s="17">
        <f>42.2896 * CHOOSE(CONTROL!$C$9, $D$9, 100%, $F$9) + CHOOSE(CONTROL!$C$27, 0.0021, 0)</f>
        <v>42.291699999999999</v>
      </c>
      <c r="H410" s="17">
        <f>42.1549 * CHOOSE(CONTROL!$C$9, $D$9, 100%, $F$9) + CHOOSE(CONTROL!$C$27, 0.0021, 0)</f>
        <v>42.156999999999996</v>
      </c>
      <c r="I410" s="17">
        <f>42.1549 * CHOOSE(CONTROL!$C$9, $D$9, 100%, $F$9) + CHOOSE(CONTROL!$C$27, 0.0021, 0)</f>
        <v>42.156999999999996</v>
      </c>
      <c r="J410" s="17">
        <f>42.1549 * CHOOSE(CONTROL!$C$9, $D$9, 100%, $F$9) + CHOOSE(CONTROL!$C$27, 0.0021, 0)</f>
        <v>42.156999999999996</v>
      </c>
      <c r="K410" s="17">
        <f>42.1549 * CHOOSE(CONTROL!$C$9, $D$9, 100%, $F$9) + CHOOSE(CONTROL!$C$27, 0.0021, 0)</f>
        <v>42.156999999999996</v>
      </c>
      <c r="L410" s="17"/>
    </row>
    <row r="411" spans="1:12" ht="15.75" x14ac:dyDescent="0.25">
      <c r="A411" s="14">
        <v>53082</v>
      </c>
      <c r="B411" s="17">
        <f>42.002 * CHOOSE(CONTROL!$C$9, $D$9, 100%, $F$9) + CHOOSE(CONTROL!$C$27, 0.0021, 0)</f>
        <v>42.004100000000001</v>
      </c>
      <c r="C411" s="17">
        <f>41.5697 * CHOOSE(CONTROL!$C$9, $D$9, 100%, $F$9) + CHOOSE(CONTROL!$C$27, 0.0021, 0)</f>
        <v>41.571799999999996</v>
      </c>
      <c r="D411" s="17">
        <f>41.5697 * CHOOSE(CONTROL!$C$9, $D$9, 100%, $F$9) + CHOOSE(CONTROL!$C$27, 0.0021, 0)</f>
        <v>41.571799999999996</v>
      </c>
      <c r="E411" s="17">
        <f>41.4331 * CHOOSE(CONTROL!$C$9, $D$9, 100%, $F$9) + CHOOSE(CONTROL!$C$27, 0.0021, 0)</f>
        <v>41.435200000000002</v>
      </c>
      <c r="F411" s="17">
        <f>41.4331 * CHOOSE(CONTROL!$C$9, $D$9, 100%, $F$9) + CHOOSE(CONTROL!$C$27, 0.0021, 0)</f>
        <v>41.435200000000002</v>
      </c>
      <c r="G411" s="17">
        <f>41.7044 * CHOOSE(CONTROL!$C$9, $D$9, 100%, $F$9) + CHOOSE(CONTROL!$C$27, 0.0021, 0)</f>
        <v>41.706499999999998</v>
      </c>
      <c r="H411" s="17">
        <f>41.5697 * CHOOSE(CONTROL!$C$9, $D$9, 100%, $F$9) + CHOOSE(CONTROL!$C$27, 0.0021, 0)</f>
        <v>41.571799999999996</v>
      </c>
      <c r="I411" s="17">
        <f>41.5697 * CHOOSE(CONTROL!$C$9, $D$9, 100%, $F$9) + CHOOSE(CONTROL!$C$27, 0.0021, 0)</f>
        <v>41.571799999999996</v>
      </c>
      <c r="J411" s="17">
        <f>41.5697 * CHOOSE(CONTROL!$C$9, $D$9, 100%, $F$9) + CHOOSE(CONTROL!$C$27, 0.0021, 0)</f>
        <v>41.571799999999996</v>
      </c>
      <c r="K411" s="17">
        <f>41.5697 * CHOOSE(CONTROL!$C$9, $D$9, 100%, $F$9) + CHOOSE(CONTROL!$C$27, 0.0021, 0)</f>
        <v>41.571799999999996</v>
      </c>
      <c r="L411" s="17"/>
    </row>
    <row r="412" spans="1:12" ht="15.75" x14ac:dyDescent="0.25">
      <c r="A412" s="14">
        <v>53113</v>
      </c>
      <c r="B412" s="17">
        <f>42.8359 * CHOOSE(CONTROL!$C$9, $D$9, 100%, $F$9) + CHOOSE(CONTROL!$C$27, 0.0021, 0)</f>
        <v>42.838000000000001</v>
      </c>
      <c r="C412" s="17">
        <f>42.4037 * CHOOSE(CONTROL!$C$9, $D$9, 100%, $F$9) + CHOOSE(CONTROL!$C$27, 0.0021, 0)</f>
        <v>42.405799999999999</v>
      </c>
      <c r="D412" s="17">
        <f>42.4037 * CHOOSE(CONTROL!$C$9, $D$9, 100%, $F$9) + CHOOSE(CONTROL!$C$27, 0.0021, 0)</f>
        <v>42.405799999999999</v>
      </c>
      <c r="E412" s="17">
        <f>42.267 * CHOOSE(CONTROL!$C$9, $D$9, 100%, $F$9) + CHOOSE(CONTROL!$C$27, 0.0021, 0)</f>
        <v>42.269100000000002</v>
      </c>
      <c r="F412" s="17">
        <f>42.267 * CHOOSE(CONTROL!$C$9, $D$9, 100%, $F$9) + CHOOSE(CONTROL!$C$27, 0.0021, 0)</f>
        <v>42.269100000000002</v>
      </c>
      <c r="G412" s="17">
        <f>42.5384 * CHOOSE(CONTROL!$C$9, $D$9, 100%, $F$9) + CHOOSE(CONTROL!$C$27, 0.0021, 0)</f>
        <v>42.540500000000002</v>
      </c>
      <c r="H412" s="17">
        <f>42.4037 * CHOOSE(CONTROL!$C$9, $D$9, 100%, $F$9) + CHOOSE(CONTROL!$C$27, 0.0021, 0)</f>
        <v>42.405799999999999</v>
      </c>
      <c r="I412" s="17">
        <f>42.4037 * CHOOSE(CONTROL!$C$9, $D$9, 100%, $F$9) + CHOOSE(CONTROL!$C$27, 0.0021, 0)</f>
        <v>42.405799999999999</v>
      </c>
      <c r="J412" s="17">
        <f>42.4037 * CHOOSE(CONTROL!$C$9, $D$9, 100%, $F$9) + CHOOSE(CONTROL!$C$27, 0.0021, 0)</f>
        <v>42.405799999999999</v>
      </c>
      <c r="K412" s="17">
        <f>42.4037 * CHOOSE(CONTROL!$C$9, $D$9, 100%, $F$9) + CHOOSE(CONTROL!$C$27, 0.0021, 0)</f>
        <v>42.405799999999999</v>
      </c>
      <c r="L412" s="17"/>
    </row>
    <row r="413" spans="1:12" ht="15.75" x14ac:dyDescent="0.25">
      <c r="A413" s="14">
        <v>53143</v>
      </c>
      <c r="B413" s="17">
        <f>43.3354 * CHOOSE(CONTROL!$C$9, $D$9, 100%, $F$9) + CHOOSE(CONTROL!$C$27, 0.0021, 0)</f>
        <v>43.337499999999999</v>
      </c>
      <c r="C413" s="17">
        <f>42.9031 * CHOOSE(CONTROL!$C$9, $D$9, 100%, $F$9) + CHOOSE(CONTROL!$C$27, 0.0021, 0)</f>
        <v>42.905200000000001</v>
      </c>
      <c r="D413" s="17">
        <f>42.9031 * CHOOSE(CONTROL!$C$9, $D$9, 100%, $F$9) + CHOOSE(CONTROL!$C$27, 0.0021, 0)</f>
        <v>42.905200000000001</v>
      </c>
      <c r="E413" s="17">
        <f>42.7665 * CHOOSE(CONTROL!$C$9, $D$9, 100%, $F$9) + CHOOSE(CONTROL!$C$27, 0.0021, 0)</f>
        <v>42.768599999999999</v>
      </c>
      <c r="F413" s="17">
        <f>42.7665 * CHOOSE(CONTROL!$C$9, $D$9, 100%, $F$9) + CHOOSE(CONTROL!$C$27, 0.0021, 0)</f>
        <v>42.768599999999999</v>
      </c>
      <c r="G413" s="17">
        <f>43.0379 * CHOOSE(CONTROL!$C$9, $D$9, 100%, $F$9) + CHOOSE(CONTROL!$C$27, 0.0021, 0)</f>
        <v>43.04</v>
      </c>
      <c r="H413" s="17">
        <f>42.9031 * CHOOSE(CONTROL!$C$9, $D$9, 100%, $F$9) + CHOOSE(CONTROL!$C$27, 0.0021, 0)</f>
        <v>42.905200000000001</v>
      </c>
      <c r="I413" s="17">
        <f>42.9031 * CHOOSE(CONTROL!$C$9, $D$9, 100%, $F$9) + CHOOSE(CONTROL!$C$27, 0.0021, 0)</f>
        <v>42.905200000000001</v>
      </c>
      <c r="J413" s="17">
        <f>42.9031 * CHOOSE(CONTROL!$C$9, $D$9, 100%, $F$9) + CHOOSE(CONTROL!$C$27, 0.0021, 0)</f>
        <v>42.905200000000001</v>
      </c>
      <c r="K413" s="17">
        <f>42.9031 * CHOOSE(CONTROL!$C$9, $D$9, 100%, $F$9) + CHOOSE(CONTROL!$C$27, 0.0021, 0)</f>
        <v>42.905200000000001</v>
      </c>
      <c r="L413" s="17"/>
    </row>
    <row r="414" spans="1:12" ht="15.75" x14ac:dyDescent="0.25">
      <c r="A414" s="14">
        <v>53174</v>
      </c>
      <c r="B414" s="17">
        <f>44.1593 * CHOOSE(CONTROL!$C$9, $D$9, 100%, $F$9) + CHOOSE(CONTROL!$C$27, 0.0021, 0)</f>
        <v>44.1614</v>
      </c>
      <c r="C414" s="17">
        <f>43.7271 * CHOOSE(CONTROL!$C$9, $D$9, 100%, $F$9) + CHOOSE(CONTROL!$C$27, 0.0021, 0)</f>
        <v>43.729199999999999</v>
      </c>
      <c r="D414" s="17">
        <f>43.7271 * CHOOSE(CONTROL!$C$9, $D$9, 100%, $F$9) + CHOOSE(CONTROL!$C$27, 0.0021, 0)</f>
        <v>43.729199999999999</v>
      </c>
      <c r="E414" s="17">
        <f>43.5904 * CHOOSE(CONTROL!$C$9, $D$9, 100%, $F$9) + CHOOSE(CONTROL!$C$27, 0.0021, 0)</f>
        <v>43.592500000000001</v>
      </c>
      <c r="F414" s="17">
        <f>43.5904 * CHOOSE(CONTROL!$C$9, $D$9, 100%, $F$9) + CHOOSE(CONTROL!$C$27, 0.0021, 0)</f>
        <v>43.592500000000001</v>
      </c>
      <c r="G414" s="17">
        <f>43.8618 * CHOOSE(CONTROL!$C$9, $D$9, 100%, $F$9) + CHOOSE(CONTROL!$C$27, 0.0021, 0)</f>
        <v>43.863900000000001</v>
      </c>
      <c r="H414" s="17">
        <f>43.7271 * CHOOSE(CONTROL!$C$9, $D$9, 100%, $F$9) + CHOOSE(CONTROL!$C$27, 0.0021, 0)</f>
        <v>43.729199999999999</v>
      </c>
      <c r="I414" s="17">
        <f>43.7271 * CHOOSE(CONTROL!$C$9, $D$9, 100%, $F$9) + CHOOSE(CONTROL!$C$27, 0.0021, 0)</f>
        <v>43.729199999999999</v>
      </c>
      <c r="J414" s="17">
        <f>43.7271 * CHOOSE(CONTROL!$C$9, $D$9, 100%, $F$9) + CHOOSE(CONTROL!$C$27, 0.0021, 0)</f>
        <v>43.729199999999999</v>
      </c>
      <c r="K414" s="17">
        <f>43.7271 * CHOOSE(CONTROL!$C$9, $D$9, 100%, $F$9) + CHOOSE(CONTROL!$C$27, 0.0021, 0)</f>
        <v>43.729199999999999</v>
      </c>
      <c r="L414" s="17"/>
    </row>
    <row r="415" spans="1:12" ht="15.75" x14ac:dyDescent="0.25">
      <c r="A415" s="14">
        <v>53205</v>
      </c>
      <c r="B415" s="17">
        <f>44.4108 * CHOOSE(CONTROL!$C$9, $D$9, 100%, $F$9) + CHOOSE(CONTROL!$C$27, 0.0021, 0)</f>
        <v>44.4129</v>
      </c>
      <c r="C415" s="17">
        <f>43.9786 * CHOOSE(CONTROL!$C$9, $D$9, 100%, $F$9) + CHOOSE(CONTROL!$C$27, 0.0021, 0)</f>
        <v>43.980699999999999</v>
      </c>
      <c r="D415" s="17">
        <f>43.9786 * CHOOSE(CONTROL!$C$9, $D$9, 100%, $F$9) + CHOOSE(CONTROL!$C$27, 0.0021, 0)</f>
        <v>43.980699999999999</v>
      </c>
      <c r="E415" s="17">
        <f>43.8419 * CHOOSE(CONTROL!$C$9, $D$9, 100%, $F$9) + CHOOSE(CONTROL!$C$27, 0.0021, 0)</f>
        <v>43.844000000000001</v>
      </c>
      <c r="F415" s="17">
        <f>43.8419 * CHOOSE(CONTROL!$C$9, $D$9, 100%, $F$9) + CHOOSE(CONTROL!$C$27, 0.0021, 0)</f>
        <v>43.844000000000001</v>
      </c>
      <c r="G415" s="17">
        <f>44.1133 * CHOOSE(CONTROL!$C$9, $D$9, 100%, $F$9) + CHOOSE(CONTROL!$C$27, 0.0021, 0)</f>
        <v>44.115400000000001</v>
      </c>
      <c r="H415" s="17">
        <f>43.9786 * CHOOSE(CONTROL!$C$9, $D$9, 100%, $F$9) + CHOOSE(CONTROL!$C$27, 0.0021, 0)</f>
        <v>43.980699999999999</v>
      </c>
      <c r="I415" s="17">
        <f>43.9786 * CHOOSE(CONTROL!$C$9, $D$9, 100%, $F$9) + CHOOSE(CONTROL!$C$27, 0.0021, 0)</f>
        <v>43.980699999999999</v>
      </c>
      <c r="J415" s="17">
        <f>43.9786 * CHOOSE(CONTROL!$C$9, $D$9, 100%, $F$9) + CHOOSE(CONTROL!$C$27, 0.0021, 0)</f>
        <v>43.980699999999999</v>
      </c>
      <c r="K415" s="17">
        <f>43.9786 * CHOOSE(CONTROL!$C$9, $D$9, 100%, $F$9) + CHOOSE(CONTROL!$C$27, 0.0021, 0)</f>
        <v>43.980699999999999</v>
      </c>
      <c r="L415" s="17"/>
    </row>
    <row r="416" spans="1:12" ht="15.75" x14ac:dyDescent="0.25">
      <c r="A416" s="14">
        <v>53235</v>
      </c>
      <c r="B416" s="17">
        <f>45.2673 * CHOOSE(CONTROL!$C$9, $D$9, 100%, $F$9) + CHOOSE(CONTROL!$C$27, 0.0021, 0)</f>
        <v>45.269399999999997</v>
      </c>
      <c r="C416" s="17">
        <f>44.8351 * CHOOSE(CONTROL!$C$9, $D$9, 100%, $F$9) + CHOOSE(CONTROL!$C$27, 0.0021, 0)</f>
        <v>44.837199999999996</v>
      </c>
      <c r="D416" s="17">
        <f>44.8351 * CHOOSE(CONTROL!$C$9, $D$9, 100%, $F$9) + CHOOSE(CONTROL!$C$27, 0.0021, 0)</f>
        <v>44.837199999999996</v>
      </c>
      <c r="E416" s="17">
        <f>44.6984 * CHOOSE(CONTROL!$C$9, $D$9, 100%, $F$9) + CHOOSE(CONTROL!$C$27, 0.0021, 0)</f>
        <v>44.700499999999998</v>
      </c>
      <c r="F416" s="17">
        <f>44.6984 * CHOOSE(CONTROL!$C$9, $D$9, 100%, $F$9) + CHOOSE(CONTROL!$C$27, 0.0021, 0)</f>
        <v>44.700499999999998</v>
      </c>
      <c r="G416" s="17">
        <f>44.9698 * CHOOSE(CONTROL!$C$9, $D$9, 100%, $F$9) + CHOOSE(CONTROL!$C$27, 0.0021, 0)</f>
        <v>44.971899999999998</v>
      </c>
      <c r="H416" s="17">
        <f>44.8351 * CHOOSE(CONTROL!$C$9, $D$9, 100%, $F$9) + CHOOSE(CONTROL!$C$27, 0.0021, 0)</f>
        <v>44.837199999999996</v>
      </c>
      <c r="I416" s="17">
        <f>44.8351 * CHOOSE(CONTROL!$C$9, $D$9, 100%, $F$9) + CHOOSE(CONTROL!$C$27, 0.0021, 0)</f>
        <v>44.837199999999996</v>
      </c>
      <c r="J416" s="17">
        <f>44.8351 * CHOOSE(CONTROL!$C$9, $D$9, 100%, $F$9) + CHOOSE(CONTROL!$C$27, 0.0021, 0)</f>
        <v>44.837199999999996</v>
      </c>
      <c r="K416" s="17">
        <f>44.8351 * CHOOSE(CONTROL!$C$9, $D$9, 100%, $F$9) + CHOOSE(CONTROL!$C$27, 0.0021, 0)</f>
        <v>44.837199999999996</v>
      </c>
      <c r="L416" s="17"/>
    </row>
    <row r="417" spans="1:12" ht="15.75" x14ac:dyDescent="0.25">
      <c r="A417" s="14">
        <v>53266</v>
      </c>
      <c r="B417" s="17">
        <f>46.3515 * CHOOSE(CONTROL!$C$9, $D$9, 100%, $F$9) + CHOOSE(CONTROL!$C$27, 0.0021, 0)</f>
        <v>46.3536</v>
      </c>
      <c r="C417" s="17">
        <f>45.9192 * CHOOSE(CONTROL!$C$9, $D$9, 100%, $F$9) + CHOOSE(CONTROL!$C$27, 0.0021, 0)</f>
        <v>45.921299999999995</v>
      </c>
      <c r="D417" s="17">
        <f>45.9192 * CHOOSE(CONTROL!$C$9, $D$9, 100%, $F$9) + CHOOSE(CONTROL!$C$27, 0.0021, 0)</f>
        <v>45.921299999999995</v>
      </c>
      <c r="E417" s="17">
        <f>45.7826 * CHOOSE(CONTROL!$C$9, $D$9, 100%, $F$9) + CHOOSE(CONTROL!$C$27, 0.0021, 0)</f>
        <v>45.784700000000001</v>
      </c>
      <c r="F417" s="17">
        <f>45.7826 * CHOOSE(CONTROL!$C$9, $D$9, 100%, $F$9) + CHOOSE(CONTROL!$C$27, 0.0021, 0)</f>
        <v>45.784700000000001</v>
      </c>
      <c r="G417" s="17">
        <f>46.054 * CHOOSE(CONTROL!$C$9, $D$9, 100%, $F$9) + CHOOSE(CONTROL!$C$27, 0.0021, 0)</f>
        <v>46.056100000000001</v>
      </c>
      <c r="H417" s="17">
        <f>45.9192 * CHOOSE(CONTROL!$C$9, $D$9, 100%, $F$9) + CHOOSE(CONTROL!$C$27, 0.0021, 0)</f>
        <v>45.921299999999995</v>
      </c>
      <c r="I417" s="17">
        <f>45.9192 * CHOOSE(CONTROL!$C$9, $D$9, 100%, $F$9) + CHOOSE(CONTROL!$C$27, 0.0021, 0)</f>
        <v>45.921299999999995</v>
      </c>
      <c r="J417" s="17">
        <f>45.9192 * CHOOSE(CONTROL!$C$9, $D$9, 100%, $F$9) + CHOOSE(CONTROL!$C$27, 0.0021, 0)</f>
        <v>45.921299999999995</v>
      </c>
      <c r="K417" s="17">
        <f>45.9192 * CHOOSE(CONTROL!$C$9, $D$9, 100%, $F$9) + CHOOSE(CONTROL!$C$27, 0.0021, 0)</f>
        <v>45.921299999999995</v>
      </c>
      <c r="L417" s="17"/>
    </row>
    <row r="418" spans="1:12" ht="15.75" x14ac:dyDescent="0.25">
      <c r="A418" s="14">
        <v>53296</v>
      </c>
      <c r="B418" s="17">
        <f>46.4533 * CHOOSE(CONTROL!$C$9, $D$9, 100%, $F$9) + CHOOSE(CONTROL!$C$27, 0.0021, 0)</f>
        <v>46.455399999999997</v>
      </c>
      <c r="C418" s="17">
        <f>46.021 * CHOOSE(CONTROL!$C$9, $D$9, 100%, $F$9) + CHOOSE(CONTROL!$C$27, 0.0021, 0)</f>
        <v>46.023099999999999</v>
      </c>
      <c r="D418" s="17">
        <f>46.021 * CHOOSE(CONTROL!$C$9, $D$9, 100%, $F$9) + CHOOSE(CONTROL!$C$27, 0.0021, 0)</f>
        <v>46.023099999999999</v>
      </c>
      <c r="E418" s="17">
        <f>45.8844 * CHOOSE(CONTROL!$C$9, $D$9, 100%, $F$9) + CHOOSE(CONTROL!$C$27, 0.0021, 0)</f>
        <v>45.886499999999998</v>
      </c>
      <c r="F418" s="17">
        <f>45.8844 * CHOOSE(CONTROL!$C$9, $D$9, 100%, $F$9) + CHOOSE(CONTROL!$C$27, 0.0021, 0)</f>
        <v>45.886499999999998</v>
      </c>
      <c r="G418" s="17">
        <f>46.1557 * CHOOSE(CONTROL!$C$9, $D$9, 100%, $F$9) + CHOOSE(CONTROL!$C$27, 0.0021, 0)</f>
        <v>46.157800000000002</v>
      </c>
      <c r="H418" s="17">
        <f>46.021 * CHOOSE(CONTROL!$C$9, $D$9, 100%, $F$9) + CHOOSE(CONTROL!$C$27, 0.0021, 0)</f>
        <v>46.023099999999999</v>
      </c>
      <c r="I418" s="17">
        <f>46.021 * CHOOSE(CONTROL!$C$9, $D$9, 100%, $F$9) + CHOOSE(CONTROL!$C$27, 0.0021, 0)</f>
        <v>46.023099999999999</v>
      </c>
      <c r="J418" s="17">
        <f>46.021 * CHOOSE(CONTROL!$C$9, $D$9, 100%, $F$9) + CHOOSE(CONTROL!$C$27, 0.0021, 0)</f>
        <v>46.023099999999999</v>
      </c>
      <c r="K418" s="17">
        <f>46.021 * CHOOSE(CONTROL!$C$9, $D$9, 100%, $F$9) + CHOOSE(CONTROL!$C$27, 0.0021, 0)</f>
        <v>46.023099999999999</v>
      </c>
      <c r="L418" s="17"/>
    </row>
    <row r="419" spans="1:12" ht="15.75" x14ac:dyDescent="0.25">
      <c r="A419" s="14">
        <v>53327</v>
      </c>
      <c r="B419" s="17">
        <f>45.5874 * CHOOSE(CONTROL!$C$9, $D$9, 100%, $F$9) + CHOOSE(CONTROL!$C$27, 0.0021, 0)</f>
        <v>45.589500000000001</v>
      </c>
      <c r="C419" s="17">
        <f>45.1551 * CHOOSE(CONTROL!$C$9, $D$9, 100%, $F$9) + CHOOSE(CONTROL!$C$27, 0.0021, 0)</f>
        <v>45.157199999999996</v>
      </c>
      <c r="D419" s="17">
        <f>45.1551 * CHOOSE(CONTROL!$C$9, $D$9, 100%, $F$9) + CHOOSE(CONTROL!$C$27, 0.0021, 0)</f>
        <v>45.157199999999996</v>
      </c>
      <c r="E419" s="17">
        <f>45.0185 * CHOOSE(CONTROL!$C$9, $D$9, 100%, $F$9) + CHOOSE(CONTROL!$C$27, 0.0021, 0)</f>
        <v>45.020600000000002</v>
      </c>
      <c r="F419" s="17">
        <f>45.0185 * CHOOSE(CONTROL!$C$9, $D$9, 100%, $F$9) + CHOOSE(CONTROL!$C$27, 0.0021, 0)</f>
        <v>45.020600000000002</v>
      </c>
      <c r="G419" s="17">
        <f>45.2898 * CHOOSE(CONTROL!$C$9, $D$9, 100%, $F$9) + CHOOSE(CONTROL!$C$27, 0.0021, 0)</f>
        <v>45.291899999999998</v>
      </c>
      <c r="H419" s="17">
        <f>45.1551 * CHOOSE(CONTROL!$C$9, $D$9, 100%, $F$9) + CHOOSE(CONTROL!$C$27, 0.0021, 0)</f>
        <v>45.157199999999996</v>
      </c>
      <c r="I419" s="17">
        <f>45.1551 * CHOOSE(CONTROL!$C$9, $D$9, 100%, $F$9) + CHOOSE(CONTROL!$C$27, 0.0021, 0)</f>
        <v>45.157199999999996</v>
      </c>
      <c r="J419" s="17">
        <f>45.1551 * CHOOSE(CONTROL!$C$9, $D$9, 100%, $F$9) + CHOOSE(CONTROL!$C$27, 0.0021, 0)</f>
        <v>45.157199999999996</v>
      </c>
      <c r="K419" s="17">
        <f>45.1551 * CHOOSE(CONTROL!$C$9, $D$9, 100%, $F$9) + CHOOSE(CONTROL!$C$27, 0.0021, 0)</f>
        <v>45.157199999999996</v>
      </c>
      <c r="L419" s="17"/>
    </row>
    <row r="420" spans="1:12" ht="15.75" x14ac:dyDescent="0.25">
      <c r="A420" s="14">
        <v>53358</v>
      </c>
      <c r="B420" s="17">
        <f>44.7254 * CHOOSE(CONTROL!$C$9, $D$9, 100%, $F$9) + CHOOSE(CONTROL!$C$27, 0.0021, 0)</f>
        <v>44.727499999999999</v>
      </c>
      <c r="C420" s="17">
        <f>44.2931 * CHOOSE(CONTROL!$C$9, $D$9, 100%, $F$9) + CHOOSE(CONTROL!$C$27, 0.0021, 0)</f>
        <v>44.295200000000001</v>
      </c>
      <c r="D420" s="17">
        <f>44.2931 * CHOOSE(CONTROL!$C$9, $D$9, 100%, $F$9) + CHOOSE(CONTROL!$C$27, 0.0021, 0)</f>
        <v>44.295200000000001</v>
      </c>
      <c r="E420" s="17">
        <f>44.1565 * CHOOSE(CONTROL!$C$9, $D$9, 100%, $F$9) + CHOOSE(CONTROL!$C$27, 0.0021, 0)</f>
        <v>44.1586</v>
      </c>
      <c r="F420" s="17">
        <f>44.1565 * CHOOSE(CONTROL!$C$9, $D$9, 100%, $F$9) + CHOOSE(CONTROL!$C$27, 0.0021, 0)</f>
        <v>44.1586</v>
      </c>
      <c r="G420" s="17">
        <f>44.4278 * CHOOSE(CONTROL!$C$9, $D$9, 100%, $F$9) + CHOOSE(CONTROL!$C$27, 0.0021, 0)</f>
        <v>44.429899999999996</v>
      </c>
      <c r="H420" s="17">
        <f>44.2931 * CHOOSE(CONTROL!$C$9, $D$9, 100%, $F$9) + CHOOSE(CONTROL!$C$27, 0.0021, 0)</f>
        <v>44.295200000000001</v>
      </c>
      <c r="I420" s="17">
        <f>44.2931 * CHOOSE(CONTROL!$C$9, $D$9, 100%, $F$9) + CHOOSE(CONTROL!$C$27, 0.0021, 0)</f>
        <v>44.295200000000001</v>
      </c>
      <c r="J420" s="17">
        <f>44.2931 * CHOOSE(CONTROL!$C$9, $D$9, 100%, $F$9) + CHOOSE(CONTROL!$C$27, 0.0021, 0)</f>
        <v>44.295200000000001</v>
      </c>
      <c r="K420" s="17">
        <f>44.2931 * CHOOSE(CONTROL!$C$9, $D$9, 100%, $F$9) + CHOOSE(CONTROL!$C$27, 0.0021, 0)</f>
        <v>44.295200000000001</v>
      </c>
      <c r="L420" s="17"/>
    </row>
    <row r="421" spans="1:12" ht="15.75" x14ac:dyDescent="0.25">
      <c r="A421" s="14">
        <v>53386</v>
      </c>
      <c r="B421" s="17">
        <f>43.5251 * CHOOSE(CONTROL!$C$9, $D$9, 100%, $F$9) + CHOOSE(CONTROL!$C$27, 0.0021, 0)</f>
        <v>43.527200000000001</v>
      </c>
      <c r="C421" s="17">
        <f>43.0929 * CHOOSE(CONTROL!$C$9, $D$9, 100%, $F$9) + CHOOSE(CONTROL!$C$27, 0.0021, 0)</f>
        <v>43.094999999999999</v>
      </c>
      <c r="D421" s="17">
        <f>43.0929 * CHOOSE(CONTROL!$C$9, $D$9, 100%, $F$9) + CHOOSE(CONTROL!$C$27, 0.0021, 0)</f>
        <v>43.094999999999999</v>
      </c>
      <c r="E421" s="17">
        <f>42.9562 * CHOOSE(CONTROL!$C$9, $D$9, 100%, $F$9) + CHOOSE(CONTROL!$C$27, 0.0021, 0)</f>
        <v>42.958300000000001</v>
      </c>
      <c r="F421" s="17">
        <f>42.9562 * CHOOSE(CONTROL!$C$9, $D$9, 100%, $F$9) + CHOOSE(CONTROL!$C$27, 0.0021, 0)</f>
        <v>42.958300000000001</v>
      </c>
      <c r="G421" s="17">
        <f>43.2276 * CHOOSE(CONTROL!$C$9, $D$9, 100%, $F$9) + CHOOSE(CONTROL!$C$27, 0.0021, 0)</f>
        <v>43.229700000000001</v>
      </c>
      <c r="H421" s="17">
        <f>43.0929 * CHOOSE(CONTROL!$C$9, $D$9, 100%, $F$9) + CHOOSE(CONTROL!$C$27, 0.0021, 0)</f>
        <v>43.094999999999999</v>
      </c>
      <c r="I421" s="17">
        <f>43.0929 * CHOOSE(CONTROL!$C$9, $D$9, 100%, $F$9) + CHOOSE(CONTROL!$C$27, 0.0021, 0)</f>
        <v>43.094999999999999</v>
      </c>
      <c r="J421" s="17">
        <f>43.0929 * CHOOSE(CONTROL!$C$9, $D$9, 100%, $F$9) + CHOOSE(CONTROL!$C$27, 0.0021, 0)</f>
        <v>43.094999999999999</v>
      </c>
      <c r="K421" s="17">
        <f>43.0929 * CHOOSE(CONTROL!$C$9, $D$9, 100%, $F$9) + CHOOSE(CONTROL!$C$27, 0.0021, 0)</f>
        <v>43.094999999999999</v>
      </c>
      <c r="L421" s="17"/>
    </row>
    <row r="422" spans="1:12" ht="15.75" x14ac:dyDescent="0.25">
      <c r="A422" s="14">
        <v>53417</v>
      </c>
      <c r="B422" s="17">
        <f>43.0297 * CHOOSE(CONTROL!$C$9, $D$9, 100%, $F$9) + CHOOSE(CONTROL!$C$27, 0.0021, 0)</f>
        <v>43.031799999999997</v>
      </c>
      <c r="C422" s="17">
        <f>42.5974 * CHOOSE(CONTROL!$C$9, $D$9, 100%, $F$9) + CHOOSE(CONTROL!$C$27, 0.0021, 0)</f>
        <v>42.599499999999999</v>
      </c>
      <c r="D422" s="17">
        <f>42.5974 * CHOOSE(CONTROL!$C$9, $D$9, 100%, $F$9) + CHOOSE(CONTROL!$C$27, 0.0021, 0)</f>
        <v>42.599499999999999</v>
      </c>
      <c r="E422" s="17">
        <f>42.4608 * CHOOSE(CONTROL!$C$9, $D$9, 100%, $F$9) + CHOOSE(CONTROL!$C$27, 0.0021, 0)</f>
        <v>42.462899999999998</v>
      </c>
      <c r="F422" s="17">
        <f>42.4608 * CHOOSE(CONTROL!$C$9, $D$9, 100%, $F$9) + CHOOSE(CONTROL!$C$27, 0.0021, 0)</f>
        <v>42.462899999999998</v>
      </c>
      <c r="G422" s="17">
        <f>42.7322 * CHOOSE(CONTROL!$C$9, $D$9, 100%, $F$9) + CHOOSE(CONTROL!$C$27, 0.0021, 0)</f>
        <v>42.734299999999998</v>
      </c>
      <c r="H422" s="17">
        <f>42.5974 * CHOOSE(CONTROL!$C$9, $D$9, 100%, $F$9) + CHOOSE(CONTROL!$C$27, 0.0021, 0)</f>
        <v>42.599499999999999</v>
      </c>
      <c r="I422" s="17">
        <f>42.5974 * CHOOSE(CONTROL!$C$9, $D$9, 100%, $F$9) + CHOOSE(CONTROL!$C$27, 0.0021, 0)</f>
        <v>42.599499999999999</v>
      </c>
      <c r="J422" s="17">
        <f>42.5974 * CHOOSE(CONTROL!$C$9, $D$9, 100%, $F$9) + CHOOSE(CONTROL!$C$27, 0.0021, 0)</f>
        <v>42.599499999999999</v>
      </c>
      <c r="K422" s="17">
        <f>42.5974 * CHOOSE(CONTROL!$C$9, $D$9, 100%, $F$9) + CHOOSE(CONTROL!$C$27, 0.0021, 0)</f>
        <v>42.599499999999999</v>
      </c>
      <c r="L422" s="17"/>
    </row>
    <row r="423" spans="1:12" ht="15.75" x14ac:dyDescent="0.25">
      <c r="A423" s="14">
        <v>53447</v>
      </c>
      <c r="B423" s="17">
        <f>42.4381 * CHOOSE(CONTROL!$C$9, $D$9, 100%, $F$9) + CHOOSE(CONTROL!$C$27, 0.0021, 0)</f>
        <v>42.440199999999997</v>
      </c>
      <c r="C423" s="17">
        <f>42.0059 * CHOOSE(CONTROL!$C$9, $D$9, 100%, $F$9) + CHOOSE(CONTROL!$C$27, 0.0021, 0)</f>
        <v>42.007999999999996</v>
      </c>
      <c r="D423" s="17">
        <f>42.0059 * CHOOSE(CONTROL!$C$9, $D$9, 100%, $F$9) + CHOOSE(CONTROL!$C$27, 0.0021, 0)</f>
        <v>42.007999999999996</v>
      </c>
      <c r="E423" s="17">
        <f>41.8692 * CHOOSE(CONTROL!$C$9, $D$9, 100%, $F$9) + CHOOSE(CONTROL!$C$27, 0.0021, 0)</f>
        <v>41.871299999999998</v>
      </c>
      <c r="F423" s="17">
        <f>41.8692 * CHOOSE(CONTROL!$C$9, $D$9, 100%, $F$9) + CHOOSE(CONTROL!$C$27, 0.0021, 0)</f>
        <v>41.871299999999998</v>
      </c>
      <c r="G423" s="17">
        <f>42.1406 * CHOOSE(CONTROL!$C$9, $D$9, 100%, $F$9) + CHOOSE(CONTROL!$C$27, 0.0021, 0)</f>
        <v>42.142699999999998</v>
      </c>
      <c r="H423" s="17">
        <f>42.0059 * CHOOSE(CONTROL!$C$9, $D$9, 100%, $F$9) + CHOOSE(CONTROL!$C$27, 0.0021, 0)</f>
        <v>42.007999999999996</v>
      </c>
      <c r="I423" s="17">
        <f>42.0059 * CHOOSE(CONTROL!$C$9, $D$9, 100%, $F$9) + CHOOSE(CONTROL!$C$27, 0.0021, 0)</f>
        <v>42.007999999999996</v>
      </c>
      <c r="J423" s="17">
        <f>42.0059 * CHOOSE(CONTROL!$C$9, $D$9, 100%, $F$9) + CHOOSE(CONTROL!$C$27, 0.0021, 0)</f>
        <v>42.007999999999996</v>
      </c>
      <c r="K423" s="17">
        <f>42.0059 * CHOOSE(CONTROL!$C$9, $D$9, 100%, $F$9) + CHOOSE(CONTROL!$C$27, 0.0021, 0)</f>
        <v>42.007999999999996</v>
      </c>
      <c r="L423" s="17"/>
    </row>
    <row r="424" spans="1:12" ht="15.75" x14ac:dyDescent="0.25">
      <c r="A424" s="14">
        <v>53478</v>
      </c>
      <c r="B424" s="17">
        <f>43.2812 * CHOOSE(CONTROL!$C$9, $D$9, 100%, $F$9) + CHOOSE(CONTROL!$C$27, 0.0021, 0)</f>
        <v>43.283299999999997</v>
      </c>
      <c r="C424" s="17">
        <f>42.8489 * CHOOSE(CONTROL!$C$9, $D$9, 100%, $F$9) + CHOOSE(CONTROL!$C$27, 0.0021, 0)</f>
        <v>42.850999999999999</v>
      </c>
      <c r="D424" s="17">
        <f>42.8489 * CHOOSE(CONTROL!$C$9, $D$9, 100%, $F$9) + CHOOSE(CONTROL!$C$27, 0.0021, 0)</f>
        <v>42.850999999999999</v>
      </c>
      <c r="E424" s="17">
        <f>42.7123 * CHOOSE(CONTROL!$C$9, $D$9, 100%, $F$9) + CHOOSE(CONTROL!$C$27, 0.0021, 0)</f>
        <v>42.714399999999998</v>
      </c>
      <c r="F424" s="17">
        <f>42.7123 * CHOOSE(CONTROL!$C$9, $D$9, 100%, $F$9) + CHOOSE(CONTROL!$C$27, 0.0021, 0)</f>
        <v>42.714399999999998</v>
      </c>
      <c r="G424" s="17">
        <f>42.9837 * CHOOSE(CONTROL!$C$9, $D$9, 100%, $F$9) + CHOOSE(CONTROL!$C$27, 0.0021, 0)</f>
        <v>42.985799999999998</v>
      </c>
      <c r="H424" s="17">
        <f>42.8489 * CHOOSE(CONTROL!$C$9, $D$9, 100%, $F$9) + CHOOSE(CONTROL!$C$27, 0.0021, 0)</f>
        <v>42.850999999999999</v>
      </c>
      <c r="I424" s="17">
        <f>42.8489 * CHOOSE(CONTROL!$C$9, $D$9, 100%, $F$9) + CHOOSE(CONTROL!$C$27, 0.0021, 0)</f>
        <v>42.850999999999999</v>
      </c>
      <c r="J424" s="17">
        <f>42.8489 * CHOOSE(CONTROL!$C$9, $D$9, 100%, $F$9) + CHOOSE(CONTROL!$C$27, 0.0021, 0)</f>
        <v>42.850999999999999</v>
      </c>
      <c r="K424" s="17">
        <f>42.8489 * CHOOSE(CONTROL!$C$9, $D$9, 100%, $F$9) + CHOOSE(CONTROL!$C$27, 0.0021, 0)</f>
        <v>42.850999999999999</v>
      </c>
      <c r="L424" s="17"/>
    </row>
    <row r="425" spans="1:12" ht="15.75" x14ac:dyDescent="0.25">
      <c r="A425" s="14">
        <v>53508</v>
      </c>
      <c r="B425" s="17">
        <f>43.7862 * CHOOSE(CONTROL!$C$9, $D$9, 100%, $F$9) + CHOOSE(CONTROL!$C$27, 0.0021, 0)</f>
        <v>43.7883</v>
      </c>
      <c r="C425" s="17">
        <f>43.3539 * CHOOSE(CONTROL!$C$9, $D$9, 100%, $F$9) + CHOOSE(CONTROL!$C$27, 0.0021, 0)</f>
        <v>43.356000000000002</v>
      </c>
      <c r="D425" s="17">
        <f>43.3539 * CHOOSE(CONTROL!$C$9, $D$9, 100%, $F$9) + CHOOSE(CONTROL!$C$27, 0.0021, 0)</f>
        <v>43.356000000000002</v>
      </c>
      <c r="E425" s="17">
        <f>43.2172 * CHOOSE(CONTROL!$C$9, $D$9, 100%, $F$9) + CHOOSE(CONTROL!$C$27, 0.0021, 0)</f>
        <v>43.219299999999997</v>
      </c>
      <c r="F425" s="17">
        <f>43.2172 * CHOOSE(CONTROL!$C$9, $D$9, 100%, $F$9) + CHOOSE(CONTROL!$C$27, 0.0021, 0)</f>
        <v>43.219299999999997</v>
      </c>
      <c r="G425" s="17">
        <f>43.4886 * CHOOSE(CONTROL!$C$9, $D$9, 100%, $F$9) + CHOOSE(CONTROL!$C$27, 0.0021, 0)</f>
        <v>43.490699999999997</v>
      </c>
      <c r="H425" s="17">
        <f>43.3539 * CHOOSE(CONTROL!$C$9, $D$9, 100%, $F$9) + CHOOSE(CONTROL!$C$27, 0.0021, 0)</f>
        <v>43.356000000000002</v>
      </c>
      <c r="I425" s="17">
        <f>43.3539 * CHOOSE(CONTROL!$C$9, $D$9, 100%, $F$9) + CHOOSE(CONTROL!$C$27, 0.0021, 0)</f>
        <v>43.356000000000002</v>
      </c>
      <c r="J425" s="17">
        <f>43.3539 * CHOOSE(CONTROL!$C$9, $D$9, 100%, $F$9) + CHOOSE(CONTROL!$C$27, 0.0021, 0)</f>
        <v>43.356000000000002</v>
      </c>
      <c r="K425" s="17">
        <f>43.3539 * CHOOSE(CONTROL!$C$9, $D$9, 100%, $F$9) + CHOOSE(CONTROL!$C$27, 0.0021, 0)</f>
        <v>43.356000000000002</v>
      </c>
      <c r="L425" s="17"/>
    </row>
    <row r="426" spans="1:12" ht="15.75" x14ac:dyDescent="0.25">
      <c r="A426" s="14">
        <v>53539</v>
      </c>
      <c r="B426" s="17">
        <f>44.6192 * CHOOSE(CONTROL!$C$9, $D$9, 100%, $F$9) + CHOOSE(CONTROL!$C$27, 0.0021, 0)</f>
        <v>44.621299999999998</v>
      </c>
      <c r="C426" s="17">
        <f>44.1869 * CHOOSE(CONTROL!$C$9, $D$9, 100%, $F$9) + CHOOSE(CONTROL!$C$27, 0.0021, 0)</f>
        <v>44.189</v>
      </c>
      <c r="D426" s="17">
        <f>44.1869 * CHOOSE(CONTROL!$C$9, $D$9, 100%, $F$9) + CHOOSE(CONTROL!$C$27, 0.0021, 0)</f>
        <v>44.189</v>
      </c>
      <c r="E426" s="17">
        <f>44.0503 * CHOOSE(CONTROL!$C$9, $D$9, 100%, $F$9) + CHOOSE(CONTROL!$C$27, 0.0021, 0)</f>
        <v>44.052399999999999</v>
      </c>
      <c r="F426" s="17">
        <f>44.0503 * CHOOSE(CONTROL!$C$9, $D$9, 100%, $F$9) + CHOOSE(CONTROL!$C$27, 0.0021, 0)</f>
        <v>44.052399999999999</v>
      </c>
      <c r="G426" s="17">
        <f>44.3216 * CHOOSE(CONTROL!$C$9, $D$9, 100%, $F$9) + CHOOSE(CONTROL!$C$27, 0.0021, 0)</f>
        <v>44.323699999999995</v>
      </c>
      <c r="H426" s="17">
        <f>44.1869 * CHOOSE(CONTROL!$C$9, $D$9, 100%, $F$9) + CHOOSE(CONTROL!$C$27, 0.0021, 0)</f>
        <v>44.189</v>
      </c>
      <c r="I426" s="17">
        <f>44.1869 * CHOOSE(CONTROL!$C$9, $D$9, 100%, $F$9) + CHOOSE(CONTROL!$C$27, 0.0021, 0)</f>
        <v>44.189</v>
      </c>
      <c r="J426" s="17">
        <f>44.1869 * CHOOSE(CONTROL!$C$9, $D$9, 100%, $F$9) + CHOOSE(CONTROL!$C$27, 0.0021, 0)</f>
        <v>44.189</v>
      </c>
      <c r="K426" s="17">
        <f>44.1869 * CHOOSE(CONTROL!$C$9, $D$9, 100%, $F$9) + CHOOSE(CONTROL!$C$27, 0.0021, 0)</f>
        <v>44.189</v>
      </c>
      <c r="L426" s="17"/>
    </row>
    <row r="427" spans="1:12" ht="15.75" x14ac:dyDescent="0.25">
      <c r="A427" s="14">
        <v>53570</v>
      </c>
      <c r="B427" s="17">
        <f>44.8734 * CHOOSE(CONTROL!$C$9, $D$9, 100%, $F$9) + CHOOSE(CONTROL!$C$27, 0.0021, 0)</f>
        <v>44.875499999999995</v>
      </c>
      <c r="C427" s="17">
        <f>44.4412 * CHOOSE(CONTROL!$C$9, $D$9, 100%, $F$9) + CHOOSE(CONTROL!$C$27, 0.0021, 0)</f>
        <v>44.443300000000001</v>
      </c>
      <c r="D427" s="17">
        <f>44.4412 * CHOOSE(CONTROL!$C$9, $D$9, 100%, $F$9) + CHOOSE(CONTROL!$C$27, 0.0021, 0)</f>
        <v>44.443300000000001</v>
      </c>
      <c r="E427" s="17">
        <f>44.3045 * CHOOSE(CONTROL!$C$9, $D$9, 100%, $F$9) + CHOOSE(CONTROL!$C$27, 0.0021, 0)</f>
        <v>44.306599999999996</v>
      </c>
      <c r="F427" s="17">
        <f>44.3045 * CHOOSE(CONTROL!$C$9, $D$9, 100%, $F$9) + CHOOSE(CONTROL!$C$27, 0.0021, 0)</f>
        <v>44.306599999999996</v>
      </c>
      <c r="G427" s="17">
        <f>44.5759 * CHOOSE(CONTROL!$C$9, $D$9, 100%, $F$9) + CHOOSE(CONTROL!$C$27, 0.0021, 0)</f>
        <v>44.577999999999996</v>
      </c>
      <c r="H427" s="17">
        <f>44.4412 * CHOOSE(CONTROL!$C$9, $D$9, 100%, $F$9) + CHOOSE(CONTROL!$C$27, 0.0021, 0)</f>
        <v>44.443300000000001</v>
      </c>
      <c r="I427" s="17">
        <f>44.4412 * CHOOSE(CONTROL!$C$9, $D$9, 100%, $F$9) + CHOOSE(CONTROL!$C$27, 0.0021, 0)</f>
        <v>44.443300000000001</v>
      </c>
      <c r="J427" s="17">
        <f>44.4412 * CHOOSE(CONTROL!$C$9, $D$9, 100%, $F$9) + CHOOSE(CONTROL!$C$27, 0.0021, 0)</f>
        <v>44.443300000000001</v>
      </c>
      <c r="K427" s="17">
        <f>44.4412 * CHOOSE(CONTROL!$C$9, $D$9, 100%, $F$9) + CHOOSE(CONTROL!$C$27, 0.0021, 0)</f>
        <v>44.443300000000001</v>
      </c>
      <c r="L427" s="17"/>
    </row>
    <row r="428" spans="1:12" ht="15.75" x14ac:dyDescent="0.25">
      <c r="A428" s="14">
        <v>53600</v>
      </c>
      <c r="B428" s="17">
        <f>45.7393 * CHOOSE(CONTROL!$C$9, $D$9, 100%, $F$9) + CHOOSE(CONTROL!$C$27, 0.0021, 0)</f>
        <v>45.741399999999999</v>
      </c>
      <c r="C428" s="17">
        <f>45.3071 * CHOOSE(CONTROL!$C$9, $D$9, 100%, $F$9) + CHOOSE(CONTROL!$C$27, 0.0021, 0)</f>
        <v>45.309199999999997</v>
      </c>
      <c r="D428" s="17">
        <f>45.3071 * CHOOSE(CONTROL!$C$9, $D$9, 100%, $F$9) + CHOOSE(CONTROL!$C$27, 0.0021, 0)</f>
        <v>45.309199999999997</v>
      </c>
      <c r="E428" s="17">
        <f>45.1704 * CHOOSE(CONTROL!$C$9, $D$9, 100%, $F$9) + CHOOSE(CONTROL!$C$27, 0.0021, 0)</f>
        <v>45.172499999999999</v>
      </c>
      <c r="F428" s="17">
        <f>45.1704 * CHOOSE(CONTROL!$C$9, $D$9, 100%, $F$9) + CHOOSE(CONTROL!$C$27, 0.0021, 0)</f>
        <v>45.172499999999999</v>
      </c>
      <c r="G428" s="17">
        <f>45.4418 * CHOOSE(CONTROL!$C$9, $D$9, 100%, $F$9) + CHOOSE(CONTROL!$C$27, 0.0021, 0)</f>
        <v>45.443899999999999</v>
      </c>
      <c r="H428" s="17">
        <f>45.3071 * CHOOSE(CONTROL!$C$9, $D$9, 100%, $F$9) + CHOOSE(CONTROL!$C$27, 0.0021, 0)</f>
        <v>45.309199999999997</v>
      </c>
      <c r="I428" s="17">
        <f>45.3071 * CHOOSE(CONTROL!$C$9, $D$9, 100%, $F$9) + CHOOSE(CONTROL!$C$27, 0.0021, 0)</f>
        <v>45.309199999999997</v>
      </c>
      <c r="J428" s="17">
        <f>45.3071 * CHOOSE(CONTROL!$C$9, $D$9, 100%, $F$9) + CHOOSE(CONTROL!$C$27, 0.0021, 0)</f>
        <v>45.309199999999997</v>
      </c>
      <c r="K428" s="17">
        <f>45.3071 * CHOOSE(CONTROL!$C$9, $D$9, 100%, $F$9) + CHOOSE(CONTROL!$C$27, 0.0021, 0)</f>
        <v>45.309199999999997</v>
      </c>
      <c r="L428" s="17"/>
    </row>
    <row r="429" spans="1:12" ht="15.75" x14ac:dyDescent="0.25">
      <c r="A429" s="14">
        <v>53631</v>
      </c>
      <c r="B429" s="17">
        <f>46.8354 * CHOOSE(CONTROL!$C$9, $D$9, 100%, $F$9) + CHOOSE(CONTROL!$C$27, 0.0021, 0)</f>
        <v>46.837499999999999</v>
      </c>
      <c r="C429" s="17">
        <f>46.4031 * CHOOSE(CONTROL!$C$9, $D$9, 100%, $F$9) + CHOOSE(CONTROL!$C$27, 0.0021, 0)</f>
        <v>46.405200000000001</v>
      </c>
      <c r="D429" s="17">
        <f>46.4031 * CHOOSE(CONTROL!$C$9, $D$9, 100%, $F$9) + CHOOSE(CONTROL!$C$27, 0.0021, 0)</f>
        <v>46.405200000000001</v>
      </c>
      <c r="E429" s="17">
        <f>46.2665 * CHOOSE(CONTROL!$C$9, $D$9, 100%, $F$9) + CHOOSE(CONTROL!$C$27, 0.0021, 0)</f>
        <v>46.268599999999999</v>
      </c>
      <c r="F429" s="17">
        <f>46.2665 * CHOOSE(CONTROL!$C$9, $D$9, 100%, $F$9) + CHOOSE(CONTROL!$C$27, 0.0021, 0)</f>
        <v>46.268599999999999</v>
      </c>
      <c r="G429" s="17">
        <f>46.5378 * CHOOSE(CONTROL!$C$9, $D$9, 100%, $F$9) + CHOOSE(CONTROL!$C$27, 0.0021, 0)</f>
        <v>46.539899999999996</v>
      </c>
      <c r="H429" s="17">
        <f>46.4031 * CHOOSE(CONTROL!$C$9, $D$9, 100%, $F$9) + CHOOSE(CONTROL!$C$27, 0.0021, 0)</f>
        <v>46.405200000000001</v>
      </c>
      <c r="I429" s="17">
        <f>46.4031 * CHOOSE(CONTROL!$C$9, $D$9, 100%, $F$9) + CHOOSE(CONTROL!$C$27, 0.0021, 0)</f>
        <v>46.405200000000001</v>
      </c>
      <c r="J429" s="17">
        <f>46.4031 * CHOOSE(CONTROL!$C$9, $D$9, 100%, $F$9) + CHOOSE(CONTROL!$C$27, 0.0021, 0)</f>
        <v>46.405200000000001</v>
      </c>
      <c r="K429" s="17">
        <f>46.4031 * CHOOSE(CONTROL!$C$9, $D$9, 100%, $F$9) + CHOOSE(CONTROL!$C$27, 0.0021, 0)</f>
        <v>46.405200000000001</v>
      </c>
      <c r="L429" s="17"/>
    </row>
    <row r="430" spans="1:12" ht="15.75" x14ac:dyDescent="0.25">
      <c r="A430" s="14">
        <v>53661</v>
      </c>
      <c r="B430" s="17">
        <f>46.9383 * CHOOSE(CONTROL!$C$9, $D$9, 100%, $F$9) + CHOOSE(CONTROL!$C$27, 0.0021, 0)</f>
        <v>46.940399999999997</v>
      </c>
      <c r="C430" s="17">
        <f>46.506 * CHOOSE(CONTROL!$C$9, $D$9, 100%, $F$9) + CHOOSE(CONTROL!$C$27, 0.0021, 0)</f>
        <v>46.508099999999999</v>
      </c>
      <c r="D430" s="17">
        <f>46.506 * CHOOSE(CONTROL!$C$9, $D$9, 100%, $F$9) + CHOOSE(CONTROL!$C$27, 0.0021, 0)</f>
        <v>46.508099999999999</v>
      </c>
      <c r="E430" s="17">
        <f>46.3694 * CHOOSE(CONTROL!$C$9, $D$9, 100%, $F$9) + CHOOSE(CONTROL!$C$27, 0.0021, 0)</f>
        <v>46.371499999999997</v>
      </c>
      <c r="F430" s="17">
        <f>46.3694 * CHOOSE(CONTROL!$C$9, $D$9, 100%, $F$9) + CHOOSE(CONTROL!$C$27, 0.0021, 0)</f>
        <v>46.371499999999997</v>
      </c>
      <c r="G430" s="17">
        <f>46.6407 * CHOOSE(CONTROL!$C$9, $D$9, 100%, $F$9) + CHOOSE(CONTROL!$C$27, 0.0021, 0)</f>
        <v>46.642800000000001</v>
      </c>
      <c r="H430" s="17">
        <f>46.506 * CHOOSE(CONTROL!$C$9, $D$9, 100%, $F$9) + CHOOSE(CONTROL!$C$27, 0.0021, 0)</f>
        <v>46.508099999999999</v>
      </c>
      <c r="I430" s="17">
        <f>46.506 * CHOOSE(CONTROL!$C$9, $D$9, 100%, $F$9) + CHOOSE(CONTROL!$C$27, 0.0021, 0)</f>
        <v>46.508099999999999</v>
      </c>
      <c r="J430" s="17">
        <f>46.506 * CHOOSE(CONTROL!$C$9, $D$9, 100%, $F$9) + CHOOSE(CONTROL!$C$27, 0.0021, 0)</f>
        <v>46.508099999999999</v>
      </c>
      <c r="K430" s="17">
        <f>46.506 * CHOOSE(CONTROL!$C$9, $D$9, 100%, $F$9) + CHOOSE(CONTROL!$C$27, 0.0021, 0)</f>
        <v>46.508099999999999</v>
      </c>
      <c r="L430" s="17"/>
    </row>
    <row r="431" spans="1:12" ht="15.75" x14ac:dyDescent="0.25">
      <c r="A431" s="14">
        <v>53692</v>
      </c>
      <c r="B431" s="17">
        <f>46.0629 * CHOOSE(CONTROL!$C$9, $D$9, 100%, $F$9) + CHOOSE(CONTROL!$C$27, 0.0021, 0)</f>
        <v>46.064999999999998</v>
      </c>
      <c r="C431" s="17">
        <f>45.6306 * CHOOSE(CONTROL!$C$9, $D$9, 100%, $F$9) + CHOOSE(CONTROL!$C$27, 0.0021, 0)</f>
        <v>45.6327</v>
      </c>
      <c r="D431" s="17">
        <f>45.6306 * CHOOSE(CONTROL!$C$9, $D$9, 100%, $F$9) + CHOOSE(CONTROL!$C$27, 0.0021, 0)</f>
        <v>45.6327</v>
      </c>
      <c r="E431" s="17">
        <f>45.494 * CHOOSE(CONTROL!$C$9, $D$9, 100%, $F$9) + CHOOSE(CONTROL!$C$27, 0.0021, 0)</f>
        <v>45.496099999999998</v>
      </c>
      <c r="F431" s="17">
        <f>45.494 * CHOOSE(CONTROL!$C$9, $D$9, 100%, $F$9) + CHOOSE(CONTROL!$C$27, 0.0021, 0)</f>
        <v>45.496099999999998</v>
      </c>
      <c r="G431" s="17">
        <f>45.7653 * CHOOSE(CONTROL!$C$9, $D$9, 100%, $F$9) + CHOOSE(CONTROL!$C$27, 0.0021, 0)</f>
        <v>45.767400000000002</v>
      </c>
      <c r="H431" s="17">
        <f>45.6306 * CHOOSE(CONTROL!$C$9, $D$9, 100%, $F$9) + CHOOSE(CONTROL!$C$27, 0.0021, 0)</f>
        <v>45.6327</v>
      </c>
      <c r="I431" s="17">
        <f>45.6306 * CHOOSE(CONTROL!$C$9, $D$9, 100%, $F$9) + CHOOSE(CONTROL!$C$27, 0.0021, 0)</f>
        <v>45.6327</v>
      </c>
      <c r="J431" s="17">
        <f>45.6306 * CHOOSE(CONTROL!$C$9, $D$9, 100%, $F$9) + CHOOSE(CONTROL!$C$27, 0.0021, 0)</f>
        <v>45.6327</v>
      </c>
      <c r="K431" s="17">
        <f>45.6306 * CHOOSE(CONTROL!$C$9, $D$9, 100%, $F$9) + CHOOSE(CONTROL!$C$27, 0.0021, 0)</f>
        <v>45.6327</v>
      </c>
      <c r="L431" s="17"/>
    </row>
    <row r="432" spans="1:12" ht="15.75" x14ac:dyDescent="0.25">
      <c r="A432" s="14">
        <v>53723</v>
      </c>
      <c r="B432" s="17">
        <f>45.1914 * CHOOSE(CONTROL!$C$9, $D$9, 100%, $F$9) + CHOOSE(CONTROL!$C$27, 0.0021, 0)</f>
        <v>45.1935</v>
      </c>
      <c r="C432" s="17">
        <f>44.7592 * CHOOSE(CONTROL!$C$9, $D$9, 100%, $F$9) + CHOOSE(CONTROL!$C$27, 0.0021, 0)</f>
        <v>44.761299999999999</v>
      </c>
      <c r="D432" s="17">
        <f>44.7592 * CHOOSE(CONTROL!$C$9, $D$9, 100%, $F$9) + CHOOSE(CONTROL!$C$27, 0.0021, 0)</f>
        <v>44.761299999999999</v>
      </c>
      <c r="E432" s="17">
        <f>44.6225 * CHOOSE(CONTROL!$C$9, $D$9, 100%, $F$9) + CHOOSE(CONTROL!$C$27, 0.0021, 0)</f>
        <v>44.624600000000001</v>
      </c>
      <c r="F432" s="17">
        <f>44.6225 * CHOOSE(CONTROL!$C$9, $D$9, 100%, $F$9) + CHOOSE(CONTROL!$C$27, 0.0021, 0)</f>
        <v>44.624600000000001</v>
      </c>
      <c r="G432" s="17">
        <f>44.8939 * CHOOSE(CONTROL!$C$9, $D$9, 100%, $F$9) + CHOOSE(CONTROL!$C$27, 0.0021, 0)</f>
        <v>44.896000000000001</v>
      </c>
      <c r="H432" s="17">
        <f>44.7592 * CHOOSE(CONTROL!$C$9, $D$9, 100%, $F$9) + CHOOSE(CONTROL!$C$27, 0.0021, 0)</f>
        <v>44.761299999999999</v>
      </c>
      <c r="I432" s="17">
        <f>44.7592 * CHOOSE(CONTROL!$C$9, $D$9, 100%, $F$9) + CHOOSE(CONTROL!$C$27, 0.0021, 0)</f>
        <v>44.761299999999999</v>
      </c>
      <c r="J432" s="17">
        <f>44.7592 * CHOOSE(CONTROL!$C$9, $D$9, 100%, $F$9) + CHOOSE(CONTROL!$C$27, 0.0021, 0)</f>
        <v>44.761299999999999</v>
      </c>
      <c r="K432" s="17">
        <f>44.7592 * CHOOSE(CONTROL!$C$9, $D$9, 100%, $F$9) + CHOOSE(CONTROL!$C$27, 0.0021, 0)</f>
        <v>44.761299999999999</v>
      </c>
      <c r="L432" s="17"/>
    </row>
    <row r="433" spans="1:12" ht="15.75" x14ac:dyDescent="0.25">
      <c r="A433" s="14">
        <v>53751</v>
      </c>
      <c r="B433" s="17">
        <f>43.978 * CHOOSE(CONTROL!$C$9, $D$9, 100%, $F$9) + CHOOSE(CONTROL!$C$27, 0.0021, 0)</f>
        <v>43.9801</v>
      </c>
      <c r="C433" s="17">
        <f>43.5457 * CHOOSE(CONTROL!$C$9, $D$9, 100%, $F$9) + CHOOSE(CONTROL!$C$27, 0.0021, 0)</f>
        <v>43.547799999999995</v>
      </c>
      <c r="D433" s="17">
        <f>43.5457 * CHOOSE(CONTROL!$C$9, $D$9, 100%, $F$9) + CHOOSE(CONTROL!$C$27, 0.0021, 0)</f>
        <v>43.547799999999995</v>
      </c>
      <c r="E433" s="17">
        <f>43.4091 * CHOOSE(CONTROL!$C$9, $D$9, 100%, $F$9) + CHOOSE(CONTROL!$C$27, 0.0021, 0)</f>
        <v>43.411200000000001</v>
      </c>
      <c r="F433" s="17">
        <f>43.4091 * CHOOSE(CONTROL!$C$9, $D$9, 100%, $F$9) + CHOOSE(CONTROL!$C$27, 0.0021, 0)</f>
        <v>43.411200000000001</v>
      </c>
      <c r="G433" s="17">
        <f>43.6805 * CHOOSE(CONTROL!$C$9, $D$9, 100%, $F$9) + CHOOSE(CONTROL!$C$27, 0.0021, 0)</f>
        <v>43.682600000000001</v>
      </c>
      <c r="H433" s="17">
        <f>43.5457 * CHOOSE(CONTROL!$C$9, $D$9, 100%, $F$9) + CHOOSE(CONTROL!$C$27, 0.0021, 0)</f>
        <v>43.547799999999995</v>
      </c>
      <c r="I433" s="17">
        <f>43.5457 * CHOOSE(CONTROL!$C$9, $D$9, 100%, $F$9) + CHOOSE(CONTROL!$C$27, 0.0021, 0)</f>
        <v>43.547799999999995</v>
      </c>
      <c r="J433" s="17">
        <f>43.5457 * CHOOSE(CONTROL!$C$9, $D$9, 100%, $F$9) + CHOOSE(CONTROL!$C$27, 0.0021, 0)</f>
        <v>43.547799999999995</v>
      </c>
      <c r="K433" s="17">
        <f>43.5457 * CHOOSE(CONTROL!$C$9, $D$9, 100%, $F$9) + CHOOSE(CONTROL!$C$27, 0.0021, 0)</f>
        <v>43.547799999999995</v>
      </c>
      <c r="L433" s="17"/>
    </row>
    <row r="434" spans="1:12" ht="15.75" x14ac:dyDescent="0.25">
      <c r="A434" s="14">
        <v>53782</v>
      </c>
      <c r="B434" s="17">
        <f>43.4771 * CHOOSE(CONTROL!$C$9, $D$9, 100%, $F$9) + CHOOSE(CONTROL!$C$27, 0.0021, 0)</f>
        <v>43.479199999999999</v>
      </c>
      <c r="C434" s="17">
        <f>43.0449 * CHOOSE(CONTROL!$C$9, $D$9, 100%, $F$9) + CHOOSE(CONTROL!$C$27, 0.0021, 0)</f>
        <v>43.046999999999997</v>
      </c>
      <c r="D434" s="17">
        <f>43.0449 * CHOOSE(CONTROL!$C$9, $D$9, 100%, $F$9) + CHOOSE(CONTROL!$C$27, 0.0021, 0)</f>
        <v>43.046999999999997</v>
      </c>
      <c r="E434" s="17">
        <f>42.9082 * CHOOSE(CONTROL!$C$9, $D$9, 100%, $F$9) + CHOOSE(CONTROL!$C$27, 0.0021, 0)</f>
        <v>42.910299999999999</v>
      </c>
      <c r="F434" s="17">
        <f>42.9082 * CHOOSE(CONTROL!$C$9, $D$9, 100%, $F$9) + CHOOSE(CONTROL!$C$27, 0.0021, 0)</f>
        <v>42.910299999999999</v>
      </c>
      <c r="G434" s="17">
        <f>43.1796 * CHOOSE(CONTROL!$C$9, $D$9, 100%, $F$9) + CHOOSE(CONTROL!$C$27, 0.0021, 0)</f>
        <v>43.181699999999999</v>
      </c>
      <c r="H434" s="17">
        <f>43.0449 * CHOOSE(CONTROL!$C$9, $D$9, 100%, $F$9) + CHOOSE(CONTROL!$C$27, 0.0021, 0)</f>
        <v>43.046999999999997</v>
      </c>
      <c r="I434" s="17">
        <f>43.0449 * CHOOSE(CONTROL!$C$9, $D$9, 100%, $F$9) + CHOOSE(CONTROL!$C$27, 0.0021, 0)</f>
        <v>43.046999999999997</v>
      </c>
      <c r="J434" s="17">
        <f>43.0449 * CHOOSE(CONTROL!$C$9, $D$9, 100%, $F$9) + CHOOSE(CONTROL!$C$27, 0.0021, 0)</f>
        <v>43.046999999999997</v>
      </c>
      <c r="K434" s="17">
        <f>43.0449 * CHOOSE(CONTROL!$C$9, $D$9, 100%, $F$9) + CHOOSE(CONTROL!$C$27, 0.0021, 0)</f>
        <v>43.046999999999997</v>
      </c>
      <c r="L434" s="17"/>
    </row>
    <row r="435" spans="1:12" ht="15.75" x14ac:dyDescent="0.25">
      <c r="A435" s="14">
        <v>53812</v>
      </c>
      <c r="B435" s="17">
        <f>42.879 * CHOOSE(CONTROL!$C$9, $D$9, 100%, $F$9) + CHOOSE(CONTROL!$C$27, 0.0021, 0)</f>
        <v>42.881099999999996</v>
      </c>
      <c r="C435" s="17">
        <f>42.4468 * CHOOSE(CONTROL!$C$9, $D$9, 100%, $F$9) + CHOOSE(CONTROL!$C$27, 0.0021, 0)</f>
        <v>42.448900000000002</v>
      </c>
      <c r="D435" s="17">
        <f>42.4468 * CHOOSE(CONTROL!$C$9, $D$9, 100%, $F$9) + CHOOSE(CONTROL!$C$27, 0.0021, 0)</f>
        <v>42.448900000000002</v>
      </c>
      <c r="E435" s="17">
        <f>42.3101 * CHOOSE(CONTROL!$C$9, $D$9, 100%, $F$9) + CHOOSE(CONTROL!$C$27, 0.0021, 0)</f>
        <v>42.312199999999997</v>
      </c>
      <c r="F435" s="17">
        <f>42.3101 * CHOOSE(CONTROL!$C$9, $D$9, 100%, $F$9) + CHOOSE(CONTROL!$C$27, 0.0021, 0)</f>
        <v>42.312199999999997</v>
      </c>
      <c r="G435" s="17">
        <f>42.5815 * CHOOSE(CONTROL!$C$9, $D$9, 100%, $F$9) + CHOOSE(CONTROL!$C$27, 0.0021, 0)</f>
        <v>42.583599999999997</v>
      </c>
      <c r="H435" s="17">
        <f>42.4468 * CHOOSE(CONTROL!$C$9, $D$9, 100%, $F$9) + CHOOSE(CONTROL!$C$27, 0.0021, 0)</f>
        <v>42.448900000000002</v>
      </c>
      <c r="I435" s="17">
        <f>42.4468 * CHOOSE(CONTROL!$C$9, $D$9, 100%, $F$9) + CHOOSE(CONTROL!$C$27, 0.0021, 0)</f>
        <v>42.448900000000002</v>
      </c>
      <c r="J435" s="17">
        <f>42.4468 * CHOOSE(CONTROL!$C$9, $D$9, 100%, $F$9) + CHOOSE(CONTROL!$C$27, 0.0021, 0)</f>
        <v>42.448900000000002</v>
      </c>
      <c r="K435" s="17">
        <f>42.4468 * CHOOSE(CONTROL!$C$9, $D$9, 100%, $F$9) + CHOOSE(CONTROL!$C$27, 0.0021, 0)</f>
        <v>42.448900000000002</v>
      </c>
      <c r="L435" s="17"/>
    </row>
    <row r="436" spans="1:12" ht="15.75" x14ac:dyDescent="0.25">
      <c r="A436" s="14">
        <v>53843</v>
      </c>
      <c r="B436" s="17">
        <f>43.7314 * CHOOSE(CONTROL!$C$9, $D$9, 100%, $F$9) + CHOOSE(CONTROL!$C$27, 0.0021, 0)</f>
        <v>43.733499999999999</v>
      </c>
      <c r="C436" s="17">
        <f>43.2991 * CHOOSE(CONTROL!$C$9, $D$9, 100%, $F$9) + CHOOSE(CONTROL!$C$27, 0.0021, 0)</f>
        <v>43.301200000000001</v>
      </c>
      <c r="D436" s="17">
        <f>43.2991 * CHOOSE(CONTROL!$C$9, $D$9, 100%, $F$9) + CHOOSE(CONTROL!$C$27, 0.0021, 0)</f>
        <v>43.301200000000001</v>
      </c>
      <c r="E436" s="17">
        <f>43.1625 * CHOOSE(CONTROL!$C$9, $D$9, 100%, $F$9) + CHOOSE(CONTROL!$C$27, 0.0021, 0)</f>
        <v>43.1646</v>
      </c>
      <c r="F436" s="17">
        <f>43.1625 * CHOOSE(CONTROL!$C$9, $D$9, 100%, $F$9) + CHOOSE(CONTROL!$C$27, 0.0021, 0)</f>
        <v>43.1646</v>
      </c>
      <c r="G436" s="17">
        <f>43.4338 * CHOOSE(CONTROL!$C$9, $D$9, 100%, $F$9) + CHOOSE(CONTROL!$C$27, 0.0021, 0)</f>
        <v>43.435899999999997</v>
      </c>
      <c r="H436" s="17">
        <f>43.2991 * CHOOSE(CONTROL!$C$9, $D$9, 100%, $F$9) + CHOOSE(CONTROL!$C$27, 0.0021, 0)</f>
        <v>43.301200000000001</v>
      </c>
      <c r="I436" s="17">
        <f>43.2991 * CHOOSE(CONTROL!$C$9, $D$9, 100%, $F$9) + CHOOSE(CONTROL!$C$27, 0.0021, 0)</f>
        <v>43.301200000000001</v>
      </c>
      <c r="J436" s="17">
        <f>43.2991 * CHOOSE(CONTROL!$C$9, $D$9, 100%, $F$9) + CHOOSE(CONTROL!$C$27, 0.0021, 0)</f>
        <v>43.301200000000001</v>
      </c>
      <c r="K436" s="17">
        <f>43.2991 * CHOOSE(CONTROL!$C$9, $D$9, 100%, $F$9) + CHOOSE(CONTROL!$C$27, 0.0021, 0)</f>
        <v>43.301200000000001</v>
      </c>
      <c r="L436" s="17"/>
    </row>
    <row r="437" spans="1:12" ht="15.75" x14ac:dyDescent="0.25">
      <c r="A437" s="14">
        <v>53873</v>
      </c>
      <c r="B437" s="17">
        <f>44.2419 * CHOOSE(CONTROL!$C$9, $D$9, 100%, $F$9) + CHOOSE(CONTROL!$C$27, 0.0021, 0)</f>
        <v>44.244</v>
      </c>
      <c r="C437" s="17">
        <f>43.8096 * CHOOSE(CONTROL!$C$9, $D$9, 100%, $F$9) + CHOOSE(CONTROL!$C$27, 0.0021, 0)</f>
        <v>43.811700000000002</v>
      </c>
      <c r="D437" s="17">
        <f>43.8096 * CHOOSE(CONTROL!$C$9, $D$9, 100%, $F$9) + CHOOSE(CONTROL!$C$27, 0.0021, 0)</f>
        <v>43.811700000000002</v>
      </c>
      <c r="E437" s="17">
        <f>43.673 * CHOOSE(CONTROL!$C$9, $D$9, 100%, $F$9) + CHOOSE(CONTROL!$C$27, 0.0021, 0)</f>
        <v>43.6751</v>
      </c>
      <c r="F437" s="17">
        <f>43.673 * CHOOSE(CONTROL!$C$9, $D$9, 100%, $F$9) + CHOOSE(CONTROL!$C$27, 0.0021, 0)</f>
        <v>43.6751</v>
      </c>
      <c r="G437" s="17">
        <f>43.9443 * CHOOSE(CONTROL!$C$9, $D$9, 100%, $F$9) + CHOOSE(CONTROL!$C$27, 0.0021, 0)</f>
        <v>43.946399999999997</v>
      </c>
      <c r="H437" s="17">
        <f>43.8096 * CHOOSE(CONTROL!$C$9, $D$9, 100%, $F$9) + CHOOSE(CONTROL!$C$27, 0.0021, 0)</f>
        <v>43.811700000000002</v>
      </c>
      <c r="I437" s="17">
        <f>43.8096 * CHOOSE(CONTROL!$C$9, $D$9, 100%, $F$9) + CHOOSE(CONTROL!$C$27, 0.0021, 0)</f>
        <v>43.811700000000002</v>
      </c>
      <c r="J437" s="17">
        <f>43.8096 * CHOOSE(CONTROL!$C$9, $D$9, 100%, $F$9) + CHOOSE(CONTROL!$C$27, 0.0021, 0)</f>
        <v>43.811700000000002</v>
      </c>
      <c r="K437" s="17">
        <f>43.8096 * CHOOSE(CONTROL!$C$9, $D$9, 100%, $F$9) + CHOOSE(CONTROL!$C$27, 0.0021, 0)</f>
        <v>43.811700000000002</v>
      </c>
      <c r="L437" s="17"/>
    </row>
    <row r="438" spans="1:12" ht="15.75" x14ac:dyDescent="0.25">
      <c r="A438" s="14">
        <v>53904</v>
      </c>
      <c r="B438" s="17">
        <f>45.084 * CHOOSE(CONTROL!$C$9, $D$9, 100%, $F$9) + CHOOSE(CONTROL!$C$27, 0.0021, 0)</f>
        <v>45.086100000000002</v>
      </c>
      <c r="C438" s="17">
        <f>44.6518 * CHOOSE(CONTROL!$C$9, $D$9, 100%, $F$9) + CHOOSE(CONTROL!$C$27, 0.0021, 0)</f>
        <v>44.6539</v>
      </c>
      <c r="D438" s="17">
        <f>44.6518 * CHOOSE(CONTROL!$C$9, $D$9, 100%, $F$9) + CHOOSE(CONTROL!$C$27, 0.0021, 0)</f>
        <v>44.6539</v>
      </c>
      <c r="E438" s="17">
        <f>44.5151 * CHOOSE(CONTROL!$C$9, $D$9, 100%, $F$9) + CHOOSE(CONTROL!$C$27, 0.0021, 0)</f>
        <v>44.517199999999995</v>
      </c>
      <c r="F438" s="17">
        <f>44.5151 * CHOOSE(CONTROL!$C$9, $D$9, 100%, $F$9) + CHOOSE(CONTROL!$C$27, 0.0021, 0)</f>
        <v>44.517199999999995</v>
      </c>
      <c r="G438" s="17">
        <f>44.7865 * CHOOSE(CONTROL!$C$9, $D$9, 100%, $F$9) + CHOOSE(CONTROL!$C$27, 0.0021, 0)</f>
        <v>44.788599999999995</v>
      </c>
      <c r="H438" s="17">
        <f>44.6518 * CHOOSE(CONTROL!$C$9, $D$9, 100%, $F$9) + CHOOSE(CONTROL!$C$27, 0.0021, 0)</f>
        <v>44.6539</v>
      </c>
      <c r="I438" s="17">
        <f>44.6518 * CHOOSE(CONTROL!$C$9, $D$9, 100%, $F$9) + CHOOSE(CONTROL!$C$27, 0.0021, 0)</f>
        <v>44.6539</v>
      </c>
      <c r="J438" s="17">
        <f>44.6518 * CHOOSE(CONTROL!$C$9, $D$9, 100%, $F$9) + CHOOSE(CONTROL!$C$27, 0.0021, 0)</f>
        <v>44.6539</v>
      </c>
      <c r="K438" s="17">
        <f>44.6518 * CHOOSE(CONTROL!$C$9, $D$9, 100%, $F$9) + CHOOSE(CONTROL!$C$27, 0.0021, 0)</f>
        <v>44.6539</v>
      </c>
      <c r="L438" s="17"/>
    </row>
    <row r="439" spans="1:12" ht="15.75" x14ac:dyDescent="0.25">
      <c r="A439" s="14">
        <v>53935</v>
      </c>
      <c r="B439" s="17">
        <f>45.3411 * CHOOSE(CONTROL!$C$9, $D$9, 100%, $F$9) + CHOOSE(CONTROL!$C$27, 0.0021, 0)</f>
        <v>45.343199999999996</v>
      </c>
      <c r="C439" s="17">
        <f>44.9088 * CHOOSE(CONTROL!$C$9, $D$9, 100%, $F$9) + CHOOSE(CONTROL!$C$27, 0.0021, 0)</f>
        <v>44.910899999999998</v>
      </c>
      <c r="D439" s="17">
        <f>44.9088 * CHOOSE(CONTROL!$C$9, $D$9, 100%, $F$9) + CHOOSE(CONTROL!$C$27, 0.0021, 0)</f>
        <v>44.910899999999998</v>
      </c>
      <c r="E439" s="17">
        <f>44.7722 * CHOOSE(CONTROL!$C$9, $D$9, 100%, $F$9) + CHOOSE(CONTROL!$C$27, 0.0021, 0)</f>
        <v>44.774299999999997</v>
      </c>
      <c r="F439" s="17">
        <f>44.7722 * CHOOSE(CONTROL!$C$9, $D$9, 100%, $F$9) + CHOOSE(CONTROL!$C$27, 0.0021, 0)</f>
        <v>44.774299999999997</v>
      </c>
      <c r="G439" s="17">
        <f>45.0436 * CHOOSE(CONTROL!$C$9, $D$9, 100%, $F$9) + CHOOSE(CONTROL!$C$27, 0.0021, 0)</f>
        <v>45.045699999999997</v>
      </c>
      <c r="H439" s="17">
        <f>44.9088 * CHOOSE(CONTROL!$C$9, $D$9, 100%, $F$9) + CHOOSE(CONTROL!$C$27, 0.0021, 0)</f>
        <v>44.910899999999998</v>
      </c>
      <c r="I439" s="17">
        <f>44.9088 * CHOOSE(CONTROL!$C$9, $D$9, 100%, $F$9) + CHOOSE(CONTROL!$C$27, 0.0021, 0)</f>
        <v>44.910899999999998</v>
      </c>
      <c r="J439" s="17">
        <f>44.9088 * CHOOSE(CONTROL!$C$9, $D$9, 100%, $F$9) + CHOOSE(CONTROL!$C$27, 0.0021, 0)</f>
        <v>44.910899999999998</v>
      </c>
      <c r="K439" s="17">
        <f>44.9088 * CHOOSE(CONTROL!$C$9, $D$9, 100%, $F$9) + CHOOSE(CONTROL!$C$27, 0.0021, 0)</f>
        <v>44.910899999999998</v>
      </c>
      <c r="L439" s="17"/>
    </row>
    <row r="440" spans="1:12" ht="15.75" x14ac:dyDescent="0.25">
      <c r="A440" s="14">
        <v>53965</v>
      </c>
      <c r="B440" s="17">
        <f>46.2165 * CHOOSE(CONTROL!$C$9, $D$9, 100%, $F$9) + CHOOSE(CONTROL!$C$27, 0.0021, 0)</f>
        <v>46.218600000000002</v>
      </c>
      <c r="C440" s="17">
        <f>45.7842 * CHOOSE(CONTROL!$C$9, $D$9, 100%, $F$9) + CHOOSE(CONTROL!$C$27, 0.0021, 0)</f>
        <v>45.786299999999997</v>
      </c>
      <c r="D440" s="17">
        <f>45.7842 * CHOOSE(CONTROL!$C$9, $D$9, 100%, $F$9) + CHOOSE(CONTROL!$C$27, 0.0021, 0)</f>
        <v>45.786299999999997</v>
      </c>
      <c r="E440" s="17">
        <f>45.6476 * CHOOSE(CONTROL!$C$9, $D$9, 100%, $F$9) + CHOOSE(CONTROL!$C$27, 0.0021, 0)</f>
        <v>45.649699999999996</v>
      </c>
      <c r="F440" s="17">
        <f>45.6476 * CHOOSE(CONTROL!$C$9, $D$9, 100%, $F$9) + CHOOSE(CONTROL!$C$27, 0.0021, 0)</f>
        <v>45.649699999999996</v>
      </c>
      <c r="G440" s="17">
        <f>45.919 * CHOOSE(CONTROL!$C$9, $D$9, 100%, $F$9) + CHOOSE(CONTROL!$C$27, 0.0021, 0)</f>
        <v>45.921099999999996</v>
      </c>
      <c r="H440" s="17">
        <f>45.7842 * CHOOSE(CONTROL!$C$9, $D$9, 100%, $F$9) + CHOOSE(CONTROL!$C$27, 0.0021, 0)</f>
        <v>45.786299999999997</v>
      </c>
      <c r="I440" s="17">
        <f>45.7842 * CHOOSE(CONTROL!$C$9, $D$9, 100%, $F$9) + CHOOSE(CONTROL!$C$27, 0.0021, 0)</f>
        <v>45.786299999999997</v>
      </c>
      <c r="J440" s="17">
        <f>45.7842 * CHOOSE(CONTROL!$C$9, $D$9, 100%, $F$9) + CHOOSE(CONTROL!$C$27, 0.0021, 0)</f>
        <v>45.786299999999997</v>
      </c>
      <c r="K440" s="17">
        <f>45.7842 * CHOOSE(CONTROL!$C$9, $D$9, 100%, $F$9) + CHOOSE(CONTROL!$C$27, 0.0021, 0)</f>
        <v>45.786299999999997</v>
      </c>
      <c r="L440" s="17"/>
    </row>
    <row r="441" spans="1:12" ht="15.75" x14ac:dyDescent="0.25">
      <c r="A441" s="14">
        <v>53996</v>
      </c>
      <c r="B441" s="17">
        <f>47.3246 * CHOOSE(CONTROL!$C$9, $D$9, 100%, $F$9) + CHOOSE(CONTROL!$C$27, 0.0021, 0)</f>
        <v>47.326699999999995</v>
      </c>
      <c r="C441" s="17">
        <f>46.8923 * CHOOSE(CONTROL!$C$9, $D$9, 100%, $F$9) + CHOOSE(CONTROL!$C$27, 0.0021, 0)</f>
        <v>46.894399999999997</v>
      </c>
      <c r="D441" s="17">
        <f>46.8923 * CHOOSE(CONTROL!$C$9, $D$9, 100%, $F$9) + CHOOSE(CONTROL!$C$27, 0.0021, 0)</f>
        <v>46.894399999999997</v>
      </c>
      <c r="E441" s="17">
        <f>46.7557 * CHOOSE(CONTROL!$C$9, $D$9, 100%, $F$9) + CHOOSE(CONTROL!$C$27, 0.0021, 0)</f>
        <v>46.757799999999996</v>
      </c>
      <c r="F441" s="17">
        <f>46.7557 * CHOOSE(CONTROL!$C$9, $D$9, 100%, $F$9) + CHOOSE(CONTROL!$C$27, 0.0021, 0)</f>
        <v>46.757799999999996</v>
      </c>
      <c r="G441" s="17">
        <f>47.0271 * CHOOSE(CONTROL!$C$9, $D$9, 100%, $F$9) + CHOOSE(CONTROL!$C$27, 0.0021, 0)</f>
        <v>47.029199999999996</v>
      </c>
      <c r="H441" s="17">
        <f>46.8923 * CHOOSE(CONTROL!$C$9, $D$9, 100%, $F$9) + CHOOSE(CONTROL!$C$27, 0.0021, 0)</f>
        <v>46.894399999999997</v>
      </c>
      <c r="I441" s="17">
        <f>46.8923 * CHOOSE(CONTROL!$C$9, $D$9, 100%, $F$9) + CHOOSE(CONTROL!$C$27, 0.0021, 0)</f>
        <v>46.894399999999997</v>
      </c>
      <c r="J441" s="17">
        <f>46.8923 * CHOOSE(CONTROL!$C$9, $D$9, 100%, $F$9) + CHOOSE(CONTROL!$C$27, 0.0021, 0)</f>
        <v>46.894399999999997</v>
      </c>
      <c r="K441" s="17">
        <f>46.8923 * CHOOSE(CONTROL!$C$9, $D$9, 100%, $F$9) + CHOOSE(CONTROL!$C$27, 0.0021, 0)</f>
        <v>46.894399999999997</v>
      </c>
      <c r="L441" s="17"/>
    </row>
    <row r="442" spans="1:12" ht="15.75" x14ac:dyDescent="0.25">
      <c r="A442" s="14">
        <v>54026</v>
      </c>
      <c r="B442" s="17">
        <f>47.4286 * CHOOSE(CONTROL!$C$9, $D$9, 100%, $F$9) + CHOOSE(CONTROL!$C$27, 0.0021, 0)</f>
        <v>47.430700000000002</v>
      </c>
      <c r="C442" s="17">
        <f>46.9964 * CHOOSE(CONTROL!$C$9, $D$9, 100%, $F$9) + CHOOSE(CONTROL!$C$27, 0.0021, 0)</f>
        <v>46.9985</v>
      </c>
      <c r="D442" s="17">
        <f>46.9964 * CHOOSE(CONTROL!$C$9, $D$9, 100%, $F$9) + CHOOSE(CONTROL!$C$27, 0.0021, 0)</f>
        <v>46.9985</v>
      </c>
      <c r="E442" s="17">
        <f>46.8597 * CHOOSE(CONTROL!$C$9, $D$9, 100%, $F$9) + CHOOSE(CONTROL!$C$27, 0.0021, 0)</f>
        <v>46.861799999999995</v>
      </c>
      <c r="F442" s="17">
        <f>46.8597 * CHOOSE(CONTROL!$C$9, $D$9, 100%, $F$9) + CHOOSE(CONTROL!$C$27, 0.0021, 0)</f>
        <v>46.861799999999995</v>
      </c>
      <c r="G442" s="17">
        <f>47.1311 * CHOOSE(CONTROL!$C$9, $D$9, 100%, $F$9) + CHOOSE(CONTROL!$C$27, 0.0021, 0)</f>
        <v>47.133200000000002</v>
      </c>
      <c r="H442" s="17">
        <f>46.9964 * CHOOSE(CONTROL!$C$9, $D$9, 100%, $F$9) + CHOOSE(CONTROL!$C$27, 0.0021, 0)</f>
        <v>46.9985</v>
      </c>
      <c r="I442" s="17">
        <f>46.9964 * CHOOSE(CONTROL!$C$9, $D$9, 100%, $F$9) + CHOOSE(CONTROL!$C$27, 0.0021, 0)</f>
        <v>46.9985</v>
      </c>
      <c r="J442" s="17">
        <f>46.9964 * CHOOSE(CONTROL!$C$9, $D$9, 100%, $F$9) + CHOOSE(CONTROL!$C$27, 0.0021, 0)</f>
        <v>46.9985</v>
      </c>
      <c r="K442" s="17">
        <f>46.9964 * CHOOSE(CONTROL!$C$9, $D$9, 100%, $F$9) + CHOOSE(CONTROL!$C$27, 0.0021, 0)</f>
        <v>46.9985</v>
      </c>
      <c r="L442" s="17"/>
    </row>
    <row r="443" spans="1:12" ht="15.75" x14ac:dyDescent="0.25">
      <c r="A443" s="14">
        <v>54057</v>
      </c>
      <c r="B443" s="17">
        <f>46.5436 * CHOOSE(CONTROL!$C$9, $D$9, 100%, $F$9) + CHOOSE(CONTROL!$C$27, 0.0021, 0)</f>
        <v>46.545699999999997</v>
      </c>
      <c r="C443" s="17">
        <f>46.1113 * CHOOSE(CONTROL!$C$9, $D$9, 100%, $F$9) + CHOOSE(CONTROL!$C$27, 0.0021, 0)</f>
        <v>46.113399999999999</v>
      </c>
      <c r="D443" s="17">
        <f>46.1113 * CHOOSE(CONTROL!$C$9, $D$9, 100%, $F$9) + CHOOSE(CONTROL!$C$27, 0.0021, 0)</f>
        <v>46.113399999999999</v>
      </c>
      <c r="E443" s="17">
        <f>45.9747 * CHOOSE(CONTROL!$C$9, $D$9, 100%, $F$9) + CHOOSE(CONTROL!$C$27, 0.0021, 0)</f>
        <v>45.976799999999997</v>
      </c>
      <c r="F443" s="17">
        <f>45.9747 * CHOOSE(CONTROL!$C$9, $D$9, 100%, $F$9) + CHOOSE(CONTROL!$C$27, 0.0021, 0)</f>
        <v>45.976799999999997</v>
      </c>
      <c r="G443" s="17">
        <f>46.2461 * CHOOSE(CONTROL!$C$9, $D$9, 100%, $F$9) + CHOOSE(CONTROL!$C$27, 0.0021, 0)</f>
        <v>46.248199999999997</v>
      </c>
      <c r="H443" s="17">
        <f>46.1113 * CHOOSE(CONTROL!$C$9, $D$9, 100%, $F$9) + CHOOSE(CONTROL!$C$27, 0.0021, 0)</f>
        <v>46.113399999999999</v>
      </c>
      <c r="I443" s="17">
        <f>46.1113 * CHOOSE(CONTROL!$C$9, $D$9, 100%, $F$9) + CHOOSE(CONTROL!$C$27, 0.0021, 0)</f>
        <v>46.113399999999999</v>
      </c>
      <c r="J443" s="17">
        <f>46.1113 * CHOOSE(CONTROL!$C$9, $D$9, 100%, $F$9) + CHOOSE(CONTROL!$C$27, 0.0021, 0)</f>
        <v>46.113399999999999</v>
      </c>
      <c r="K443" s="17">
        <f>46.1113 * CHOOSE(CONTROL!$C$9, $D$9, 100%, $F$9) + CHOOSE(CONTROL!$C$27, 0.0021, 0)</f>
        <v>46.113399999999999</v>
      </c>
      <c r="L443" s="17"/>
    </row>
    <row r="444" spans="1:12" ht="15.75" x14ac:dyDescent="0.25">
      <c r="A444" s="14">
        <v>54088</v>
      </c>
      <c r="B444" s="17">
        <f>45.6626 * CHOOSE(CONTROL!$C$9, $D$9, 100%, $F$9) + CHOOSE(CONTROL!$C$27, 0.0021, 0)</f>
        <v>45.664699999999996</v>
      </c>
      <c r="C444" s="17">
        <f>45.2303 * CHOOSE(CONTROL!$C$9, $D$9, 100%, $F$9) + CHOOSE(CONTROL!$C$27, 0.0021, 0)</f>
        <v>45.232399999999998</v>
      </c>
      <c r="D444" s="17">
        <f>45.2303 * CHOOSE(CONTROL!$C$9, $D$9, 100%, $F$9) + CHOOSE(CONTROL!$C$27, 0.0021, 0)</f>
        <v>45.232399999999998</v>
      </c>
      <c r="E444" s="17">
        <f>45.0937 * CHOOSE(CONTROL!$C$9, $D$9, 100%, $F$9) + CHOOSE(CONTROL!$C$27, 0.0021, 0)</f>
        <v>45.095799999999997</v>
      </c>
      <c r="F444" s="17">
        <f>45.0937 * CHOOSE(CONTROL!$C$9, $D$9, 100%, $F$9) + CHOOSE(CONTROL!$C$27, 0.0021, 0)</f>
        <v>45.095799999999997</v>
      </c>
      <c r="G444" s="17">
        <f>45.365 * CHOOSE(CONTROL!$C$9, $D$9, 100%, $F$9) + CHOOSE(CONTROL!$C$27, 0.0021, 0)</f>
        <v>45.367100000000001</v>
      </c>
      <c r="H444" s="17">
        <f>45.2303 * CHOOSE(CONTROL!$C$9, $D$9, 100%, $F$9) + CHOOSE(CONTROL!$C$27, 0.0021, 0)</f>
        <v>45.232399999999998</v>
      </c>
      <c r="I444" s="17">
        <f>45.2303 * CHOOSE(CONTROL!$C$9, $D$9, 100%, $F$9) + CHOOSE(CONTROL!$C$27, 0.0021, 0)</f>
        <v>45.232399999999998</v>
      </c>
      <c r="J444" s="17">
        <f>45.2303 * CHOOSE(CONTROL!$C$9, $D$9, 100%, $F$9) + CHOOSE(CONTROL!$C$27, 0.0021, 0)</f>
        <v>45.232399999999998</v>
      </c>
      <c r="K444" s="17">
        <f>45.2303 * CHOOSE(CONTROL!$C$9, $D$9, 100%, $F$9) + CHOOSE(CONTROL!$C$27, 0.0021, 0)</f>
        <v>45.232399999999998</v>
      </c>
      <c r="L444" s="17"/>
    </row>
    <row r="445" spans="1:12" ht="15.75" x14ac:dyDescent="0.25">
      <c r="A445" s="14">
        <v>54116</v>
      </c>
      <c r="B445" s="17">
        <f>44.4358 * CHOOSE(CONTROL!$C$9, $D$9, 100%, $F$9) + CHOOSE(CONTROL!$C$27, 0.0021, 0)</f>
        <v>44.437899999999999</v>
      </c>
      <c r="C445" s="17">
        <f>44.0036 * CHOOSE(CONTROL!$C$9, $D$9, 100%, $F$9) + CHOOSE(CONTROL!$C$27, 0.0021, 0)</f>
        <v>44.005699999999997</v>
      </c>
      <c r="D445" s="17">
        <f>44.0036 * CHOOSE(CONTROL!$C$9, $D$9, 100%, $F$9) + CHOOSE(CONTROL!$C$27, 0.0021, 0)</f>
        <v>44.005699999999997</v>
      </c>
      <c r="E445" s="17">
        <f>43.8669 * CHOOSE(CONTROL!$C$9, $D$9, 100%, $F$9) + CHOOSE(CONTROL!$C$27, 0.0021, 0)</f>
        <v>43.869</v>
      </c>
      <c r="F445" s="17">
        <f>43.8669 * CHOOSE(CONTROL!$C$9, $D$9, 100%, $F$9) + CHOOSE(CONTROL!$C$27, 0.0021, 0)</f>
        <v>43.869</v>
      </c>
      <c r="G445" s="17">
        <f>44.1383 * CHOOSE(CONTROL!$C$9, $D$9, 100%, $F$9) + CHOOSE(CONTROL!$C$27, 0.0021, 0)</f>
        <v>44.1404</v>
      </c>
      <c r="H445" s="17">
        <f>44.0036 * CHOOSE(CONTROL!$C$9, $D$9, 100%, $F$9) + CHOOSE(CONTROL!$C$27, 0.0021, 0)</f>
        <v>44.005699999999997</v>
      </c>
      <c r="I445" s="17">
        <f>44.0036 * CHOOSE(CONTROL!$C$9, $D$9, 100%, $F$9) + CHOOSE(CONTROL!$C$27, 0.0021, 0)</f>
        <v>44.005699999999997</v>
      </c>
      <c r="J445" s="17">
        <f>44.0036 * CHOOSE(CONTROL!$C$9, $D$9, 100%, $F$9) + CHOOSE(CONTROL!$C$27, 0.0021, 0)</f>
        <v>44.005699999999997</v>
      </c>
      <c r="K445" s="17">
        <f>44.0036 * CHOOSE(CONTROL!$C$9, $D$9, 100%, $F$9) + CHOOSE(CONTROL!$C$27, 0.0021, 0)</f>
        <v>44.005699999999997</v>
      </c>
      <c r="L445" s="17"/>
    </row>
    <row r="446" spans="1:12" ht="15.75" x14ac:dyDescent="0.25">
      <c r="A446" s="14">
        <v>54148</v>
      </c>
      <c r="B446" s="17">
        <f>43.9294 * CHOOSE(CONTROL!$C$9, $D$9, 100%, $F$9) + CHOOSE(CONTROL!$C$27, 0.0021, 0)</f>
        <v>43.9315</v>
      </c>
      <c r="C446" s="17">
        <f>43.4972 * CHOOSE(CONTROL!$C$9, $D$9, 100%, $F$9) + CHOOSE(CONTROL!$C$27, 0.0021, 0)</f>
        <v>43.499299999999998</v>
      </c>
      <c r="D446" s="17">
        <f>43.4972 * CHOOSE(CONTROL!$C$9, $D$9, 100%, $F$9) + CHOOSE(CONTROL!$C$27, 0.0021, 0)</f>
        <v>43.499299999999998</v>
      </c>
      <c r="E446" s="17">
        <f>43.3605 * CHOOSE(CONTROL!$C$9, $D$9, 100%, $F$9) + CHOOSE(CONTROL!$C$27, 0.0021, 0)</f>
        <v>43.3626</v>
      </c>
      <c r="F446" s="17">
        <f>43.3605 * CHOOSE(CONTROL!$C$9, $D$9, 100%, $F$9) + CHOOSE(CONTROL!$C$27, 0.0021, 0)</f>
        <v>43.3626</v>
      </c>
      <c r="G446" s="17">
        <f>43.6319 * CHOOSE(CONTROL!$C$9, $D$9, 100%, $F$9) + CHOOSE(CONTROL!$C$27, 0.0021, 0)</f>
        <v>43.634</v>
      </c>
      <c r="H446" s="17">
        <f>43.4972 * CHOOSE(CONTROL!$C$9, $D$9, 100%, $F$9) + CHOOSE(CONTROL!$C$27, 0.0021, 0)</f>
        <v>43.499299999999998</v>
      </c>
      <c r="I446" s="17">
        <f>43.4972 * CHOOSE(CONTROL!$C$9, $D$9, 100%, $F$9) + CHOOSE(CONTROL!$C$27, 0.0021, 0)</f>
        <v>43.499299999999998</v>
      </c>
      <c r="J446" s="17">
        <f>43.4972 * CHOOSE(CONTROL!$C$9, $D$9, 100%, $F$9) + CHOOSE(CONTROL!$C$27, 0.0021, 0)</f>
        <v>43.499299999999998</v>
      </c>
      <c r="K446" s="17">
        <f>43.4972 * CHOOSE(CONTROL!$C$9, $D$9, 100%, $F$9) + CHOOSE(CONTROL!$C$27, 0.0021, 0)</f>
        <v>43.499299999999998</v>
      </c>
      <c r="L446" s="17"/>
    </row>
    <row r="447" spans="1:12" ht="15.75" x14ac:dyDescent="0.25">
      <c r="A447" s="14">
        <v>54178</v>
      </c>
      <c r="B447" s="17">
        <f>43.3248 * CHOOSE(CONTROL!$C$9, $D$9, 100%, $F$9) + CHOOSE(CONTROL!$C$27, 0.0021, 0)</f>
        <v>43.326900000000002</v>
      </c>
      <c r="C447" s="17">
        <f>42.8925 * CHOOSE(CONTROL!$C$9, $D$9, 100%, $F$9) + CHOOSE(CONTROL!$C$27, 0.0021, 0)</f>
        <v>42.894599999999997</v>
      </c>
      <c r="D447" s="17">
        <f>42.8925 * CHOOSE(CONTROL!$C$9, $D$9, 100%, $F$9) + CHOOSE(CONTROL!$C$27, 0.0021, 0)</f>
        <v>42.894599999999997</v>
      </c>
      <c r="E447" s="17">
        <f>42.7559 * CHOOSE(CONTROL!$C$9, $D$9, 100%, $F$9) + CHOOSE(CONTROL!$C$27, 0.0021, 0)</f>
        <v>42.757999999999996</v>
      </c>
      <c r="F447" s="17">
        <f>42.7559 * CHOOSE(CONTROL!$C$9, $D$9, 100%, $F$9) + CHOOSE(CONTROL!$C$27, 0.0021, 0)</f>
        <v>42.757999999999996</v>
      </c>
      <c r="G447" s="17">
        <f>43.0272 * CHOOSE(CONTROL!$C$9, $D$9, 100%, $F$9) + CHOOSE(CONTROL!$C$27, 0.0021, 0)</f>
        <v>43.029299999999999</v>
      </c>
      <c r="H447" s="17">
        <f>42.8925 * CHOOSE(CONTROL!$C$9, $D$9, 100%, $F$9) + CHOOSE(CONTROL!$C$27, 0.0021, 0)</f>
        <v>42.894599999999997</v>
      </c>
      <c r="I447" s="17">
        <f>42.8925 * CHOOSE(CONTROL!$C$9, $D$9, 100%, $F$9) + CHOOSE(CONTROL!$C$27, 0.0021, 0)</f>
        <v>42.894599999999997</v>
      </c>
      <c r="J447" s="17">
        <f>42.8925 * CHOOSE(CONTROL!$C$9, $D$9, 100%, $F$9) + CHOOSE(CONTROL!$C$27, 0.0021, 0)</f>
        <v>42.894599999999997</v>
      </c>
      <c r="K447" s="17">
        <f>42.8925 * CHOOSE(CONTROL!$C$9, $D$9, 100%, $F$9) + CHOOSE(CONTROL!$C$27, 0.0021, 0)</f>
        <v>42.894599999999997</v>
      </c>
      <c r="L447" s="17"/>
    </row>
    <row r="448" spans="1:12" ht="15.75" x14ac:dyDescent="0.25">
      <c r="A448" s="14">
        <v>54209</v>
      </c>
      <c r="B448" s="17">
        <f>44.1865 * CHOOSE(CONTROL!$C$9, $D$9, 100%, $F$9) + CHOOSE(CONTROL!$C$27, 0.0021, 0)</f>
        <v>44.188600000000001</v>
      </c>
      <c r="C448" s="17">
        <f>43.7542 * CHOOSE(CONTROL!$C$9, $D$9, 100%, $F$9) + CHOOSE(CONTROL!$C$27, 0.0021, 0)</f>
        <v>43.756299999999996</v>
      </c>
      <c r="D448" s="17">
        <f>43.7542 * CHOOSE(CONTROL!$C$9, $D$9, 100%, $F$9) + CHOOSE(CONTROL!$C$27, 0.0021, 0)</f>
        <v>43.756299999999996</v>
      </c>
      <c r="E448" s="17">
        <f>43.6176 * CHOOSE(CONTROL!$C$9, $D$9, 100%, $F$9) + CHOOSE(CONTROL!$C$27, 0.0021, 0)</f>
        <v>43.619700000000002</v>
      </c>
      <c r="F448" s="17">
        <f>43.6176 * CHOOSE(CONTROL!$C$9, $D$9, 100%, $F$9) + CHOOSE(CONTROL!$C$27, 0.0021, 0)</f>
        <v>43.619700000000002</v>
      </c>
      <c r="G448" s="17">
        <f>43.8889 * CHOOSE(CONTROL!$C$9, $D$9, 100%, $F$9) + CHOOSE(CONTROL!$C$27, 0.0021, 0)</f>
        <v>43.890999999999998</v>
      </c>
      <c r="H448" s="17">
        <f>43.7542 * CHOOSE(CONTROL!$C$9, $D$9, 100%, $F$9) + CHOOSE(CONTROL!$C$27, 0.0021, 0)</f>
        <v>43.756299999999996</v>
      </c>
      <c r="I448" s="17">
        <f>43.7542 * CHOOSE(CONTROL!$C$9, $D$9, 100%, $F$9) + CHOOSE(CONTROL!$C$27, 0.0021, 0)</f>
        <v>43.756299999999996</v>
      </c>
      <c r="J448" s="17">
        <f>43.7542 * CHOOSE(CONTROL!$C$9, $D$9, 100%, $F$9) + CHOOSE(CONTROL!$C$27, 0.0021, 0)</f>
        <v>43.756299999999996</v>
      </c>
      <c r="K448" s="17">
        <f>43.7542 * CHOOSE(CONTROL!$C$9, $D$9, 100%, $F$9) + CHOOSE(CONTROL!$C$27, 0.0021, 0)</f>
        <v>43.756299999999996</v>
      </c>
      <c r="L448" s="17"/>
    </row>
    <row r="449" spans="1:12" ht="15.75" x14ac:dyDescent="0.25">
      <c r="A449" s="14">
        <v>54239</v>
      </c>
      <c r="B449" s="17">
        <f>44.7026 * CHOOSE(CONTROL!$C$9, $D$9, 100%, $F$9) + CHOOSE(CONTROL!$C$27, 0.0021, 0)</f>
        <v>44.704699999999995</v>
      </c>
      <c r="C449" s="17">
        <f>44.2704 * CHOOSE(CONTROL!$C$9, $D$9, 100%, $F$9) + CHOOSE(CONTROL!$C$27, 0.0021, 0)</f>
        <v>44.272500000000001</v>
      </c>
      <c r="D449" s="17">
        <f>44.2704 * CHOOSE(CONTROL!$C$9, $D$9, 100%, $F$9) + CHOOSE(CONTROL!$C$27, 0.0021, 0)</f>
        <v>44.272500000000001</v>
      </c>
      <c r="E449" s="17">
        <f>44.1337 * CHOOSE(CONTROL!$C$9, $D$9, 100%, $F$9) + CHOOSE(CONTROL!$C$27, 0.0021, 0)</f>
        <v>44.135799999999996</v>
      </c>
      <c r="F449" s="17">
        <f>44.1337 * CHOOSE(CONTROL!$C$9, $D$9, 100%, $F$9) + CHOOSE(CONTROL!$C$27, 0.0021, 0)</f>
        <v>44.135799999999996</v>
      </c>
      <c r="G449" s="17">
        <f>44.4051 * CHOOSE(CONTROL!$C$9, $D$9, 100%, $F$9) + CHOOSE(CONTROL!$C$27, 0.0021, 0)</f>
        <v>44.407199999999996</v>
      </c>
      <c r="H449" s="17">
        <f>44.2704 * CHOOSE(CONTROL!$C$9, $D$9, 100%, $F$9) + CHOOSE(CONTROL!$C$27, 0.0021, 0)</f>
        <v>44.272500000000001</v>
      </c>
      <c r="I449" s="17">
        <f>44.2704 * CHOOSE(CONTROL!$C$9, $D$9, 100%, $F$9) + CHOOSE(CONTROL!$C$27, 0.0021, 0)</f>
        <v>44.272500000000001</v>
      </c>
      <c r="J449" s="17">
        <f>44.2704 * CHOOSE(CONTROL!$C$9, $D$9, 100%, $F$9) + CHOOSE(CONTROL!$C$27, 0.0021, 0)</f>
        <v>44.272500000000001</v>
      </c>
      <c r="K449" s="17">
        <f>44.2704 * CHOOSE(CONTROL!$C$9, $D$9, 100%, $F$9) + CHOOSE(CONTROL!$C$27, 0.0021, 0)</f>
        <v>44.272500000000001</v>
      </c>
      <c r="L449" s="17"/>
    </row>
    <row r="450" spans="1:12" ht="15.75" x14ac:dyDescent="0.25">
      <c r="A450" s="14">
        <v>54270</v>
      </c>
      <c r="B450" s="17">
        <f>45.554 * CHOOSE(CONTROL!$C$9, $D$9, 100%, $F$9) + CHOOSE(CONTROL!$C$27, 0.0021, 0)</f>
        <v>45.556100000000001</v>
      </c>
      <c r="C450" s="17">
        <f>45.1218 * CHOOSE(CONTROL!$C$9, $D$9, 100%, $F$9) + CHOOSE(CONTROL!$C$27, 0.0021, 0)</f>
        <v>45.123899999999999</v>
      </c>
      <c r="D450" s="17">
        <f>45.1218 * CHOOSE(CONTROL!$C$9, $D$9, 100%, $F$9) + CHOOSE(CONTROL!$C$27, 0.0021, 0)</f>
        <v>45.123899999999999</v>
      </c>
      <c r="E450" s="17">
        <f>44.9851 * CHOOSE(CONTROL!$C$9, $D$9, 100%, $F$9) + CHOOSE(CONTROL!$C$27, 0.0021, 0)</f>
        <v>44.987200000000001</v>
      </c>
      <c r="F450" s="17">
        <f>44.9851 * CHOOSE(CONTROL!$C$9, $D$9, 100%, $F$9) + CHOOSE(CONTROL!$C$27, 0.0021, 0)</f>
        <v>44.987200000000001</v>
      </c>
      <c r="G450" s="17">
        <f>45.2565 * CHOOSE(CONTROL!$C$9, $D$9, 100%, $F$9) + CHOOSE(CONTROL!$C$27, 0.0021, 0)</f>
        <v>45.258600000000001</v>
      </c>
      <c r="H450" s="17">
        <f>45.1218 * CHOOSE(CONTROL!$C$9, $D$9, 100%, $F$9) + CHOOSE(CONTROL!$C$27, 0.0021, 0)</f>
        <v>45.123899999999999</v>
      </c>
      <c r="I450" s="17">
        <f>45.1218 * CHOOSE(CONTROL!$C$9, $D$9, 100%, $F$9) + CHOOSE(CONTROL!$C$27, 0.0021, 0)</f>
        <v>45.123899999999999</v>
      </c>
      <c r="J450" s="17">
        <f>45.1218 * CHOOSE(CONTROL!$C$9, $D$9, 100%, $F$9) + CHOOSE(CONTROL!$C$27, 0.0021, 0)</f>
        <v>45.123899999999999</v>
      </c>
      <c r="K450" s="17">
        <f>45.1218 * CHOOSE(CONTROL!$C$9, $D$9, 100%, $F$9) + CHOOSE(CONTROL!$C$27, 0.0021, 0)</f>
        <v>45.123899999999999</v>
      </c>
      <c r="L450" s="17"/>
    </row>
    <row r="451" spans="1:12" ht="15.75" x14ac:dyDescent="0.25">
      <c r="A451" s="14">
        <v>54301</v>
      </c>
      <c r="B451" s="17">
        <f>45.8139 * CHOOSE(CONTROL!$C$9, $D$9, 100%, $F$9) + CHOOSE(CONTROL!$C$27, 0.0021, 0)</f>
        <v>45.815999999999995</v>
      </c>
      <c r="C451" s="17">
        <f>45.3816 * CHOOSE(CONTROL!$C$9, $D$9, 100%, $F$9) + CHOOSE(CONTROL!$C$27, 0.0021, 0)</f>
        <v>45.383699999999997</v>
      </c>
      <c r="D451" s="17">
        <f>45.3816 * CHOOSE(CONTROL!$C$9, $D$9, 100%, $F$9) + CHOOSE(CONTROL!$C$27, 0.0021, 0)</f>
        <v>45.383699999999997</v>
      </c>
      <c r="E451" s="17">
        <f>45.245 * CHOOSE(CONTROL!$C$9, $D$9, 100%, $F$9) + CHOOSE(CONTROL!$C$27, 0.0021, 0)</f>
        <v>45.247099999999996</v>
      </c>
      <c r="F451" s="17">
        <f>45.245 * CHOOSE(CONTROL!$C$9, $D$9, 100%, $F$9) + CHOOSE(CONTROL!$C$27, 0.0021, 0)</f>
        <v>45.247099999999996</v>
      </c>
      <c r="G451" s="17">
        <f>45.5164 * CHOOSE(CONTROL!$C$9, $D$9, 100%, $F$9) + CHOOSE(CONTROL!$C$27, 0.0021, 0)</f>
        <v>45.518499999999996</v>
      </c>
      <c r="H451" s="17">
        <f>45.3816 * CHOOSE(CONTROL!$C$9, $D$9, 100%, $F$9) + CHOOSE(CONTROL!$C$27, 0.0021, 0)</f>
        <v>45.383699999999997</v>
      </c>
      <c r="I451" s="17">
        <f>45.3816 * CHOOSE(CONTROL!$C$9, $D$9, 100%, $F$9) + CHOOSE(CONTROL!$C$27, 0.0021, 0)</f>
        <v>45.383699999999997</v>
      </c>
      <c r="J451" s="17">
        <f>45.3816 * CHOOSE(CONTROL!$C$9, $D$9, 100%, $F$9) + CHOOSE(CONTROL!$C$27, 0.0021, 0)</f>
        <v>45.383699999999997</v>
      </c>
      <c r="K451" s="17">
        <f>45.3816 * CHOOSE(CONTROL!$C$9, $D$9, 100%, $F$9) + CHOOSE(CONTROL!$C$27, 0.0021, 0)</f>
        <v>45.383699999999997</v>
      </c>
      <c r="L451" s="17"/>
    </row>
    <row r="452" spans="1:12" ht="15.75" x14ac:dyDescent="0.25">
      <c r="A452" s="14">
        <v>54331</v>
      </c>
      <c r="B452" s="17">
        <f>46.6989 * CHOOSE(CONTROL!$C$9, $D$9, 100%, $F$9) + CHOOSE(CONTROL!$C$27, 0.0021, 0)</f>
        <v>46.701000000000001</v>
      </c>
      <c r="C452" s="17">
        <f>46.2667 * CHOOSE(CONTROL!$C$9, $D$9, 100%, $F$9) + CHOOSE(CONTROL!$C$27, 0.0021, 0)</f>
        <v>46.268799999999999</v>
      </c>
      <c r="D452" s="17">
        <f>46.2667 * CHOOSE(CONTROL!$C$9, $D$9, 100%, $F$9) + CHOOSE(CONTROL!$C$27, 0.0021, 0)</f>
        <v>46.268799999999999</v>
      </c>
      <c r="E452" s="17">
        <f>46.13 * CHOOSE(CONTROL!$C$9, $D$9, 100%, $F$9) + CHOOSE(CONTROL!$C$27, 0.0021, 0)</f>
        <v>46.132100000000001</v>
      </c>
      <c r="F452" s="17">
        <f>46.13 * CHOOSE(CONTROL!$C$9, $D$9, 100%, $F$9) + CHOOSE(CONTROL!$C$27, 0.0021, 0)</f>
        <v>46.132100000000001</v>
      </c>
      <c r="G452" s="17">
        <f>46.4014 * CHOOSE(CONTROL!$C$9, $D$9, 100%, $F$9) + CHOOSE(CONTROL!$C$27, 0.0021, 0)</f>
        <v>46.403500000000001</v>
      </c>
      <c r="H452" s="17">
        <f>46.2667 * CHOOSE(CONTROL!$C$9, $D$9, 100%, $F$9) + CHOOSE(CONTROL!$C$27, 0.0021, 0)</f>
        <v>46.268799999999999</v>
      </c>
      <c r="I452" s="17">
        <f>46.2667 * CHOOSE(CONTROL!$C$9, $D$9, 100%, $F$9) + CHOOSE(CONTROL!$C$27, 0.0021, 0)</f>
        <v>46.268799999999999</v>
      </c>
      <c r="J452" s="17">
        <f>46.2667 * CHOOSE(CONTROL!$C$9, $D$9, 100%, $F$9) + CHOOSE(CONTROL!$C$27, 0.0021, 0)</f>
        <v>46.268799999999999</v>
      </c>
      <c r="K452" s="17">
        <f>46.2667 * CHOOSE(CONTROL!$C$9, $D$9, 100%, $F$9) + CHOOSE(CONTROL!$C$27, 0.0021, 0)</f>
        <v>46.268799999999999</v>
      </c>
      <c r="L452" s="17"/>
    </row>
    <row r="453" spans="1:12" ht="15.75" x14ac:dyDescent="0.25">
      <c r="A453" s="14">
        <v>54362</v>
      </c>
      <c r="B453" s="17">
        <f>47.8192 * CHOOSE(CONTROL!$C$9, $D$9, 100%, $F$9) + CHOOSE(CONTROL!$C$27, 0.0021, 0)</f>
        <v>47.821300000000001</v>
      </c>
      <c r="C453" s="17">
        <f>47.3869 * CHOOSE(CONTROL!$C$9, $D$9, 100%, $F$9) + CHOOSE(CONTROL!$C$27, 0.0021, 0)</f>
        <v>47.388999999999996</v>
      </c>
      <c r="D453" s="17">
        <f>47.3869 * CHOOSE(CONTROL!$C$9, $D$9, 100%, $F$9) + CHOOSE(CONTROL!$C$27, 0.0021, 0)</f>
        <v>47.388999999999996</v>
      </c>
      <c r="E453" s="17">
        <f>47.2503 * CHOOSE(CONTROL!$C$9, $D$9, 100%, $F$9) + CHOOSE(CONTROL!$C$27, 0.0021, 0)</f>
        <v>47.252400000000002</v>
      </c>
      <c r="F453" s="17">
        <f>47.2503 * CHOOSE(CONTROL!$C$9, $D$9, 100%, $F$9) + CHOOSE(CONTROL!$C$27, 0.0021, 0)</f>
        <v>47.252400000000002</v>
      </c>
      <c r="G453" s="17">
        <f>47.5216 * CHOOSE(CONTROL!$C$9, $D$9, 100%, $F$9) + CHOOSE(CONTROL!$C$27, 0.0021, 0)</f>
        <v>47.523699999999998</v>
      </c>
      <c r="H453" s="17">
        <f>47.3869 * CHOOSE(CONTROL!$C$9, $D$9, 100%, $F$9) + CHOOSE(CONTROL!$C$27, 0.0021, 0)</f>
        <v>47.388999999999996</v>
      </c>
      <c r="I453" s="17">
        <f>47.3869 * CHOOSE(CONTROL!$C$9, $D$9, 100%, $F$9) + CHOOSE(CONTROL!$C$27, 0.0021, 0)</f>
        <v>47.388999999999996</v>
      </c>
      <c r="J453" s="17">
        <f>47.3869 * CHOOSE(CONTROL!$C$9, $D$9, 100%, $F$9) + CHOOSE(CONTROL!$C$27, 0.0021, 0)</f>
        <v>47.388999999999996</v>
      </c>
      <c r="K453" s="17">
        <f>47.3869 * CHOOSE(CONTROL!$C$9, $D$9, 100%, $F$9) + CHOOSE(CONTROL!$C$27, 0.0021, 0)</f>
        <v>47.388999999999996</v>
      </c>
      <c r="L453" s="17"/>
    </row>
    <row r="454" spans="1:12" ht="15.75" x14ac:dyDescent="0.25">
      <c r="A454" s="14">
        <v>54392</v>
      </c>
      <c r="B454" s="17">
        <f>47.9243 * CHOOSE(CONTROL!$C$9, $D$9, 100%, $F$9) + CHOOSE(CONTROL!$C$27, 0.0021, 0)</f>
        <v>47.926400000000001</v>
      </c>
      <c r="C454" s="17">
        <f>47.4921 * CHOOSE(CONTROL!$C$9, $D$9, 100%, $F$9) + CHOOSE(CONTROL!$C$27, 0.0021, 0)</f>
        <v>47.494199999999999</v>
      </c>
      <c r="D454" s="17">
        <f>47.4921 * CHOOSE(CONTROL!$C$9, $D$9, 100%, $F$9) + CHOOSE(CONTROL!$C$27, 0.0021, 0)</f>
        <v>47.494199999999999</v>
      </c>
      <c r="E454" s="17">
        <f>47.3554 * CHOOSE(CONTROL!$C$9, $D$9, 100%, $F$9) + CHOOSE(CONTROL!$C$27, 0.0021, 0)</f>
        <v>47.357500000000002</v>
      </c>
      <c r="F454" s="17">
        <f>47.3554 * CHOOSE(CONTROL!$C$9, $D$9, 100%, $F$9) + CHOOSE(CONTROL!$C$27, 0.0021, 0)</f>
        <v>47.357500000000002</v>
      </c>
      <c r="G454" s="17">
        <f>47.6268 * CHOOSE(CONTROL!$C$9, $D$9, 100%, $F$9) + CHOOSE(CONTROL!$C$27, 0.0021, 0)</f>
        <v>47.628900000000002</v>
      </c>
      <c r="H454" s="17">
        <f>47.4921 * CHOOSE(CONTROL!$C$9, $D$9, 100%, $F$9) + CHOOSE(CONTROL!$C$27, 0.0021, 0)</f>
        <v>47.494199999999999</v>
      </c>
      <c r="I454" s="17">
        <f>47.4921 * CHOOSE(CONTROL!$C$9, $D$9, 100%, $F$9) + CHOOSE(CONTROL!$C$27, 0.0021, 0)</f>
        <v>47.494199999999999</v>
      </c>
      <c r="J454" s="17">
        <f>47.4921 * CHOOSE(CONTROL!$C$9, $D$9, 100%, $F$9) + CHOOSE(CONTROL!$C$27, 0.0021, 0)</f>
        <v>47.494199999999999</v>
      </c>
      <c r="K454" s="17">
        <f>47.4921 * CHOOSE(CONTROL!$C$9, $D$9, 100%, $F$9) + CHOOSE(CONTROL!$C$27, 0.0021, 0)</f>
        <v>47.494199999999999</v>
      </c>
      <c r="L454" s="17"/>
    </row>
    <row r="455" spans="1:12" ht="15.75" x14ac:dyDescent="0.25">
      <c r="A455" s="14">
        <v>54423</v>
      </c>
      <c r="B455" s="17">
        <f>47.0296 * CHOOSE(CONTROL!$C$9, $D$9, 100%, $F$9) + CHOOSE(CONTROL!$C$27, 0.0021, 0)</f>
        <v>47.031700000000001</v>
      </c>
      <c r="C455" s="17">
        <f>46.5974 * CHOOSE(CONTROL!$C$9, $D$9, 100%, $F$9) + CHOOSE(CONTROL!$C$27, 0.0021, 0)</f>
        <v>46.599499999999999</v>
      </c>
      <c r="D455" s="17">
        <f>46.5974 * CHOOSE(CONTROL!$C$9, $D$9, 100%, $F$9) + CHOOSE(CONTROL!$C$27, 0.0021, 0)</f>
        <v>46.599499999999999</v>
      </c>
      <c r="E455" s="17">
        <f>46.4607 * CHOOSE(CONTROL!$C$9, $D$9, 100%, $F$9) + CHOOSE(CONTROL!$C$27, 0.0021, 0)</f>
        <v>46.462800000000001</v>
      </c>
      <c r="F455" s="17">
        <f>46.4607 * CHOOSE(CONTROL!$C$9, $D$9, 100%, $F$9) + CHOOSE(CONTROL!$C$27, 0.0021, 0)</f>
        <v>46.462800000000001</v>
      </c>
      <c r="G455" s="17">
        <f>46.7321 * CHOOSE(CONTROL!$C$9, $D$9, 100%, $F$9) + CHOOSE(CONTROL!$C$27, 0.0021, 0)</f>
        <v>46.734200000000001</v>
      </c>
      <c r="H455" s="17">
        <f>46.5974 * CHOOSE(CONTROL!$C$9, $D$9, 100%, $F$9) + CHOOSE(CONTROL!$C$27, 0.0021, 0)</f>
        <v>46.599499999999999</v>
      </c>
      <c r="I455" s="17">
        <f>46.5974 * CHOOSE(CONTROL!$C$9, $D$9, 100%, $F$9) + CHOOSE(CONTROL!$C$27, 0.0021, 0)</f>
        <v>46.599499999999999</v>
      </c>
      <c r="J455" s="17">
        <f>46.5974 * CHOOSE(CONTROL!$C$9, $D$9, 100%, $F$9) + CHOOSE(CONTROL!$C$27, 0.0021, 0)</f>
        <v>46.599499999999999</v>
      </c>
      <c r="K455" s="17">
        <f>46.5974 * CHOOSE(CONTROL!$C$9, $D$9, 100%, $F$9) + CHOOSE(CONTROL!$C$27, 0.0021, 0)</f>
        <v>46.599499999999999</v>
      </c>
      <c r="L455" s="17"/>
    </row>
    <row r="456" spans="1:12" ht="15.75" x14ac:dyDescent="0.25">
      <c r="A456" s="14">
        <v>54454</v>
      </c>
      <c r="B456" s="17">
        <f>46.1389 * CHOOSE(CONTROL!$C$9, $D$9, 100%, $F$9) + CHOOSE(CONTROL!$C$27, 0.0021, 0)</f>
        <v>46.140999999999998</v>
      </c>
      <c r="C456" s="17">
        <f>45.7067 * CHOOSE(CONTROL!$C$9, $D$9, 100%, $F$9) + CHOOSE(CONTROL!$C$27, 0.0021, 0)</f>
        <v>45.708799999999997</v>
      </c>
      <c r="D456" s="17">
        <f>45.7067 * CHOOSE(CONTROL!$C$9, $D$9, 100%, $F$9) + CHOOSE(CONTROL!$C$27, 0.0021, 0)</f>
        <v>45.708799999999997</v>
      </c>
      <c r="E456" s="17">
        <f>45.57 * CHOOSE(CONTROL!$C$9, $D$9, 100%, $F$9) + CHOOSE(CONTROL!$C$27, 0.0021, 0)</f>
        <v>45.572099999999999</v>
      </c>
      <c r="F456" s="17">
        <f>45.57 * CHOOSE(CONTROL!$C$9, $D$9, 100%, $F$9) + CHOOSE(CONTROL!$C$27, 0.0021, 0)</f>
        <v>45.572099999999999</v>
      </c>
      <c r="G456" s="17">
        <f>45.8414 * CHOOSE(CONTROL!$C$9, $D$9, 100%, $F$9) + CHOOSE(CONTROL!$C$27, 0.0021, 0)</f>
        <v>45.843499999999999</v>
      </c>
      <c r="H456" s="17">
        <f>45.7067 * CHOOSE(CONTROL!$C$9, $D$9, 100%, $F$9) + CHOOSE(CONTROL!$C$27, 0.0021, 0)</f>
        <v>45.708799999999997</v>
      </c>
      <c r="I456" s="17">
        <f>45.7067 * CHOOSE(CONTROL!$C$9, $D$9, 100%, $F$9) + CHOOSE(CONTROL!$C$27, 0.0021, 0)</f>
        <v>45.708799999999997</v>
      </c>
      <c r="J456" s="17">
        <f>45.7067 * CHOOSE(CONTROL!$C$9, $D$9, 100%, $F$9) + CHOOSE(CONTROL!$C$27, 0.0021, 0)</f>
        <v>45.708799999999997</v>
      </c>
      <c r="K456" s="17">
        <f>45.7067 * CHOOSE(CONTROL!$C$9, $D$9, 100%, $F$9) + CHOOSE(CONTROL!$C$27, 0.0021, 0)</f>
        <v>45.708799999999997</v>
      </c>
      <c r="L456" s="17"/>
    </row>
    <row r="457" spans="1:12" ht="15.75" x14ac:dyDescent="0.25">
      <c r="A457" s="14">
        <v>54482</v>
      </c>
      <c r="B457" s="17">
        <f>44.8987 * CHOOSE(CONTROL!$C$9, $D$9, 100%, $F$9) + CHOOSE(CONTROL!$C$27, 0.0021, 0)</f>
        <v>44.900799999999997</v>
      </c>
      <c r="C457" s="17">
        <f>44.4664 * CHOOSE(CONTROL!$C$9, $D$9, 100%, $F$9) + CHOOSE(CONTROL!$C$27, 0.0021, 0)</f>
        <v>44.468499999999999</v>
      </c>
      <c r="D457" s="17">
        <f>44.4664 * CHOOSE(CONTROL!$C$9, $D$9, 100%, $F$9) + CHOOSE(CONTROL!$C$27, 0.0021, 0)</f>
        <v>44.468499999999999</v>
      </c>
      <c r="E457" s="17">
        <f>44.3298 * CHOOSE(CONTROL!$C$9, $D$9, 100%, $F$9) + CHOOSE(CONTROL!$C$27, 0.0021, 0)</f>
        <v>44.331899999999997</v>
      </c>
      <c r="F457" s="17">
        <f>44.3298 * CHOOSE(CONTROL!$C$9, $D$9, 100%, $F$9) + CHOOSE(CONTROL!$C$27, 0.0021, 0)</f>
        <v>44.331899999999997</v>
      </c>
      <c r="G457" s="17">
        <f>44.6012 * CHOOSE(CONTROL!$C$9, $D$9, 100%, $F$9) + CHOOSE(CONTROL!$C$27, 0.0021, 0)</f>
        <v>44.603299999999997</v>
      </c>
      <c r="H457" s="17">
        <f>44.4664 * CHOOSE(CONTROL!$C$9, $D$9, 100%, $F$9) + CHOOSE(CONTROL!$C$27, 0.0021, 0)</f>
        <v>44.468499999999999</v>
      </c>
      <c r="I457" s="17">
        <f>44.4664 * CHOOSE(CONTROL!$C$9, $D$9, 100%, $F$9) + CHOOSE(CONTROL!$C$27, 0.0021, 0)</f>
        <v>44.468499999999999</v>
      </c>
      <c r="J457" s="17">
        <f>44.4664 * CHOOSE(CONTROL!$C$9, $D$9, 100%, $F$9) + CHOOSE(CONTROL!$C$27, 0.0021, 0)</f>
        <v>44.468499999999999</v>
      </c>
      <c r="K457" s="17">
        <f>44.4664 * CHOOSE(CONTROL!$C$9, $D$9, 100%, $F$9) + CHOOSE(CONTROL!$C$27, 0.0021, 0)</f>
        <v>44.468499999999999</v>
      </c>
      <c r="L457" s="17"/>
    </row>
    <row r="458" spans="1:12" ht="15.75" x14ac:dyDescent="0.25">
      <c r="A458" s="14">
        <v>54513</v>
      </c>
      <c r="B458" s="17">
        <f>44.3867 * CHOOSE(CONTROL!$C$9, $D$9, 100%, $F$9) + CHOOSE(CONTROL!$C$27, 0.0021, 0)</f>
        <v>44.388799999999996</v>
      </c>
      <c r="C458" s="17">
        <f>43.9545 * CHOOSE(CONTROL!$C$9, $D$9, 100%, $F$9) + CHOOSE(CONTROL!$C$27, 0.0021, 0)</f>
        <v>43.956600000000002</v>
      </c>
      <c r="D458" s="17">
        <f>43.9545 * CHOOSE(CONTROL!$C$9, $D$9, 100%, $F$9) + CHOOSE(CONTROL!$C$27, 0.0021, 0)</f>
        <v>43.956600000000002</v>
      </c>
      <c r="E458" s="17">
        <f>43.8178 * CHOOSE(CONTROL!$C$9, $D$9, 100%, $F$9) + CHOOSE(CONTROL!$C$27, 0.0021, 0)</f>
        <v>43.819899999999997</v>
      </c>
      <c r="F458" s="17">
        <f>43.8178 * CHOOSE(CONTROL!$C$9, $D$9, 100%, $F$9) + CHOOSE(CONTROL!$C$27, 0.0021, 0)</f>
        <v>43.819899999999997</v>
      </c>
      <c r="G458" s="17">
        <f>44.0892 * CHOOSE(CONTROL!$C$9, $D$9, 100%, $F$9) + CHOOSE(CONTROL!$C$27, 0.0021, 0)</f>
        <v>44.091299999999997</v>
      </c>
      <c r="H458" s="17">
        <f>43.9545 * CHOOSE(CONTROL!$C$9, $D$9, 100%, $F$9) + CHOOSE(CONTROL!$C$27, 0.0021, 0)</f>
        <v>43.956600000000002</v>
      </c>
      <c r="I458" s="17">
        <f>43.9545 * CHOOSE(CONTROL!$C$9, $D$9, 100%, $F$9) + CHOOSE(CONTROL!$C$27, 0.0021, 0)</f>
        <v>43.956600000000002</v>
      </c>
      <c r="J458" s="17">
        <f>43.9545 * CHOOSE(CONTROL!$C$9, $D$9, 100%, $F$9) + CHOOSE(CONTROL!$C$27, 0.0021, 0)</f>
        <v>43.956600000000002</v>
      </c>
      <c r="K458" s="17">
        <f>43.9545 * CHOOSE(CONTROL!$C$9, $D$9, 100%, $F$9) + CHOOSE(CONTROL!$C$27, 0.0021, 0)</f>
        <v>43.956600000000002</v>
      </c>
      <c r="L458" s="17"/>
    </row>
    <row r="459" spans="1:12" ht="15.75" x14ac:dyDescent="0.25">
      <c r="A459" s="14">
        <v>54543</v>
      </c>
      <c r="B459" s="17">
        <f>43.7754 * CHOOSE(CONTROL!$C$9, $D$9, 100%, $F$9) + CHOOSE(CONTROL!$C$27, 0.0021, 0)</f>
        <v>43.777499999999996</v>
      </c>
      <c r="C459" s="17">
        <f>43.3432 * CHOOSE(CONTROL!$C$9, $D$9, 100%, $F$9) + CHOOSE(CONTROL!$C$27, 0.0021, 0)</f>
        <v>43.345300000000002</v>
      </c>
      <c r="D459" s="17">
        <f>43.3432 * CHOOSE(CONTROL!$C$9, $D$9, 100%, $F$9) + CHOOSE(CONTROL!$C$27, 0.0021, 0)</f>
        <v>43.345300000000002</v>
      </c>
      <c r="E459" s="17">
        <f>43.2065 * CHOOSE(CONTROL!$C$9, $D$9, 100%, $F$9) + CHOOSE(CONTROL!$C$27, 0.0021, 0)</f>
        <v>43.208599999999997</v>
      </c>
      <c r="F459" s="17">
        <f>43.2065 * CHOOSE(CONTROL!$C$9, $D$9, 100%, $F$9) + CHOOSE(CONTROL!$C$27, 0.0021, 0)</f>
        <v>43.208599999999997</v>
      </c>
      <c r="G459" s="17">
        <f>43.4779 * CHOOSE(CONTROL!$C$9, $D$9, 100%, $F$9) + CHOOSE(CONTROL!$C$27, 0.0021, 0)</f>
        <v>43.48</v>
      </c>
      <c r="H459" s="17">
        <f>43.3432 * CHOOSE(CONTROL!$C$9, $D$9, 100%, $F$9) + CHOOSE(CONTROL!$C$27, 0.0021, 0)</f>
        <v>43.345300000000002</v>
      </c>
      <c r="I459" s="17">
        <f>43.3432 * CHOOSE(CONTROL!$C$9, $D$9, 100%, $F$9) + CHOOSE(CONTROL!$C$27, 0.0021, 0)</f>
        <v>43.345300000000002</v>
      </c>
      <c r="J459" s="17">
        <f>43.3432 * CHOOSE(CONTROL!$C$9, $D$9, 100%, $F$9) + CHOOSE(CONTROL!$C$27, 0.0021, 0)</f>
        <v>43.345300000000002</v>
      </c>
      <c r="K459" s="17">
        <f>43.3432 * CHOOSE(CONTROL!$C$9, $D$9, 100%, $F$9) + CHOOSE(CONTROL!$C$27, 0.0021, 0)</f>
        <v>43.345300000000002</v>
      </c>
      <c r="L459" s="17"/>
    </row>
    <row r="460" spans="1:12" ht="15.75" x14ac:dyDescent="0.25">
      <c r="A460" s="14">
        <v>54574</v>
      </c>
      <c r="B460" s="17">
        <f>44.6466 * CHOOSE(CONTROL!$C$9, $D$9, 100%, $F$9) + CHOOSE(CONTROL!$C$27, 0.0021, 0)</f>
        <v>44.648699999999998</v>
      </c>
      <c r="C460" s="17">
        <f>44.2143 * CHOOSE(CONTROL!$C$9, $D$9, 100%, $F$9) + CHOOSE(CONTROL!$C$27, 0.0021, 0)</f>
        <v>44.2164</v>
      </c>
      <c r="D460" s="17">
        <f>44.2143 * CHOOSE(CONTROL!$C$9, $D$9, 100%, $F$9) + CHOOSE(CONTROL!$C$27, 0.0021, 0)</f>
        <v>44.2164</v>
      </c>
      <c r="E460" s="17">
        <f>44.0777 * CHOOSE(CONTROL!$C$9, $D$9, 100%, $F$9) + CHOOSE(CONTROL!$C$27, 0.0021, 0)</f>
        <v>44.079799999999999</v>
      </c>
      <c r="F460" s="17">
        <f>44.0777 * CHOOSE(CONTROL!$C$9, $D$9, 100%, $F$9) + CHOOSE(CONTROL!$C$27, 0.0021, 0)</f>
        <v>44.079799999999999</v>
      </c>
      <c r="G460" s="17">
        <f>44.3491 * CHOOSE(CONTROL!$C$9, $D$9, 100%, $F$9) + CHOOSE(CONTROL!$C$27, 0.0021, 0)</f>
        <v>44.351199999999999</v>
      </c>
      <c r="H460" s="17">
        <f>44.2143 * CHOOSE(CONTROL!$C$9, $D$9, 100%, $F$9) + CHOOSE(CONTROL!$C$27, 0.0021, 0)</f>
        <v>44.2164</v>
      </c>
      <c r="I460" s="17">
        <f>44.2143 * CHOOSE(CONTROL!$C$9, $D$9, 100%, $F$9) + CHOOSE(CONTROL!$C$27, 0.0021, 0)</f>
        <v>44.2164</v>
      </c>
      <c r="J460" s="17">
        <f>44.2143 * CHOOSE(CONTROL!$C$9, $D$9, 100%, $F$9) + CHOOSE(CONTROL!$C$27, 0.0021, 0)</f>
        <v>44.2164</v>
      </c>
      <c r="K460" s="17">
        <f>44.2143 * CHOOSE(CONTROL!$C$9, $D$9, 100%, $F$9) + CHOOSE(CONTROL!$C$27, 0.0021, 0)</f>
        <v>44.2164</v>
      </c>
      <c r="L460" s="17"/>
    </row>
    <row r="461" spans="1:12" ht="15.75" x14ac:dyDescent="0.25">
      <c r="A461" s="14">
        <v>54604</v>
      </c>
      <c r="B461" s="17">
        <f>45.1684 * CHOOSE(CONTROL!$C$9, $D$9, 100%, $F$9) + CHOOSE(CONTROL!$C$27, 0.0021, 0)</f>
        <v>45.170499999999997</v>
      </c>
      <c r="C461" s="17">
        <f>44.7361 * CHOOSE(CONTROL!$C$9, $D$9, 100%, $F$9) + CHOOSE(CONTROL!$C$27, 0.0021, 0)</f>
        <v>44.738199999999999</v>
      </c>
      <c r="D461" s="17">
        <f>44.7361 * CHOOSE(CONTROL!$C$9, $D$9, 100%, $F$9) + CHOOSE(CONTROL!$C$27, 0.0021, 0)</f>
        <v>44.738199999999999</v>
      </c>
      <c r="E461" s="17">
        <f>44.5995 * CHOOSE(CONTROL!$C$9, $D$9, 100%, $F$9) + CHOOSE(CONTROL!$C$27, 0.0021, 0)</f>
        <v>44.601599999999998</v>
      </c>
      <c r="F461" s="17">
        <f>44.5995 * CHOOSE(CONTROL!$C$9, $D$9, 100%, $F$9) + CHOOSE(CONTROL!$C$27, 0.0021, 0)</f>
        <v>44.601599999999998</v>
      </c>
      <c r="G461" s="17">
        <f>44.8709 * CHOOSE(CONTROL!$C$9, $D$9, 100%, $F$9) + CHOOSE(CONTROL!$C$27, 0.0021, 0)</f>
        <v>44.872999999999998</v>
      </c>
      <c r="H461" s="17">
        <f>44.7361 * CHOOSE(CONTROL!$C$9, $D$9, 100%, $F$9) + CHOOSE(CONTROL!$C$27, 0.0021, 0)</f>
        <v>44.738199999999999</v>
      </c>
      <c r="I461" s="17">
        <f>44.7361 * CHOOSE(CONTROL!$C$9, $D$9, 100%, $F$9) + CHOOSE(CONTROL!$C$27, 0.0021, 0)</f>
        <v>44.738199999999999</v>
      </c>
      <c r="J461" s="17">
        <f>44.7361 * CHOOSE(CONTROL!$C$9, $D$9, 100%, $F$9) + CHOOSE(CONTROL!$C$27, 0.0021, 0)</f>
        <v>44.738199999999999</v>
      </c>
      <c r="K461" s="17">
        <f>44.7361 * CHOOSE(CONTROL!$C$9, $D$9, 100%, $F$9) + CHOOSE(CONTROL!$C$27, 0.0021, 0)</f>
        <v>44.738199999999999</v>
      </c>
      <c r="L461" s="17"/>
    </row>
    <row r="462" spans="1:12" ht="15.75" x14ac:dyDescent="0.25">
      <c r="A462" s="14">
        <v>54635</v>
      </c>
      <c r="B462" s="17">
        <f>46.0292 * CHOOSE(CONTROL!$C$9, $D$9, 100%, $F$9) + CHOOSE(CONTROL!$C$27, 0.0021, 0)</f>
        <v>46.031300000000002</v>
      </c>
      <c r="C462" s="17">
        <f>45.5969 * CHOOSE(CONTROL!$C$9, $D$9, 100%, $F$9) + CHOOSE(CONTROL!$C$27, 0.0021, 0)</f>
        <v>45.598999999999997</v>
      </c>
      <c r="D462" s="17">
        <f>45.5969 * CHOOSE(CONTROL!$C$9, $D$9, 100%, $F$9) + CHOOSE(CONTROL!$C$27, 0.0021, 0)</f>
        <v>45.598999999999997</v>
      </c>
      <c r="E462" s="17">
        <f>45.4602 * CHOOSE(CONTROL!$C$9, $D$9, 100%, $F$9) + CHOOSE(CONTROL!$C$27, 0.0021, 0)</f>
        <v>45.462299999999999</v>
      </c>
      <c r="F462" s="17">
        <f>45.4602 * CHOOSE(CONTROL!$C$9, $D$9, 100%, $F$9) + CHOOSE(CONTROL!$C$27, 0.0021, 0)</f>
        <v>45.462299999999999</v>
      </c>
      <c r="G462" s="17">
        <f>45.7316 * CHOOSE(CONTROL!$C$9, $D$9, 100%, $F$9) + CHOOSE(CONTROL!$C$27, 0.0021, 0)</f>
        <v>45.733699999999999</v>
      </c>
      <c r="H462" s="17">
        <f>45.5969 * CHOOSE(CONTROL!$C$9, $D$9, 100%, $F$9) + CHOOSE(CONTROL!$C$27, 0.0021, 0)</f>
        <v>45.598999999999997</v>
      </c>
      <c r="I462" s="17">
        <f>45.5969 * CHOOSE(CONTROL!$C$9, $D$9, 100%, $F$9) + CHOOSE(CONTROL!$C$27, 0.0021, 0)</f>
        <v>45.598999999999997</v>
      </c>
      <c r="J462" s="17">
        <f>45.5969 * CHOOSE(CONTROL!$C$9, $D$9, 100%, $F$9) + CHOOSE(CONTROL!$C$27, 0.0021, 0)</f>
        <v>45.598999999999997</v>
      </c>
      <c r="K462" s="17">
        <f>45.5969 * CHOOSE(CONTROL!$C$9, $D$9, 100%, $F$9) + CHOOSE(CONTROL!$C$27, 0.0021, 0)</f>
        <v>45.598999999999997</v>
      </c>
      <c r="L462" s="17"/>
    </row>
    <row r="463" spans="1:12" ht="15.75" x14ac:dyDescent="0.25">
      <c r="A463" s="14">
        <v>54666</v>
      </c>
      <c r="B463" s="17">
        <f>46.2919 * CHOOSE(CONTROL!$C$9, $D$9, 100%, $F$9) + CHOOSE(CONTROL!$C$27, 0.0021, 0)</f>
        <v>46.293999999999997</v>
      </c>
      <c r="C463" s="17">
        <f>45.8596 * CHOOSE(CONTROL!$C$9, $D$9, 100%, $F$9) + CHOOSE(CONTROL!$C$27, 0.0021, 0)</f>
        <v>45.861699999999999</v>
      </c>
      <c r="D463" s="17">
        <f>45.8596 * CHOOSE(CONTROL!$C$9, $D$9, 100%, $F$9) + CHOOSE(CONTROL!$C$27, 0.0021, 0)</f>
        <v>45.861699999999999</v>
      </c>
      <c r="E463" s="17">
        <f>45.723 * CHOOSE(CONTROL!$C$9, $D$9, 100%, $F$9) + CHOOSE(CONTROL!$C$27, 0.0021, 0)</f>
        <v>45.725099999999998</v>
      </c>
      <c r="F463" s="17">
        <f>45.723 * CHOOSE(CONTROL!$C$9, $D$9, 100%, $F$9) + CHOOSE(CONTROL!$C$27, 0.0021, 0)</f>
        <v>45.725099999999998</v>
      </c>
      <c r="G463" s="17">
        <f>45.9944 * CHOOSE(CONTROL!$C$9, $D$9, 100%, $F$9) + CHOOSE(CONTROL!$C$27, 0.0021, 0)</f>
        <v>45.996499999999997</v>
      </c>
      <c r="H463" s="17">
        <f>45.8596 * CHOOSE(CONTROL!$C$9, $D$9, 100%, $F$9) + CHOOSE(CONTROL!$C$27, 0.0021, 0)</f>
        <v>45.861699999999999</v>
      </c>
      <c r="I463" s="17">
        <f>45.8596 * CHOOSE(CONTROL!$C$9, $D$9, 100%, $F$9) + CHOOSE(CONTROL!$C$27, 0.0021, 0)</f>
        <v>45.861699999999999</v>
      </c>
      <c r="J463" s="17">
        <f>45.8596 * CHOOSE(CONTROL!$C$9, $D$9, 100%, $F$9) + CHOOSE(CONTROL!$C$27, 0.0021, 0)</f>
        <v>45.861699999999999</v>
      </c>
      <c r="K463" s="17">
        <f>45.8596 * CHOOSE(CONTROL!$C$9, $D$9, 100%, $F$9) + CHOOSE(CONTROL!$C$27, 0.0021, 0)</f>
        <v>45.861699999999999</v>
      </c>
      <c r="L463" s="17"/>
    </row>
    <row r="464" spans="1:12" ht="15.75" x14ac:dyDescent="0.25">
      <c r="A464" s="14">
        <v>54696</v>
      </c>
      <c r="B464" s="17">
        <f>47.1866 * CHOOSE(CONTROL!$C$9, $D$9, 100%, $F$9) + CHOOSE(CONTROL!$C$27, 0.0021, 0)</f>
        <v>47.188699999999997</v>
      </c>
      <c r="C464" s="17">
        <f>46.7544 * CHOOSE(CONTROL!$C$9, $D$9, 100%, $F$9) + CHOOSE(CONTROL!$C$27, 0.0021, 0)</f>
        <v>46.756499999999996</v>
      </c>
      <c r="D464" s="17">
        <f>46.7544 * CHOOSE(CONTROL!$C$9, $D$9, 100%, $F$9) + CHOOSE(CONTROL!$C$27, 0.0021, 0)</f>
        <v>46.756499999999996</v>
      </c>
      <c r="E464" s="17">
        <f>46.6177 * CHOOSE(CONTROL!$C$9, $D$9, 100%, $F$9) + CHOOSE(CONTROL!$C$27, 0.0021, 0)</f>
        <v>46.619799999999998</v>
      </c>
      <c r="F464" s="17">
        <f>46.6177 * CHOOSE(CONTROL!$C$9, $D$9, 100%, $F$9) + CHOOSE(CONTROL!$C$27, 0.0021, 0)</f>
        <v>46.619799999999998</v>
      </c>
      <c r="G464" s="17">
        <f>46.8891 * CHOOSE(CONTROL!$C$9, $D$9, 100%, $F$9) + CHOOSE(CONTROL!$C$27, 0.0021, 0)</f>
        <v>46.891199999999998</v>
      </c>
      <c r="H464" s="17">
        <f>46.7544 * CHOOSE(CONTROL!$C$9, $D$9, 100%, $F$9) + CHOOSE(CONTROL!$C$27, 0.0021, 0)</f>
        <v>46.756499999999996</v>
      </c>
      <c r="I464" s="17">
        <f>46.7544 * CHOOSE(CONTROL!$C$9, $D$9, 100%, $F$9) + CHOOSE(CONTROL!$C$27, 0.0021, 0)</f>
        <v>46.756499999999996</v>
      </c>
      <c r="J464" s="17">
        <f>46.7544 * CHOOSE(CONTROL!$C$9, $D$9, 100%, $F$9) + CHOOSE(CONTROL!$C$27, 0.0021, 0)</f>
        <v>46.756499999999996</v>
      </c>
      <c r="K464" s="17">
        <f>46.7544 * CHOOSE(CONTROL!$C$9, $D$9, 100%, $F$9) + CHOOSE(CONTROL!$C$27, 0.0021, 0)</f>
        <v>46.756499999999996</v>
      </c>
      <c r="L464" s="17"/>
    </row>
    <row r="465" spans="1:12" ht="15.75" x14ac:dyDescent="0.25">
      <c r="A465" s="14">
        <v>54727</v>
      </c>
      <c r="B465" s="17">
        <f>48.3192 * CHOOSE(CONTROL!$C$9, $D$9, 100%, $F$9) + CHOOSE(CONTROL!$C$27, 0.0021, 0)</f>
        <v>48.321300000000001</v>
      </c>
      <c r="C465" s="17">
        <f>47.8869 * CHOOSE(CONTROL!$C$9, $D$9, 100%, $F$9) + CHOOSE(CONTROL!$C$27, 0.0021, 0)</f>
        <v>47.888999999999996</v>
      </c>
      <c r="D465" s="17">
        <f>47.8869 * CHOOSE(CONTROL!$C$9, $D$9, 100%, $F$9) + CHOOSE(CONTROL!$C$27, 0.0021, 0)</f>
        <v>47.888999999999996</v>
      </c>
      <c r="E465" s="17">
        <f>47.7503 * CHOOSE(CONTROL!$C$9, $D$9, 100%, $F$9) + CHOOSE(CONTROL!$C$27, 0.0021, 0)</f>
        <v>47.752400000000002</v>
      </c>
      <c r="F465" s="17">
        <f>47.7503 * CHOOSE(CONTROL!$C$9, $D$9, 100%, $F$9) + CHOOSE(CONTROL!$C$27, 0.0021, 0)</f>
        <v>47.752400000000002</v>
      </c>
      <c r="G465" s="17">
        <f>48.0217 * CHOOSE(CONTROL!$C$9, $D$9, 100%, $F$9) + CHOOSE(CONTROL!$C$27, 0.0021, 0)</f>
        <v>48.023800000000001</v>
      </c>
      <c r="H465" s="17">
        <f>47.8869 * CHOOSE(CONTROL!$C$9, $D$9, 100%, $F$9) + CHOOSE(CONTROL!$C$27, 0.0021, 0)</f>
        <v>47.888999999999996</v>
      </c>
      <c r="I465" s="17">
        <f>47.8869 * CHOOSE(CONTROL!$C$9, $D$9, 100%, $F$9) + CHOOSE(CONTROL!$C$27, 0.0021, 0)</f>
        <v>47.888999999999996</v>
      </c>
      <c r="J465" s="17">
        <f>47.8869 * CHOOSE(CONTROL!$C$9, $D$9, 100%, $F$9) + CHOOSE(CONTROL!$C$27, 0.0021, 0)</f>
        <v>47.888999999999996</v>
      </c>
      <c r="K465" s="17">
        <f>47.8869 * CHOOSE(CONTROL!$C$9, $D$9, 100%, $F$9) + CHOOSE(CONTROL!$C$27, 0.0021, 0)</f>
        <v>47.888999999999996</v>
      </c>
      <c r="L465" s="17"/>
    </row>
    <row r="466" spans="1:12" ht="15.75" x14ac:dyDescent="0.25">
      <c r="A466" s="14">
        <v>54757</v>
      </c>
      <c r="B466" s="17">
        <f>48.4255 * CHOOSE(CONTROL!$C$9, $D$9, 100%, $F$9) + CHOOSE(CONTROL!$C$27, 0.0021, 0)</f>
        <v>48.427599999999998</v>
      </c>
      <c r="C466" s="17">
        <f>47.9933 * CHOOSE(CONTROL!$C$9, $D$9, 100%, $F$9) + CHOOSE(CONTROL!$C$27, 0.0021, 0)</f>
        <v>47.995399999999997</v>
      </c>
      <c r="D466" s="17">
        <f>47.9933 * CHOOSE(CONTROL!$C$9, $D$9, 100%, $F$9) + CHOOSE(CONTROL!$C$27, 0.0021, 0)</f>
        <v>47.995399999999997</v>
      </c>
      <c r="E466" s="17">
        <f>47.8566 * CHOOSE(CONTROL!$C$9, $D$9, 100%, $F$9) + CHOOSE(CONTROL!$C$27, 0.0021, 0)</f>
        <v>47.858699999999999</v>
      </c>
      <c r="F466" s="17">
        <f>47.8566 * CHOOSE(CONTROL!$C$9, $D$9, 100%, $F$9) + CHOOSE(CONTROL!$C$27, 0.0021, 0)</f>
        <v>47.858699999999999</v>
      </c>
      <c r="G466" s="17">
        <f>48.128 * CHOOSE(CONTROL!$C$9, $D$9, 100%, $F$9) + CHOOSE(CONTROL!$C$27, 0.0021, 0)</f>
        <v>48.130099999999999</v>
      </c>
      <c r="H466" s="17">
        <f>47.9933 * CHOOSE(CONTROL!$C$9, $D$9, 100%, $F$9) + CHOOSE(CONTROL!$C$27, 0.0021, 0)</f>
        <v>47.995399999999997</v>
      </c>
      <c r="I466" s="17">
        <f>47.9933 * CHOOSE(CONTROL!$C$9, $D$9, 100%, $F$9) + CHOOSE(CONTROL!$C$27, 0.0021, 0)</f>
        <v>47.995399999999997</v>
      </c>
      <c r="J466" s="17">
        <f>47.9933 * CHOOSE(CONTROL!$C$9, $D$9, 100%, $F$9) + CHOOSE(CONTROL!$C$27, 0.0021, 0)</f>
        <v>47.995399999999997</v>
      </c>
      <c r="K466" s="17">
        <f>47.9933 * CHOOSE(CONTROL!$C$9, $D$9, 100%, $F$9) + CHOOSE(CONTROL!$C$27, 0.0021, 0)</f>
        <v>47.995399999999997</v>
      </c>
      <c r="L466" s="17"/>
    </row>
    <row r="467" spans="1:12" ht="15.75" x14ac:dyDescent="0.25">
      <c r="A467" s="14">
        <v>54788</v>
      </c>
      <c r="B467" s="17">
        <f>47.5209 * CHOOSE(CONTROL!$C$9, $D$9, 100%, $F$9) + CHOOSE(CONTROL!$C$27, 0.0021, 0)</f>
        <v>47.522999999999996</v>
      </c>
      <c r="C467" s="17">
        <f>47.0887 * CHOOSE(CONTROL!$C$9, $D$9, 100%, $F$9) + CHOOSE(CONTROL!$C$27, 0.0021, 0)</f>
        <v>47.090800000000002</v>
      </c>
      <c r="D467" s="17">
        <f>47.0887 * CHOOSE(CONTROL!$C$9, $D$9, 100%, $F$9) + CHOOSE(CONTROL!$C$27, 0.0021, 0)</f>
        <v>47.090800000000002</v>
      </c>
      <c r="E467" s="17">
        <f>46.952 * CHOOSE(CONTROL!$C$9, $D$9, 100%, $F$9) + CHOOSE(CONTROL!$C$27, 0.0021, 0)</f>
        <v>46.954099999999997</v>
      </c>
      <c r="F467" s="17">
        <f>46.952 * CHOOSE(CONTROL!$C$9, $D$9, 100%, $F$9) + CHOOSE(CONTROL!$C$27, 0.0021, 0)</f>
        <v>46.954099999999997</v>
      </c>
      <c r="G467" s="17">
        <f>47.2234 * CHOOSE(CONTROL!$C$9, $D$9, 100%, $F$9) + CHOOSE(CONTROL!$C$27, 0.0021, 0)</f>
        <v>47.225499999999997</v>
      </c>
      <c r="H467" s="17">
        <f>47.0887 * CHOOSE(CONTROL!$C$9, $D$9, 100%, $F$9) + CHOOSE(CONTROL!$C$27, 0.0021, 0)</f>
        <v>47.090800000000002</v>
      </c>
      <c r="I467" s="17">
        <f>47.0887 * CHOOSE(CONTROL!$C$9, $D$9, 100%, $F$9) + CHOOSE(CONTROL!$C$27, 0.0021, 0)</f>
        <v>47.090800000000002</v>
      </c>
      <c r="J467" s="17">
        <f>47.0887 * CHOOSE(CONTROL!$C$9, $D$9, 100%, $F$9) + CHOOSE(CONTROL!$C$27, 0.0021, 0)</f>
        <v>47.090800000000002</v>
      </c>
      <c r="K467" s="17">
        <f>47.0887 * CHOOSE(CONTROL!$C$9, $D$9, 100%, $F$9) + CHOOSE(CONTROL!$C$27, 0.0021, 0)</f>
        <v>47.090800000000002</v>
      </c>
      <c r="L467" s="17"/>
    </row>
    <row r="468" spans="1:12" ht="15.75" x14ac:dyDescent="0.25">
      <c r="A468" s="14">
        <v>54819</v>
      </c>
      <c r="B468" s="17">
        <f>46.6205 * CHOOSE(CONTROL!$C$9, $D$9, 100%, $F$9) + CHOOSE(CONTROL!$C$27, 0.0021, 0)</f>
        <v>46.622599999999998</v>
      </c>
      <c r="C468" s="17">
        <f>46.1882 * CHOOSE(CONTROL!$C$9, $D$9, 100%, $F$9) + CHOOSE(CONTROL!$C$27, 0.0021, 0)</f>
        <v>46.190300000000001</v>
      </c>
      <c r="D468" s="17">
        <f>46.1882 * CHOOSE(CONTROL!$C$9, $D$9, 100%, $F$9) + CHOOSE(CONTROL!$C$27, 0.0021, 0)</f>
        <v>46.190300000000001</v>
      </c>
      <c r="E468" s="17">
        <f>46.0516 * CHOOSE(CONTROL!$C$9, $D$9, 100%, $F$9) + CHOOSE(CONTROL!$C$27, 0.0021, 0)</f>
        <v>46.053699999999999</v>
      </c>
      <c r="F468" s="17">
        <f>46.0516 * CHOOSE(CONTROL!$C$9, $D$9, 100%, $F$9) + CHOOSE(CONTROL!$C$27, 0.0021, 0)</f>
        <v>46.053699999999999</v>
      </c>
      <c r="G468" s="17">
        <f>46.3229 * CHOOSE(CONTROL!$C$9, $D$9, 100%, $F$9) + CHOOSE(CONTROL!$C$27, 0.0021, 0)</f>
        <v>46.324999999999996</v>
      </c>
      <c r="H468" s="17">
        <f>46.1882 * CHOOSE(CONTROL!$C$9, $D$9, 100%, $F$9) + CHOOSE(CONTROL!$C$27, 0.0021, 0)</f>
        <v>46.190300000000001</v>
      </c>
      <c r="I468" s="17">
        <f>46.1882 * CHOOSE(CONTROL!$C$9, $D$9, 100%, $F$9) + CHOOSE(CONTROL!$C$27, 0.0021, 0)</f>
        <v>46.190300000000001</v>
      </c>
      <c r="J468" s="17">
        <f>46.1882 * CHOOSE(CONTROL!$C$9, $D$9, 100%, $F$9) + CHOOSE(CONTROL!$C$27, 0.0021, 0)</f>
        <v>46.190300000000001</v>
      </c>
      <c r="K468" s="17">
        <f>46.1882 * CHOOSE(CONTROL!$C$9, $D$9, 100%, $F$9) + CHOOSE(CONTROL!$C$27, 0.0021, 0)</f>
        <v>46.190300000000001</v>
      </c>
      <c r="L468" s="17"/>
    </row>
    <row r="469" spans="1:12" ht="15.75" x14ac:dyDescent="0.25">
      <c r="A469" s="14">
        <v>54847</v>
      </c>
      <c r="B469" s="17">
        <f>45.3666 * CHOOSE(CONTROL!$C$9, $D$9, 100%, $F$9) + CHOOSE(CONTROL!$C$27, 0.0021, 0)</f>
        <v>45.368699999999997</v>
      </c>
      <c r="C469" s="17">
        <f>44.9344 * CHOOSE(CONTROL!$C$9, $D$9, 100%, $F$9) + CHOOSE(CONTROL!$C$27, 0.0021, 0)</f>
        <v>44.936499999999995</v>
      </c>
      <c r="D469" s="17">
        <f>44.9344 * CHOOSE(CONTROL!$C$9, $D$9, 100%, $F$9) + CHOOSE(CONTROL!$C$27, 0.0021, 0)</f>
        <v>44.936499999999995</v>
      </c>
      <c r="E469" s="17">
        <f>44.7977 * CHOOSE(CONTROL!$C$9, $D$9, 100%, $F$9) + CHOOSE(CONTROL!$C$27, 0.0021, 0)</f>
        <v>44.799799999999998</v>
      </c>
      <c r="F469" s="17">
        <f>44.7977 * CHOOSE(CONTROL!$C$9, $D$9, 100%, $F$9) + CHOOSE(CONTROL!$C$27, 0.0021, 0)</f>
        <v>44.799799999999998</v>
      </c>
      <c r="G469" s="17">
        <f>45.0691 * CHOOSE(CONTROL!$C$9, $D$9, 100%, $F$9) + CHOOSE(CONTROL!$C$27, 0.0021, 0)</f>
        <v>45.071199999999997</v>
      </c>
      <c r="H469" s="17">
        <f>44.9344 * CHOOSE(CONTROL!$C$9, $D$9, 100%, $F$9) + CHOOSE(CONTROL!$C$27, 0.0021, 0)</f>
        <v>44.936499999999995</v>
      </c>
      <c r="I469" s="17">
        <f>44.9344 * CHOOSE(CONTROL!$C$9, $D$9, 100%, $F$9) + CHOOSE(CONTROL!$C$27, 0.0021, 0)</f>
        <v>44.936499999999995</v>
      </c>
      <c r="J469" s="17">
        <f>44.9344 * CHOOSE(CONTROL!$C$9, $D$9, 100%, $F$9) + CHOOSE(CONTROL!$C$27, 0.0021, 0)</f>
        <v>44.936499999999995</v>
      </c>
      <c r="K469" s="17">
        <f>44.9344 * CHOOSE(CONTROL!$C$9, $D$9, 100%, $F$9) + CHOOSE(CONTROL!$C$27, 0.0021, 0)</f>
        <v>44.936499999999995</v>
      </c>
      <c r="L469" s="17"/>
    </row>
    <row r="470" spans="1:12" ht="15.75" x14ac:dyDescent="0.25">
      <c r="A470" s="14">
        <v>54878</v>
      </c>
      <c r="B470" s="17">
        <f>44.849 * CHOOSE(CONTROL!$C$9, $D$9, 100%, $F$9) + CHOOSE(CONTROL!$C$27, 0.0021, 0)</f>
        <v>44.851099999999995</v>
      </c>
      <c r="C470" s="17">
        <f>44.4168 * CHOOSE(CONTROL!$C$9, $D$9, 100%, $F$9) + CHOOSE(CONTROL!$C$27, 0.0021, 0)</f>
        <v>44.418900000000001</v>
      </c>
      <c r="D470" s="17">
        <f>44.4168 * CHOOSE(CONTROL!$C$9, $D$9, 100%, $F$9) + CHOOSE(CONTROL!$C$27, 0.0021, 0)</f>
        <v>44.418900000000001</v>
      </c>
      <c r="E470" s="17">
        <f>44.2801 * CHOOSE(CONTROL!$C$9, $D$9, 100%, $F$9) + CHOOSE(CONTROL!$C$27, 0.0021, 0)</f>
        <v>44.282199999999996</v>
      </c>
      <c r="F470" s="17">
        <f>44.2801 * CHOOSE(CONTROL!$C$9, $D$9, 100%, $F$9) + CHOOSE(CONTROL!$C$27, 0.0021, 0)</f>
        <v>44.282199999999996</v>
      </c>
      <c r="G470" s="17">
        <f>44.5515 * CHOOSE(CONTROL!$C$9, $D$9, 100%, $F$9) + CHOOSE(CONTROL!$C$27, 0.0021, 0)</f>
        <v>44.553599999999996</v>
      </c>
      <c r="H470" s="17">
        <f>44.4168 * CHOOSE(CONTROL!$C$9, $D$9, 100%, $F$9) + CHOOSE(CONTROL!$C$27, 0.0021, 0)</f>
        <v>44.418900000000001</v>
      </c>
      <c r="I470" s="17">
        <f>44.4168 * CHOOSE(CONTROL!$C$9, $D$9, 100%, $F$9) + CHOOSE(CONTROL!$C$27, 0.0021, 0)</f>
        <v>44.418900000000001</v>
      </c>
      <c r="J470" s="17">
        <f>44.4168 * CHOOSE(CONTROL!$C$9, $D$9, 100%, $F$9) + CHOOSE(CONTROL!$C$27, 0.0021, 0)</f>
        <v>44.418900000000001</v>
      </c>
      <c r="K470" s="17">
        <f>44.4168 * CHOOSE(CONTROL!$C$9, $D$9, 100%, $F$9) + CHOOSE(CONTROL!$C$27, 0.0021, 0)</f>
        <v>44.418900000000001</v>
      </c>
      <c r="L470" s="17"/>
    </row>
    <row r="471" spans="1:12" ht="15.75" x14ac:dyDescent="0.25">
      <c r="A471" s="14">
        <v>54908</v>
      </c>
      <c r="B471" s="17">
        <f>44.231 * CHOOSE(CONTROL!$C$9, $D$9, 100%, $F$9) + CHOOSE(CONTROL!$C$27, 0.0021, 0)</f>
        <v>44.2331</v>
      </c>
      <c r="C471" s="17">
        <f>43.7988 * CHOOSE(CONTROL!$C$9, $D$9, 100%, $F$9) + CHOOSE(CONTROL!$C$27, 0.0021, 0)</f>
        <v>43.800899999999999</v>
      </c>
      <c r="D471" s="17">
        <f>43.7988 * CHOOSE(CONTROL!$C$9, $D$9, 100%, $F$9) + CHOOSE(CONTROL!$C$27, 0.0021, 0)</f>
        <v>43.800899999999999</v>
      </c>
      <c r="E471" s="17">
        <f>43.6621 * CHOOSE(CONTROL!$C$9, $D$9, 100%, $F$9) + CHOOSE(CONTROL!$C$27, 0.0021, 0)</f>
        <v>43.664200000000001</v>
      </c>
      <c r="F471" s="17">
        <f>43.6621 * CHOOSE(CONTROL!$C$9, $D$9, 100%, $F$9) + CHOOSE(CONTROL!$C$27, 0.0021, 0)</f>
        <v>43.664200000000001</v>
      </c>
      <c r="G471" s="17">
        <f>43.9335 * CHOOSE(CONTROL!$C$9, $D$9, 100%, $F$9) + CHOOSE(CONTROL!$C$27, 0.0021, 0)</f>
        <v>43.935600000000001</v>
      </c>
      <c r="H471" s="17">
        <f>43.7988 * CHOOSE(CONTROL!$C$9, $D$9, 100%, $F$9) + CHOOSE(CONTROL!$C$27, 0.0021, 0)</f>
        <v>43.800899999999999</v>
      </c>
      <c r="I471" s="17">
        <f>43.7988 * CHOOSE(CONTROL!$C$9, $D$9, 100%, $F$9) + CHOOSE(CONTROL!$C$27, 0.0021, 0)</f>
        <v>43.800899999999999</v>
      </c>
      <c r="J471" s="17">
        <f>43.7988 * CHOOSE(CONTROL!$C$9, $D$9, 100%, $F$9) + CHOOSE(CONTROL!$C$27, 0.0021, 0)</f>
        <v>43.800899999999999</v>
      </c>
      <c r="K471" s="17">
        <f>43.7988 * CHOOSE(CONTROL!$C$9, $D$9, 100%, $F$9) + CHOOSE(CONTROL!$C$27, 0.0021, 0)</f>
        <v>43.800899999999999</v>
      </c>
      <c r="L471" s="17"/>
    </row>
    <row r="472" spans="1:12" ht="15.75" x14ac:dyDescent="0.25">
      <c r="A472" s="14">
        <v>54939</v>
      </c>
      <c r="B472" s="17">
        <f>45.1118 * CHOOSE(CONTROL!$C$9, $D$9, 100%, $F$9) + CHOOSE(CONTROL!$C$27, 0.0021, 0)</f>
        <v>45.113900000000001</v>
      </c>
      <c r="C472" s="17">
        <f>44.6795 * CHOOSE(CONTROL!$C$9, $D$9, 100%, $F$9) + CHOOSE(CONTROL!$C$27, 0.0021, 0)</f>
        <v>44.681599999999996</v>
      </c>
      <c r="D472" s="17">
        <f>44.6795 * CHOOSE(CONTROL!$C$9, $D$9, 100%, $F$9) + CHOOSE(CONTROL!$C$27, 0.0021, 0)</f>
        <v>44.681599999999996</v>
      </c>
      <c r="E472" s="17">
        <f>44.5429 * CHOOSE(CONTROL!$C$9, $D$9, 100%, $F$9) + CHOOSE(CONTROL!$C$27, 0.0021, 0)</f>
        <v>44.545000000000002</v>
      </c>
      <c r="F472" s="17">
        <f>44.5429 * CHOOSE(CONTROL!$C$9, $D$9, 100%, $F$9) + CHOOSE(CONTROL!$C$27, 0.0021, 0)</f>
        <v>44.545000000000002</v>
      </c>
      <c r="G472" s="17">
        <f>44.8142 * CHOOSE(CONTROL!$C$9, $D$9, 100%, $F$9) + CHOOSE(CONTROL!$C$27, 0.0021, 0)</f>
        <v>44.816299999999998</v>
      </c>
      <c r="H472" s="17">
        <f>44.6795 * CHOOSE(CONTROL!$C$9, $D$9, 100%, $F$9) + CHOOSE(CONTROL!$C$27, 0.0021, 0)</f>
        <v>44.681599999999996</v>
      </c>
      <c r="I472" s="17">
        <f>44.6795 * CHOOSE(CONTROL!$C$9, $D$9, 100%, $F$9) + CHOOSE(CONTROL!$C$27, 0.0021, 0)</f>
        <v>44.681599999999996</v>
      </c>
      <c r="J472" s="17">
        <f>44.6795 * CHOOSE(CONTROL!$C$9, $D$9, 100%, $F$9) + CHOOSE(CONTROL!$C$27, 0.0021, 0)</f>
        <v>44.681599999999996</v>
      </c>
      <c r="K472" s="17">
        <f>44.6795 * CHOOSE(CONTROL!$C$9, $D$9, 100%, $F$9) + CHOOSE(CONTROL!$C$27, 0.0021, 0)</f>
        <v>44.681599999999996</v>
      </c>
      <c r="L472" s="17"/>
    </row>
    <row r="473" spans="1:12" ht="15.75" x14ac:dyDescent="0.25">
      <c r="A473" s="14">
        <v>54969</v>
      </c>
      <c r="B473" s="17">
        <f>45.6393 * CHOOSE(CONTROL!$C$9, $D$9, 100%, $F$9) + CHOOSE(CONTROL!$C$27, 0.0021, 0)</f>
        <v>45.641399999999997</v>
      </c>
      <c r="C473" s="17">
        <f>45.207 * CHOOSE(CONTROL!$C$9, $D$9, 100%, $F$9) + CHOOSE(CONTROL!$C$27, 0.0021, 0)</f>
        <v>45.209099999999999</v>
      </c>
      <c r="D473" s="17">
        <f>45.207 * CHOOSE(CONTROL!$C$9, $D$9, 100%, $F$9) + CHOOSE(CONTROL!$C$27, 0.0021, 0)</f>
        <v>45.209099999999999</v>
      </c>
      <c r="E473" s="17">
        <f>45.0704 * CHOOSE(CONTROL!$C$9, $D$9, 100%, $F$9) + CHOOSE(CONTROL!$C$27, 0.0021, 0)</f>
        <v>45.072499999999998</v>
      </c>
      <c r="F473" s="17">
        <f>45.0704 * CHOOSE(CONTROL!$C$9, $D$9, 100%, $F$9) + CHOOSE(CONTROL!$C$27, 0.0021, 0)</f>
        <v>45.072499999999998</v>
      </c>
      <c r="G473" s="17">
        <f>45.3418 * CHOOSE(CONTROL!$C$9, $D$9, 100%, $F$9) + CHOOSE(CONTROL!$C$27, 0.0021, 0)</f>
        <v>45.343899999999998</v>
      </c>
      <c r="H473" s="17">
        <f>45.207 * CHOOSE(CONTROL!$C$9, $D$9, 100%, $F$9) + CHOOSE(CONTROL!$C$27, 0.0021, 0)</f>
        <v>45.209099999999999</v>
      </c>
      <c r="I473" s="17">
        <f>45.207 * CHOOSE(CONTROL!$C$9, $D$9, 100%, $F$9) + CHOOSE(CONTROL!$C$27, 0.0021, 0)</f>
        <v>45.209099999999999</v>
      </c>
      <c r="J473" s="17">
        <f>45.207 * CHOOSE(CONTROL!$C$9, $D$9, 100%, $F$9) + CHOOSE(CONTROL!$C$27, 0.0021, 0)</f>
        <v>45.209099999999999</v>
      </c>
      <c r="K473" s="17">
        <f>45.207 * CHOOSE(CONTROL!$C$9, $D$9, 100%, $F$9) + CHOOSE(CONTROL!$C$27, 0.0021, 0)</f>
        <v>45.209099999999999</v>
      </c>
      <c r="L473" s="17"/>
    </row>
    <row r="474" spans="1:12" ht="15.75" x14ac:dyDescent="0.25">
      <c r="A474" s="14">
        <v>55000</v>
      </c>
      <c r="B474" s="17">
        <f>46.5095 * CHOOSE(CONTROL!$C$9, $D$9, 100%, $F$9) + CHOOSE(CONTROL!$C$27, 0.0021, 0)</f>
        <v>46.511600000000001</v>
      </c>
      <c r="C474" s="17">
        <f>46.0773 * CHOOSE(CONTROL!$C$9, $D$9, 100%, $F$9) + CHOOSE(CONTROL!$C$27, 0.0021, 0)</f>
        <v>46.0794</v>
      </c>
      <c r="D474" s="17">
        <f>46.0773 * CHOOSE(CONTROL!$C$9, $D$9, 100%, $F$9) + CHOOSE(CONTROL!$C$27, 0.0021, 0)</f>
        <v>46.0794</v>
      </c>
      <c r="E474" s="17">
        <f>45.9406 * CHOOSE(CONTROL!$C$9, $D$9, 100%, $F$9) + CHOOSE(CONTROL!$C$27, 0.0021, 0)</f>
        <v>45.942700000000002</v>
      </c>
      <c r="F474" s="17">
        <f>45.9406 * CHOOSE(CONTROL!$C$9, $D$9, 100%, $F$9) + CHOOSE(CONTROL!$C$27, 0.0021, 0)</f>
        <v>45.942700000000002</v>
      </c>
      <c r="G474" s="17">
        <f>46.212 * CHOOSE(CONTROL!$C$9, $D$9, 100%, $F$9) + CHOOSE(CONTROL!$C$27, 0.0021, 0)</f>
        <v>46.214100000000002</v>
      </c>
      <c r="H474" s="17">
        <f>46.0773 * CHOOSE(CONTROL!$C$9, $D$9, 100%, $F$9) + CHOOSE(CONTROL!$C$27, 0.0021, 0)</f>
        <v>46.0794</v>
      </c>
      <c r="I474" s="17">
        <f>46.0773 * CHOOSE(CONTROL!$C$9, $D$9, 100%, $F$9) + CHOOSE(CONTROL!$C$27, 0.0021, 0)</f>
        <v>46.0794</v>
      </c>
      <c r="J474" s="17">
        <f>46.0773 * CHOOSE(CONTROL!$C$9, $D$9, 100%, $F$9) + CHOOSE(CONTROL!$C$27, 0.0021, 0)</f>
        <v>46.0794</v>
      </c>
      <c r="K474" s="17">
        <f>46.0773 * CHOOSE(CONTROL!$C$9, $D$9, 100%, $F$9) + CHOOSE(CONTROL!$C$27, 0.0021, 0)</f>
        <v>46.0794</v>
      </c>
      <c r="L474" s="17"/>
    </row>
    <row r="475" spans="1:12" ht="15.75" x14ac:dyDescent="0.25">
      <c r="A475" s="14">
        <v>55031</v>
      </c>
      <c r="B475" s="17">
        <f>46.7751 * CHOOSE(CONTROL!$C$9, $D$9, 100%, $F$9) + CHOOSE(CONTROL!$C$27, 0.0021, 0)</f>
        <v>46.777200000000001</v>
      </c>
      <c r="C475" s="17">
        <f>46.3429 * CHOOSE(CONTROL!$C$9, $D$9, 100%, $F$9) + CHOOSE(CONTROL!$C$27, 0.0021, 0)</f>
        <v>46.344999999999999</v>
      </c>
      <c r="D475" s="17">
        <f>46.3429 * CHOOSE(CONTROL!$C$9, $D$9, 100%, $F$9) + CHOOSE(CONTROL!$C$27, 0.0021, 0)</f>
        <v>46.344999999999999</v>
      </c>
      <c r="E475" s="17">
        <f>46.2062 * CHOOSE(CONTROL!$C$9, $D$9, 100%, $F$9) + CHOOSE(CONTROL!$C$27, 0.0021, 0)</f>
        <v>46.208300000000001</v>
      </c>
      <c r="F475" s="17">
        <f>46.2062 * CHOOSE(CONTROL!$C$9, $D$9, 100%, $F$9) + CHOOSE(CONTROL!$C$27, 0.0021, 0)</f>
        <v>46.208300000000001</v>
      </c>
      <c r="G475" s="17">
        <f>46.4776 * CHOOSE(CONTROL!$C$9, $D$9, 100%, $F$9) + CHOOSE(CONTROL!$C$27, 0.0021, 0)</f>
        <v>46.479700000000001</v>
      </c>
      <c r="H475" s="17">
        <f>46.3429 * CHOOSE(CONTROL!$C$9, $D$9, 100%, $F$9) + CHOOSE(CONTROL!$C$27, 0.0021, 0)</f>
        <v>46.344999999999999</v>
      </c>
      <c r="I475" s="17">
        <f>46.3429 * CHOOSE(CONTROL!$C$9, $D$9, 100%, $F$9) + CHOOSE(CONTROL!$C$27, 0.0021, 0)</f>
        <v>46.344999999999999</v>
      </c>
      <c r="J475" s="17">
        <f>46.3429 * CHOOSE(CONTROL!$C$9, $D$9, 100%, $F$9) + CHOOSE(CONTROL!$C$27, 0.0021, 0)</f>
        <v>46.344999999999999</v>
      </c>
      <c r="K475" s="17">
        <f>46.3429 * CHOOSE(CONTROL!$C$9, $D$9, 100%, $F$9) + CHOOSE(CONTROL!$C$27, 0.0021, 0)</f>
        <v>46.344999999999999</v>
      </c>
      <c r="L475" s="17"/>
    </row>
    <row r="476" spans="1:12" ht="15.75" x14ac:dyDescent="0.25">
      <c r="A476" s="14">
        <v>55061</v>
      </c>
      <c r="B476" s="17">
        <f>47.6797 * CHOOSE(CONTROL!$C$9, $D$9, 100%, $F$9) + CHOOSE(CONTROL!$C$27, 0.0021, 0)</f>
        <v>47.681799999999996</v>
      </c>
      <c r="C476" s="17">
        <f>47.2474 * CHOOSE(CONTROL!$C$9, $D$9, 100%, $F$9) + CHOOSE(CONTROL!$C$27, 0.0021, 0)</f>
        <v>47.249499999999998</v>
      </c>
      <c r="D476" s="17">
        <f>47.2474 * CHOOSE(CONTROL!$C$9, $D$9, 100%, $F$9) + CHOOSE(CONTROL!$C$27, 0.0021, 0)</f>
        <v>47.249499999999998</v>
      </c>
      <c r="E476" s="17">
        <f>47.1108 * CHOOSE(CONTROL!$C$9, $D$9, 100%, $F$9) + CHOOSE(CONTROL!$C$27, 0.0021, 0)</f>
        <v>47.112899999999996</v>
      </c>
      <c r="F476" s="17">
        <f>47.1108 * CHOOSE(CONTROL!$C$9, $D$9, 100%, $F$9) + CHOOSE(CONTROL!$C$27, 0.0021, 0)</f>
        <v>47.112899999999996</v>
      </c>
      <c r="G476" s="17">
        <f>47.3822 * CHOOSE(CONTROL!$C$9, $D$9, 100%, $F$9) + CHOOSE(CONTROL!$C$27, 0.0021, 0)</f>
        <v>47.384299999999996</v>
      </c>
      <c r="H476" s="17">
        <f>47.2474 * CHOOSE(CONTROL!$C$9, $D$9, 100%, $F$9) + CHOOSE(CONTROL!$C$27, 0.0021, 0)</f>
        <v>47.249499999999998</v>
      </c>
      <c r="I476" s="17">
        <f>47.2474 * CHOOSE(CONTROL!$C$9, $D$9, 100%, $F$9) + CHOOSE(CONTROL!$C$27, 0.0021, 0)</f>
        <v>47.249499999999998</v>
      </c>
      <c r="J476" s="17">
        <f>47.2474 * CHOOSE(CONTROL!$C$9, $D$9, 100%, $F$9) + CHOOSE(CONTROL!$C$27, 0.0021, 0)</f>
        <v>47.249499999999998</v>
      </c>
      <c r="K476" s="17">
        <f>47.2474 * CHOOSE(CONTROL!$C$9, $D$9, 100%, $F$9) + CHOOSE(CONTROL!$C$27, 0.0021, 0)</f>
        <v>47.249499999999998</v>
      </c>
      <c r="L476" s="17"/>
    </row>
    <row r="477" spans="1:12" ht="15.75" x14ac:dyDescent="0.25">
      <c r="A477" s="14">
        <v>55092</v>
      </c>
      <c r="B477" s="17">
        <f>48.8247 * CHOOSE(CONTROL!$C$9, $D$9, 100%, $F$9) + CHOOSE(CONTROL!$C$27, 0.0021, 0)</f>
        <v>48.826799999999999</v>
      </c>
      <c r="C477" s="17">
        <f>48.3924 * CHOOSE(CONTROL!$C$9, $D$9, 100%, $F$9) + CHOOSE(CONTROL!$C$27, 0.0021, 0)</f>
        <v>48.394500000000001</v>
      </c>
      <c r="D477" s="17">
        <f>48.3924 * CHOOSE(CONTROL!$C$9, $D$9, 100%, $F$9) + CHOOSE(CONTROL!$C$27, 0.0021, 0)</f>
        <v>48.394500000000001</v>
      </c>
      <c r="E477" s="17">
        <f>48.2558 * CHOOSE(CONTROL!$C$9, $D$9, 100%, $F$9) + CHOOSE(CONTROL!$C$27, 0.0021, 0)</f>
        <v>48.257899999999999</v>
      </c>
      <c r="F477" s="17">
        <f>48.2558 * CHOOSE(CONTROL!$C$9, $D$9, 100%, $F$9) + CHOOSE(CONTROL!$C$27, 0.0021, 0)</f>
        <v>48.257899999999999</v>
      </c>
      <c r="G477" s="17">
        <f>48.5272 * CHOOSE(CONTROL!$C$9, $D$9, 100%, $F$9) + CHOOSE(CONTROL!$C$27, 0.0021, 0)</f>
        <v>48.529299999999999</v>
      </c>
      <c r="H477" s="17">
        <f>48.3924 * CHOOSE(CONTROL!$C$9, $D$9, 100%, $F$9) + CHOOSE(CONTROL!$C$27, 0.0021, 0)</f>
        <v>48.394500000000001</v>
      </c>
      <c r="I477" s="17">
        <f>48.3924 * CHOOSE(CONTROL!$C$9, $D$9, 100%, $F$9) + CHOOSE(CONTROL!$C$27, 0.0021, 0)</f>
        <v>48.394500000000001</v>
      </c>
      <c r="J477" s="17">
        <f>48.3924 * CHOOSE(CONTROL!$C$9, $D$9, 100%, $F$9) + CHOOSE(CONTROL!$C$27, 0.0021, 0)</f>
        <v>48.394500000000001</v>
      </c>
      <c r="K477" s="17">
        <f>48.3924 * CHOOSE(CONTROL!$C$9, $D$9, 100%, $F$9) + CHOOSE(CONTROL!$C$27, 0.0021, 0)</f>
        <v>48.394500000000001</v>
      </c>
      <c r="L477" s="17"/>
    </row>
    <row r="478" spans="1:12" ht="15.75" x14ac:dyDescent="0.25">
      <c r="A478" s="14">
        <v>55122</v>
      </c>
      <c r="B478" s="17">
        <f>48.9322 * CHOOSE(CONTROL!$C$9, $D$9, 100%, $F$9) + CHOOSE(CONTROL!$C$27, 0.0021, 0)</f>
        <v>48.9343</v>
      </c>
      <c r="C478" s="17">
        <f>48.4999 * CHOOSE(CONTROL!$C$9, $D$9, 100%, $F$9) + CHOOSE(CONTROL!$C$27, 0.0021, 0)</f>
        <v>48.501999999999995</v>
      </c>
      <c r="D478" s="17">
        <f>48.4999 * CHOOSE(CONTROL!$C$9, $D$9, 100%, $F$9) + CHOOSE(CONTROL!$C$27, 0.0021, 0)</f>
        <v>48.501999999999995</v>
      </c>
      <c r="E478" s="17">
        <f>48.3633 * CHOOSE(CONTROL!$C$9, $D$9, 100%, $F$9) + CHOOSE(CONTROL!$C$27, 0.0021, 0)</f>
        <v>48.365400000000001</v>
      </c>
      <c r="F478" s="17">
        <f>48.3633 * CHOOSE(CONTROL!$C$9, $D$9, 100%, $F$9) + CHOOSE(CONTROL!$C$27, 0.0021, 0)</f>
        <v>48.365400000000001</v>
      </c>
      <c r="G478" s="17">
        <f>48.6347 * CHOOSE(CONTROL!$C$9, $D$9, 100%, $F$9) + CHOOSE(CONTROL!$C$27, 0.0021, 0)</f>
        <v>48.636800000000001</v>
      </c>
      <c r="H478" s="17">
        <f>48.4999 * CHOOSE(CONTROL!$C$9, $D$9, 100%, $F$9) + CHOOSE(CONTROL!$C$27, 0.0021, 0)</f>
        <v>48.501999999999995</v>
      </c>
      <c r="I478" s="17">
        <f>48.4999 * CHOOSE(CONTROL!$C$9, $D$9, 100%, $F$9) + CHOOSE(CONTROL!$C$27, 0.0021, 0)</f>
        <v>48.501999999999995</v>
      </c>
      <c r="J478" s="17">
        <f>48.4999 * CHOOSE(CONTROL!$C$9, $D$9, 100%, $F$9) + CHOOSE(CONTROL!$C$27, 0.0021, 0)</f>
        <v>48.501999999999995</v>
      </c>
      <c r="K478" s="17">
        <f>48.4999 * CHOOSE(CONTROL!$C$9, $D$9, 100%, $F$9) + CHOOSE(CONTROL!$C$27, 0.0021, 0)</f>
        <v>48.501999999999995</v>
      </c>
      <c r="L478" s="17"/>
    </row>
    <row r="479" spans="1:12" ht="15.75" x14ac:dyDescent="0.25">
      <c r="A479" s="14">
        <v>55153</v>
      </c>
      <c r="B479" s="17">
        <f>48.0177 * CHOOSE(CONTROL!$C$9, $D$9, 100%, $F$9) + CHOOSE(CONTROL!$C$27, 0.0021, 0)</f>
        <v>48.019799999999996</v>
      </c>
      <c r="C479" s="17">
        <f>47.5854 * CHOOSE(CONTROL!$C$9, $D$9, 100%, $F$9) + CHOOSE(CONTROL!$C$27, 0.0021, 0)</f>
        <v>47.587499999999999</v>
      </c>
      <c r="D479" s="17">
        <f>47.5854 * CHOOSE(CONTROL!$C$9, $D$9, 100%, $F$9) + CHOOSE(CONTROL!$C$27, 0.0021, 0)</f>
        <v>47.587499999999999</v>
      </c>
      <c r="E479" s="17">
        <f>47.4488 * CHOOSE(CONTROL!$C$9, $D$9, 100%, $F$9) + CHOOSE(CONTROL!$C$27, 0.0021, 0)</f>
        <v>47.450899999999997</v>
      </c>
      <c r="F479" s="17">
        <f>47.4488 * CHOOSE(CONTROL!$C$9, $D$9, 100%, $F$9) + CHOOSE(CONTROL!$C$27, 0.0021, 0)</f>
        <v>47.450899999999997</v>
      </c>
      <c r="G479" s="17">
        <f>47.7202 * CHOOSE(CONTROL!$C$9, $D$9, 100%, $F$9) + CHOOSE(CONTROL!$C$27, 0.0021, 0)</f>
        <v>47.722299999999997</v>
      </c>
      <c r="H479" s="17">
        <f>47.5854 * CHOOSE(CONTROL!$C$9, $D$9, 100%, $F$9) + CHOOSE(CONTROL!$C$27, 0.0021, 0)</f>
        <v>47.587499999999999</v>
      </c>
      <c r="I479" s="17">
        <f>47.5854 * CHOOSE(CONTROL!$C$9, $D$9, 100%, $F$9) + CHOOSE(CONTROL!$C$27, 0.0021, 0)</f>
        <v>47.587499999999999</v>
      </c>
      <c r="J479" s="17">
        <f>47.5854 * CHOOSE(CONTROL!$C$9, $D$9, 100%, $F$9) + CHOOSE(CONTROL!$C$27, 0.0021, 0)</f>
        <v>47.587499999999999</v>
      </c>
      <c r="K479" s="17">
        <f>47.5854 * CHOOSE(CONTROL!$C$9, $D$9, 100%, $F$9) + CHOOSE(CONTROL!$C$27, 0.0021, 0)</f>
        <v>47.587499999999999</v>
      </c>
      <c r="L479" s="17"/>
    </row>
    <row r="480" spans="1:12" ht="15.75" x14ac:dyDescent="0.25">
      <c r="A480" s="14">
        <v>55184</v>
      </c>
      <c r="B480" s="17">
        <f>47.1073 * CHOOSE(CONTROL!$C$9, $D$9, 100%, $F$9) + CHOOSE(CONTROL!$C$27, 0.0021, 0)</f>
        <v>47.109400000000001</v>
      </c>
      <c r="C480" s="17">
        <f>46.6751 * CHOOSE(CONTROL!$C$9, $D$9, 100%, $F$9) + CHOOSE(CONTROL!$C$27, 0.0021, 0)</f>
        <v>46.677199999999999</v>
      </c>
      <c r="D480" s="17">
        <f>46.6751 * CHOOSE(CONTROL!$C$9, $D$9, 100%, $F$9) + CHOOSE(CONTROL!$C$27, 0.0021, 0)</f>
        <v>46.677199999999999</v>
      </c>
      <c r="E480" s="17">
        <f>46.5384 * CHOOSE(CONTROL!$C$9, $D$9, 100%, $F$9) + CHOOSE(CONTROL!$C$27, 0.0021, 0)</f>
        <v>46.540500000000002</v>
      </c>
      <c r="F480" s="17">
        <f>46.5384 * CHOOSE(CONTROL!$C$9, $D$9, 100%, $F$9) + CHOOSE(CONTROL!$C$27, 0.0021, 0)</f>
        <v>46.540500000000002</v>
      </c>
      <c r="G480" s="17">
        <f>46.8098 * CHOOSE(CONTROL!$C$9, $D$9, 100%, $F$9) + CHOOSE(CONTROL!$C$27, 0.0021, 0)</f>
        <v>46.811900000000001</v>
      </c>
      <c r="H480" s="17">
        <f>46.6751 * CHOOSE(CONTROL!$C$9, $D$9, 100%, $F$9) + CHOOSE(CONTROL!$C$27, 0.0021, 0)</f>
        <v>46.677199999999999</v>
      </c>
      <c r="I480" s="17">
        <f>46.6751 * CHOOSE(CONTROL!$C$9, $D$9, 100%, $F$9) + CHOOSE(CONTROL!$C$27, 0.0021, 0)</f>
        <v>46.677199999999999</v>
      </c>
      <c r="J480" s="17">
        <f>46.6751 * CHOOSE(CONTROL!$C$9, $D$9, 100%, $F$9) + CHOOSE(CONTROL!$C$27, 0.0021, 0)</f>
        <v>46.677199999999999</v>
      </c>
      <c r="K480" s="17">
        <f>46.6751 * CHOOSE(CONTROL!$C$9, $D$9, 100%, $F$9) + CHOOSE(CONTROL!$C$27, 0.0021, 0)</f>
        <v>46.677199999999999</v>
      </c>
      <c r="L480" s="17"/>
    </row>
    <row r="481" spans="1:12" ht="15.75" x14ac:dyDescent="0.25">
      <c r="A481" s="14">
        <v>55212</v>
      </c>
      <c r="B481" s="17">
        <f>45.8397 * CHOOSE(CONTROL!$C$9, $D$9, 100%, $F$9) + CHOOSE(CONTROL!$C$27, 0.0021, 0)</f>
        <v>45.841799999999999</v>
      </c>
      <c r="C481" s="17">
        <f>45.4075 * CHOOSE(CONTROL!$C$9, $D$9, 100%, $F$9) + CHOOSE(CONTROL!$C$27, 0.0021, 0)</f>
        <v>45.409599999999998</v>
      </c>
      <c r="D481" s="17">
        <f>45.4075 * CHOOSE(CONTROL!$C$9, $D$9, 100%, $F$9) + CHOOSE(CONTROL!$C$27, 0.0021, 0)</f>
        <v>45.409599999999998</v>
      </c>
      <c r="E481" s="17">
        <f>45.2708 * CHOOSE(CONTROL!$C$9, $D$9, 100%, $F$9) + CHOOSE(CONTROL!$C$27, 0.0021, 0)</f>
        <v>45.2729</v>
      </c>
      <c r="F481" s="17">
        <f>45.2708 * CHOOSE(CONTROL!$C$9, $D$9, 100%, $F$9) + CHOOSE(CONTROL!$C$27, 0.0021, 0)</f>
        <v>45.2729</v>
      </c>
      <c r="G481" s="17">
        <f>45.5422 * CHOOSE(CONTROL!$C$9, $D$9, 100%, $F$9) + CHOOSE(CONTROL!$C$27, 0.0021, 0)</f>
        <v>45.5443</v>
      </c>
      <c r="H481" s="17">
        <f>45.4075 * CHOOSE(CONTROL!$C$9, $D$9, 100%, $F$9) + CHOOSE(CONTROL!$C$27, 0.0021, 0)</f>
        <v>45.409599999999998</v>
      </c>
      <c r="I481" s="17">
        <f>45.4075 * CHOOSE(CONTROL!$C$9, $D$9, 100%, $F$9) + CHOOSE(CONTROL!$C$27, 0.0021, 0)</f>
        <v>45.409599999999998</v>
      </c>
      <c r="J481" s="17">
        <f>45.4075 * CHOOSE(CONTROL!$C$9, $D$9, 100%, $F$9) + CHOOSE(CONTROL!$C$27, 0.0021, 0)</f>
        <v>45.409599999999998</v>
      </c>
      <c r="K481" s="17">
        <f>45.4075 * CHOOSE(CONTROL!$C$9, $D$9, 100%, $F$9) + CHOOSE(CONTROL!$C$27, 0.0021, 0)</f>
        <v>45.409599999999998</v>
      </c>
      <c r="L481" s="17"/>
    </row>
    <row r="482" spans="1:12" ht="15.75" x14ac:dyDescent="0.25">
      <c r="A482" s="14">
        <v>55243</v>
      </c>
      <c r="B482" s="17">
        <f>45.3164 * CHOOSE(CONTROL!$C$9, $D$9, 100%, $F$9) + CHOOSE(CONTROL!$C$27, 0.0021, 0)</f>
        <v>45.3185</v>
      </c>
      <c r="C482" s="17">
        <f>44.8842 * CHOOSE(CONTROL!$C$9, $D$9, 100%, $F$9) + CHOOSE(CONTROL!$C$27, 0.0021, 0)</f>
        <v>44.886299999999999</v>
      </c>
      <c r="D482" s="17">
        <f>44.8842 * CHOOSE(CONTROL!$C$9, $D$9, 100%, $F$9) + CHOOSE(CONTROL!$C$27, 0.0021, 0)</f>
        <v>44.886299999999999</v>
      </c>
      <c r="E482" s="17">
        <f>44.7475 * CHOOSE(CONTROL!$C$9, $D$9, 100%, $F$9) + CHOOSE(CONTROL!$C$27, 0.0021, 0)</f>
        <v>44.749600000000001</v>
      </c>
      <c r="F482" s="17">
        <f>44.7475 * CHOOSE(CONTROL!$C$9, $D$9, 100%, $F$9) + CHOOSE(CONTROL!$C$27, 0.0021, 0)</f>
        <v>44.749600000000001</v>
      </c>
      <c r="G482" s="17">
        <f>45.0189 * CHOOSE(CONTROL!$C$9, $D$9, 100%, $F$9) + CHOOSE(CONTROL!$C$27, 0.0021, 0)</f>
        <v>45.021000000000001</v>
      </c>
      <c r="H482" s="17">
        <f>44.8842 * CHOOSE(CONTROL!$C$9, $D$9, 100%, $F$9) + CHOOSE(CONTROL!$C$27, 0.0021, 0)</f>
        <v>44.886299999999999</v>
      </c>
      <c r="I482" s="17">
        <f>44.8842 * CHOOSE(CONTROL!$C$9, $D$9, 100%, $F$9) + CHOOSE(CONTROL!$C$27, 0.0021, 0)</f>
        <v>44.886299999999999</v>
      </c>
      <c r="J482" s="17">
        <f>44.8842 * CHOOSE(CONTROL!$C$9, $D$9, 100%, $F$9) + CHOOSE(CONTROL!$C$27, 0.0021, 0)</f>
        <v>44.886299999999999</v>
      </c>
      <c r="K482" s="17">
        <f>44.8842 * CHOOSE(CONTROL!$C$9, $D$9, 100%, $F$9) + CHOOSE(CONTROL!$C$27, 0.0021, 0)</f>
        <v>44.886299999999999</v>
      </c>
      <c r="L482" s="17"/>
    </row>
    <row r="483" spans="1:12" ht="15.75" x14ac:dyDescent="0.25">
      <c r="A483" s="14">
        <v>55273</v>
      </c>
      <c r="B483" s="17">
        <f>44.6916 * CHOOSE(CONTROL!$C$9, $D$9, 100%, $F$9) + CHOOSE(CONTROL!$C$27, 0.0021, 0)</f>
        <v>44.6937</v>
      </c>
      <c r="C483" s="17">
        <f>44.2594 * CHOOSE(CONTROL!$C$9, $D$9, 100%, $F$9) + CHOOSE(CONTROL!$C$27, 0.0021, 0)</f>
        <v>44.261499999999998</v>
      </c>
      <c r="D483" s="17">
        <f>44.2594 * CHOOSE(CONTROL!$C$9, $D$9, 100%, $F$9) + CHOOSE(CONTROL!$C$27, 0.0021, 0)</f>
        <v>44.261499999999998</v>
      </c>
      <c r="E483" s="17">
        <f>44.1227 * CHOOSE(CONTROL!$C$9, $D$9, 100%, $F$9) + CHOOSE(CONTROL!$C$27, 0.0021, 0)</f>
        <v>44.1248</v>
      </c>
      <c r="F483" s="17">
        <f>44.1227 * CHOOSE(CONTROL!$C$9, $D$9, 100%, $F$9) + CHOOSE(CONTROL!$C$27, 0.0021, 0)</f>
        <v>44.1248</v>
      </c>
      <c r="G483" s="17">
        <f>44.3941 * CHOOSE(CONTROL!$C$9, $D$9, 100%, $F$9) + CHOOSE(CONTROL!$C$27, 0.0021, 0)</f>
        <v>44.3962</v>
      </c>
      <c r="H483" s="17">
        <f>44.2594 * CHOOSE(CONTROL!$C$9, $D$9, 100%, $F$9) + CHOOSE(CONTROL!$C$27, 0.0021, 0)</f>
        <v>44.261499999999998</v>
      </c>
      <c r="I483" s="17">
        <f>44.2594 * CHOOSE(CONTROL!$C$9, $D$9, 100%, $F$9) + CHOOSE(CONTROL!$C$27, 0.0021, 0)</f>
        <v>44.261499999999998</v>
      </c>
      <c r="J483" s="17">
        <f>44.2594 * CHOOSE(CONTROL!$C$9, $D$9, 100%, $F$9) + CHOOSE(CONTROL!$C$27, 0.0021, 0)</f>
        <v>44.261499999999998</v>
      </c>
      <c r="K483" s="17">
        <f>44.2594 * CHOOSE(CONTROL!$C$9, $D$9, 100%, $F$9) + CHOOSE(CONTROL!$C$27, 0.0021, 0)</f>
        <v>44.261499999999998</v>
      </c>
      <c r="L483" s="17"/>
    </row>
    <row r="484" spans="1:12" ht="15.75" x14ac:dyDescent="0.25">
      <c r="A484" s="14">
        <v>55304</v>
      </c>
      <c r="B484" s="17">
        <f>45.582 * CHOOSE(CONTROL!$C$9, $D$9, 100%, $F$9) + CHOOSE(CONTROL!$C$27, 0.0021, 0)</f>
        <v>45.584099999999999</v>
      </c>
      <c r="C484" s="17">
        <f>45.1498 * CHOOSE(CONTROL!$C$9, $D$9, 100%, $F$9) + CHOOSE(CONTROL!$C$27, 0.0021, 0)</f>
        <v>45.151899999999998</v>
      </c>
      <c r="D484" s="17">
        <f>45.1498 * CHOOSE(CONTROL!$C$9, $D$9, 100%, $F$9) + CHOOSE(CONTROL!$C$27, 0.0021, 0)</f>
        <v>45.151899999999998</v>
      </c>
      <c r="E484" s="17">
        <f>45.0131 * CHOOSE(CONTROL!$C$9, $D$9, 100%, $F$9) + CHOOSE(CONTROL!$C$27, 0.0021, 0)</f>
        <v>45.0152</v>
      </c>
      <c r="F484" s="17">
        <f>45.0131 * CHOOSE(CONTROL!$C$9, $D$9, 100%, $F$9) + CHOOSE(CONTROL!$C$27, 0.0021, 0)</f>
        <v>45.0152</v>
      </c>
      <c r="G484" s="17">
        <f>45.2845 * CHOOSE(CONTROL!$C$9, $D$9, 100%, $F$9) + CHOOSE(CONTROL!$C$27, 0.0021, 0)</f>
        <v>45.2866</v>
      </c>
      <c r="H484" s="17">
        <f>45.1498 * CHOOSE(CONTROL!$C$9, $D$9, 100%, $F$9) + CHOOSE(CONTROL!$C$27, 0.0021, 0)</f>
        <v>45.151899999999998</v>
      </c>
      <c r="I484" s="17">
        <f>45.1498 * CHOOSE(CONTROL!$C$9, $D$9, 100%, $F$9) + CHOOSE(CONTROL!$C$27, 0.0021, 0)</f>
        <v>45.151899999999998</v>
      </c>
      <c r="J484" s="17">
        <f>45.1498 * CHOOSE(CONTROL!$C$9, $D$9, 100%, $F$9) + CHOOSE(CONTROL!$C$27, 0.0021, 0)</f>
        <v>45.151899999999998</v>
      </c>
      <c r="K484" s="17">
        <f>45.1498 * CHOOSE(CONTROL!$C$9, $D$9, 100%, $F$9) + CHOOSE(CONTROL!$C$27, 0.0021, 0)</f>
        <v>45.151899999999998</v>
      </c>
      <c r="L484" s="17"/>
    </row>
    <row r="485" spans="1:12" ht="15.75" x14ac:dyDescent="0.25">
      <c r="A485" s="14">
        <v>55334</v>
      </c>
      <c r="B485" s="17">
        <f>46.1154 * CHOOSE(CONTROL!$C$9, $D$9, 100%, $F$9) + CHOOSE(CONTROL!$C$27, 0.0021, 0)</f>
        <v>46.1175</v>
      </c>
      <c r="C485" s="17">
        <f>45.6831 * CHOOSE(CONTROL!$C$9, $D$9, 100%, $F$9) + CHOOSE(CONTROL!$C$27, 0.0021, 0)</f>
        <v>45.685200000000002</v>
      </c>
      <c r="D485" s="17">
        <f>45.6831 * CHOOSE(CONTROL!$C$9, $D$9, 100%, $F$9) + CHOOSE(CONTROL!$C$27, 0.0021, 0)</f>
        <v>45.685200000000002</v>
      </c>
      <c r="E485" s="17">
        <f>45.5465 * CHOOSE(CONTROL!$C$9, $D$9, 100%, $F$9) + CHOOSE(CONTROL!$C$27, 0.0021, 0)</f>
        <v>45.5486</v>
      </c>
      <c r="F485" s="17">
        <f>45.5465 * CHOOSE(CONTROL!$C$9, $D$9, 100%, $F$9) + CHOOSE(CONTROL!$C$27, 0.0021, 0)</f>
        <v>45.5486</v>
      </c>
      <c r="G485" s="17">
        <f>45.8178 * CHOOSE(CONTROL!$C$9, $D$9, 100%, $F$9) + CHOOSE(CONTROL!$C$27, 0.0021, 0)</f>
        <v>45.819899999999997</v>
      </c>
      <c r="H485" s="17">
        <f>45.6831 * CHOOSE(CONTROL!$C$9, $D$9, 100%, $F$9) + CHOOSE(CONTROL!$C$27, 0.0021, 0)</f>
        <v>45.685200000000002</v>
      </c>
      <c r="I485" s="17">
        <f>45.6831 * CHOOSE(CONTROL!$C$9, $D$9, 100%, $F$9) + CHOOSE(CONTROL!$C$27, 0.0021, 0)</f>
        <v>45.685200000000002</v>
      </c>
      <c r="J485" s="17">
        <f>45.6831 * CHOOSE(CONTROL!$C$9, $D$9, 100%, $F$9) + CHOOSE(CONTROL!$C$27, 0.0021, 0)</f>
        <v>45.685200000000002</v>
      </c>
      <c r="K485" s="17">
        <f>45.6831 * CHOOSE(CONTROL!$C$9, $D$9, 100%, $F$9) + CHOOSE(CONTROL!$C$27, 0.0021, 0)</f>
        <v>45.685200000000002</v>
      </c>
      <c r="L485" s="17"/>
    </row>
    <row r="486" spans="1:12" ht="15.75" x14ac:dyDescent="0.25">
      <c r="A486" s="14">
        <v>55365</v>
      </c>
      <c r="B486" s="17">
        <f>46.9951 * CHOOSE(CONTROL!$C$9, $D$9, 100%, $F$9) + CHOOSE(CONTROL!$C$27, 0.0021, 0)</f>
        <v>46.997199999999999</v>
      </c>
      <c r="C486" s="17">
        <f>46.5629 * CHOOSE(CONTROL!$C$9, $D$9, 100%, $F$9) + CHOOSE(CONTROL!$C$27, 0.0021, 0)</f>
        <v>46.564999999999998</v>
      </c>
      <c r="D486" s="17">
        <f>46.5629 * CHOOSE(CONTROL!$C$9, $D$9, 100%, $F$9) + CHOOSE(CONTROL!$C$27, 0.0021, 0)</f>
        <v>46.564999999999998</v>
      </c>
      <c r="E486" s="17">
        <f>46.4262 * CHOOSE(CONTROL!$C$9, $D$9, 100%, $F$9) + CHOOSE(CONTROL!$C$27, 0.0021, 0)</f>
        <v>46.4283</v>
      </c>
      <c r="F486" s="17">
        <f>46.4262 * CHOOSE(CONTROL!$C$9, $D$9, 100%, $F$9) + CHOOSE(CONTROL!$C$27, 0.0021, 0)</f>
        <v>46.4283</v>
      </c>
      <c r="G486" s="17">
        <f>46.6976 * CHOOSE(CONTROL!$C$9, $D$9, 100%, $F$9) + CHOOSE(CONTROL!$C$27, 0.0021, 0)</f>
        <v>46.6997</v>
      </c>
      <c r="H486" s="17">
        <f>46.5629 * CHOOSE(CONTROL!$C$9, $D$9, 100%, $F$9) + CHOOSE(CONTROL!$C$27, 0.0021, 0)</f>
        <v>46.564999999999998</v>
      </c>
      <c r="I486" s="17">
        <f>46.5629 * CHOOSE(CONTROL!$C$9, $D$9, 100%, $F$9) + CHOOSE(CONTROL!$C$27, 0.0021, 0)</f>
        <v>46.564999999999998</v>
      </c>
      <c r="J486" s="17">
        <f>46.5629 * CHOOSE(CONTROL!$C$9, $D$9, 100%, $F$9) + CHOOSE(CONTROL!$C$27, 0.0021, 0)</f>
        <v>46.564999999999998</v>
      </c>
      <c r="K486" s="17">
        <f>46.5629 * CHOOSE(CONTROL!$C$9, $D$9, 100%, $F$9) + CHOOSE(CONTROL!$C$27, 0.0021, 0)</f>
        <v>46.564999999999998</v>
      </c>
      <c r="L486" s="17"/>
    </row>
    <row r="487" spans="1:12" ht="15.75" x14ac:dyDescent="0.25">
      <c r="A487" s="14">
        <v>55396</v>
      </c>
      <c r="B487" s="17">
        <f>47.2637 * CHOOSE(CONTROL!$C$9, $D$9, 100%, $F$9) + CHOOSE(CONTROL!$C$27, 0.0021, 0)</f>
        <v>47.265799999999999</v>
      </c>
      <c r="C487" s="17">
        <f>46.8314 * CHOOSE(CONTROL!$C$9, $D$9, 100%, $F$9) + CHOOSE(CONTROL!$C$27, 0.0021, 0)</f>
        <v>46.833500000000001</v>
      </c>
      <c r="D487" s="17">
        <f>46.8314 * CHOOSE(CONTROL!$C$9, $D$9, 100%, $F$9) + CHOOSE(CONTROL!$C$27, 0.0021, 0)</f>
        <v>46.833500000000001</v>
      </c>
      <c r="E487" s="17">
        <f>46.6948 * CHOOSE(CONTROL!$C$9, $D$9, 100%, $F$9) + CHOOSE(CONTROL!$C$27, 0.0021, 0)</f>
        <v>46.696899999999999</v>
      </c>
      <c r="F487" s="17">
        <f>46.6948 * CHOOSE(CONTROL!$C$9, $D$9, 100%, $F$9) + CHOOSE(CONTROL!$C$27, 0.0021, 0)</f>
        <v>46.696899999999999</v>
      </c>
      <c r="G487" s="17">
        <f>46.9661 * CHOOSE(CONTROL!$C$9, $D$9, 100%, $F$9) + CHOOSE(CONTROL!$C$27, 0.0021, 0)</f>
        <v>46.968199999999996</v>
      </c>
      <c r="H487" s="17">
        <f>46.8314 * CHOOSE(CONTROL!$C$9, $D$9, 100%, $F$9) + CHOOSE(CONTROL!$C$27, 0.0021, 0)</f>
        <v>46.833500000000001</v>
      </c>
      <c r="I487" s="17">
        <f>46.8314 * CHOOSE(CONTROL!$C$9, $D$9, 100%, $F$9) + CHOOSE(CONTROL!$C$27, 0.0021, 0)</f>
        <v>46.833500000000001</v>
      </c>
      <c r="J487" s="17">
        <f>46.8314 * CHOOSE(CONTROL!$C$9, $D$9, 100%, $F$9) + CHOOSE(CONTROL!$C$27, 0.0021, 0)</f>
        <v>46.833500000000001</v>
      </c>
      <c r="K487" s="17">
        <f>46.8314 * CHOOSE(CONTROL!$C$9, $D$9, 100%, $F$9) + CHOOSE(CONTROL!$C$27, 0.0021, 0)</f>
        <v>46.833500000000001</v>
      </c>
      <c r="L487" s="17"/>
    </row>
    <row r="488" spans="1:12" ht="15.75" x14ac:dyDescent="0.25">
      <c r="A488" s="14">
        <v>55426</v>
      </c>
      <c r="B488" s="17">
        <f>48.1782 * CHOOSE(CONTROL!$C$9, $D$9, 100%, $F$9) + CHOOSE(CONTROL!$C$27, 0.0021, 0)</f>
        <v>48.180299999999995</v>
      </c>
      <c r="C488" s="17">
        <f>47.7459 * CHOOSE(CONTROL!$C$9, $D$9, 100%, $F$9) + CHOOSE(CONTROL!$C$27, 0.0021, 0)</f>
        <v>47.747999999999998</v>
      </c>
      <c r="D488" s="17">
        <f>47.7459 * CHOOSE(CONTROL!$C$9, $D$9, 100%, $F$9) + CHOOSE(CONTROL!$C$27, 0.0021, 0)</f>
        <v>47.747999999999998</v>
      </c>
      <c r="E488" s="17">
        <f>47.6093 * CHOOSE(CONTROL!$C$9, $D$9, 100%, $F$9) + CHOOSE(CONTROL!$C$27, 0.0021, 0)</f>
        <v>47.611399999999996</v>
      </c>
      <c r="F488" s="17">
        <f>47.6093 * CHOOSE(CONTROL!$C$9, $D$9, 100%, $F$9) + CHOOSE(CONTROL!$C$27, 0.0021, 0)</f>
        <v>47.611399999999996</v>
      </c>
      <c r="G488" s="17">
        <f>47.8806 * CHOOSE(CONTROL!$C$9, $D$9, 100%, $F$9) + CHOOSE(CONTROL!$C$27, 0.0021, 0)</f>
        <v>47.8827</v>
      </c>
      <c r="H488" s="17">
        <f>47.7459 * CHOOSE(CONTROL!$C$9, $D$9, 100%, $F$9) + CHOOSE(CONTROL!$C$27, 0.0021, 0)</f>
        <v>47.747999999999998</v>
      </c>
      <c r="I488" s="17">
        <f>47.7459 * CHOOSE(CONTROL!$C$9, $D$9, 100%, $F$9) + CHOOSE(CONTROL!$C$27, 0.0021, 0)</f>
        <v>47.747999999999998</v>
      </c>
      <c r="J488" s="17">
        <f>47.7459 * CHOOSE(CONTROL!$C$9, $D$9, 100%, $F$9) + CHOOSE(CONTROL!$C$27, 0.0021, 0)</f>
        <v>47.747999999999998</v>
      </c>
      <c r="K488" s="17">
        <f>47.7459 * CHOOSE(CONTROL!$C$9, $D$9, 100%, $F$9) + CHOOSE(CONTROL!$C$27, 0.0021, 0)</f>
        <v>47.747999999999998</v>
      </c>
      <c r="L488" s="17"/>
    </row>
    <row r="489" spans="1:12" ht="15.75" x14ac:dyDescent="0.25">
      <c r="A489" s="14">
        <v>55457</v>
      </c>
      <c r="B489" s="17">
        <f>49.3358 * CHOOSE(CONTROL!$C$9, $D$9, 100%, $F$9) + CHOOSE(CONTROL!$C$27, 0.0021, 0)</f>
        <v>49.337899999999998</v>
      </c>
      <c r="C489" s="17">
        <f>48.9035 * CHOOSE(CONTROL!$C$9, $D$9, 100%, $F$9) + CHOOSE(CONTROL!$C$27, 0.0021, 0)</f>
        <v>48.9056</v>
      </c>
      <c r="D489" s="17">
        <f>48.9035 * CHOOSE(CONTROL!$C$9, $D$9, 100%, $F$9) + CHOOSE(CONTROL!$C$27, 0.0021, 0)</f>
        <v>48.9056</v>
      </c>
      <c r="E489" s="17">
        <f>48.7668 * CHOOSE(CONTROL!$C$9, $D$9, 100%, $F$9) + CHOOSE(CONTROL!$C$27, 0.0021, 0)</f>
        <v>48.768900000000002</v>
      </c>
      <c r="F489" s="17">
        <f>48.7668 * CHOOSE(CONTROL!$C$9, $D$9, 100%, $F$9) + CHOOSE(CONTROL!$C$27, 0.0021, 0)</f>
        <v>48.768900000000002</v>
      </c>
      <c r="G489" s="17">
        <f>49.0382 * CHOOSE(CONTROL!$C$9, $D$9, 100%, $F$9) + CHOOSE(CONTROL!$C$27, 0.0021, 0)</f>
        <v>49.040300000000002</v>
      </c>
      <c r="H489" s="17">
        <f>48.9035 * CHOOSE(CONTROL!$C$9, $D$9, 100%, $F$9) + CHOOSE(CONTROL!$C$27, 0.0021, 0)</f>
        <v>48.9056</v>
      </c>
      <c r="I489" s="17">
        <f>48.9035 * CHOOSE(CONTROL!$C$9, $D$9, 100%, $F$9) + CHOOSE(CONTROL!$C$27, 0.0021, 0)</f>
        <v>48.9056</v>
      </c>
      <c r="J489" s="17">
        <f>48.9035 * CHOOSE(CONTROL!$C$9, $D$9, 100%, $F$9) + CHOOSE(CONTROL!$C$27, 0.0021, 0)</f>
        <v>48.9056</v>
      </c>
      <c r="K489" s="17">
        <f>48.9035 * CHOOSE(CONTROL!$C$9, $D$9, 100%, $F$9) + CHOOSE(CONTROL!$C$27, 0.0021, 0)</f>
        <v>48.9056</v>
      </c>
      <c r="L489" s="17"/>
    </row>
    <row r="490" spans="1:12" ht="15.75" x14ac:dyDescent="0.25">
      <c r="A490" s="14">
        <v>55487</v>
      </c>
      <c r="B490" s="17">
        <f>49.4444 * CHOOSE(CONTROL!$C$9, $D$9, 100%, $F$9) + CHOOSE(CONTROL!$C$27, 0.0021, 0)</f>
        <v>49.4465</v>
      </c>
      <c r="C490" s="17">
        <f>49.0122 * CHOOSE(CONTROL!$C$9, $D$9, 100%, $F$9) + CHOOSE(CONTROL!$C$27, 0.0021, 0)</f>
        <v>49.014299999999999</v>
      </c>
      <c r="D490" s="17">
        <f>49.0122 * CHOOSE(CONTROL!$C$9, $D$9, 100%, $F$9) + CHOOSE(CONTROL!$C$27, 0.0021, 0)</f>
        <v>49.014299999999999</v>
      </c>
      <c r="E490" s="17">
        <f>48.8755 * CHOOSE(CONTROL!$C$9, $D$9, 100%, $F$9) + CHOOSE(CONTROL!$C$27, 0.0021, 0)</f>
        <v>48.877600000000001</v>
      </c>
      <c r="F490" s="17">
        <f>48.8755 * CHOOSE(CONTROL!$C$9, $D$9, 100%, $F$9) + CHOOSE(CONTROL!$C$27, 0.0021, 0)</f>
        <v>48.877600000000001</v>
      </c>
      <c r="G490" s="17">
        <f>49.1469 * CHOOSE(CONTROL!$C$9, $D$9, 100%, $F$9) + CHOOSE(CONTROL!$C$27, 0.0021, 0)</f>
        <v>49.149000000000001</v>
      </c>
      <c r="H490" s="17">
        <f>49.0122 * CHOOSE(CONTROL!$C$9, $D$9, 100%, $F$9) + CHOOSE(CONTROL!$C$27, 0.0021, 0)</f>
        <v>49.014299999999999</v>
      </c>
      <c r="I490" s="17">
        <f>49.0122 * CHOOSE(CONTROL!$C$9, $D$9, 100%, $F$9) + CHOOSE(CONTROL!$C$27, 0.0021, 0)</f>
        <v>49.014299999999999</v>
      </c>
      <c r="J490" s="17">
        <f>49.0122 * CHOOSE(CONTROL!$C$9, $D$9, 100%, $F$9) + CHOOSE(CONTROL!$C$27, 0.0021, 0)</f>
        <v>49.014299999999999</v>
      </c>
      <c r="K490" s="17">
        <f>49.0122 * CHOOSE(CONTROL!$C$9, $D$9, 100%, $F$9) + CHOOSE(CONTROL!$C$27, 0.0021, 0)</f>
        <v>49.014299999999999</v>
      </c>
      <c r="L490" s="17"/>
    </row>
    <row r="491" spans="1:12" ht="15.75" x14ac:dyDescent="0.25">
      <c r="A491" s="14">
        <v>55518</v>
      </c>
      <c r="B491" s="17">
        <f>48.5199 * CHOOSE(CONTROL!$C$9, $D$9, 100%, $F$9) + CHOOSE(CONTROL!$C$27, 0.0021, 0)</f>
        <v>48.521999999999998</v>
      </c>
      <c r="C491" s="17">
        <f>48.0876 * CHOOSE(CONTROL!$C$9, $D$9, 100%, $F$9) + CHOOSE(CONTROL!$C$27, 0.0021, 0)</f>
        <v>48.089700000000001</v>
      </c>
      <c r="D491" s="17">
        <f>48.0876 * CHOOSE(CONTROL!$C$9, $D$9, 100%, $F$9) + CHOOSE(CONTROL!$C$27, 0.0021, 0)</f>
        <v>48.089700000000001</v>
      </c>
      <c r="E491" s="17">
        <f>47.951 * CHOOSE(CONTROL!$C$9, $D$9, 100%, $F$9) + CHOOSE(CONTROL!$C$27, 0.0021, 0)</f>
        <v>47.953099999999999</v>
      </c>
      <c r="F491" s="17">
        <f>47.951 * CHOOSE(CONTROL!$C$9, $D$9, 100%, $F$9) + CHOOSE(CONTROL!$C$27, 0.0021, 0)</f>
        <v>47.953099999999999</v>
      </c>
      <c r="G491" s="17">
        <f>48.2224 * CHOOSE(CONTROL!$C$9, $D$9, 100%, $F$9) + CHOOSE(CONTROL!$C$27, 0.0021, 0)</f>
        <v>48.224499999999999</v>
      </c>
      <c r="H491" s="17">
        <f>48.0876 * CHOOSE(CONTROL!$C$9, $D$9, 100%, $F$9) + CHOOSE(CONTROL!$C$27, 0.0021, 0)</f>
        <v>48.089700000000001</v>
      </c>
      <c r="I491" s="17">
        <f>48.0876 * CHOOSE(CONTROL!$C$9, $D$9, 100%, $F$9) + CHOOSE(CONTROL!$C$27, 0.0021, 0)</f>
        <v>48.089700000000001</v>
      </c>
      <c r="J491" s="17">
        <f>48.0876 * CHOOSE(CONTROL!$C$9, $D$9, 100%, $F$9) + CHOOSE(CONTROL!$C$27, 0.0021, 0)</f>
        <v>48.089700000000001</v>
      </c>
      <c r="K491" s="17">
        <f>48.0876 * CHOOSE(CONTROL!$C$9, $D$9, 100%, $F$9) + CHOOSE(CONTROL!$C$27, 0.0021, 0)</f>
        <v>48.089700000000001</v>
      </c>
      <c r="L491" s="17"/>
    </row>
    <row r="492" spans="1:12" ht="15.75" x14ac:dyDescent="0.25">
      <c r="A492" s="14">
        <v>55549</v>
      </c>
      <c r="B492" s="17">
        <f>47.5995 * CHOOSE(CONTROL!$C$9, $D$9, 100%, $F$9) + CHOOSE(CONTROL!$C$27, 0.0021, 0)</f>
        <v>47.601599999999998</v>
      </c>
      <c r="C492" s="17">
        <f>47.1673 * CHOOSE(CONTROL!$C$9, $D$9, 100%, $F$9) + CHOOSE(CONTROL!$C$27, 0.0021, 0)</f>
        <v>47.169399999999996</v>
      </c>
      <c r="D492" s="17">
        <f>47.1673 * CHOOSE(CONTROL!$C$9, $D$9, 100%, $F$9) + CHOOSE(CONTROL!$C$27, 0.0021, 0)</f>
        <v>47.169399999999996</v>
      </c>
      <c r="E492" s="17">
        <f>47.0306 * CHOOSE(CONTROL!$C$9, $D$9, 100%, $F$9) + CHOOSE(CONTROL!$C$27, 0.0021, 0)</f>
        <v>47.032699999999998</v>
      </c>
      <c r="F492" s="17">
        <f>47.0306 * CHOOSE(CONTROL!$C$9, $D$9, 100%, $F$9) + CHOOSE(CONTROL!$C$27, 0.0021, 0)</f>
        <v>47.032699999999998</v>
      </c>
      <c r="G492" s="17">
        <f>47.302 * CHOOSE(CONTROL!$C$9, $D$9, 100%, $F$9) + CHOOSE(CONTROL!$C$27, 0.0021, 0)</f>
        <v>47.304099999999998</v>
      </c>
      <c r="H492" s="17">
        <f>47.1673 * CHOOSE(CONTROL!$C$9, $D$9, 100%, $F$9) + CHOOSE(CONTROL!$C$27, 0.0021, 0)</f>
        <v>47.169399999999996</v>
      </c>
      <c r="I492" s="17">
        <f>47.1673 * CHOOSE(CONTROL!$C$9, $D$9, 100%, $F$9) + CHOOSE(CONTROL!$C$27, 0.0021, 0)</f>
        <v>47.169399999999996</v>
      </c>
      <c r="J492" s="17">
        <f>47.1673 * CHOOSE(CONTROL!$C$9, $D$9, 100%, $F$9) + CHOOSE(CONTROL!$C$27, 0.0021, 0)</f>
        <v>47.169399999999996</v>
      </c>
      <c r="K492" s="17">
        <f>47.1673 * CHOOSE(CONTROL!$C$9, $D$9, 100%, $F$9) + CHOOSE(CONTROL!$C$27, 0.0021, 0)</f>
        <v>47.169399999999996</v>
      </c>
      <c r="L492" s="17"/>
    </row>
    <row r="493" spans="1:12" ht="15.75" x14ac:dyDescent="0.25">
      <c r="A493" s="14">
        <v>55577</v>
      </c>
      <c r="B493" s="17">
        <f>46.318 * CHOOSE(CONTROL!$C$9, $D$9, 100%, $F$9) + CHOOSE(CONTROL!$C$27, 0.0021, 0)</f>
        <v>46.320099999999996</v>
      </c>
      <c r="C493" s="17">
        <f>45.8857 * CHOOSE(CONTROL!$C$9, $D$9, 100%, $F$9) + CHOOSE(CONTROL!$C$27, 0.0021, 0)</f>
        <v>45.887799999999999</v>
      </c>
      <c r="D493" s="17">
        <f>45.8857 * CHOOSE(CONTROL!$C$9, $D$9, 100%, $F$9) + CHOOSE(CONTROL!$C$27, 0.0021, 0)</f>
        <v>45.887799999999999</v>
      </c>
      <c r="E493" s="17">
        <f>45.7491 * CHOOSE(CONTROL!$C$9, $D$9, 100%, $F$9) + CHOOSE(CONTROL!$C$27, 0.0021, 0)</f>
        <v>45.751199999999997</v>
      </c>
      <c r="F493" s="17">
        <f>45.7491 * CHOOSE(CONTROL!$C$9, $D$9, 100%, $F$9) + CHOOSE(CONTROL!$C$27, 0.0021, 0)</f>
        <v>45.751199999999997</v>
      </c>
      <c r="G493" s="17">
        <f>46.0204 * CHOOSE(CONTROL!$C$9, $D$9, 100%, $F$9) + CHOOSE(CONTROL!$C$27, 0.0021, 0)</f>
        <v>46.022500000000001</v>
      </c>
      <c r="H493" s="17">
        <f>45.8857 * CHOOSE(CONTROL!$C$9, $D$9, 100%, $F$9) + CHOOSE(CONTROL!$C$27, 0.0021, 0)</f>
        <v>45.887799999999999</v>
      </c>
      <c r="I493" s="17">
        <f>45.8857 * CHOOSE(CONTROL!$C$9, $D$9, 100%, $F$9) + CHOOSE(CONTROL!$C$27, 0.0021, 0)</f>
        <v>45.887799999999999</v>
      </c>
      <c r="J493" s="17">
        <f>45.8857 * CHOOSE(CONTROL!$C$9, $D$9, 100%, $F$9) + CHOOSE(CONTROL!$C$27, 0.0021, 0)</f>
        <v>45.887799999999999</v>
      </c>
      <c r="K493" s="17">
        <f>45.8857 * CHOOSE(CONTROL!$C$9, $D$9, 100%, $F$9) + CHOOSE(CONTROL!$C$27, 0.0021, 0)</f>
        <v>45.887799999999999</v>
      </c>
      <c r="L493" s="17"/>
    </row>
    <row r="494" spans="1:12" ht="15.75" x14ac:dyDescent="0.25">
      <c r="A494" s="14">
        <v>55609</v>
      </c>
      <c r="B494" s="17">
        <f>45.789 * CHOOSE(CONTROL!$C$9, $D$9, 100%, $F$9) + CHOOSE(CONTROL!$C$27, 0.0021, 0)</f>
        <v>45.7911</v>
      </c>
      <c r="C494" s="17">
        <f>45.3567 * CHOOSE(CONTROL!$C$9, $D$9, 100%, $F$9) + CHOOSE(CONTROL!$C$27, 0.0021, 0)</f>
        <v>45.358799999999995</v>
      </c>
      <c r="D494" s="17">
        <f>45.3567 * CHOOSE(CONTROL!$C$9, $D$9, 100%, $F$9) + CHOOSE(CONTROL!$C$27, 0.0021, 0)</f>
        <v>45.358799999999995</v>
      </c>
      <c r="E494" s="17">
        <f>45.2201 * CHOOSE(CONTROL!$C$9, $D$9, 100%, $F$9) + CHOOSE(CONTROL!$C$27, 0.0021, 0)</f>
        <v>45.222200000000001</v>
      </c>
      <c r="F494" s="17">
        <f>45.2201 * CHOOSE(CONTROL!$C$9, $D$9, 100%, $F$9) + CHOOSE(CONTROL!$C$27, 0.0021, 0)</f>
        <v>45.222200000000001</v>
      </c>
      <c r="G494" s="17">
        <f>45.4914 * CHOOSE(CONTROL!$C$9, $D$9, 100%, $F$9) + CHOOSE(CONTROL!$C$27, 0.0021, 0)</f>
        <v>45.493499999999997</v>
      </c>
      <c r="H494" s="17">
        <f>45.3567 * CHOOSE(CONTROL!$C$9, $D$9, 100%, $F$9) + CHOOSE(CONTROL!$C$27, 0.0021, 0)</f>
        <v>45.358799999999995</v>
      </c>
      <c r="I494" s="17">
        <f>45.3567 * CHOOSE(CONTROL!$C$9, $D$9, 100%, $F$9) + CHOOSE(CONTROL!$C$27, 0.0021, 0)</f>
        <v>45.358799999999995</v>
      </c>
      <c r="J494" s="17">
        <f>45.3567 * CHOOSE(CONTROL!$C$9, $D$9, 100%, $F$9) + CHOOSE(CONTROL!$C$27, 0.0021, 0)</f>
        <v>45.358799999999995</v>
      </c>
      <c r="K494" s="17">
        <f>45.3567 * CHOOSE(CONTROL!$C$9, $D$9, 100%, $F$9) + CHOOSE(CONTROL!$C$27, 0.0021, 0)</f>
        <v>45.358799999999995</v>
      </c>
      <c r="L494" s="17"/>
    </row>
    <row r="495" spans="1:12" ht="15.75" x14ac:dyDescent="0.25">
      <c r="A495" s="14">
        <v>55639</v>
      </c>
      <c r="B495" s="17">
        <f>45.1573 * CHOOSE(CONTROL!$C$9, $D$9, 100%, $F$9) + CHOOSE(CONTROL!$C$27, 0.0021, 0)</f>
        <v>45.159399999999998</v>
      </c>
      <c r="C495" s="17">
        <f>44.7251 * CHOOSE(CONTROL!$C$9, $D$9, 100%, $F$9) + CHOOSE(CONTROL!$C$27, 0.0021, 0)</f>
        <v>44.727199999999996</v>
      </c>
      <c r="D495" s="17">
        <f>44.7251 * CHOOSE(CONTROL!$C$9, $D$9, 100%, $F$9) + CHOOSE(CONTROL!$C$27, 0.0021, 0)</f>
        <v>44.727199999999996</v>
      </c>
      <c r="E495" s="17">
        <f>44.5884 * CHOOSE(CONTROL!$C$9, $D$9, 100%, $F$9) + CHOOSE(CONTROL!$C$27, 0.0021, 0)</f>
        <v>44.590499999999999</v>
      </c>
      <c r="F495" s="17">
        <f>44.5884 * CHOOSE(CONTROL!$C$9, $D$9, 100%, $F$9) + CHOOSE(CONTROL!$C$27, 0.0021, 0)</f>
        <v>44.590499999999999</v>
      </c>
      <c r="G495" s="17">
        <f>44.8598 * CHOOSE(CONTROL!$C$9, $D$9, 100%, $F$9) + CHOOSE(CONTROL!$C$27, 0.0021, 0)</f>
        <v>44.861899999999999</v>
      </c>
      <c r="H495" s="17">
        <f>44.7251 * CHOOSE(CONTROL!$C$9, $D$9, 100%, $F$9) + CHOOSE(CONTROL!$C$27, 0.0021, 0)</f>
        <v>44.727199999999996</v>
      </c>
      <c r="I495" s="17">
        <f>44.7251 * CHOOSE(CONTROL!$C$9, $D$9, 100%, $F$9) + CHOOSE(CONTROL!$C$27, 0.0021, 0)</f>
        <v>44.727199999999996</v>
      </c>
      <c r="J495" s="17">
        <f>44.7251 * CHOOSE(CONTROL!$C$9, $D$9, 100%, $F$9) + CHOOSE(CONTROL!$C$27, 0.0021, 0)</f>
        <v>44.727199999999996</v>
      </c>
      <c r="K495" s="17">
        <f>44.7251 * CHOOSE(CONTROL!$C$9, $D$9, 100%, $F$9) + CHOOSE(CONTROL!$C$27, 0.0021, 0)</f>
        <v>44.727199999999996</v>
      </c>
      <c r="L495" s="17"/>
    </row>
    <row r="496" spans="1:12" ht="15.75" x14ac:dyDescent="0.25">
      <c r="A496" s="14">
        <v>55670</v>
      </c>
      <c r="B496" s="17">
        <f>46.0575 * CHOOSE(CONTROL!$C$9, $D$9, 100%, $F$9) + CHOOSE(CONTROL!$C$27, 0.0021, 0)</f>
        <v>46.059599999999996</v>
      </c>
      <c r="C496" s="17">
        <f>45.6252 * CHOOSE(CONTROL!$C$9, $D$9, 100%, $F$9) + CHOOSE(CONTROL!$C$27, 0.0021, 0)</f>
        <v>45.627299999999998</v>
      </c>
      <c r="D496" s="17">
        <f>45.6252 * CHOOSE(CONTROL!$C$9, $D$9, 100%, $F$9) + CHOOSE(CONTROL!$C$27, 0.0021, 0)</f>
        <v>45.627299999999998</v>
      </c>
      <c r="E496" s="17">
        <f>45.4886 * CHOOSE(CONTROL!$C$9, $D$9, 100%, $F$9) + CHOOSE(CONTROL!$C$27, 0.0021, 0)</f>
        <v>45.490699999999997</v>
      </c>
      <c r="F496" s="17">
        <f>45.4886 * CHOOSE(CONTROL!$C$9, $D$9, 100%, $F$9) + CHOOSE(CONTROL!$C$27, 0.0021, 0)</f>
        <v>45.490699999999997</v>
      </c>
      <c r="G496" s="17">
        <f>45.76 * CHOOSE(CONTROL!$C$9, $D$9, 100%, $F$9) + CHOOSE(CONTROL!$C$27, 0.0021, 0)</f>
        <v>45.762099999999997</v>
      </c>
      <c r="H496" s="17">
        <f>45.6252 * CHOOSE(CONTROL!$C$9, $D$9, 100%, $F$9) + CHOOSE(CONTROL!$C$27, 0.0021, 0)</f>
        <v>45.627299999999998</v>
      </c>
      <c r="I496" s="17">
        <f>45.6252 * CHOOSE(CONTROL!$C$9, $D$9, 100%, $F$9) + CHOOSE(CONTROL!$C$27, 0.0021, 0)</f>
        <v>45.627299999999998</v>
      </c>
      <c r="J496" s="17">
        <f>45.6252 * CHOOSE(CONTROL!$C$9, $D$9, 100%, $F$9) + CHOOSE(CONTROL!$C$27, 0.0021, 0)</f>
        <v>45.627299999999998</v>
      </c>
      <c r="K496" s="17">
        <f>45.6252 * CHOOSE(CONTROL!$C$9, $D$9, 100%, $F$9) + CHOOSE(CONTROL!$C$27, 0.0021, 0)</f>
        <v>45.627299999999998</v>
      </c>
      <c r="L496" s="17"/>
    </row>
    <row r="497" spans="1:12" ht="15.75" x14ac:dyDescent="0.25">
      <c r="A497" s="14">
        <v>55700</v>
      </c>
      <c r="B497" s="17">
        <f>46.5967 * CHOOSE(CONTROL!$C$9, $D$9, 100%, $F$9) + CHOOSE(CONTROL!$C$27, 0.0021, 0)</f>
        <v>46.598799999999997</v>
      </c>
      <c r="C497" s="17">
        <f>46.1644 * CHOOSE(CONTROL!$C$9, $D$9, 100%, $F$9) + CHOOSE(CONTROL!$C$27, 0.0021, 0)</f>
        <v>46.166499999999999</v>
      </c>
      <c r="D497" s="17">
        <f>46.1644 * CHOOSE(CONTROL!$C$9, $D$9, 100%, $F$9) + CHOOSE(CONTROL!$C$27, 0.0021, 0)</f>
        <v>46.166499999999999</v>
      </c>
      <c r="E497" s="17">
        <f>46.0278 * CHOOSE(CONTROL!$C$9, $D$9, 100%, $F$9) + CHOOSE(CONTROL!$C$27, 0.0021, 0)</f>
        <v>46.029899999999998</v>
      </c>
      <c r="F497" s="17">
        <f>46.0278 * CHOOSE(CONTROL!$C$9, $D$9, 100%, $F$9) + CHOOSE(CONTROL!$C$27, 0.0021, 0)</f>
        <v>46.029899999999998</v>
      </c>
      <c r="G497" s="17">
        <f>46.2991 * CHOOSE(CONTROL!$C$9, $D$9, 100%, $F$9) + CHOOSE(CONTROL!$C$27, 0.0021, 0)</f>
        <v>46.301200000000001</v>
      </c>
      <c r="H497" s="17">
        <f>46.1644 * CHOOSE(CONTROL!$C$9, $D$9, 100%, $F$9) + CHOOSE(CONTROL!$C$27, 0.0021, 0)</f>
        <v>46.166499999999999</v>
      </c>
      <c r="I497" s="17">
        <f>46.1644 * CHOOSE(CONTROL!$C$9, $D$9, 100%, $F$9) + CHOOSE(CONTROL!$C$27, 0.0021, 0)</f>
        <v>46.166499999999999</v>
      </c>
      <c r="J497" s="17">
        <f>46.1644 * CHOOSE(CONTROL!$C$9, $D$9, 100%, $F$9) + CHOOSE(CONTROL!$C$27, 0.0021, 0)</f>
        <v>46.166499999999999</v>
      </c>
      <c r="K497" s="17">
        <f>46.1644 * CHOOSE(CONTROL!$C$9, $D$9, 100%, $F$9) + CHOOSE(CONTROL!$C$27, 0.0021, 0)</f>
        <v>46.166499999999999</v>
      </c>
      <c r="L497" s="17"/>
    </row>
    <row r="498" spans="1:12" ht="15.75" x14ac:dyDescent="0.25">
      <c r="A498" s="14">
        <v>55731</v>
      </c>
      <c r="B498" s="17">
        <f>47.4861 * CHOOSE(CONTROL!$C$9, $D$9, 100%, $F$9) + CHOOSE(CONTROL!$C$27, 0.0021, 0)</f>
        <v>47.488199999999999</v>
      </c>
      <c r="C498" s="17">
        <f>47.0539 * CHOOSE(CONTROL!$C$9, $D$9, 100%, $F$9) + CHOOSE(CONTROL!$C$27, 0.0021, 0)</f>
        <v>47.055999999999997</v>
      </c>
      <c r="D498" s="17">
        <f>47.0539 * CHOOSE(CONTROL!$C$9, $D$9, 100%, $F$9) + CHOOSE(CONTROL!$C$27, 0.0021, 0)</f>
        <v>47.055999999999997</v>
      </c>
      <c r="E498" s="17">
        <f>46.9172 * CHOOSE(CONTROL!$C$9, $D$9, 100%, $F$9) + CHOOSE(CONTROL!$C$27, 0.0021, 0)</f>
        <v>46.9193</v>
      </c>
      <c r="F498" s="17">
        <f>46.9172 * CHOOSE(CONTROL!$C$9, $D$9, 100%, $F$9) + CHOOSE(CONTROL!$C$27, 0.0021, 0)</f>
        <v>46.9193</v>
      </c>
      <c r="G498" s="17">
        <f>47.1886 * CHOOSE(CONTROL!$C$9, $D$9, 100%, $F$9) + CHOOSE(CONTROL!$C$27, 0.0021, 0)</f>
        <v>47.1907</v>
      </c>
      <c r="H498" s="17">
        <f>47.0539 * CHOOSE(CONTROL!$C$9, $D$9, 100%, $F$9) + CHOOSE(CONTROL!$C$27, 0.0021, 0)</f>
        <v>47.055999999999997</v>
      </c>
      <c r="I498" s="17">
        <f>47.0539 * CHOOSE(CONTROL!$C$9, $D$9, 100%, $F$9) + CHOOSE(CONTROL!$C$27, 0.0021, 0)</f>
        <v>47.055999999999997</v>
      </c>
      <c r="J498" s="17">
        <f>47.0539 * CHOOSE(CONTROL!$C$9, $D$9, 100%, $F$9) + CHOOSE(CONTROL!$C$27, 0.0021, 0)</f>
        <v>47.055999999999997</v>
      </c>
      <c r="K498" s="17">
        <f>47.0539 * CHOOSE(CONTROL!$C$9, $D$9, 100%, $F$9) + CHOOSE(CONTROL!$C$27, 0.0021, 0)</f>
        <v>47.055999999999997</v>
      </c>
      <c r="L498" s="17"/>
    </row>
    <row r="499" spans="1:12" ht="15.75" x14ac:dyDescent="0.25">
      <c r="A499" s="14">
        <v>55762</v>
      </c>
      <c r="B499" s="17">
        <f>47.7576 * CHOOSE(CONTROL!$C$9, $D$9, 100%, $F$9) + CHOOSE(CONTROL!$C$27, 0.0021, 0)</f>
        <v>47.759699999999995</v>
      </c>
      <c r="C499" s="17">
        <f>47.3253 * CHOOSE(CONTROL!$C$9, $D$9, 100%, $F$9) + CHOOSE(CONTROL!$C$27, 0.0021, 0)</f>
        <v>47.327399999999997</v>
      </c>
      <c r="D499" s="17">
        <f>47.3253 * CHOOSE(CONTROL!$C$9, $D$9, 100%, $F$9) + CHOOSE(CONTROL!$C$27, 0.0021, 0)</f>
        <v>47.327399999999997</v>
      </c>
      <c r="E499" s="17">
        <f>47.1887 * CHOOSE(CONTROL!$C$9, $D$9, 100%, $F$9) + CHOOSE(CONTROL!$C$27, 0.0021, 0)</f>
        <v>47.190799999999996</v>
      </c>
      <c r="F499" s="17">
        <f>47.1887 * CHOOSE(CONTROL!$C$9, $D$9, 100%, $F$9) + CHOOSE(CONTROL!$C$27, 0.0021, 0)</f>
        <v>47.190799999999996</v>
      </c>
      <c r="G499" s="17">
        <f>47.4601 * CHOOSE(CONTROL!$C$9, $D$9, 100%, $F$9) + CHOOSE(CONTROL!$C$27, 0.0021, 0)</f>
        <v>47.462199999999996</v>
      </c>
      <c r="H499" s="17">
        <f>47.3253 * CHOOSE(CONTROL!$C$9, $D$9, 100%, $F$9) + CHOOSE(CONTROL!$C$27, 0.0021, 0)</f>
        <v>47.327399999999997</v>
      </c>
      <c r="I499" s="17">
        <f>47.3253 * CHOOSE(CONTROL!$C$9, $D$9, 100%, $F$9) + CHOOSE(CONTROL!$C$27, 0.0021, 0)</f>
        <v>47.327399999999997</v>
      </c>
      <c r="J499" s="17">
        <f>47.3253 * CHOOSE(CONTROL!$C$9, $D$9, 100%, $F$9) + CHOOSE(CONTROL!$C$27, 0.0021, 0)</f>
        <v>47.327399999999997</v>
      </c>
      <c r="K499" s="17">
        <f>47.3253 * CHOOSE(CONTROL!$C$9, $D$9, 100%, $F$9) + CHOOSE(CONTROL!$C$27, 0.0021, 0)</f>
        <v>47.327399999999997</v>
      </c>
      <c r="L499" s="17"/>
    </row>
    <row r="500" spans="1:12" ht="15.75" x14ac:dyDescent="0.25">
      <c r="A500" s="14">
        <v>55792</v>
      </c>
      <c r="B500" s="17">
        <f>48.6821 * CHOOSE(CONTROL!$C$9, $D$9, 100%, $F$9) + CHOOSE(CONTROL!$C$27, 0.0021, 0)</f>
        <v>48.684199999999997</v>
      </c>
      <c r="C500" s="17">
        <f>48.2499 * CHOOSE(CONTROL!$C$9, $D$9, 100%, $F$9) + CHOOSE(CONTROL!$C$27, 0.0021, 0)</f>
        <v>48.251999999999995</v>
      </c>
      <c r="D500" s="17">
        <f>48.2499 * CHOOSE(CONTROL!$C$9, $D$9, 100%, $F$9) + CHOOSE(CONTROL!$C$27, 0.0021, 0)</f>
        <v>48.251999999999995</v>
      </c>
      <c r="E500" s="17">
        <f>48.1132 * CHOOSE(CONTROL!$C$9, $D$9, 100%, $F$9) + CHOOSE(CONTROL!$C$27, 0.0021, 0)</f>
        <v>48.115299999999998</v>
      </c>
      <c r="F500" s="17">
        <f>48.1132 * CHOOSE(CONTROL!$C$9, $D$9, 100%, $F$9) + CHOOSE(CONTROL!$C$27, 0.0021, 0)</f>
        <v>48.115299999999998</v>
      </c>
      <c r="G500" s="17">
        <f>48.3846 * CHOOSE(CONTROL!$C$9, $D$9, 100%, $F$9) + CHOOSE(CONTROL!$C$27, 0.0021, 0)</f>
        <v>48.386699999999998</v>
      </c>
      <c r="H500" s="17">
        <f>48.2499 * CHOOSE(CONTROL!$C$9, $D$9, 100%, $F$9) + CHOOSE(CONTROL!$C$27, 0.0021, 0)</f>
        <v>48.251999999999995</v>
      </c>
      <c r="I500" s="17">
        <f>48.2499 * CHOOSE(CONTROL!$C$9, $D$9, 100%, $F$9) + CHOOSE(CONTROL!$C$27, 0.0021, 0)</f>
        <v>48.251999999999995</v>
      </c>
      <c r="J500" s="17">
        <f>48.2499 * CHOOSE(CONTROL!$C$9, $D$9, 100%, $F$9) + CHOOSE(CONTROL!$C$27, 0.0021, 0)</f>
        <v>48.251999999999995</v>
      </c>
      <c r="K500" s="17">
        <f>48.2499 * CHOOSE(CONTROL!$C$9, $D$9, 100%, $F$9) + CHOOSE(CONTROL!$C$27, 0.0021, 0)</f>
        <v>48.251999999999995</v>
      </c>
      <c r="L500" s="17"/>
    </row>
    <row r="501" spans="1:12" ht="15.75" x14ac:dyDescent="0.25">
      <c r="A501" s="14">
        <v>55823</v>
      </c>
      <c r="B501" s="17">
        <f>49.8524 * CHOOSE(CONTROL!$C$9, $D$9, 100%, $F$9) + CHOOSE(CONTROL!$C$27, 0.0021, 0)</f>
        <v>49.854500000000002</v>
      </c>
      <c r="C501" s="17">
        <f>49.4202 * CHOOSE(CONTROL!$C$9, $D$9, 100%, $F$9) + CHOOSE(CONTROL!$C$27, 0.0021, 0)</f>
        <v>49.4223</v>
      </c>
      <c r="D501" s="17">
        <f>49.4202 * CHOOSE(CONTROL!$C$9, $D$9, 100%, $F$9) + CHOOSE(CONTROL!$C$27, 0.0021, 0)</f>
        <v>49.4223</v>
      </c>
      <c r="E501" s="17">
        <f>49.2835 * CHOOSE(CONTROL!$C$9, $D$9, 100%, $F$9) + CHOOSE(CONTROL!$C$27, 0.0021, 0)</f>
        <v>49.285599999999995</v>
      </c>
      <c r="F501" s="17">
        <f>49.2835 * CHOOSE(CONTROL!$C$9, $D$9, 100%, $F$9) + CHOOSE(CONTROL!$C$27, 0.0021, 0)</f>
        <v>49.285599999999995</v>
      </c>
      <c r="G501" s="17">
        <f>49.5549 * CHOOSE(CONTROL!$C$9, $D$9, 100%, $F$9) + CHOOSE(CONTROL!$C$27, 0.0021, 0)</f>
        <v>49.557000000000002</v>
      </c>
      <c r="H501" s="17">
        <f>49.4202 * CHOOSE(CONTROL!$C$9, $D$9, 100%, $F$9) + CHOOSE(CONTROL!$C$27, 0.0021, 0)</f>
        <v>49.4223</v>
      </c>
      <c r="I501" s="17">
        <f>49.4202 * CHOOSE(CONTROL!$C$9, $D$9, 100%, $F$9) + CHOOSE(CONTROL!$C$27, 0.0021, 0)</f>
        <v>49.4223</v>
      </c>
      <c r="J501" s="17">
        <f>49.4202 * CHOOSE(CONTROL!$C$9, $D$9, 100%, $F$9) + CHOOSE(CONTROL!$C$27, 0.0021, 0)</f>
        <v>49.4223</v>
      </c>
      <c r="K501" s="17">
        <f>49.4202 * CHOOSE(CONTROL!$C$9, $D$9, 100%, $F$9) + CHOOSE(CONTROL!$C$27, 0.0021, 0)</f>
        <v>49.4223</v>
      </c>
      <c r="L501" s="17"/>
    </row>
    <row r="502" spans="1:12" ht="15.75" x14ac:dyDescent="0.25">
      <c r="A502" s="14">
        <v>55853</v>
      </c>
      <c r="B502" s="17">
        <f>49.9623 * CHOOSE(CONTROL!$C$9, $D$9, 100%, $F$9) + CHOOSE(CONTROL!$C$27, 0.0021, 0)</f>
        <v>49.964399999999998</v>
      </c>
      <c r="C502" s="17">
        <f>49.53 * CHOOSE(CONTROL!$C$9, $D$9, 100%, $F$9) + CHOOSE(CONTROL!$C$27, 0.0021, 0)</f>
        <v>49.5321</v>
      </c>
      <c r="D502" s="17">
        <f>49.53 * CHOOSE(CONTROL!$C$9, $D$9, 100%, $F$9) + CHOOSE(CONTROL!$C$27, 0.0021, 0)</f>
        <v>49.5321</v>
      </c>
      <c r="E502" s="17">
        <f>49.3934 * CHOOSE(CONTROL!$C$9, $D$9, 100%, $F$9) + CHOOSE(CONTROL!$C$27, 0.0021, 0)</f>
        <v>49.395499999999998</v>
      </c>
      <c r="F502" s="17">
        <f>49.3934 * CHOOSE(CONTROL!$C$9, $D$9, 100%, $F$9) + CHOOSE(CONTROL!$C$27, 0.0021, 0)</f>
        <v>49.395499999999998</v>
      </c>
      <c r="G502" s="17">
        <f>49.6648 * CHOOSE(CONTROL!$C$9, $D$9, 100%, $F$9) + CHOOSE(CONTROL!$C$27, 0.0021, 0)</f>
        <v>49.666899999999998</v>
      </c>
      <c r="H502" s="17">
        <f>49.53 * CHOOSE(CONTROL!$C$9, $D$9, 100%, $F$9) + CHOOSE(CONTROL!$C$27, 0.0021, 0)</f>
        <v>49.5321</v>
      </c>
      <c r="I502" s="17">
        <f>49.53 * CHOOSE(CONTROL!$C$9, $D$9, 100%, $F$9) + CHOOSE(CONTROL!$C$27, 0.0021, 0)</f>
        <v>49.5321</v>
      </c>
      <c r="J502" s="17">
        <f>49.53 * CHOOSE(CONTROL!$C$9, $D$9, 100%, $F$9) + CHOOSE(CONTROL!$C$27, 0.0021, 0)</f>
        <v>49.5321</v>
      </c>
      <c r="K502" s="17">
        <f>49.53 * CHOOSE(CONTROL!$C$9, $D$9, 100%, $F$9) + CHOOSE(CONTROL!$C$27, 0.0021, 0)</f>
        <v>49.5321</v>
      </c>
      <c r="L502" s="17"/>
    </row>
    <row r="503" spans="1:12" ht="15.75" x14ac:dyDescent="0.25">
      <c r="A503" s="14">
        <v>55884</v>
      </c>
      <c r="B503" s="17">
        <f>49.0276 * CHOOSE(CONTROL!$C$9, $D$9, 100%, $F$9) + CHOOSE(CONTROL!$C$27, 0.0021, 0)</f>
        <v>49.029699999999998</v>
      </c>
      <c r="C503" s="17">
        <f>48.5953 * CHOOSE(CONTROL!$C$9, $D$9, 100%, $F$9) + CHOOSE(CONTROL!$C$27, 0.0021, 0)</f>
        <v>48.5974</v>
      </c>
      <c r="D503" s="17">
        <f>48.5953 * CHOOSE(CONTROL!$C$9, $D$9, 100%, $F$9) + CHOOSE(CONTROL!$C$27, 0.0021, 0)</f>
        <v>48.5974</v>
      </c>
      <c r="E503" s="17">
        <f>48.4587 * CHOOSE(CONTROL!$C$9, $D$9, 100%, $F$9) + CHOOSE(CONTROL!$C$27, 0.0021, 0)</f>
        <v>48.460799999999999</v>
      </c>
      <c r="F503" s="17">
        <f>48.4587 * CHOOSE(CONTROL!$C$9, $D$9, 100%, $F$9) + CHOOSE(CONTROL!$C$27, 0.0021, 0)</f>
        <v>48.460799999999999</v>
      </c>
      <c r="G503" s="17">
        <f>48.7301 * CHOOSE(CONTROL!$C$9, $D$9, 100%, $F$9) + CHOOSE(CONTROL!$C$27, 0.0021, 0)</f>
        <v>48.732199999999999</v>
      </c>
      <c r="H503" s="17">
        <f>48.5953 * CHOOSE(CONTROL!$C$9, $D$9, 100%, $F$9) + CHOOSE(CONTROL!$C$27, 0.0021, 0)</f>
        <v>48.5974</v>
      </c>
      <c r="I503" s="17">
        <f>48.5953 * CHOOSE(CONTROL!$C$9, $D$9, 100%, $F$9) + CHOOSE(CONTROL!$C$27, 0.0021, 0)</f>
        <v>48.5974</v>
      </c>
      <c r="J503" s="17">
        <f>48.5953 * CHOOSE(CONTROL!$C$9, $D$9, 100%, $F$9) + CHOOSE(CONTROL!$C$27, 0.0021, 0)</f>
        <v>48.5974</v>
      </c>
      <c r="K503" s="17">
        <f>48.5953 * CHOOSE(CONTROL!$C$9, $D$9, 100%, $F$9) + CHOOSE(CONTROL!$C$27, 0.0021, 0)</f>
        <v>48.5974</v>
      </c>
      <c r="L503" s="17"/>
    </row>
    <row r="504" spans="1:12" ht="15.75" x14ac:dyDescent="0.25">
      <c r="A504" s="14">
        <v>55915</v>
      </c>
      <c r="B504" s="17">
        <f>48.0971 * CHOOSE(CONTROL!$C$9, $D$9, 100%, $F$9) + CHOOSE(CONTROL!$C$27, 0.0021, 0)</f>
        <v>48.099199999999996</v>
      </c>
      <c r="C504" s="17">
        <f>47.6649 * CHOOSE(CONTROL!$C$9, $D$9, 100%, $F$9) + CHOOSE(CONTROL!$C$27, 0.0021, 0)</f>
        <v>47.667000000000002</v>
      </c>
      <c r="D504" s="17">
        <f>47.6649 * CHOOSE(CONTROL!$C$9, $D$9, 100%, $F$9) + CHOOSE(CONTROL!$C$27, 0.0021, 0)</f>
        <v>47.667000000000002</v>
      </c>
      <c r="E504" s="17">
        <f>47.5282 * CHOOSE(CONTROL!$C$9, $D$9, 100%, $F$9) + CHOOSE(CONTROL!$C$27, 0.0021, 0)</f>
        <v>47.530299999999997</v>
      </c>
      <c r="F504" s="17">
        <f>47.5282 * CHOOSE(CONTROL!$C$9, $D$9, 100%, $F$9) + CHOOSE(CONTROL!$C$27, 0.0021, 0)</f>
        <v>47.530299999999997</v>
      </c>
      <c r="G504" s="17">
        <f>47.7996 * CHOOSE(CONTROL!$C$9, $D$9, 100%, $F$9) + CHOOSE(CONTROL!$C$27, 0.0021, 0)</f>
        <v>47.801699999999997</v>
      </c>
      <c r="H504" s="17">
        <f>47.6649 * CHOOSE(CONTROL!$C$9, $D$9, 100%, $F$9) + CHOOSE(CONTROL!$C$27, 0.0021, 0)</f>
        <v>47.667000000000002</v>
      </c>
      <c r="I504" s="17">
        <f>47.6649 * CHOOSE(CONTROL!$C$9, $D$9, 100%, $F$9) + CHOOSE(CONTROL!$C$27, 0.0021, 0)</f>
        <v>47.667000000000002</v>
      </c>
      <c r="J504" s="17">
        <f>47.6649 * CHOOSE(CONTROL!$C$9, $D$9, 100%, $F$9) + CHOOSE(CONTROL!$C$27, 0.0021, 0)</f>
        <v>47.667000000000002</v>
      </c>
      <c r="K504" s="17">
        <f>47.6649 * CHOOSE(CONTROL!$C$9, $D$9, 100%, $F$9) + CHOOSE(CONTROL!$C$27, 0.0021, 0)</f>
        <v>47.667000000000002</v>
      </c>
      <c r="L504" s="17"/>
    </row>
    <row r="505" spans="1:12" ht="15.75" x14ac:dyDescent="0.25">
      <c r="A505" s="14">
        <v>55943</v>
      </c>
      <c r="B505" s="17">
        <f>46.8015 * CHOOSE(CONTROL!$C$9, $D$9, 100%, $F$9) + CHOOSE(CONTROL!$C$27, 0.0021, 0)</f>
        <v>46.803599999999996</v>
      </c>
      <c r="C505" s="17">
        <f>46.3693 * CHOOSE(CONTROL!$C$9, $D$9, 100%, $F$9) + CHOOSE(CONTROL!$C$27, 0.0021, 0)</f>
        <v>46.371400000000001</v>
      </c>
      <c r="D505" s="17">
        <f>46.3693 * CHOOSE(CONTROL!$C$9, $D$9, 100%, $F$9) + CHOOSE(CONTROL!$C$27, 0.0021, 0)</f>
        <v>46.371400000000001</v>
      </c>
      <c r="E505" s="17">
        <f>46.2326 * CHOOSE(CONTROL!$C$9, $D$9, 100%, $F$9) + CHOOSE(CONTROL!$C$27, 0.0021, 0)</f>
        <v>46.234699999999997</v>
      </c>
      <c r="F505" s="17">
        <f>46.2326 * CHOOSE(CONTROL!$C$9, $D$9, 100%, $F$9) + CHOOSE(CONTROL!$C$27, 0.0021, 0)</f>
        <v>46.234699999999997</v>
      </c>
      <c r="G505" s="17">
        <f>46.504 * CHOOSE(CONTROL!$C$9, $D$9, 100%, $F$9) + CHOOSE(CONTROL!$C$27, 0.0021, 0)</f>
        <v>46.506099999999996</v>
      </c>
      <c r="H505" s="17">
        <f>46.3693 * CHOOSE(CONTROL!$C$9, $D$9, 100%, $F$9) + CHOOSE(CONTROL!$C$27, 0.0021, 0)</f>
        <v>46.371400000000001</v>
      </c>
      <c r="I505" s="17">
        <f>46.3693 * CHOOSE(CONTROL!$C$9, $D$9, 100%, $F$9) + CHOOSE(CONTROL!$C$27, 0.0021, 0)</f>
        <v>46.371400000000001</v>
      </c>
      <c r="J505" s="17">
        <f>46.3693 * CHOOSE(CONTROL!$C$9, $D$9, 100%, $F$9) + CHOOSE(CONTROL!$C$27, 0.0021, 0)</f>
        <v>46.371400000000001</v>
      </c>
      <c r="K505" s="17">
        <f>46.3693 * CHOOSE(CONTROL!$C$9, $D$9, 100%, $F$9) + CHOOSE(CONTROL!$C$27, 0.0021, 0)</f>
        <v>46.371400000000001</v>
      </c>
      <c r="L505" s="17"/>
    </row>
    <row r="506" spans="1:12" ht="15.75" x14ac:dyDescent="0.25">
      <c r="A506" s="14">
        <v>55974</v>
      </c>
      <c r="B506" s="17">
        <f>46.2667 * CHOOSE(CONTROL!$C$9, $D$9, 100%, $F$9) + CHOOSE(CONTROL!$C$27, 0.0021, 0)</f>
        <v>46.268799999999999</v>
      </c>
      <c r="C506" s="17">
        <f>45.8344 * CHOOSE(CONTROL!$C$9, $D$9, 100%, $F$9) + CHOOSE(CONTROL!$C$27, 0.0021, 0)</f>
        <v>45.836500000000001</v>
      </c>
      <c r="D506" s="17">
        <f>45.8344 * CHOOSE(CONTROL!$C$9, $D$9, 100%, $F$9) + CHOOSE(CONTROL!$C$27, 0.0021, 0)</f>
        <v>45.836500000000001</v>
      </c>
      <c r="E506" s="17">
        <f>45.6978 * CHOOSE(CONTROL!$C$9, $D$9, 100%, $F$9) + CHOOSE(CONTROL!$C$27, 0.0021, 0)</f>
        <v>45.6999</v>
      </c>
      <c r="F506" s="17">
        <f>45.6978 * CHOOSE(CONTROL!$C$9, $D$9, 100%, $F$9) + CHOOSE(CONTROL!$C$27, 0.0021, 0)</f>
        <v>45.6999</v>
      </c>
      <c r="G506" s="17">
        <f>45.9692 * CHOOSE(CONTROL!$C$9, $D$9, 100%, $F$9) + CHOOSE(CONTROL!$C$27, 0.0021, 0)</f>
        <v>45.971299999999999</v>
      </c>
      <c r="H506" s="17">
        <f>45.8344 * CHOOSE(CONTROL!$C$9, $D$9, 100%, $F$9) + CHOOSE(CONTROL!$C$27, 0.0021, 0)</f>
        <v>45.836500000000001</v>
      </c>
      <c r="I506" s="17">
        <f>45.8344 * CHOOSE(CONTROL!$C$9, $D$9, 100%, $F$9) + CHOOSE(CONTROL!$C$27, 0.0021, 0)</f>
        <v>45.836500000000001</v>
      </c>
      <c r="J506" s="17">
        <f>45.8344 * CHOOSE(CONTROL!$C$9, $D$9, 100%, $F$9) + CHOOSE(CONTROL!$C$27, 0.0021, 0)</f>
        <v>45.836500000000001</v>
      </c>
      <c r="K506" s="17">
        <f>45.8344 * CHOOSE(CONTROL!$C$9, $D$9, 100%, $F$9) + CHOOSE(CONTROL!$C$27, 0.0021, 0)</f>
        <v>45.836500000000001</v>
      </c>
      <c r="L506" s="17"/>
    </row>
    <row r="507" spans="1:12" ht="15.75" x14ac:dyDescent="0.25">
      <c r="A507" s="14">
        <v>56004</v>
      </c>
      <c r="B507" s="17">
        <f>45.6281 * CHOOSE(CONTROL!$C$9, $D$9, 100%, $F$9) + CHOOSE(CONTROL!$C$27, 0.0021, 0)</f>
        <v>45.630200000000002</v>
      </c>
      <c r="C507" s="17">
        <f>45.1958 * CHOOSE(CONTROL!$C$9, $D$9, 100%, $F$9) + CHOOSE(CONTROL!$C$27, 0.0021, 0)</f>
        <v>45.197899999999997</v>
      </c>
      <c r="D507" s="17">
        <f>45.1958 * CHOOSE(CONTROL!$C$9, $D$9, 100%, $F$9) + CHOOSE(CONTROL!$C$27, 0.0021, 0)</f>
        <v>45.197899999999997</v>
      </c>
      <c r="E507" s="17">
        <f>45.0592 * CHOOSE(CONTROL!$C$9, $D$9, 100%, $F$9) + CHOOSE(CONTROL!$C$27, 0.0021, 0)</f>
        <v>45.061299999999996</v>
      </c>
      <c r="F507" s="17">
        <f>45.0592 * CHOOSE(CONTROL!$C$9, $D$9, 100%, $F$9) + CHOOSE(CONTROL!$C$27, 0.0021, 0)</f>
        <v>45.061299999999996</v>
      </c>
      <c r="G507" s="17">
        <f>45.3306 * CHOOSE(CONTROL!$C$9, $D$9, 100%, $F$9) + CHOOSE(CONTROL!$C$27, 0.0021, 0)</f>
        <v>45.332699999999996</v>
      </c>
      <c r="H507" s="17">
        <f>45.1958 * CHOOSE(CONTROL!$C$9, $D$9, 100%, $F$9) + CHOOSE(CONTROL!$C$27, 0.0021, 0)</f>
        <v>45.197899999999997</v>
      </c>
      <c r="I507" s="17">
        <f>45.1958 * CHOOSE(CONTROL!$C$9, $D$9, 100%, $F$9) + CHOOSE(CONTROL!$C$27, 0.0021, 0)</f>
        <v>45.197899999999997</v>
      </c>
      <c r="J507" s="17">
        <f>45.1958 * CHOOSE(CONTROL!$C$9, $D$9, 100%, $F$9) + CHOOSE(CONTROL!$C$27, 0.0021, 0)</f>
        <v>45.197899999999997</v>
      </c>
      <c r="K507" s="17">
        <f>45.1958 * CHOOSE(CONTROL!$C$9, $D$9, 100%, $F$9) + CHOOSE(CONTROL!$C$27, 0.0021, 0)</f>
        <v>45.197899999999997</v>
      </c>
      <c r="L507" s="17"/>
    </row>
    <row r="508" spans="1:12" ht="15.75" x14ac:dyDescent="0.25">
      <c r="A508" s="14">
        <v>56035</v>
      </c>
      <c r="B508" s="17">
        <f>46.5382 * CHOOSE(CONTROL!$C$9, $D$9, 100%, $F$9) + CHOOSE(CONTROL!$C$27, 0.0021, 0)</f>
        <v>46.540300000000002</v>
      </c>
      <c r="C508" s="17">
        <f>46.1059 * CHOOSE(CONTROL!$C$9, $D$9, 100%, $F$9) + CHOOSE(CONTROL!$C$27, 0.0021, 0)</f>
        <v>46.107999999999997</v>
      </c>
      <c r="D508" s="17">
        <f>46.1059 * CHOOSE(CONTROL!$C$9, $D$9, 100%, $F$9) + CHOOSE(CONTROL!$C$27, 0.0021, 0)</f>
        <v>46.107999999999997</v>
      </c>
      <c r="E508" s="17">
        <f>45.9693 * CHOOSE(CONTROL!$C$9, $D$9, 100%, $F$9) + CHOOSE(CONTROL!$C$27, 0.0021, 0)</f>
        <v>45.971399999999996</v>
      </c>
      <c r="F508" s="17">
        <f>45.9693 * CHOOSE(CONTROL!$C$9, $D$9, 100%, $F$9) + CHOOSE(CONTROL!$C$27, 0.0021, 0)</f>
        <v>45.971399999999996</v>
      </c>
      <c r="G508" s="17">
        <f>46.2406 * CHOOSE(CONTROL!$C$9, $D$9, 100%, $F$9) + CHOOSE(CONTROL!$C$27, 0.0021, 0)</f>
        <v>46.242699999999999</v>
      </c>
      <c r="H508" s="17">
        <f>46.1059 * CHOOSE(CONTROL!$C$9, $D$9, 100%, $F$9) + CHOOSE(CONTROL!$C$27, 0.0021, 0)</f>
        <v>46.107999999999997</v>
      </c>
      <c r="I508" s="17">
        <f>46.1059 * CHOOSE(CONTROL!$C$9, $D$9, 100%, $F$9) + CHOOSE(CONTROL!$C$27, 0.0021, 0)</f>
        <v>46.107999999999997</v>
      </c>
      <c r="J508" s="17">
        <f>46.1059 * CHOOSE(CONTROL!$C$9, $D$9, 100%, $F$9) + CHOOSE(CONTROL!$C$27, 0.0021, 0)</f>
        <v>46.107999999999997</v>
      </c>
      <c r="K508" s="17">
        <f>46.1059 * CHOOSE(CONTROL!$C$9, $D$9, 100%, $F$9) + CHOOSE(CONTROL!$C$27, 0.0021, 0)</f>
        <v>46.107999999999997</v>
      </c>
      <c r="L508" s="17"/>
    </row>
    <row r="509" spans="1:12" ht="15.75" x14ac:dyDescent="0.25">
      <c r="A509" s="14">
        <v>56065</v>
      </c>
      <c r="B509" s="17">
        <f>47.0833 * CHOOSE(CONTROL!$C$9, $D$9, 100%, $F$9) + CHOOSE(CONTROL!$C$27, 0.0021, 0)</f>
        <v>47.0854</v>
      </c>
      <c r="C509" s="17">
        <f>46.651 * CHOOSE(CONTROL!$C$9, $D$9, 100%, $F$9) + CHOOSE(CONTROL!$C$27, 0.0021, 0)</f>
        <v>46.653100000000002</v>
      </c>
      <c r="D509" s="17">
        <f>46.651 * CHOOSE(CONTROL!$C$9, $D$9, 100%, $F$9) + CHOOSE(CONTROL!$C$27, 0.0021, 0)</f>
        <v>46.653100000000002</v>
      </c>
      <c r="E509" s="17">
        <f>46.5143 * CHOOSE(CONTROL!$C$9, $D$9, 100%, $F$9) + CHOOSE(CONTROL!$C$27, 0.0021, 0)</f>
        <v>46.516399999999997</v>
      </c>
      <c r="F509" s="17">
        <f>46.5143 * CHOOSE(CONTROL!$C$9, $D$9, 100%, $F$9) + CHOOSE(CONTROL!$C$27, 0.0021, 0)</f>
        <v>46.516399999999997</v>
      </c>
      <c r="G509" s="17">
        <f>46.7857 * CHOOSE(CONTROL!$C$9, $D$9, 100%, $F$9) + CHOOSE(CONTROL!$C$27, 0.0021, 0)</f>
        <v>46.787799999999997</v>
      </c>
      <c r="H509" s="17">
        <f>46.651 * CHOOSE(CONTROL!$C$9, $D$9, 100%, $F$9) + CHOOSE(CONTROL!$C$27, 0.0021, 0)</f>
        <v>46.653100000000002</v>
      </c>
      <c r="I509" s="17">
        <f>46.651 * CHOOSE(CONTROL!$C$9, $D$9, 100%, $F$9) + CHOOSE(CONTROL!$C$27, 0.0021, 0)</f>
        <v>46.653100000000002</v>
      </c>
      <c r="J509" s="17">
        <f>46.651 * CHOOSE(CONTROL!$C$9, $D$9, 100%, $F$9) + CHOOSE(CONTROL!$C$27, 0.0021, 0)</f>
        <v>46.653100000000002</v>
      </c>
      <c r="K509" s="17">
        <f>46.651 * CHOOSE(CONTROL!$C$9, $D$9, 100%, $F$9) + CHOOSE(CONTROL!$C$27, 0.0021, 0)</f>
        <v>46.653100000000002</v>
      </c>
      <c r="L509" s="17"/>
    </row>
    <row r="510" spans="1:12" ht="15.75" x14ac:dyDescent="0.25">
      <c r="A510" s="14">
        <v>56096</v>
      </c>
      <c r="B510" s="17">
        <f>47.9825 * CHOOSE(CONTROL!$C$9, $D$9, 100%, $F$9) + CHOOSE(CONTROL!$C$27, 0.0021, 0)</f>
        <v>47.9846</v>
      </c>
      <c r="C510" s="17">
        <f>47.5502 * CHOOSE(CONTROL!$C$9, $D$9, 100%, $F$9) + CHOOSE(CONTROL!$C$27, 0.0021, 0)</f>
        <v>47.552299999999995</v>
      </c>
      <c r="D510" s="17">
        <f>47.5502 * CHOOSE(CONTROL!$C$9, $D$9, 100%, $F$9) + CHOOSE(CONTROL!$C$27, 0.0021, 0)</f>
        <v>47.552299999999995</v>
      </c>
      <c r="E510" s="17">
        <f>47.4136 * CHOOSE(CONTROL!$C$9, $D$9, 100%, $F$9) + CHOOSE(CONTROL!$C$27, 0.0021, 0)</f>
        <v>47.415700000000001</v>
      </c>
      <c r="F510" s="17">
        <f>47.4136 * CHOOSE(CONTROL!$C$9, $D$9, 100%, $F$9) + CHOOSE(CONTROL!$C$27, 0.0021, 0)</f>
        <v>47.415700000000001</v>
      </c>
      <c r="G510" s="17">
        <f>47.6849 * CHOOSE(CONTROL!$C$9, $D$9, 100%, $F$9) + CHOOSE(CONTROL!$C$27, 0.0021, 0)</f>
        <v>47.686999999999998</v>
      </c>
      <c r="H510" s="17">
        <f>47.5502 * CHOOSE(CONTROL!$C$9, $D$9, 100%, $F$9) + CHOOSE(CONTROL!$C$27, 0.0021, 0)</f>
        <v>47.552299999999995</v>
      </c>
      <c r="I510" s="17">
        <f>47.5502 * CHOOSE(CONTROL!$C$9, $D$9, 100%, $F$9) + CHOOSE(CONTROL!$C$27, 0.0021, 0)</f>
        <v>47.552299999999995</v>
      </c>
      <c r="J510" s="17">
        <f>47.5502 * CHOOSE(CONTROL!$C$9, $D$9, 100%, $F$9) + CHOOSE(CONTROL!$C$27, 0.0021, 0)</f>
        <v>47.552299999999995</v>
      </c>
      <c r="K510" s="17">
        <f>47.5502 * CHOOSE(CONTROL!$C$9, $D$9, 100%, $F$9) + CHOOSE(CONTROL!$C$27, 0.0021, 0)</f>
        <v>47.552299999999995</v>
      </c>
      <c r="L510" s="17"/>
    </row>
    <row r="511" spans="1:12" ht="15.75" x14ac:dyDescent="0.25">
      <c r="A511" s="14">
        <v>56127</v>
      </c>
      <c r="B511" s="17">
        <f>48.2569 * CHOOSE(CONTROL!$C$9, $D$9, 100%, $F$9) + CHOOSE(CONTROL!$C$27, 0.0021, 0)</f>
        <v>48.259</v>
      </c>
      <c r="C511" s="17">
        <f>47.8247 * CHOOSE(CONTROL!$C$9, $D$9, 100%, $F$9) + CHOOSE(CONTROL!$C$27, 0.0021, 0)</f>
        <v>47.826799999999999</v>
      </c>
      <c r="D511" s="17">
        <f>47.8247 * CHOOSE(CONTROL!$C$9, $D$9, 100%, $F$9) + CHOOSE(CONTROL!$C$27, 0.0021, 0)</f>
        <v>47.826799999999999</v>
      </c>
      <c r="E511" s="17">
        <f>47.688 * CHOOSE(CONTROL!$C$9, $D$9, 100%, $F$9) + CHOOSE(CONTROL!$C$27, 0.0021, 0)</f>
        <v>47.690100000000001</v>
      </c>
      <c r="F511" s="17">
        <f>47.688 * CHOOSE(CONTROL!$C$9, $D$9, 100%, $F$9) + CHOOSE(CONTROL!$C$27, 0.0021, 0)</f>
        <v>47.690100000000001</v>
      </c>
      <c r="G511" s="17">
        <f>47.9594 * CHOOSE(CONTROL!$C$9, $D$9, 100%, $F$9) + CHOOSE(CONTROL!$C$27, 0.0021, 0)</f>
        <v>47.961500000000001</v>
      </c>
      <c r="H511" s="17">
        <f>47.8247 * CHOOSE(CONTROL!$C$9, $D$9, 100%, $F$9) + CHOOSE(CONTROL!$C$27, 0.0021, 0)</f>
        <v>47.826799999999999</v>
      </c>
      <c r="I511" s="17">
        <f>47.8247 * CHOOSE(CONTROL!$C$9, $D$9, 100%, $F$9) + CHOOSE(CONTROL!$C$27, 0.0021, 0)</f>
        <v>47.826799999999999</v>
      </c>
      <c r="J511" s="17">
        <f>47.8247 * CHOOSE(CONTROL!$C$9, $D$9, 100%, $F$9) + CHOOSE(CONTROL!$C$27, 0.0021, 0)</f>
        <v>47.826799999999999</v>
      </c>
      <c r="K511" s="17">
        <f>47.8247 * CHOOSE(CONTROL!$C$9, $D$9, 100%, $F$9) + CHOOSE(CONTROL!$C$27, 0.0021, 0)</f>
        <v>47.826799999999999</v>
      </c>
      <c r="L511" s="17"/>
    </row>
    <row r="512" spans="1:12" ht="15.75" x14ac:dyDescent="0.25">
      <c r="A512" s="14">
        <v>56157</v>
      </c>
      <c r="B512" s="17">
        <f>49.1916 * CHOOSE(CONTROL!$C$9, $D$9, 100%, $F$9) + CHOOSE(CONTROL!$C$27, 0.0021, 0)</f>
        <v>49.1937</v>
      </c>
      <c r="C512" s="17">
        <f>48.7594 * CHOOSE(CONTROL!$C$9, $D$9, 100%, $F$9) + CHOOSE(CONTROL!$C$27, 0.0021, 0)</f>
        <v>48.761499999999998</v>
      </c>
      <c r="D512" s="17">
        <f>48.7594 * CHOOSE(CONTROL!$C$9, $D$9, 100%, $F$9) + CHOOSE(CONTROL!$C$27, 0.0021, 0)</f>
        <v>48.761499999999998</v>
      </c>
      <c r="E512" s="17">
        <f>48.6227 * CHOOSE(CONTROL!$C$9, $D$9, 100%, $F$9) + CHOOSE(CONTROL!$C$27, 0.0021, 0)</f>
        <v>48.6248</v>
      </c>
      <c r="F512" s="17">
        <f>48.6227 * CHOOSE(CONTROL!$C$9, $D$9, 100%, $F$9) + CHOOSE(CONTROL!$C$27, 0.0021, 0)</f>
        <v>48.6248</v>
      </c>
      <c r="G512" s="17">
        <f>48.8941 * CHOOSE(CONTROL!$C$9, $D$9, 100%, $F$9) + CHOOSE(CONTROL!$C$27, 0.0021, 0)</f>
        <v>48.8962</v>
      </c>
      <c r="H512" s="17">
        <f>48.7594 * CHOOSE(CONTROL!$C$9, $D$9, 100%, $F$9) + CHOOSE(CONTROL!$C$27, 0.0021, 0)</f>
        <v>48.761499999999998</v>
      </c>
      <c r="I512" s="17">
        <f>48.7594 * CHOOSE(CONTROL!$C$9, $D$9, 100%, $F$9) + CHOOSE(CONTROL!$C$27, 0.0021, 0)</f>
        <v>48.761499999999998</v>
      </c>
      <c r="J512" s="17">
        <f>48.7594 * CHOOSE(CONTROL!$C$9, $D$9, 100%, $F$9) + CHOOSE(CONTROL!$C$27, 0.0021, 0)</f>
        <v>48.761499999999998</v>
      </c>
      <c r="K512" s="17">
        <f>48.7594 * CHOOSE(CONTROL!$C$9, $D$9, 100%, $F$9) + CHOOSE(CONTROL!$C$27, 0.0021, 0)</f>
        <v>48.761499999999998</v>
      </c>
      <c r="L512" s="17"/>
    </row>
    <row r="513" spans="1:12" ht="15.75" x14ac:dyDescent="0.25">
      <c r="A513" s="14">
        <v>56188</v>
      </c>
      <c r="B513" s="17">
        <f>50.3748 * CHOOSE(CONTROL!$C$9, $D$9, 100%, $F$9) + CHOOSE(CONTROL!$C$27, 0.0021, 0)</f>
        <v>50.376899999999999</v>
      </c>
      <c r="C513" s="17">
        <f>49.9425 * CHOOSE(CONTROL!$C$9, $D$9, 100%, $F$9) + CHOOSE(CONTROL!$C$27, 0.0021, 0)</f>
        <v>49.944600000000001</v>
      </c>
      <c r="D513" s="17">
        <f>49.9425 * CHOOSE(CONTROL!$C$9, $D$9, 100%, $F$9) + CHOOSE(CONTROL!$C$27, 0.0021, 0)</f>
        <v>49.944600000000001</v>
      </c>
      <c r="E513" s="17">
        <f>49.8059 * CHOOSE(CONTROL!$C$9, $D$9, 100%, $F$9) + CHOOSE(CONTROL!$C$27, 0.0021, 0)</f>
        <v>49.808</v>
      </c>
      <c r="F513" s="17">
        <f>49.8059 * CHOOSE(CONTROL!$C$9, $D$9, 100%, $F$9) + CHOOSE(CONTROL!$C$27, 0.0021, 0)</f>
        <v>49.808</v>
      </c>
      <c r="G513" s="17">
        <f>50.0772 * CHOOSE(CONTROL!$C$9, $D$9, 100%, $F$9) + CHOOSE(CONTROL!$C$27, 0.0021, 0)</f>
        <v>50.079299999999996</v>
      </c>
      <c r="H513" s="17">
        <f>49.9425 * CHOOSE(CONTROL!$C$9, $D$9, 100%, $F$9) + CHOOSE(CONTROL!$C$27, 0.0021, 0)</f>
        <v>49.944600000000001</v>
      </c>
      <c r="I513" s="17">
        <f>49.9425 * CHOOSE(CONTROL!$C$9, $D$9, 100%, $F$9) + CHOOSE(CONTROL!$C$27, 0.0021, 0)</f>
        <v>49.944600000000001</v>
      </c>
      <c r="J513" s="17">
        <f>49.9425 * CHOOSE(CONTROL!$C$9, $D$9, 100%, $F$9) + CHOOSE(CONTROL!$C$27, 0.0021, 0)</f>
        <v>49.944600000000001</v>
      </c>
      <c r="K513" s="17">
        <f>49.9425 * CHOOSE(CONTROL!$C$9, $D$9, 100%, $F$9) + CHOOSE(CONTROL!$C$27, 0.0021, 0)</f>
        <v>49.944600000000001</v>
      </c>
      <c r="L513" s="17"/>
    </row>
    <row r="514" spans="1:12" ht="15.75" x14ac:dyDescent="0.25">
      <c r="A514" s="14">
        <v>56218</v>
      </c>
      <c r="B514" s="17">
        <f>50.4858 * CHOOSE(CONTROL!$C$9, $D$9, 100%, $F$9) + CHOOSE(CONTROL!$C$27, 0.0021, 0)</f>
        <v>50.487899999999996</v>
      </c>
      <c r="C514" s="17">
        <f>50.0536 * CHOOSE(CONTROL!$C$9, $D$9, 100%, $F$9) + CHOOSE(CONTROL!$C$27, 0.0021, 0)</f>
        <v>50.055700000000002</v>
      </c>
      <c r="D514" s="17">
        <f>50.0536 * CHOOSE(CONTROL!$C$9, $D$9, 100%, $F$9) + CHOOSE(CONTROL!$C$27, 0.0021, 0)</f>
        <v>50.055700000000002</v>
      </c>
      <c r="E514" s="17">
        <f>49.9169 * CHOOSE(CONTROL!$C$9, $D$9, 100%, $F$9) + CHOOSE(CONTROL!$C$27, 0.0021, 0)</f>
        <v>49.918999999999997</v>
      </c>
      <c r="F514" s="17">
        <f>49.9169 * CHOOSE(CONTROL!$C$9, $D$9, 100%, $F$9) + CHOOSE(CONTROL!$C$27, 0.0021, 0)</f>
        <v>49.918999999999997</v>
      </c>
      <c r="G514" s="17">
        <f>50.1883 * CHOOSE(CONTROL!$C$9, $D$9, 100%, $F$9) + CHOOSE(CONTROL!$C$27, 0.0021, 0)</f>
        <v>50.190399999999997</v>
      </c>
      <c r="H514" s="17">
        <f>50.0536 * CHOOSE(CONTROL!$C$9, $D$9, 100%, $F$9) + CHOOSE(CONTROL!$C$27, 0.0021, 0)</f>
        <v>50.055700000000002</v>
      </c>
      <c r="I514" s="17">
        <f>50.0536 * CHOOSE(CONTROL!$C$9, $D$9, 100%, $F$9) + CHOOSE(CONTROL!$C$27, 0.0021, 0)</f>
        <v>50.055700000000002</v>
      </c>
      <c r="J514" s="17">
        <f>50.0536 * CHOOSE(CONTROL!$C$9, $D$9, 100%, $F$9) + CHOOSE(CONTROL!$C$27, 0.0021, 0)</f>
        <v>50.055700000000002</v>
      </c>
      <c r="K514" s="17">
        <f>50.0536 * CHOOSE(CONTROL!$C$9, $D$9, 100%, $F$9) + CHOOSE(CONTROL!$C$27, 0.0021, 0)</f>
        <v>50.055700000000002</v>
      </c>
      <c r="L514" s="17"/>
    </row>
    <row r="515" spans="1:12" ht="15.75" x14ac:dyDescent="0.25">
      <c r="A515" s="14">
        <v>56249</v>
      </c>
      <c r="B515" s="17">
        <f>49.5409 * CHOOSE(CONTROL!$C$9, $D$9, 100%, $F$9) + CHOOSE(CONTROL!$C$27, 0.0021, 0)</f>
        <v>49.542999999999999</v>
      </c>
      <c r="C515" s="17">
        <f>49.1086 * CHOOSE(CONTROL!$C$9, $D$9, 100%, $F$9) + CHOOSE(CONTROL!$C$27, 0.0021, 0)</f>
        <v>49.110700000000001</v>
      </c>
      <c r="D515" s="17">
        <f>49.1086 * CHOOSE(CONTROL!$C$9, $D$9, 100%, $F$9) + CHOOSE(CONTROL!$C$27, 0.0021, 0)</f>
        <v>49.110700000000001</v>
      </c>
      <c r="E515" s="17">
        <f>48.972 * CHOOSE(CONTROL!$C$9, $D$9, 100%, $F$9) + CHOOSE(CONTROL!$C$27, 0.0021, 0)</f>
        <v>48.9741</v>
      </c>
      <c r="F515" s="17">
        <f>48.972 * CHOOSE(CONTROL!$C$9, $D$9, 100%, $F$9) + CHOOSE(CONTROL!$C$27, 0.0021, 0)</f>
        <v>48.9741</v>
      </c>
      <c r="G515" s="17">
        <f>49.2433 * CHOOSE(CONTROL!$C$9, $D$9, 100%, $F$9) + CHOOSE(CONTROL!$C$27, 0.0021, 0)</f>
        <v>49.245399999999997</v>
      </c>
      <c r="H515" s="17">
        <f>49.1086 * CHOOSE(CONTROL!$C$9, $D$9, 100%, $F$9) + CHOOSE(CONTROL!$C$27, 0.0021, 0)</f>
        <v>49.110700000000001</v>
      </c>
      <c r="I515" s="17">
        <f>49.1086 * CHOOSE(CONTROL!$C$9, $D$9, 100%, $F$9) + CHOOSE(CONTROL!$C$27, 0.0021, 0)</f>
        <v>49.110700000000001</v>
      </c>
      <c r="J515" s="17">
        <f>49.1086 * CHOOSE(CONTROL!$C$9, $D$9, 100%, $F$9) + CHOOSE(CONTROL!$C$27, 0.0021, 0)</f>
        <v>49.110700000000001</v>
      </c>
      <c r="K515" s="17">
        <f>49.1086 * CHOOSE(CONTROL!$C$9, $D$9, 100%, $F$9) + CHOOSE(CONTROL!$C$27, 0.0021, 0)</f>
        <v>49.110700000000001</v>
      </c>
      <c r="L515" s="17"/>
    </row>
    <row r="516" spans="1:12" ht="15.75" x14ac:dyDescent="0.25">
      <c r="A516" s="14">
        <v>56280</v>
      </c>
      <c r="B516" s="17">
        <f>48.6002 * CHOOSE(CONTROL!$C$9, $D$9, 100%, $F$9) + CHOOSE(CONTROL!$C$27, 0.0021, 0)</f>
        <v>48.6023</v>
      </c>
      <c r="C516" s="17">
        <f>48.1679 * CHOOSE(CONTROL!$C$9, $D$9, 100%, $F$9) + CHOOSE(CONTROL!$C$27, 0.0021, 0)</f>
        <v>48.17</v>
      </c>
      <c r="D516" s="17">
        <f>48.1679 * CHOOSE(CONTROL!$C$9, $D$9, 100%, $F$9) + CHOOSE(CONTROL!$C$27, 0.0021, 0)</f>
        <v>48.17</v>
      </c>
      <c r="E516" s="17">
        <f>48.0313 * CHOOSE(CONTROL!$C$9, $D$9, 100%, $F$9) + CHOOSE(CONTROL!$C$27, 0.0021, 0)</f>
        <v>48.0334</v>
      </c>
      <c r="F516" s="17">
        <f>48.0313 * CHOOSE(CONTROL!$C$9, $D$9, 100%, $F$9) + CHOOSE(CONTROL!$C$27, 0.0021, 0)</f>
        <v>48.0334</v>
      </c>
      <c r="G516" s="17">
        <f>48.3026 * CHOOSE(CONTROL!$C$9, $D$9, 100%, $F$9) + CHOOSE(CONTROL!$C$27, 0.0021, 0)</f>
        <v>48.304699999999997</v>
      </c>
      <c r="H516" s="17">
        <f>48.1679 * CHOOSE(CONTROL!$C$9, $D$9, 100%, $F$9) + CHOOSE(CONTROL!$C$27, 0.0021, 0)</f>
        <v>48.17</v>
      </c>
      <c r="I516" s="17">
        <f>48.1679 * CHOOSE(CONTROL!$C$9, $D$9, 100%, $F$9) + CHOOSE(CONTROL!$C$27, 0.0021, 0)</f>
        <v>48.17</v>
      </c>
      <c r="J516" s="17">
        <f>48.1679 * CHOOSE(CONTROL!$C$9, $D$9, 100%, $F$9) + CHOOSE(CONTROL!$C$27, 0.0021, 0)</f>
        <v>48.17</v>
      </c>
      <c r="K516" s="17">
        <f>48.1679 * CHOOSE(CONTROL!$C$9, $D$9, 100%, $F$9) + CHOOSE(CONTROL!$C$27, 0.0021, 0)</f>
        <v>48.17</v>
      </c>
      <c r="L516" s="17"/>
    </row>
    <row r="517" spans="1:12" ht="15.75" x14ac:dyDescent="0.25">
      <c r="A517" s="14">
        <v>56308</v>
      </c>
      <c r="B517" s="17">
        <f>47.2903 * CHOOSE(CONTROL!$C$9, $D$9, 100%, $F$9) + CHOOSE(CONTROL!$C$27, 0.0021, 0)</f>
        <v>47.292400000000001</v>
      </c>
      <c r="C517" s="17">
        <f>46.8581 * CHOOSE(CONTROL!$C$9, $D$9, 100%, $F$9) + CHOOSE(CONTROL!$C$27, 0.0021, 0)</f>
        <v>46.860199999999999</v>
      </c>
      <c r="D517" s="17">
        <f>46.8581 * CHOOSE(CONTROL!$C$9, $D$9, 100%, $F$9) + CHOOSE(CONTROL!$C$27, 0.0021, 0)</f>
        <v>46.860199999999999</v>
      </c>
      <c r="E517" s="17">
        <f>46.7214 * CHOOSE(CONTROL!$C$9, $D$9, 100%, $F$9) + CHOOSE(CONTROL!$C$27, 0.0021, 0)</f>
        <v>46.723500000000001</v>
      </c>
      <c r="F517" s="17">
        <f>46.7214 * CHOOSE(CONTROL!$C$9, $D$9, 100%, $F$9) + CHOOSE(CONTROL!$C$27, 0.0021, 0)</f>
        <v>46.723500000000001</v>
      </c>
      <c r="G517" s="17">
        <f>46.9928 * CHOOSE(CONTROL!$C$9, $D$9, 100%, $F$9) + CHOOSE(CONTROL!$C$27, 0.0021, 0)</f>
        <v>46.994900000000001</v>
      </c>
      <c r="H517" s="17">
        <f>46.8581 * CHOOSE(CONTROL!$C$9, $D$9, 100%, $F$9) + CHOOSE(CONTROL!$C$27, 0.0021, 0)</f>
        <v>46.860199999999999</v>
      </c>
      <c r="I517" s="17">
        <f>46.8581 * CHOOSE(CONTROL!$C$9, $D$9, 100%, $F$9) + CHOOSE(CONTROL!$C$27, 0.0021, 0)</f>
        <v>46.860199999999999</v>
      </c>
      <c r="J517" s="17">
        <f>46.8581 * CHOOSE(CONTROL!$C$9, $D$9, 100%, $F$9) + CHOOSE(CONTROL!$C$27, 0.0021, 0)</f>
        <v>46.860199999999999</v>
      </c>
      <c r="K517" s="17">
        <f>46.8581 * CHOOSE(CONTROL!$C$9, $D$9, 100%, $F$9) + CHOOSE(CONTROL!$C$27, 0.0021, 0)</f>
        <v>46.860199999999999</v>
      </c>
      <c r="L517" s="17"/>
    </row>
    <row r="518" spans="1:12" ht="15.75" x14ac:dyDescent="0.25">
      <c r="A518" s="14">
        <v>56339</v>
      </c>
      <c r="B518" s="17">
        <f>46.7496 * CHOOSE(CONTROL!$C$9, $D$9, 100%, $F$9) + CHOOSE(CONTROL!$C$27, 0.0021, 0)</f>
        <v>46.7517</v>
      </c>
      <c r="C518" s="17">
        <f>46.3174 * CHOOSE(CONTROL!$C$9, $D$9, 100%, $F$9) + CHOOSE(CONTROL!$C$27, 0.0021, 0)</f>
        <v>46.319499999999998</v>
      </c>
      <c r="D518" s="17">
        <f>46.3174 * CHOOSE(CONTROL!$C$9, $D$9, 100%, $F$9) + CHOOSE(CONTROL!$C$27, 0.0021, 0)</f>
        <v>46.319499999999998</v>
      </c>
      <c r="E518" s="17">
        <f>46.1807 * CHOOSE(CONTROL!$C$9, $D$9, 100%, $F$9) + CHOOSE(CONTROL!$C$27, 0.0021, 0)</f>
        <v>46.1828</v>
      </c>
      <c r="F518" s="17">
        <f>46.1807 * CHOOSE(CONTROL!$C$9, $D$9, 100%, $F$9) + CHOOSE(CONTROL!$C$27, 0.0021, 0)</f>
        <v>46.1828</v>
      </c>
      <c r="G518" s="17">
        <f>46.4521 * CHOOSE(CONTROL!$C$9, $D$9, 100%, $F$9) + CHOOSE(CONTROL!$C$27, 0.0021, 0)</f>
        <v>46.4542</v>
      </c>
      <c r="H518" s="17">
        <f>46.3174 * CHOOSE(CONTROL!$C$9, $D$9, 100%, $F$9) + CHOOSE(CONTROL!$C$27, 0.0021, 0)</f>
        <v>46.319499999999998</v>
      </c>
      <c r="I518" s="17">
        <f>46.3174 * CHOOSE(CONTROL!$C$9, $D$9, 100%, $F$9) + CHOOSE(CONTROL!$C$27, 0.0021, 0)</f>
        <v>46.319499999999998</v>
      </c>
      <c r="J518" s="17">
        <f>46.3174 * CHOOSE(CONTROL!$C$9, $D$9, 100%, $F$9) + CHOOSE(CONTROL!$C$27, 0.0021, 0)</f>
        <v>46.319499999999998</v>
      </c>
      <c r="K518" s="17">
        <f>46.3174 * CHOOSE(CONTROL!$C$9, $D$9, 100%, $F$9) + CHOOSE(CONTROL!$C$27, 0.0021, 0)</f>
        <v>46.319499999999998</v>
      </c>
      <c r="L518" s="17"/>
    </row>
    <row r="519" spans="1:12" ht="15.75" x14ac:dyDescent="0.25">
      <c r="A519" s="14">
        <v>56369</v>
      </c>
      <c r="B519" s="17">
        <f>46.104 * CHOOSE(CONTROL!$C$9, $D$9, 100%, $F$9) + CHOOSE(CONTROL!$C$27, 0.0021, 0)</f>
        <v>46.106099999999998</v>
      </c>
      <c r="C519" s="17">
        <f>45.6718 * CHOOSE(CONTROL!$C$9, $D$9, 100%, $F$9) + CHOOSE(CONTROL!$C$27, 0.0021, 0)</f>
        <v>45.673899999999996</v>
      </c>
      <c r="D519" s="17">
        <f>45.6718 * CHOOSE(CONTROL!$C$9, $D$9, 100%, $F$9) + CHOOSE(CONTROL!$C$27, 0.0021, 0)</f>
        <v>45.673899999999996</v>
      </c>
      <c r="E519" s="17">
        <f>45.5351 * CHOOSE(CONTROL!$C$9, $D$9, 100%, $F$9) + CHOOSE(CONTROL!$C$27, 0.0021, 0)</f>
        <v>45.537199999999999</v>
      </c>
      <c r="F519" s="17">
        <f>45.5351 * CHOOSE(CONTROL!$C$9, $D$9, 100%, $F$9) + CHOOSE(CONTROL!$C$27, 0.0021, 0)</f>
        <v>45.537199999999999</v>
      </c>
      <c r="G519" s="17">
        <f>45.8065 * CHOOSE(CONTROL!$C$9, $D$9, 100%, $F$9) + CHOOSE(CONTROL!$C$27, 0.0021, 0)</f>
        <v>45.808599999999998</v>
      </c>
      <c r="H519" s="17">
        <f>45.6718 * CHOOSE(CONTROL!$C$9, $D$9, 100%, $F$9) + CHOOSE(CONTROL!$C$27, 0.0021, 0)</f>
        <v>45.673899999999996</v>
      </c>
      <c r="I519" s="17">
        <f>45.6718 * CHOOSE(CONTROL!$C$9, $D$9, 100%, $F$9) + CHOOSE(CONTROL!$C$27, 0.0021, 0)</f>
        <v>45.673899999999996</v>
      </c>
      <c r="J519" s="17">
        <f>45.6718 * CHOOSE(CONTROL!$C$9, $D$9, 100%, $F$9) + CHOOSE(CONTROL!$C$27, 0.0021, 0)</f>
        <v>45.673899999999996</v>
      </c>
      <c r="K519" s="17">
        <f>45.6718 * CHOOSE(CONTROL!$C$9, $D$9, 100%, $F$9) + CHOOSE(CONTROL!$C$27, 0.0021, 0)</f>
        <v>45.673899999999996</v>
      </c>
      <c r="L519" s="17"/>
    </row>
    <row r="520" spans="1:12" ht="15.75" x14ac:dyDescent="0.25">
      <c r="A520" s="14">
        <v>56400</v>
      </c>
      <c r="B520" s="17">
        <f>47.0241 * CHOOSE(CONTROL!$C$9, $D$9, 100%, $F$9) + CHOOSE(CONTROL!$C$27, 0.0021, 0)</f>
        <v>47.026199999999996</v>
      </c>
      <c r="C520" s="17">
        <f>46.5919 * CHOOSE(CONTROL!$C$9, $D$9, 100%, $F$9) + CHOOSE(CONTROL!$C$27, 0.0021, 0)</f>
        <v>46.594000000000001</v>
      </c>
      <c r="D520" s="17">
        <f>46.5919 * CHOOSE(CONTROL!$C$9, $D$9, 100%, $F$9) + CHOOSE(CONTROL!$C$27, 0.0021, 0)</f>
        <v>46.594000000000001</v>
      </c>
      <c r="E520" s="17">
        <f>46.4552 * CHOOSE(CONTROL!$C$9, $D$9, 100%, $F$9) + CHOOSE(CONTROL!$C$27, 0.0021, 0)</f>
        <v>46.457299999999996</v>
      </c>
      <c r="F520" s="17">
        <f>46.4552 * CHOOSE(CONTROL!$C$9, $D$9, 100%, $F$9) + CHOOSE(CONTROL!$C$27, 0.0021, 0)</f>
        <v>46.457299999999996</v>
      </c>
      <c r="G520" s="17">
        <f>46.7266 * CHOOSE(CONTROL!$C$9, $D$9, 100%, $F$9) + CHOOSE(CONTROL!$C$27, 0.0021, 0)</f>
        <v>46.728699999999996</v>
      </c>
      <c r="H520" s="17">
        <f>46.5919 * CHOOSE(CONTROL!$C$9, $D$9, 100%, $F$9) + CHOOSE(CONTROL!$C$27, 0.0021, 0)</f>
        <v>46.594000000000001</v>
      </c>
      <c r="I520" s="17">
        <f>46.5919 * CHOOSE(CONTROL!$C$9, $D$9, 100%, $F$9) + CHOOSE(CONTROL!$C$27, 0.0021, 0)</f>
        <v>46.594000000000001</v>
      </c>
      <c r="J520" s="17">
        <f>46.5919 * CHOOSE(CONTROL!$C$9, $D$9, 100%, $F$9) + CHOOSE(CONTROL!$C$27, 0.0021, 0)</f>
        <v>46.594000000000001</v>
      </c>
      <c r="K520" s="17">
        <f>46.5919 * CHOOSE(CONTROL!$C$9, $D$9, 100%, $F$9) + CHOOSE(CONTROL!$C$27, 0.0021, 0)</f>
        <v>46.594000000000001</v>
      </c>
      <c r="L520" s="17"/>
    </row>
    <row r="521" spans="1:12" ht="15.75" x14ac:dyDescent="0.25">
      <c r="A521" s="14">
        <v>56430</v>
      </c>
      <c r="B521" s="17">
        <f>47.5752 * CHOOSE(CONTROL!$C$9, $D$9, 100%, $F$9) + CHOOSE(CONTROL!$C$27, 0.0021, 0)</f>
        <v>47.577300000000001</v>
      </c>
      <c r="C521" s="17">
        <f>47.1429 * CHOOSE(CONTROL!$C$9, $D$9, 100%, $F$9) + CHOOSE(CONTROL!$C$27, 0.0021, 0)</f>
        <v>47.144999999999996</v>
      </c>
      <c r="D521" s="17">
        <f>47.1429 * CHOOSE(CONTROL!$C$9, $D$9, 100%, $F$9) + CHOOSE(CONTROL!$C$27, 0.0021, 0)</f>
        <v>47.144999999999996</v>
      </c>
      <c r="E521" s="17">
        <f>47.0063 * CHOOSE(CONTROL!$C$9, $D$9, 100%, $F$9) + CHOOSE(CONTROL!$C$27, 0.0021, 0)</f>
        <v>47.008400000000002</v>
      </c>
      <c r="F521" s="17">
        <f>47.0063 * CHOOSE(CONTROL!$C$9, $D$9, 100%, $F$9) + CHOOSE(CONTROL!$C$27, 0.0021, 0)</f>
        <v>47.008400000000002</v>
      </c>
      <c r="G521" s="17">
        <f>47.2777 * CHOOSE(CONTROL!$C$9, $D$9, 100%, $F$9) + CHOOSE(CONTROL!$C$27, 0.0021, 0)</f>
        <v>47.279800000000002</v>
      </c>
      <c r="H521" s="17">
        <f>47.1429 * CHOOSE(CONTROL!$C$9, $D$9, 100%, $F$9) + CHOOSE(CONTROL!$C$27, 0.0021, 0)</f>
        <v>47.144999999999996</v>
      </c>
      <c r="I521" s="17">
        <f>47.1429 * CHOOSE(CONTROL!$C$9, $D$9, 100%, $F$9) + CHOOSE(CONTROL!$C$27, 0.0021, 0)</f>
        <v>47.144999999999996</v>
      </c>
      <c r="J521" s="17">
        <f>47.1429 * CHOOSE(CONTROL!$C$9, $D$9, 100%, $F$9) + CHOOSE(CONTROL!$C$27, 0.0021, 0)</f>
        <v>47.144999999999996</v>
      </c>
      <c r="K521" s="17">
        <f>47.1429 * CHOOSE(CONTROL!$C$9, $D$9, 100%, $F$9) + CHOOSE(CONTROL!$C$27, 0.0021, 0)</f>
        <v>47.144999999999996</v>
      </c>
      <c r="L521" s="17"/>
    </row>
    <row r="522" spans="1:12" ht="15.75" x14ac:dyDescent="0.25">
      <c r="A522" s="14">
        <v>56461</v>
      </c>
      <c r="B522" s="17">
        <f>48.4843 * CHOOSE(CONTROL!$C$9, $D$9, 100%, $F$9) + CHOOSE(CONTROL!$C$27, 0.0021, 0)</f>
        <v>48.486399999999996</v>
      </c>
      <c r="C522" s="17">
        <f>48.052 * CHOOSE(CONTROL!$C$9, $D$9, 100%, $F$9) + CHOOSE(CONTROL!$C$27, 0.0021, 0)</f>
        <v>48.054099999999998</v>
      </c>
      <c r="D522" s="17">
        <f>48.052 * CHOOSE(CONTROL!$C$9, $D$9, 100%, $F$9) + CHOOSE(CONTROL!$C$27, 0.0021, 0)</f>
        <v>48.054099999999998</v>
      </c>
      <c r="E522" s="17">
        <f>47.9154 * CHOOSE(CONTROL!$C$9, $D$9, 100%, $F$9) + CHOOSE(CONTROL!$C$27, 0.0021, 0)</f>
        <v>47.917499999999997</v>
      </c>
      <c r="F522" s="17">
        <f>47.9154 * CHOOSE(CONTROL!$C$9, $D$9, 100%, $F$9) + CHOOSE(CONTROL!$C$27, 0.0021, 0)</f>
        <v>47.917499999999997</v>
      </c>
      <c r="G522" s="17">
        <f>48.1867 * CHOOSE(CONTROL!$C$9, $D$9, 100%, $F$9) + CHOOSE(CONTROL!$C$27, 0.0021, 0)</f>
        <v>48.188800000000001</v>
      </c>
      <c r="H522" s="17">
        <f>48.052 * CHOOSE(CONTROL!$C$9, $D$9, 100%, $F$9) + CHOOSE(CONTROL!$C$27, 0.0021, 0)</f>
        <v>48.054099999999998</v>
      </c>
      <c r="I522" s="17">
        <f>48.052 * CHOOSE(CONTROL!$C$9, $D$9, 100%, $F$9) + CHOOSE(CONTROL!$C$27, 0.0021, 0)</f>
        <v>48.054099999999998</v>
      </c>
      <c r="J522" s="17">
        <f>48.052 * CHOOSE(CONTROL!$C$9, $D$9, 100%, $F$9) + CHOOSE(CONTROL!$C$27, 0.0021, 0)</f>
        <v>48.054099999999998</v>
      </c>
      <c r="K522" s="17">
        <f>48.052 * CHOOSE(CONTROL!$C$9, $D$9, 100%, $F$9) + CHOOSE(CONTROL!$C$27, 0.0021, 0)</f>
        <v>48.054099999999998</v>
      </c>
      <c r="L522" s="17"/>
    </row>
    <row r="523" spans="1:12" ht="15.75" x14ac:dyDescent="0.25">
      <c r="A523" s="14">
        <v>56492</v>
      </c>
      <c r="B523" s="17">
        <f>48.7617 * CHOOSE(CONTROL!$C$9, $D$9, 100%, $F$9) + CHOOSE(CONTROL!$C$27, 0.0021, 0)</f>
        <v>48.763799999999996</v>
      </c>
      <c r="C523" s="17">
        <f>48.3295 * CHOOSE(CONTROL!$C$9, $D$9, 100%, $F$9) + CHOOSE(CONTROL!$C$27, 0.0021, 0)</f>
        <v>48.331600000000002</v>
      </c>
      <c r="D523" s="17">
        <f>48.3295 * CHOOSE(CONTROL!$C$9, $D$9, 100%, $F$9) + CHOOSE(CONTROL!$C$27, 0.0021, 0)</f>
        <v>48.331600000000002</v>
      </c>
      <c r="E523" s="17">
        <f>48.1928 * CHOOSE(CONTROL!$C$9, $D$9, 100%, $F$9) + CHOOSE(CONTROL!$C$27, 0.0021, 0)</f>
        <v>48.194899999999997</v>
      </c>
      <c r="F523" s="17">
        <f>48.1928 * CHOOSE(CONTROL!$C$9, $D$9, 100%, $F$9) + CHOOSE(CONTROL!$C$27, 0.0021, 0)</f>
        <v>48.194899999999997</v>
      </c>
      <c r="G523" s="17">
        <f>48.4642 * CHOOSE(CONTROL!$C$9, $D$9, 100%, $F$9) + CHOOSE(CONTROL!$C$27, 0.0021, 0)</f>
        <v>48.466299999999997</v>
      </c>
      <c r="H523" s="17">
        <f>48.3295 * CHOOSE(CONTROL!$C$9, $D$9, 100%, $F$9) + CHOOSE(CONTROL!$C$27, 0.0021, 0)</f>
        <v>48.331600000000002</v>
      </c>
      <c r="I523" s="17">
        <f>48.3295 * CHOOSE(CONTROL!$C$9, $D$9, 100%, $F$9) + CHOOSE(CONTROL!$C$27, 0.0021, 0)</f>
        <v>48.331600000000002</v>
      </c>
      <c r="J523" s="17">
        <f>48.3295 * CHOOSE(CONTROL!$C$9, $D$9, 100%, $F$9) + CHOOSE(CONTROL!$C$27, 0.0021, 0)</f>
        <v>48.331600000000002</v>
      </c>
      <c r="K523" s="17">
        <f>48.3295 * CHOOSE(CONTROL!$C$9, $D$9, 100%, $F$9) + CHOOSE(CONTROL!$C$27, 0.0021, 0)</f>
        <v>48.331600000000002</v>
      </c>
      <c r="L523" s="17"/>
    </row>
    <row r="524" spans="1:12" ht="15.75" x14ac:dyDescent="0.25">
      <c r="A524" s="14">
        <v>56522</v>
      </c>
      <c r="B524" s="17">
        <f>49.7067 * CHOOSE(CONTROL!$C$9, $D$9, 100%, $F$9) + CHOOSE(CONTROL!$C$27, 0.0021, 0)</f>
        <v>49.708799999999997</v>
      </c>
      <c r="C524" s="17">
        <f>49.2745 * CHOOSE(CONTROL!$C$9, $D$9, 100%, $F$9) + CHOOSE(CONTROL!$C$27, 0.0021, 0)</f>
        <v>49.276600000000002</v>
      </c>
      <c r="D524" s="17">
        <f>49.2745 * CHOOSE(CONTROL!$C$9, $D$9, 100%, $F$9) + CHOOSE(CONTROL!$C$27, 0.0021, 0)</f>
        <v>49.276600000000002</v>
      </c>
      <c r="E524" s="17">
        <f>49.1378 * CHOOSE(CONTROL!$C$9, $D$9, 100%, $F$9) + CHOOSE(CONTROL!$C$27, 0.0021, 0)</f>
        <v>49.139899999999997</v>
      </c>
      <c r="F524" s="17">
        <f>49.1378 * CHOOSE(CONTROL!$C$9, $D$9, 100%, $F$9) + CHOOSE(CONTROL!$C$27, 0.0021, 0)</f>
        <v>49.139899999999997</v>
      </c>
      <c r="G524" s="17">
        <f>49.4092 * CHOOSE(CONTROL!$C$9, $D$9, 100%, $F$9) + CHOOSE(CONTROL!$C$27, 0.0021, 0)</f>
        <v>49.411299999999997</v>
      </c>
      <c r="H524" s="17">
        <f>49.2745 * CHOOSE(CONTROL!$C$9, $D$9, 100%, $F$9) + CHOOSE(CONTROL!$C$27, 0.0021, 0)</f>
        <v>49.276600000000002</v>
      </c>
      <c r="I524" s="17">
        <f>49.2745 * CHOOSE(CONTROL!$C$9, $D$9, 100%, $F$9) + CHOOSE(CONTROL!$C$27, 0.0021, 0)</f>
        <v>49.276600000000002</v>
      </c>
      <c r="J524" s="17">
        <f>49.2745 * CHOOSE(CONTROL!$C$9, $D$9, 100%, $F$9) + CHOOSE(CONTROL!$C$27, 0.0021, 0)</f>
        <v>49.276600000000002</v>
      </c>
      <c r="K524" s="17">
        <f>49.2745 * CHOOSE(CONTROL!$C$9, $D$9, 100%, $F$9) + CHOOSE(CONTROL!$C$27, 0.0021, 0)</f>
        <v>49.276600000000002</v>
      </c>
      <c r="L524" s="17"/>
    </row>
    <row r="525" spans="1:12" ht="15.75" x14ac:dyDescent="0.25">
      <c r="A525" s="14">
        <v>56553</v>
      </c>
      <c r="B525" s="17">
        <f>50.9029 * CHOOSE(CONTROL!$C$9, $D$9, 100%, $F$9) + CHOOSE(CONTROL!$C$27, 0.0021, 0)</f>
        <v>50.905000000000001</v>
      </c>
      <c r="C525" s="17">
        <f>50.4706 * CHOOSE(CONTROL!$C$9, $D$9, 100%, $F$9) + CHOOSE(CONTROL!$C$27, 0.0021, 0)</f>
        <v>50.472699999999996</v>
      </c>
      <c r="D525" s="17">
        <f>50.4706 * CHOOSE(CONTROL!$C$9, $D$9, 100%, $F$9) + CHOOSE(CONTROL!$C$27, 0.0021, 0)</f>
        <v>50.472699999999996</v>
      </c>
      <c r="E525" s="17">
        <f>50.3339 * CHOOSE(CONTROL!$C$9, $D$9, 100%, $F$9) + CHOOSE(CONTROL!$C$27, 0.0021, 0)</f>
        <v>50.335999999999999</v>
      </c>
      <c r="F525" s="17">
        <f>50.3339 * CHOOSE(CONTROL!$C$9, $D$9, 100%, $F$9) + CHOOSE(CONTROL!$C$27, 0.0021, 0)</f>
        <v>50.335999999999999</v>
      </c>
      <c r="G525" s="17">
        <f>50.6053 * CHOOSE(CONTROL!$C$9, $D$9, 100%, $F$9) + CHOOSE(CONTROL!$C$27, 0.0021, 0)</f>
        <v>50.607399999999998</v>
      </c>
      <c r="H525" s="17">
        <f>50.4706 * CHOOSE(CONTROL!$C$9, $D$9, 100%, $F$9) + CHOOSE(CONTROL!$C$27, 0.0021, 0)</f>
        <v>50.472699999999996</v>
      </c>
      <c r="I525" s="17">
        <f>50.4706 * CHOOSE(CONTROL!$C$9, $D$9, 100%, $F$9) + CHOOSE(CONTROL!$C$27, 0.0021, 0)</f>
        <v>50.472699999999996</v>
      </c>
      <c r="J525" s="17">
        <f>50.4706 * CHOOSE(CONTROL!$C$9, $D$9, 100%, $F$9) + CHOOSE(CONTROL!$C$27, 0.0021, 0)</f>
        <v>50.472699999999996</v>
      </c>
      <c r="K525" s="17">
        <f>50.4706 * CHOOSE(CONTROL!$C$9, $D$9, 100%, $F$9) + CHOOSE(CONTROL!$C$27, 0.0021, 0)</f>
        <v>50.472699999999996</v>
      </c>
      <c r="L525" s="17"/>
    </row>
    <row r="526" spans="1:12" ht="15.75" x14ac:dyDescent="0.25">
      <c r="A526" s="14">
        <v>56583</v>
      </c>
      <c r="B526" s="17">
        <f>51.0151 * CHOOSE(CONTROL!$C$9, $D$9, 100%, $F$9) + CHOOSE(CONTROL!$C$27, 0.0021, 0)</f>
        <v>51.017199999999995</v>
      </c>
      <c r="C526" s="17">
        <f>50.5829 * CHOOSE(CONTROL!$C$9, $D$9, 100%, $F$9) + CHOOSE(CONTROL!$C$27, 0.0021, 0)</f>
        <v>50.585000000000001</v>
      </c>
      <c r="D526" s="17">
        <f>50.5829 * CHOOSE(CONTROL!$C$9, $D$9, 100%, $F$9) + CHOOSE(CONTROL!$C$27, 0.0021, 0)</f>
        <v>50.585000000000001</v>
      </c>
      <c r="E526" s="17">
        <f>50.4462 * CHOOSE(CONTROL!$C$9, $D$9, 100%, $F$9) + CHOOSE(CONTROL!$C$27, 0.0021, 0)</f>
        <v>50.448299999999996</v>
      </c>
      <c r="F526" s="17">
        <f>50.4462 * CHOOSE(CONTROL!$C$9, $D$9, 100%, $F$9) + CHOOSE(CONTROL!$C$27, 0.0021, 0)</f>
        <v>50.448299999999996</v>
      </c>
      <c r="G526" s="17">
        <f>50.7176 * CHOOSE(CONTROL!$C$9, $D$9, 100%, $F$9) + CHOOSE(CONTROL!$C$27, 0.0021, 0)</f>
        <v>50.719699999999996</v>
      </c>
      <c r="H526" s="17">
        <f>50.5829 * CHOOSE(CONTROL!$C$9, $D$9, 100%, $F$9) + CHOOSE(CONTROL!$C$27, 0.0021, 0)</f>
        <v>50.585000000000001</v>
      </c>
      <c r="I526" s="17">
        <f>50.5829 * CHOOSE(CONTROL!$C$9, $D$9, 100%, $F$9) + CHOOSE(CONTROL!$C$27, 0.0021, 0)</f>
        <v>50.585000000000001</v>
      </c>
      <c r="J526" s="17">
        <f>50.5829 * CHOOSE(CONTROL!$C$9, $D$9, 100%, $F$9) + CHOOSE(CONTROL!$C$27, 0.0021, 0)</f>
        <v>50.585000000000001</v>
      </c>
      <c r="K526" s="17">
        <f>50.5829 * CHOOSE(CONTROL!$C$9, $D$9, 100%, $F$9) + CHOOSE(CONTROL!$C$27, 0.0021, 0)</f>
        <v>50.585000000000001</v>
      </c>
      <c r="L526" s="17"/>
    </row>
    <row r="527" spans="1:12" ht="15.75" x14ac:dyDescent="0.25">
      <c r="A527" s="14">
        <v>56614</v>
      </c>
      <c r="B527" s="17">
        <f>50.0598 * CHOOSE(CONTROL!$C$9, $D$9, 100%, $F$9) + CHOOSE(CONTROL!$C$27, 0.0021, 0)</f>
        <v>50.061900000000001</v>
      </c>
      <c r="C527" s="17">
        <f>49.6276 * CHOOSE(CONTROL!$C$9, $D$9, 100%, $F$9) + CHOOSE(CONTROL!$C$27, 0.0021, 0)</f>
        <v>49.6297</v>
      </c>
      <c r="D527" s="17">
        <f>49.6276 * CHOOSE(CONTROL!$C$9, $D$9, 100%, $F$9) + CHOOSE(CONTROL!$C$27, 0.0021, 0)</f>
        <v>49.6297</v>
      </c>
      <c r="E527" s="17">
        <f>49.4909 * CHOOSE(CONTROL!$C$9, $D$9, 100%, $F$9) + CHOOSE(CONTROL!$C$27, 0.0021, 0)</f>
        <v>49.493000000000002</v>
      </c>
      <c r="F527" s="17">
        <f>49.4909 * CHOOSE(CONTROL!$C$9, $D$9, 100%, $F$9) + CHOOSE(CONTROL!$C$27, 0.0021, 0)</f>
        <v>49.493000000000002</v>
      </c>
      <c r="G527" s="17">
        <f>49.7623 * CHOOSE(CONTROL!$C$9, $D$9, 100%, $F$9) + CHOOSE(CONTROL!$C$27, 0.0021, 0)</f>
        <v>49.764400000000002</v>
      </c>
      <c r="H527" s="17">
        <f>49.6276 * CHOOSE(CONTROL!$C$9, $D$9, 100%, $F$9) + CHOOSE(CONTROL!$C$27, 0.0021, 0)</f>
        <v>49.6297</v>
      </c>
      <c r="I527" s="17">
        <f>49.6276 * CHOOSE(CONTROL!$C$9, $D$9, 100%, $F$9) + CHOOSE(CONTROL!$C$27, 0.0021, 0)</f>
        <v>49.6297</v>
      </c>
      <c r="J527" s="17">
        <f>49.6276 * CHOOSE(CONTROL!$C$9, $D$9, 100%, $F$9) + CHOOSE(CONTROL!$C$27, 0.0021, 0)</f>
        <v>49.6297</v>
      </c>
      <c r="K527" s="17">
        <f>49.6276 * CHOOSE(CONTROL!$C$9, $D$9, 100%, $F$9) + CHOOSE(CONTROL!$C$27, 0.0021, 0)</f>
        <v>49.6297</v>
      </c>
      <c r="L527" s="17"/>
    </row>
    <row r="528" spans="1:12" ht="15.75" x14ac:dyDescent="0.25">
      <c r="A528" s="13">
        <v>56645</v>
      </c>
      <c r="B528" s="17">
        <f>49.1088 * CHOOSE(CONTROL!$C$9, $D$9, 100%, $F$9) + CHOOSE(CONTROL!$C$27, 0.0021, 0)</f>
        <v>49.110900000000001</v>
      </c>
      <c r="C528" s="17">
        <f>48.6765 * CHOOSE(CONTROL!$C$9, $D$9, 100%, $F$9) + CHOOSE(CONTROL!$C$27, 0.0021, 0)</f>
        <v>48.678599999999996</v>
      </c>
      <c r="D528" s="17">
        <f>48.6765 * CHOOSE(CONTROL!$C$9, $D$9, 100%, $F$9) + CHOOSE(CONTROL!$C$27, 0.0021, 0)</f>
        <v>48.678599999999996</v>
      </c>
      <c r="E528" s="17">
        <f>48.5399 * CHOOSE(CONTROL!$C$9, $D$9, 100%, $F$9) + CHOOSE(CONTROL!$C$27, 0.0021, 0)</f>
        <v>48.542000000000002</v>
      </c>
      <c r="F528" s="17">
        <f>48.5399 * CHOOSE(CONTROL!$C$9, $D$9, 100%, $F$9) + CHOOSE(CONTROL!$C$27, 0.0021, 0)</f>
        <v>48.542000000000002</v>
      </c>
      <c r="G528" s="17">
        <f>48.8112 * CHOOSE(CONTROL!$C$9, $D$9, 100%, $F$9) + CHOOSE(CONTROL!$C$27, 0.0021, 0)</f>
        <v>48.813299999999998</v>
      </c>
      <c r="H528" s="17">
        <f>48.6765 * CHOOSE(CONTROL!$C$9, $D$9, 100%, $F$9) + CHOOSE(CONTROL!$C$27, 0.0021, 0)</f>
        <v>48.678599999999996</v>
      </c>
      <c r="I528" s="17">
        <f>48.6765 * CHOOSE(CONTROL!$C$9, $D$9, 100%, $F$9) + CHOOSE(CONTROL!$C$27, 0.0021, 0)</f>
        <v>48.678599999999996</v>
      </c>
      <c r="J528" s="17">
        <f>48.6765 * CHOOSE(CONTROL!$C$9, $D$9, 100%, $F$9) + CHOOSE(CONTROL!$C$27, 0.0021, 0)</f>
        <v>48.678599999999996</v>
      </c>
      <c r="K528" s="17">
        <f>48.6765 * CHOOSE(CONTROL!$C$9, $D$9, 100%, $F$9) + CHOOSE(CONTROL!$C$27, 0.0021, 0)</f>
        <v>48.678599999999996</v>
      </c>
      <c r="L528" s="17"/>
    </row>
    <row r="529" spans="1:12" ht="15.75" x14ac:dyDescent="0.25">
      <c r="A529" s="13">
        <v>56673</v>
      </c>
      <c r="B529" s="17">
        <f>47.7845 * CHOOSE(CONTROL!$C$9, $D$9, 100%, $F$9) + CHOOSE(CONTROL!$C$27, 0.0021, 0)</f>
        <v>47.7866</v>
      </c>
      <c r="C529" s="17">
        <f>47.3523 * CHOOSE(CONTROL!$C$9, $D$9, 100%, $F$9) + CHOOSE(CONTROL!$C$27, 0.0021, 0)</f>
        <v>47.354399999999998</v>
      </c>
      <c r="D529" s="17">
        <f>47.3523 * CHOOSE(CONTROL!$C$9, $D$9, 100%, $F$9) + CHOOSE(CONTROL!$C$27, 0.0021, 0)</f>
        <v>47.354399999999998</v>
      </c>
      <c r="E529" s="17">
        <f>47.2156 * CHOOSE(CONTROL!$C$9, $D$9, 100%, $F$9) + CHOOSE(CONTROL!$C$27, 0.0021, 0)</f>
        <v>47.217700000000001</v>
      </c>
      <c r="F529" s="17">
        <f>47.2156 * CHOOSE(CONTROL!$C$9, $D$9, 100%, $F$9) + CHOOSE(CONTROL!$C$27, 0.0021, 0)</f>
        <v>47.217700000000001</v>
      </c>
      <c r="G529" s="17">
        <f>47.487 * CHOOSE(CONTROL!$C$9, $D$9, 100%, $F$9) + CHOOSE(CONTROL!$C$27, 0.0021, 0)</f>
        <v>47.489100000000001</v>
      </c>
      <c r="H529" s="17">
        <f>47.3523 * CHOOSE(CONTROL!$C$9, $D$9, 100%, $F$9) + CHOOSE(CONTROL!$C$27, 0.0021, 0)</f>
        <v>47.354399999999998</v>
      </c>
      <c r="I529" s="17">
        <f>47.3523 * CHOOSE(CONTROL!$C$9, $D$9, 100%, $F$9) + CHOOSE(CONTROL!$C$27, 0.0021, 0)</f>
        <v>47.354399999999998</v>
      </c>
      <c r="J529" s="17">
        <f>47.3523 * CHOOSE(CONTROL!$C$9, $D$9, 100%, $F$9) + CHOOSE(CONTROL!$C$27, 0.0021, 0)</f>
        <v>47.354399999999998</v>
      </c>
      <c r="K529" s="17">
        <f>47.3523 * CHOOSE(CONTROL!$C$9, $D$9, 100%, $F$9) + CHOOSE(CONTROL!$C$27, 0.0021, 0)</f>
        <v>47.354399999999998</v>
      </c>
      <c r="L529" s="17"/>
    </row>
    <row r="530" spans="1:12" ht="15.75" x14ac:dyDescent="0.25">
      <c r="A530" s="13">
        <v>56704</v>
      </c>
      <c r="B530" s="17">
        <f>47.2379 * CHOOSE(CONTROL!$C$9, $D$9, 100%, $F$9) + CHOOSE(CONTROL!$C$27, 0.0021, 0)</f>
        <v>47.24</v>
      </c>
      <c r="C530" s="17">
        <f>46.8057 * CHOOSE(CONTROL!$C$9, $D$9, 100%, $F$9) + CHOOSE(CONTROL!$C$27, 0.0021, 0)</f>
        <v>46.8078</v>
      </c>
      <c r="D530" s="17">
        <f>46.8057 * CHOOSE(CONTROL!$C$9, $D$9, 100%, $F$9) + CHOOSE(CONTROL!$C$27, 0.0021, 0)</f>
        <v>46.8078</v>
      </c>
      <c r="E530" s="17">
        <f>46.669 * CHOOSE(CONTROL!$C$9, $D$9, 100%, $F$9) + CHOOSE(CONTROL!$C$27, 0.0021, 0)</f>
        <v>46.671099999999996</v>
      </c>
      <c r="F530" s="17">
        <f>46.669 * CHOOSE(CONTROL!$C$9, $D$9, 100%, $F$9) + CHOOSE(CONTROL!$C$27, 0.0021, 0)</f>
        <v>46.671099999999996</v>
      </c>
      <c r="G530" s="17">
        <f>46.9404 * CHOOSE(CONTROL!$C$9, $D$9, 100%, $F$9) + CHOOSE(CONTROL!$C$27, 0.0021, 0)</f>
        <v>46.942499999999995</v>
      </c>
      <c r="H530" s="17">
        <f>46.8057 * CHOOSE(CONTROL!$C$9, $D$9, 100%, $F$9) + CHOOSE(CONTROL!$C$27, 0.0021, 0)</f>
        <v>46.8078</v>
      </c>
      <c r="I530" s="17">
        <f>46.8057 * CHOOSE(CONTROL!$C$9, $D$9, 100%, $F$9) + CHOOSE(CONTROL!$C$27, 0.0021, 0)</f>
        <v>46.8078</v>
      </c>
      <c r="J530" s="17">
        <f>46.8057 * CHOOSE(CONTROL!$C$9, $D$9, 100%, $F$9) + CHOOSE(CONTROL!$C$27, 0.0021, 0)</f>
        <v>46.8078</v>
      </c>
      <c r="K530" s="17">
        <f>46.8057 * CHOOSE(CONTROL!$C$9, $D$9, 100%, $F$9) + CHOOSE(CONTROL!$C$27, 0.0021, 0)</f>
        <v>46.8078</v>
      </c>
      <c r="L530" s="17"/>
    </row>
    <row r="531" spans="1:12" ht="15.75" x14ac:dyDescent="0.25">
      <c r="A531" s="13">
        <v>56734</v>
      </c>
      <c r="B531" s="17">
        <f>46.5852 * CHOOSE(CONTROL!$C$9, $D$9, 100%, $F$9) + CHOOSE(CONTROL!$C$27, 0.0021, 0)</f>
        <v>46.587299999999999</v>
      </c>
      <c r="C531" s="17">
        <f>46.153 * CHOOSE(CONTROL!$C$9, $D$9, 100%, $F$9) + CHOOSE(CONTROL!$C$27, 0.0021, 0)</f>
        <v>46.155099999999997</v>
      </c>
      <c r="D531" s="17">
        <f>46.153 * CHOOSE(CONTROL!$C$9, $D$9, 100%, $F$9) + CHOOSE(CONTROL!$C$27, 0.0021, 0)</f>
        <v>46.155099999999997</v>
      </c>
      <c r="E531" s="17">
        <f>46.0163 * CHOOSE(CONTROL!$C$9, $D$9, 100%, $F$9) + CHOOSE(CONTROL!$C$27, 0.0021, 0)</f>
        <v>46.0184</v>
      </c>
      <c r="F531" s="17">
        <f>46.0163 * CHOOSE(CONTROL!$C$9, $D$9, 100%, $F$9) + CHOOSE(CONTROL!$C$27, 0.0021, 0)</f>
        <v>46.0184</v>
      </c>
      <c r="G531" s="17">
        <f>46.2877 * CHOOSE(CONTROL!$C$9, $D$9, 100%, $F$9) + CHOOSE(CONTROL!$C$27, 0.0021, 0)</f>
        <v>46.2898</v>
      </c>
      <c r="H531" s="17">
        <f>46.153 * CHOOSE(CONTROL!$C$9, $D$9, 100%, $F$9) + CHOOSE(CONTROL!$C$27, 0.0021, 0)</f>
        <v>46.155099999999997</v>
      </c>
      <c r="I531" s="17">
        <f>46.153 * CHOOSE(CONTROL!$C$9, $D$9, 100%, $F$9) + CHOOSE(CONTROL!$C$27, 0.0021, 0)</f>
        <v>46.155099999999997</v>
      </c>
      <c r="J531" s="17">
        <f>46.153 * CHOOSE(CONTROL!$C$9, $D$9, 100%, $F$9) + CHOOSE(CONTROL!$C$27, 0.0021, 0)</f>
        <v>46.155099999999997</v>
      </c>
      <c r="K531" s="17">
        <f>46.153 * CHOOSE(CONTROL!$C$9, $D$9, 100%, $F$9) + CHOOSE(CONTROL!$C$27, 0.0021, 0)</f>
        <v>46.155099999999997</v>
      </c>
      <c r="L531" s="17"/>
    </row>
    <row r="532" spans="1:12" ht="15.75" x14ac:dyDescent="0.25">
      <c r="A532" s="13">
        <v>56765</v>
      </c>
      <c r="B532" s="17">
        <f>47.5154 * CHOOSE(CONTROL!$C$9, $D$9, 100%, $F$9) + CHOOSE(CONTROL!$C$27, 0.0021, 0)</f>
        <v>47.517499999999998</v>
      </c>
      <c r="C532" s="17">
        <f>47.0831 * CHOOSE(CONTROL!$C$9, $D$9, 100%, $F$9) + CHOOSE(CONTROL!$C$27, 0.0021, 0)</f>
        <v>47.0852</v>
      </c>
      <c r="D532" s="17">
        <f>47.0831 * CHOOSE(CONTROL!$C$9, $D$9, 100%, $F$9) + CHOOSE(CONTROL!$C$27, 0.0021, 0)</f>
        <v>47.0852</v>
      </c>
      <c r="E532" s="17">
        <f>46.9465 * CHOOSE(CONTROL!$C$9, $D$9, 100%, $F$9) + CHOOSE(CONTROL!$C$27, 0.0021, 0)</f>
        <v>46.948599999999999</v>
      </c>
      <c r="F532" s="17">
        <f>46.9465 * CHOOSE(CONTROL!$C$9, $D$9, 100%, $F$9) + CHOOSE(CONTROL!$C$27, 0.0021, 0)</f>
        <v>46.948599999999999</v>
      </c>
      <c r="G532" s="17">
        <f>47.2179 * CHOOSE(CONTROL!$C$9, $D$9, 100%, $F$9) + CHOOSE(CONTROL!$C$27, 0.0021, 0)</f>
        <v>47.22</v>
      </c>
      <c r="H532" s="17">
        <f>47.0831 * CHOOSE(CONTROL!$C$9, $D$9, 100%, $F$9) + CHOOSE(CONTROL!$C$27, 0.0021, 0)</f>
        <v>47.0852</v>
      </c>
      <c r="I532" s="17">
        <f>47.0831 * CHOOSE(CONTROL!$C$9, $D$9, 100%, $F$9) + CHOOSE(CONTROL!$C$27, 0.0021, 0)</f>
        <v>47.0852</v>
      </c>
      <c r="J532" s="17">
        <f>47.0831 * CHOOSE(CONTROL!$C$9, $D$9, 100%, $F$9) + CHOOSE(CONTROL!$C$27, 0.0021, 0)</f>
        <v>47.0852</v>
      </c>
      <c r="K532" s="17">
        <f>47.0831 * CHOOSE(CONTROL!$C$9, $D$9, 100%, $F$9) + CHOOSE(CONTROL!$C$27, 0.0021, 0)</f>
        <v>47.0852</v>
      </c>
      <c r="L532" s="17"/>
    </row>
    <row r="533" spans="1:12" ht="15.75" x14ac:dyDescent="0.25">
      <c r="A533" s="13">
        <v>56795</v>
      </c>
      <c r="B533" s="17">
        <f>48.0725 * CHOOSE(CONTROL!$C$9, $D$9, 100%, $F$9) + CHOOSE(CONTROL!$C$27, 0.0021, 0)</f>
        <v>48.074599999999997</v>
      </c>
      <c r="C533" s="17">
        <f>47.6403 * CHOOSE(CONTROL!$C$9, $D$9, 100%, $F$9) + CHOOSE(CONTROL!$C$27, 0.0021, 0)</f>
        <v>47.642400000000002</v>
      </c>
      <c r="D533" s="17">
        <f>47.6403 * CHOOSE(CONTROL!$C$9, $D$9, 100%, $F$9) + CHOOSE(CONTROL!$C$27, 0.0021, 0)</f>
        <v>47.642400000000002</v>
      </c>
      <c r="E533" s="17">
        <f>47.5036 * CHOOSE(CONTROL!$C$9, $D$9, 100%, $F$9) + CHOOSE(CONTROL!$C$27, 0.0021, 0)</f>
        <v>47.505699999999997</v>
      </c>
      <c r="F533" s="17">
        <f>47.5036 * CHOOSE(CONTROL!$C$9, $D$9, 100%, $F$9) + CHOOSE(CONTROL!$C$27, 0.0021, 0)</f>
        <v>47.505699999999997</v>
      </c>
      <c r="G533" s="17">
        <f>47.775 * CHOOSE(CONTROL!$C$9, $D$9, 100%, $F$9) + CHOOSE(CONTROL!$C$27, 0.0021, 0)</f>
        <v>47.777099999999997</v>
      </c>
      <c r="H533" s="17">
        <f>47.6403 * CHOOSE(CONTROL!$C$9, $D$9, 100%, $F$9) + CHOOSE(CONTROL!$C$27, 0.0021, 0)</f>
        <v>47.642400000000002</v>
      </c>
      <c r="I533" s="17">
        <f>47.6403 * CHOOSE(CONTROL!$C$9, $D$9, 100%, $F$9) + CHOOSE(CONTROL!$C$27, 0.0021, 0)</f>
        <v>47.642400000000002</v>
      </c>
      <c r="J533" s="17">
        <f>47.6403 * CHOOSE(CONTROL!$C$9, $D$9, 100%, $F$9) + CHOOSE(CONTROL!$C$27, 0.0021, 0)</f>
        <v>47.642400000000002</v>
      </c>
      <c r="K533" s="17">
        <f>47.6403 * CHOOSE(CONTROL!$C$9, $D$9, 100%, $F$9) + CHOOSE(CONTROL!$C$27, 0.0021, 0)</f>
        <v>47.642400000000002</v>
      </c>
      <c r="L533" s="17"/>
    </row>
    <row r="534" spans="1:12" ht="15.75" x14ac:dyDescent="0.25">
      <c r="A534" s="13">
        <v>56826</v>
      </c>
      <c r="B534" s="17">
        <f>48.9916 * CHOOSE(CONTROL!$C$9, $D$9, 100%, $F$9) + CHOOSE(CONTROL!$C$27, 0.0021, 0)</f>
        <v>48.993699999999997</v>
      </c>
      <c r="C534" s="17">
        <f>48.5593 * CHOOSE(CONTROL!$C$9, $D$9, 100%, $F$9) + CHOOSE(CONTROL!$C$27, 0.0021, 0)</f>
        <v>48.561399999999999</v>
      </c>
      <c r="D534" s="17">
        <f>48.5593 * CHOOSE(CONTROL!$C$9, $D$9, 100%, $F$9) + CHOOSE(CONTROL!$C$27, 0.0021, 0)</f>
        <v>48.561399999999999</v>
      </c>
      <c r="E534" s="17">
        <f>48.4227 * CHOOSE(CONTROL!$C$9, $D$9, 100%, $F$9) + CHOOSE(CONTROL!$C$27, 0.0021, 0)</f>
        <v>48.424799999999998</v>
      </c>
      <c r="F534" s="17">
        <f>48.4227 * CHOOSE(CONTROL!$C$9, $D$9, 100%, $F$9) + CHOOSE(CONTROL!$C$27, 0.0021, 0)</f>
        <v>48.424799999999998</v>
      </c>
      <c r="G534" s="17">
        <f>48.6941 * CHOOSE(CONTROL!$C$9, $D$9, 100%, $F$9) + CHOOSE(CONTROL!$C$27, 0.0021, 0)</f>
        <v>48.696199999999997</v>
      </c>
      <c r="H534" s="17">
        <f>48.5593 * CHOOSE(CONTROL!$C$9, $D$9, 100%, $F$9) + CHOOSE(CONTROL!$C$27, 0.0021, 0)</f>
        <v>48.561399999999999</v>
      </c>
      <c r="I534" s="17">
        <f>48.5593 * CHOOSE(CONTROL!$C$9, $D$9, 100%, $F$9) + CHOOSE(CONTROL!$C$27, 0.0021, 0)</f>
        <v>48.561399999999999</v>
      </c>
      <c r="J534" s="17">
        <f>48.5593 * CHOOSE(CONTROL!$C$9, $D$9, 100%, $F$9) + CHOOSE(CONTROL!$C$27, 0.0021, 0)</f>
        <v>48.561399999999999</v>
      </c>
      <c r="K534" s="17">
        <f>48.5593 * CHOOSE(CONTROL!$C$9, $D$9, 100%, $F$9) + CHOOSE(CONTROL!$C$27, 0.0021, 0)</f>
        <v>48.561399999999999</v>
      </c>
      <c r="L534" s="17"/>
    </row>
    <row r="535" spans="1:12" ht="15.75" x14ac:dyDescent="0.25">
      <c r="A535" s="13">
        <v>56857</v>
      </c>
      <c r="B535" s="17">
        <f>49.2721 * CHOOSE(CONTROL!$C$9, $D$9, 100%, $F$9) + CHOOSE(CONTROL!$C$27, 0.0021, 0)</f>
        <v>49.2742</v>
      </c>
      <c r="C535" s="17">
        <f>48.8399 * CHOOSE(CONTROL!$C$9, $D$9, 100%, $F$9) + CHOOSE(CONTROL!$C$27, 0.0021, 0)</f>
        <v>48.841999999999999</v>
      </c>
      <c r="D535" s="17">
        <f>48.8399 * CHOOSE(CONTROL!$C$9, $D$9, 100%, $F$9) + CHOOSE(CONTROL!$C$27, 0.0021, 0)</f>
        <v>48.841999999999999</v>
      </c>
      <c r="E535" s="17">
        <f>48.7032 * CHOOSE(CONTROL!$C$9, $D$9, 100%, $F$9) + CHOOSE(CONTROL!$C$27, 0.0021, 0)</f>
        <v>48.705300000000001</v>
      </c>
      <c r="F535" s="17">
        <f>48.7032 * CHOOSE(CONTROL!$C$9, $D$9, 100%, $F$9) + CHOOSE(CONTROL!$C$27, 0.0021, 0)</f>
        <v>48.705300000000001</v>
      </c>
      <c r="G535" s="17">
        <f>48.9746 * CHOOSE(CONTROL!$C$9, $D$9, 100%, $F$9) + CHOOSE(CONTROL!$C$27, 0.0021, 0)</f>
        <v>48.976700000000001</v>
      </c>
      <c r="H535" s="17">
        <f>48.8399 * CHOOSE(CONTROL!$C$9, $D$9, 100%, $F$9) + CHOOSE(CONTROL!$C$27, 0.0021, 0)</f>
        <v>48.841999999999999</v>
      </c>
      <c r="I535" s="17">
        <f>48.8399 * CHOOSE(CONTROL!$C$9, $D$9, 100%, $F$9) + CHOOSE(CONTROL!$C$27, 0.0021, 0)</f>
        <v>48.841999999999999</v>
      </c>
      <c r="J535" s="17">
        <f>48.8399 * CHOOSE(CONTROL!$C$9, $D$9, 100%, $F$9) + CHOOSE(CONTROL!$C$27, 0.0021, 0)</f>
        <v>48.841999999999999</v>
      </c>
      <c r="K535" s="17">
        <f>48.8399 * CHOOSE(CONTROL!$C$9, $D$9, 100%, $F$9) + CHOOSE(CONTROL!$C$27, 0.0021, 0)</f>
        <v>48.841999999999999</v>
      </c>
      <c r="L535" s="17"/>
    </row>
    <row r="536" spans="1:12" ht="15.75" x14ac:dyDescent="0.25">
      <c r="A536" s="13">
        <v>56887</v>
      </c>
      <c r="B536" s="17">
        <f>50.2275 * CHOOSE(CONTROL!$C$9, $D$9, 100%, $F$9) + CHOOSE(CONTROL!$C$27, 0.0021, 0)</f>
        <v>50.229599999999998</v>
      </c>
      <c r="C536" s="17">
        <f>49.7952 * CHOOSE(CONTROL!$C$9, $D$9, 100%, $F$9) + CHOOSE(CONTROL!$C$27, 0.0021, 0)</f>
        <v>49.7973</v>
      </c>
      <c r="D536" s="17">
        <f>49.7952 * CHOOSE(CONTROL!$C$9, $D$9, 100%, $F$9) + CHOOSE(CONTROL!$C$27, 0.0021, 0)</f>
        <v>49.7973</v>
      </c>
      <c r="E536" s="17">
        <f>49.6585 * CHOOSE(CONTROL!$C$9, $D$9, 100%, $F$9) + CHOOSE(CONTROL!$C$27, 0.0021, 0)</f>
        <v>49.660599999999995</v>
      </c>
      <c r="F536" s="17">
        <f>49.6585 * CHOOSE(CONTROL!$C$9, $D$9, 100%, $F$9) + CHOOSE(CONTROL!$C$27, 0.0021, 0)</f>
        <v>49.660599999999995</v>
      </c>
      <c r="G536" s="17">
        <f>49.9299 * CHOOSE(CONTROL!$C$9, $D$9, 100%, $F$9) + CHOOSE(CONTROL!$C$27, 0.0021, 0)</f>
        <v>49.932000000000002</v>
      </c>
      <c r="H536" s="17">
        <f>49.7952 * CHOOSE(CONTROL!$C$9, $D$9, 100%, $F$9) + CHOOSE(CONTROL!$C$27, 0.0021, 0)</f>
        <v>49.7973</v>
      </c>
      <c r="I536" s="17">
        <f>49.7952 * CHOOSE(CONTROL!$C$9, $D$9, 100%, $F$9) + CHOOSE(CONTROL!$C$27, 0.0021, 0)</f>
        <v>49.7973</v>
      </c>
      <c r="J536" s="17">
        <f>49.7952 * CHOOSE(CONTROL!$C$9, $D$9, 100%, $F$9) + CHOOSE(CONTROL!$C$27, 0.0021, 0)</f>
        <v>49.7973</v>
      </c>
      <c r="K536" s="17">
        <f>49.7952 * CHOOSE(CONTROL!$C$9, $D$9, 100%, $F$9) + CHOOSE(CONTROL!$C$27, 0.0021, 0)</f>
        <v>49.7973</v>
      </c>
      <c r="L536" s="17"/>
    </row>
    <row r="537" spans="1:12" ht="15.75" x14ac:dyDescent="0.25">
      <c r="A537" s="13">
        <v>56918</v>
      </c>
      <c r="B537" s="17">
        <f>51.4367 * CHOOSE(CONTROL!$C$9, $D$9, 100%, $F$9) + CHOOSE(CONTROL!$C$27, 0.0021, 0)</f>
        <v>51.438800000000001</v>
      </c>
      <c r="C537" s="17">
        <f>51.0045 * CHOOSE(CONTROL!$C$9, $D$9, 100%, $F$9) + CHOOSE(CONTROL!$C$27, 0.0021, 0)</f>
        <v>51.006599999999999</v>
      </c>
      <c r="D537" s="17">
        <f>51.0045 * CHOOSE(CONTROL!$C$9, $D$9, 100%, $F$9) + CHOOSE(CONTROL!$C$27, 0.0021, 0)</f>
        <v>51.006599999999999</v>
      </c>
      <c r="E537" s="17">
        <f>50.8678 * CHOOSE(CONTROL!$C$9, $D$9, 100%, $F$9) + CHOOSE(CONTROL!$C$27, 0.0021, 0)</f>
        <v>50.869900000000001</v>
      </c>
      <c r="F537" s="17">
        <f>50.8678 * CHOOSE(CONTROL!$C$9, $D$9, 100%, $F$9) + CHOOSE(CONTROL!$C$27, 0.0021, 0)</f>
        <v>50.869900000000001</v>
      </c>
      <c r="G537" s="17">
        <f>51.1392 * CHOOSE(CONTROL!$C$9, $D$9, 100%, $F$9) + CHOOSE(CONTROL!$C$27, 0.0021, 0)</f>
        <v>51.141300000000001</v>
      </c>
      <c r="H537" s="17">
        <f>51.0045 * CHOOSE(CONTROL!$C$9, $D$9, 100%, $F$9) + CHOOSE(CONTROL!$C$27, 0.0021, 0)</f>
        <v>51.006599999999999</v>
      </c>
      <c r="I537" s="17">
        <f>51.0045 * CHOOSE(CONTROL!$C$9, $D$9, 100%, $F$9) + CHOOSE(CONTROL!$C$27, 0.0021, 0)</f>
        <v>51.006599999999999</v>
      </c>
      <c r="J537" s="17">
        <f>51.0045 * CHOOSE(CONTROL!$C$9, $D$9, 100%, $F$9) + CHOOSE(CONTROL!$C$27, 0.0021, 0)</f>
        <v>51.006599999999999</v>
      </c>
      <c r="K537" s="17">
        <f>51.0045 * CHOOSE(CONTROL!$C$9, $D$9, 100%, $F$9) + CHOOSE(CONTROL!$C$27, 0.0021, 0)</f>
        <v>51.006599999999999</v>
      </c>
      <c r="L537" s="17"/>
    </row>
    <row r="538" spans="1:12" ht="15.75" x14ac:dyDescent="0.25">
      <c r="A538" s="13">
        <v>56948</v>
      </c>
      <c r="B538" s="17">
        <f>51.5503 * CHOOSE(CONTROL!$C$9, $D$9, 100%, $F$9) + CHOOSE(CONTROL!$C$27, 0.0021, 0)</f>
        <v>51.552399999999999</v>
      </c>
      <c r="C538" s="17">
        <f>51.118 * CHOOSE(CONTROL!$C$9, $D$9, 100%, $F$9) + CHOOSE(CONTROL!$C$27, 0.0021, 0)</f>
        <v>51.120100000000001</v>
      </c>
      <c r="D538" s="17">
        <f>51.118 * CHOOSE(CONTROL!$C$9, $D$9, 100%, $F$9) + CHOOSE(CONTROL!$C$27, 0.0021, 0)</f>
        <v>51.120100000000001</v>
      </c>
      <c r="E538" s="17">
        <f>50.9814 * CHOOSE(CONTROL!$C$9, $D$9, 100%, $F$9) + CHOOSE(CONTROL!$C$27, 0.0021, 0)</f>
        <v>50.983499999999999</v>
      </c>
      <c r="F538" s="17">
        <f>50.9814 * CHOOSE(CONTROL!$C$9, $D$9, 100%, $F$9) + CHOOSE(CONTROL!$C$27, 0.0021, 0)</f>
        <v>50.983499999999999</v>
      </c>
      <c r="G538" s="17">
        <f>51.2527 * CHOOSE(CONTROL!$C$9, $D$9, 100%, $F$9) + CHOOSE(CONTROL!$C$27, 0.0021, 0)</f>
        <v>51.254799999999996</v>
      </c>
      <c r="H538" s="17">
        <f>51.118 * CHOOSE(CONTROL!$C$9, $D$9, 100%, $F$9) + CHOOSE(CONTROL!$C$27, 0.0021, 0)</f>
        <v>51.120100000000001</v>
      </c>
      <c r="I538" s="17">
        <f>51.118 * CHOOSE(CONTROL!$C$9, $D$9, 100%, $F$9) + CHOOSE(CONTROL!$C$27, 0.0021, 0)</f>
        <v>51.120100000000001</v>
      </c>
      <c r="J538" s="17">
        <f>51.118 * CHOOSE(CONTROL!$C$9, $D$9, 100%, $F$9) + CHOOSE(CONTROL!$C$27, 0.0021, 0)</f>
        <v>51.120100000000001</v>
      </c>
      <c r="K538" s="17">
        <f>51.118 * CHOOSE(CONTROL!$C$9, $D$9, 100%, $F$9) + CHOOSE(CONTROL!$C$27, 0.0021, 0)</f>
        <v>51.120100000000001</v>
      </c>
      <c r="L538" s="17"/>
    </row>
    <row r="539" spans="1:12" ht="15.75" x14ac:dyDescent="0.25">
      <c r="A539" s="13">
        <v>56979</v>
      </c>
      <c r="B539" s="17">
        <f>50.5844 * CHOOSE(CONTROL!$C$9, $D$9, 100%, $F$9) + CHOOSE(CONTROL!$C$27, 0.0021, 0)</f>
        <v>50.586500000000001</v>
      </c>
      <c r="C539" s="17">
        <f>50.1522 * CHOOSE(CONTROL!$C$9, $D$9, 100%, $F$9) + CHOOSE(CONTROL!$C$27, 0.0021, 0)</f>
        <v>50.154299999999999</v>
      </c>
      <c r="D539" s="17">
        <f>50.1522 * CHOOSE(CONTROL!$C$9, $D$9, 100%, $F$9) + CHOOSE(CONTROL!$C$27, 0.0021, 0)</f>
        <v>50.154299999999999</v>
      </c>
      <c r="E539" s="17">
        <f>50.0155 * CHOOSE(CONTROL!$C$9, $D$9, 100%, $F$9) + CHOOSE(CONTROL!$C$27, 0.0021, 0)</f>
        <v>50.017600000000002</v>
      </c>
      <c r="F539" s="17">
        <f>50.0155 * CHOOSE(CONTROL!$C$9, $D$9, 100%, $F$9) + CHOOSE(CONTROL!$C$27, 0.0021, 0)</f>
        <v>50.017600000000002</v>
      </c>
      <c r="G539" s="17">
        <f>50.2869 * CHOOSE(CONTROL!$C$9, $D$9, 100%, $F$9) + CHOOSE(CONTROL!$C$27, 0.0021, 0)</f>
        <v>50.289000000000001</v>
      </c>
      <c r="H539" s="17">
        <f>50.1522 * CHOOSE(CONTROL!$C$9, $D$9, 100%, $F$9) + CHOOSE(CONTROL!$C$27, 0.0021, 0)</f>
        <v>50.154299999999999</v>
      </c>
      <c r="I539" s="17">
        <f>50.1522 * CHOOSE(CONTROL!$C$9, $D$9, 100%, $F$9) + CHOOSE(CONTROL!$C$27, 0.0021, 0)</f>
        <v>50.154299999999999</v>
      </c>
      <c r="J539" s="17">
        <f>50.1522 * CHOOSE(CONTROL!$C$9, $D$9, 100%, $F$9) + CHOOSE(CONTROL!$C$27, 0.0021, 0)</f>
        <v>50.154299999999999</v>
      </c>
      <c r="K539" s="17">
        <f>50.1522 * CHOOSE(CONTROL!$C$9, $D$9, 100%, $F$9) + CHOOSE(CONTROL!$C$27, 0.0021, 0)</f>
        <v>50.154299999999999</v>
      </c>
      <c r="L539" s="17"/>
    </row>
    <row r="540" spans="1:12" ht="15.75" x14ac:dyDescent="0.25">
      <c r="A540" s="13">
        <v>57010</v>
      </c>
      <c r="B540" s="17">
        <f>49.623 * CHOOSE(CONTROL!$C$9, $D$9, 100%, $F$9) + CHOOSE(CONTROL!$C$27, 0.0021, 0)</f>
        <v>49.625099999999996</v>
      </c>
      <c r="C540" s="17">
        <f>49.1907 * CHOOSE(CONTROL!$C$9, $D$9, 100%, $F$9) + CHOOSE(CONTROL!$C$27, 0.0021, 0)</f>
        <v>49.192799999999998</v>
      </c>
      <c r="D540" s="17">
        <f>49.1907 * CHOOSE(CONTROL!$C$9, $D$9, 100%, $F$9) + CHOOSE(CONTROL!$C$27, 0.0021, 0)</f>
        <v>49.192799999999998</v>
      </c>
      <c r="E540" s="17">
        <f>49.054 * CHOOSE(CONTROL!$C$9, $D$9, 100%, $F$9) + CHOOSE(CONTROL!$C$27, 0.0021, 0)</f>
        <v>49.056100000000001</v>
      </c>
      <c r="F540" s="17">
        <f>49.054 * CHOOSE(CONTROL!$C$9, $D$9, 100%, $F$9) + CHOOSE(CONTROL!$C$27, 0.0021, 0)</f>
        <v>49.056100000000001</v>
      </c>
      <c r="G540" s="17">
        <f>49.3254 * CHOOSE(CONTROL!$C$9, $D$9, 100%, $F$9) + CHOOSE(CONTROL!$C$27, 0.0021, 0)</f>
        <v>49.327500000000001</v>
      </c>
      <c r="H540" s="17">
        <f>49.1907 * CHOOSE(CONTROL!$C$9, $D$9, 100%, $F$9) + CHOOSE(CONTROL!$C$27, 0.0021, 0)</f>
        <v>49.192799999999998</v>
      </c>
      <c r="I540" s="17">
        <f>49.1907 * CHOOSE(CONTROL!$C$9, $D$9, 100%, $F$9) + CHOOSE(CONTROL!$C$27, 0.0021, 0)</f>
        <v>49.192799999999998</v>
      </c>
      <c r="J540" s="17">
        <f>49.1907 * CHOOSE(CONTROL!$C$9, $D$9, 100%, $F$9) + CHOOSE(CONTROL!$C$27, 0.0021, 0)</f>
        <v>49.192799999999998</v>
      </c>
      <c r="K540" s="17">
        <f>49.1907 * CHOOSE(CONTROL!$C$9, $D$9, 100%, $F$9) + CHOOSE(CONTROL!$C$27, 0.0021, 0)</f>
        <v>49.192799999999998</v>
      </c>
      <c r="L540" s="17"/>
    </row>
    <row r="541" spans="1:12" ht="15.75" x14ac:dyDescent="0.25">
      <c r="A541" s="13">
        <v>57038</v>
      </c>
      <c r="B541" s="17">
        <f>48.2842 * CHOOSE(CONTROL!$C$9, $D$9, 100%, $F$9) + CHOOSE(CONTROL!$C$27, 0.0021, 0)</f>
        <v>48.286299999999997</v>
      </c>
      <c r="C541" s="17">
        <f>47.8519 * CHOOSE(CONTROL!$C$9, $D$9, 100%, $F$9) + CHOOSE(CONTROL!$C$27, 0.0021, 0)</f>
        <v>47.853999999999999</v>
      </c>
      <c r="D541" s="17">
        <f>47.8519 * CHOOSE(CONTROL!$C$9, $D$9, 100%, $F$9) + CHOOSE(CONTROL!$C$27, 0.0021, 0)</f>
        <v>47.853999999999999</v>
      </c>
      <c r="E541" s="17">
        <f>47.7153 * CHOOSE(CONTROL!$C$9, $D$9, 100%, $F$9) + CHOOSE(CONTROL!$C$27, 0.0021, 0)</f>
        <v>47.717399999999998</v>
      </c>
      <c r="F541" s="17">
        <f>47.7153 * CHOOSE(CONTROL!$C$9, $D$9, 100%, $F$9) + CHOOSE(CONTROL!$C$27, 0.0021, 0)</f>
        <v>47.717399999999998</v>
      </c>
      <c r="G541" s="17">
        <f>47.9867 * CHOOSE(CONTROL!$C$9, $D$9, 100%, $F$9) + CHOOSE(CONTROL!$C$27, 0.0021, 0)</f>
        <v>47.988799999999998</v>
      </c>
      <c r="H541" s="17">
        <f>47.8519 * CHOOSE(CONTROL!$C$9, $D$9, 100%, $F$9) + CHOOSE(CONTROL!$C$27, 0.0021, 0)</f>
        <v>47.853999999999999</v>
      </c>
      <c r="I541" s="17">
        <f>47.8519 * CHOOSE(CONTROL!$C$9, $D$9, 100%, $F$9) + CHOOSE(CONTROL!$C$27, 0.0021, 0)</f>
        <v>47.853999999999999</v>
      </c>
      <c r="J541" s="17">
        <f>47.8519 * CHOOSE(CONTROL!$C$9, $D$9, 100%, $F$9) + CHOOSE(CONTROL!$C$27, 0.0021, 0)</f>
        <v>47.853999999999999</v>
      </c>
      <c r="K541" s="17">
        <f>47.8519 * CHOOSE(CONTROL!$C$9, $D$9, 100%, $F$9) + CHOOSE(CONTROL!$C$27, 0.0021, 0)</f>
        <v>47.853999999999999</v>
      </c>
      <c r="L541" s="17"/>
    </row>
    <row r="542" spans="1:12" ht="15.75" x14ac:dyDescent="0.25">
      <c r="A542" s="13">
        <v>57070</v>
      </c>
      <c r="B542" s="17">
        <f>47.7315 * CHOOSE(CONTROL!$C$9, $D$9, 100%, $F$9) + CHOOSE(CONTROL!$C$27, 0.0021, 0)</f>
        <v>47.733599999999996</v>
      </c>
      <c r="C542" s="17">
        <f>47.2993 * CHOOSE(CONTROL!$C$9, $D$9, 100%, $F$9) + CHOOSE(CONTROL!$C$27, 0.0021, 0)</f>
        <v>47.301400000000001</v>
      </c>
      <c r="D542" s="17">
        <f>47.2993 * CHOOSE(CONTROL!$C$9, $D$9, 100%, $F$9) + CHOOSE(CONTROL!$C$27, 0.0021, 0)</f>
        <v>47.301400000000001</v>
      </c>
      <c r="E542" s="17">
        <f>47.1626 * CHOOSE(CONTROL!$C$9, $D$9, 100%, $F$9) + CHOOSE(CONTROL!$C$27, 0.0021, 0)</f>
        <v>47.164699999999996</v>
      </c>
      <c r="F542" s="17">
        <f>47.1626 * CHOOSE(CONTROL!$C$9, $D$9, 100%, $F$9) + CHOOSE(CONTROL!$C$27, 0.0021, 0)</f>
        <v>47.164699999999996</v>
      </c>
      <c r="G542" s="17">
        <f>47.434 * CHOOSE(CONTROL!$C$9, $D$9, 100%, $F$9) + CHOOSE(CONTROL!$C$27, 0.0021, 0)</f>
        <v>47.436099999999996</v>
      </c>
      <c r="H542" s="17">
        <f>47.2993 * CHOOSE(CONTROL!$C$9, $D$9, 100%, $F$9) + CHOOSE(CONTROL!$C$27, 0.0021, 0)</f>
        <v>47.301400000000001</v>
      </c>
      <c r="I542" s="17">
        <f>47.2993 * CHOOSE(CONTROL!$C$9, $D$9, 100%, $F$9) + CHOOSE(CONTROL!$C$27, 0.0021, 0)</f>
        <v>47.301400000000001</v>
      </c>
      <c r="J542" s="17">
        <f>47.2993 * CHOOSE(CONTROL!$C$9, $D$9, 100%, $F$9) + CHOOSE(CONTROL!$C$27, 0.0021, 0)</f>
        <v>47.301400000000001</v>
      </c>
      <c r="K542" s="17">
        <f>47.2993 * CHOOSE(CONTROL!$C$9, $D$9, 100%, $F$9) + CHOOSE(CONTROL!$C$27, 0.0021, 0)</f>
        <v>47.301400000000001</v>
      </c>
      <c r="L542" s="17"/>
    </row>
    <row r="543" spans="1:12" ht="15.75" x14ac:dyDescent="0.25">
      <c r="A543" s="13">
        <v>57100</v>
      </c>
      <c r="B543" s="17">
        <f>47.0717 * CHOOSE(CONTROL!$C$9, $D$9, 100%, $F$9) + CHOOSE(CONTROL!$C$27, 0.0021, 0)</f>
        <v>47.073799999999999</v>
      </c>
      <c r="C543" s="17">
        <f>46.6394 * CHOOSE(CONTROL!$C$9, $D$9, 100%, $F$9) + CHOOSE(CONTROL!$C$27, 0.0021, 0)</f>
        <v>46.641500000000001</v>
      </c>
      <c r="D543" s="17">
        <f>46.6394 * CHOOSE(CONTROL!$C$9, $D$9, 100%, $F$9) + CHOOSE(CONTROL!$C$27, 0.0021, 0)</f>
        <v>46.641500000000001</v>
      </c>
      <c r="E543" s="17">
        <f>46.5028 * CHOOSE(CONTROL!$C$9, $D$9, 100%, $F$9) + CHOOSE(CONTROL!$C$27, 0.0021, 0)</f>
        <v>46.504899999999999</v>
      </c>
      <c r="F543" s="17">
        <f>46.5028 * CHOOSE(CONTROL!$C$9, $D$9, 100%, $F$9) + CHOOSE(CONTROL!$C$27, 0.0021, 0)</f>
        <v>46.504899999999999</v>
      </c>
      <c r="G543" s="17">
        <f>46.7742 * CHOOSE(CONTROL!$C$9, $D$9, 100%, $F$9) + CHOOSE(CONTROL!$C$27, 0.0021, 0)</f>
        <v>46.776299999999999</v>
      </c>
      <c r="H543" s="17">
        <f>46.6394 * CHOOSE(CONTROL!$C$9, $D$9, 100%, $F$9) + CHOOSE(CONTROL!$C$27, 0.0021, 0)</f>
        <v>46.641500000000001</v>
      </c>
      <c r="I543" s="17">
        <f>46.6394 * CHOOSE(CONTROL!$C$9, $D$9, 100%, $F$9) + CHOOSE(CONTROL!$C$27, 0.0021, 0)</f>
        <v>46.641500000000001</v>
      </c>
      <c r="J543" s="17">
        <f>46.6394 * CHOOSE(CONTROL!$C$9, $D$9, 100%, $F$9) + CHOOSE(CONTROL!$C$27, 0.0021, 0)</f>
        <v>46.641500000000001</v>
      </c>
      <c r="K543" s="17">
        <f>46.6394 * CHOOSE(CONTROL!$C$9, $D$9, 100%, $F$9) + CHOOSE(CONTROL!$C$27, 0.0021, 0)</f>
        <v>46.641500000000001</v>
      </c>
      <c r="L543" s="17"/>
    </row>
    <row r="544" spans="1:12" ht="15.75" x14ac:dyDescent="0.25">
      <c r="A544" s="13">
        <v>57131</v>
      </c>
      <c r="B544" s="17">
        <f>48.0121 * CHOOSE(CONTROL!$C$9, $D$9, 100%, $F$9) + CHOOSE(CONTROL!$C$27, 0.0021, 0)</f>
        <v>48.014199999999995</v>
      </c>
      <c r="C544" s="17">
        <f>47.5798 * CHOOSE(CONTROL!$C$9, $D$9, 100%, $F$9) + CHOOSE(CONTROL!$C$27, 0.0021, 0)</f>
        <v>47.581899999999997</v>
      </c>
      <c r="D544" s="17">
        <f>47.5798 * CHOOSE(CONTROL!$C$9, $D$9, 100%, $F$9) + CHOOSE(CONTROL!$C$27, 0.0021, 0)</f>
        <v>47.581899999999997</v>
      </c>
      <c r="E544" s="17">
        <f>47.4432 * CHOOSE(CONTROL!$C$9, $D$9, 100%, $F$9) + CHOOSE(CONTROL!$C$27, 0.0021, 0)</f>
        <v>47.445299999999996</v>
      </c>
      <c r="F544" s="17">
        <f>47.4432 * CHOOSE(CONTROL!$C$9, $D$9, 100%, $F$9) + CHOOSE(CONTROL!$C$27, 0.0021, 0)</f>
        <v>47.445299999999996</v>
      </c>
      <c r="G544" s="17">
        <f>47.7145 * CHOOSE(CONTROL!$C$9, $D$9, 100%, $F$9) + CHOOSE(CONTROL!$C$27, 0.0021, 0)</f>
        <v>47.7166</v>
      </c>
      <c r="H544" s="17">
        <f>47.5798 * CHOOSE(CONTROL!$C$9, $D$9, 100%, $F$9) + CHOOSE(CONTROL!$C$27, 0.0021, 0)</f>
        <v>47.581899999999997</v>
      </c>
      <c r="I544" s="17">
        <f>47.5798 * CHOOSE(CONTROL!$C$9, $D$9, 100%, $F$9) + CHOOSE(CONTROL!$C$27, 0.0021, 0)</f>
        <v>47.581899999999997</v>
      </c>
      <c r="J544" s="17">
        <f>47.5798 * CHOOSE(CONTROL!$C$9, $D$9, 100%, $F$9) + CHOOSE(CONTROL!$C$27, 0.0021, 0)</f>
        <v>47.581899999999997</v>
      </c>
      <c r="K544" s="17">
        <f>47.5798 * CHOOSE(CONTROL!$C$9, $D$9, 100%, $F$9) + CHOOSE(CONTROL!$C$27, 0.0021, 0)</f>
        <v>47.581899999999997</v>
      </c>
      <c r="L544" s="17"/>
    </row>
    <row r="545" spans="1:12" ht="15.75" x14ac:dyDescent="0.25">
      <c r="A545" s="13">
        <v>57161</v>
      </c>
      <c r="B545" s="17">
        <f>48.5753 * CHOOSE(CONTROL!$C$9, $D$9, 100%, $F$9) + CHOOSE(CONTROL!$C$27, 0.0021, 0)</f>
        <v>48.577399999999997</v>
      </c>
      <c r="C545" s="17">
        <f>48.1431 * CHOOSE(CONTROL!$C$9, $D$9, 100%, $F$9) + CHOOSE(CONTROL!$C$27, 0.0021, 0)</f>
        <v>48.145199999999996</v>
      </c>
      <c r="D545" s="17">
        <f>48.1431 * CHOOSE(CONTROL!$C$9, $D$9, 100%, $F$9) + CHOOSE(CONTROL!$C$27, 0.0021, 0)</f>
        <v>48.145199999999996</v>
      </c>
      <c r="E545" s="17">
        <f>48.0064 * CHOOSE(CONTROL!$C$9, $D$9, 100%, $F$9) + CHOOSE(CONTROL!$C$27, 0.0021, 0)</f>
        <v>48.008499999999998</v>
      </c>
      <c r="F545" s="17">
        <f>48.0064 * CHOOSE(CONTROL!$C$9, $D$9, 100%, $F$9) + CHOOSE(CONTROL!$C$27, 0.0021, 0)</f>
        <v>48.008499999999998</v>
      </c>
      <c r="G545" s="17">
        <f>48.2778 * CHOOSE(CONTROL!$C$9, $D$9, 100%, $F$9) + CHOOSE(CONTROL!$C$27, 0.0021, 0)</f>
        <v>48.279899999999998</v>
      </c>
      <c r="H545" s="17">
        <f>48.1431 * CHOOSE(CONTROL!$C$9, $D$9, 100%, $F$9) + CHOOSE(CONTROL!$C$27, 0.0021, 0)</f>
        <v>48.145199999999996</v>
      </c>
      <c r="I545" s="17">
        <f>48.1431 * CHOOSE(CONTROL!$C$9, $D$9, 100%, $F$9) + CHOOSE(CONTROL!$C$27, 0.0021, 0)</f>
        <v>48.145199999999996</v>
      </c>
      <c r="J545" s="17">
        <f>48.1431 * CHOOSE(CONTROL!$C$9, $D$9, 100%, $F$9) + CHOOSE(CONTROL!$C$27, 0.0021, 0)</f>
        <v>48.145199999999996</v>
      </c>
      <c r="K545" s="17">
        <f>48.1431 * CHOOSE(CONTROL!$C$9, $D$9, 100%, $F$9) + CHOOSE(CONTROL!$C$27, 0.0021, 0)</f>
        <v>48.145199999999996</v>
      </c>
      <c r="L545" s="17"/>
    </row>
    <row r="546" spans="1:12" ht="15.75" x14ac:dyDescent="0.25">
      <c r="A546" s="13">
        <v>57192</v>
      </c>
      <c r="B546" s="17">
        <f>49.5045 * CHOOSE(CONTROL!$C$9, $D$9, 100%, $F$9) + CHOOSE(CONTROL!$C$27, 0.0021, 0)</f>
        <v>49.506599999999999</v>
      </c>
      <c r="C546" s="17">
        <f>49.0722 * CHOOSE(CONTROL!$C$9, $D$9, 100%, $F$9) + CHOOSE(CONTROL!$C$27, 0.0021, 0)</f>
        <v>49.074300000000001</v>
      </c>
      <c r="D546" s="17">
        <f>49.0722 * CHOOSE(CONTROL!$C$9, $D$9, 100%, $F$9) + CHOOSE(CONTROL!$C$27, 0.0021, 0)</f>
        <v>49.074300000000001</v>
      </c>
      <c r="E546" s="17">
        <f>48.9356 * CHOOSE(CONTROL!$C$9, $D$9, 100%, $F$9) + CHOOSE(CONTROL!$C$27, 0.0021, 0)</f>
        <v>48.9377</v>
      </c>
      <c r="F546" s="17">
        <f>48.9356 * CHOOSE(CONTROL!$C$9, $D$9, 100%, $F$9) + CHOOSE(CONTROL!$C$27, 0.0021, 0)</f>
        <v>48.9377</v>
      </c>
      <c r="G546" s="17">
        <f>49.207 * CHOOSE(CONTROL!$C$9, $D$9, 100%, $F$9) + CHOOSE(CONTROL!$C$27, 0.0021, 0)</f>
        <v>49.209099999999999</v>
      </c>
      <c r="H546" s="17">
        <f>49.0722 * CHOOSE(CONTROL!$C$9, $D$9, 100%, $F$9) + CHOOSE(CONTROL!$C$27, 0.0021, 0)</f>
        <v>49.074300000000001</v>
      </c>
      <c r="I546" s="17">
        <f>49.0722 * CHOOSE(CONTROL!$C$9, $D$9, 100%, $F$9) + CHOOSE(CONTROL!$C$27, 0.0021, 0)</f>
        <v>49.074300000000001</v>
      </c>
      <c r="J546" s="17">
        <f>49.0722 * CHOOSE(CONTROL!$C$9, $D$9, 100%, $F$9) + CHOOSE(CONTROL!$C$27, 0.0021, 0)</f>
        <v>49.074300000000001</v>
      </c>
      <c r="K546" s="17">
        <f>49.0722 * CHOOSE(CONTROL!$C$9, $D$9, 100%, $F$9) + CHOOSE(CONTROL!$C$27, 0.0021, 0)</f>
        <v>49.074300000000001</v>
      </c>
      <c r="L546" s="17"/>
    </row>
    <row r="547" spans="1:12" ht="15.75" x14ac:dyDescent="0.25">
      <c r="A547" s="13">
        <v>57223</v>
      </c>
      <c r="B547" s="17">
        <f>49.7881 * CHOOSE(CONTROL!$C$9, $D$9, 100%, $F$9) + CHOOSE(CONTROL!$C$27, 0.0021, 0)</f>
        <v>49.790199999999999</v>
      </c>
      <c r="C547" s="17">
        <f>49.3558 * CHOOSE(CONTROL!$C$9, $D$9, 100%, $F$9) + CHOOSE(CONTROL!$C$27, 0.0021, 0)</f>
        <v>49.357900000000001</v>
      </c>
      <c r="D547" s="17">
        <f>49.3558 * CHOOSE(CONTROL!$C$9, $D$9, 100%, $F$9) + CHOOSE(CONTROL!$C$27, 0.0021, 0)</f>
        <v>49.357900000000001</v>
      </c>
      <c r="E547" s="17">
        <f>49.2192 * CHOOSE(CONTROL!$C$9, $D$9, 100%, $F$9) + CHOOSE(CONTROL!$C$27, 0.0021, 0)</f>
        <v>49.221299999999999</v>
      </c>
      <c r="F547" s="17">
        <f>49.2192 * CHOOSE(CONTROL!$C$9, $D$9, 100%, $F$9) + CHOOSE(CONTROL!$C$27, 0.0021, 0)</f>
        <v>49.221299999999999</v>
      </c>
      <c r="G547" s="17">
        <f>49.4906 * CHOOSE(CONTROL!$C$9, $D$9, 100%, $F$9) + CHOOSE(CONTROL!$C$27, 0.0021, 0)</f>
        <v>49.492699999999999</v>
      </c>
      <c r="H547" s="17">
        <f>49.3558 * CHOOSE(CONTROL!$C$9, $D$9, 100%, $F$9) + CHOOSE(CONTROL!$C$27, 0.0021, 0)</f>
        <v>49.357900000000001</v>
      </c>
      <c r="I547" s="17">
        <f>49.3558 * CHOOSE(CONTROL!$C$9, $D$9, 100%, $F$9) + CHOOSE(CONTROL!$C$27, 0.0021, 0)</f>
        <v>49.357900000000001</v>
      </c>
      <c r="J547" s="17">
        <f>49.3558 * CHOOSE(CONTROL!$C$9, $D$9, 100%, $F$9) + CHOOSE(CONTROL!$C$27, 0.0021, 0)</f>
        <v>49.357900000000001</v>
      </c>
      <c r="K547" s="17">
        <f>49.3558 * CHOOSE(CONTROL!$C$9, $D$9, 100%, $F$9) + CHOOSE(CONTROL!$C$27, 0.0021, 0)</f>
        <v>49.357900000000001</v>
      </c>
      <c r="L547" s="17"/>
    </row>
    <row r="548" spans="1:12" ht="15.75" x14ac:dyDescent="0.25">
      <c r="A548" s="13">
        <v>57253</v>
      </c>
      <c r="B548" s="17">
        <f>50.7539 * CHOOSE(CONTROL!$C$9, $D$9, 100%, $F$9) + CHOOSE(CONTROL!$C$27, 0.0021, 0)</f>
        <v>50.756</v>
      </c>
      <c r="C548" s="17">
        <f>50.3217 * CHOOSE(CONTROL!$C$9, $D$9, 100%, $F$9) + CHOOSE(CONTROL!$C$27, 0.0021, 0)</f>
        <v>50.323799999999999</v>
      </c>
      <c r="D548" s="17">
        <f>50.3217 * CHOOSE(CONTROL!$C$9, $D$9, 100%, $F$9) + CHOOSE(CONTROL!$C$27, 0.0021, 0)</f>
        <v>50.323799999999999</v>
      </c>
      <c r="E548" s="17">
        <f>50.185 * CHOOSE(CONTROL!$C$9, $D$9, 100%, $F$9) + CHOOSE(CONTROL!$C$27, 0.0021, 0)</f>
        <v>50.187100000000001</v>
      </c>
      <c r="F548" s="17">
        <f>50.185 * CHOOSE(CONTROL!$C$9, $D$9, 100%, $F$9) + CHOOSE(CONTROL!$C$27, 0.0021, 0)</f>
        <v>50.187100000000001</v>
      </c>
      <c r="G548" s="17">
        <f>50.4564 * CHOOSE(CONTROL!$C$9, $D$9, 100%, $F$9) + CHOOSE(CONTROL!$C$27, 0.0021, 0)</f>
        <v>50.458500000000001</v>
      </c>
      <c r="H548" s="17">
        <f>50.3217 * CHOOSE(CONTROL!$C$9, $D$9, 100%, $F$9) + CHOOSE(CONTROL!$C$27, 0.0021, 0)</f>
        <v>50.323799999999999</v>
      </c>
      <c r="I548" s="17">
        <f>50.3217 * CHOOSE(CONTROL!$C$9, $D$9, 100%, $F$9) + CHOOSE(CONTROL!$C$27, 0.0021, 0)</f>
        <v>50.323799999999999</v>
      </c>
      <c r="J548" s="17">
        <f>50.3217 * CHOOSE(CONTROL!$C$9, $D$9, 100%, $F$9) + CHOOSE(CONTROL!$C$27, 0.0021, 0)</f>
        <v>50.323799999999999</v>
      </c>
      <c r="K548" s="17">
        <f>50.3217 * CHOOSE(CONTROL!$C$9, $D$9, 100%, $F$9) + CHOOSE(CONTROL!$C$27, 0.0021, 0)</f>
        <v>50.323799999999999</v>
      </c>
      <c r="L548" s="17"/>
    </row>
    <row r="549" spans="1:12" ht="15.75" x14ac:dyDescent="0.25">
      <c r="A549" s="13">
        <v>57284</v>
      </c>
      <c r="B549" s="17">
        <f>51.9765 * CHOOSE(CONTROL!$C$9, $D$9, 100%, $F$9) + CHOOSE(CONTROL!$C$27, 0.0021, 0)</f>
        <v>51.9786</v>
      </c>
      <c r="C549" s="17">
        <f>51.5442 * CHOOSE(CONTROL!$C$9, $D$9, 100%, $F$9) + CHOOSE(CONTROL!$C$27, 0.0021, 0)</f>
        <v>51.546299999999995</v>
      </c>
      <c r="D549" s="17">
        <f>51.5442 * CHOOSE(CONTROL!$C$9, $D$9, 100%, $F$9) + CHOOSE(CONTROL!$C$27, 0.0021, 0)</f>
        <v>51.546299999999995</v>
      </c>
      <c r="E549" s="17">
        <f>51.4076 * CHOOSE(CONTROL!$C$9, $D$9, 100%, $F$9) + CHOOSE(CONTROL!$C$27, 0.0021, 0)</f>
        <v>51.409700000000001</v>
      </c>
      <c r="F549" s="17">
        <f>51.4076 * CHOOSE(CONTROL!$C$9, $D$9, 100%, $F$9) + CHOOSE(CONTROL!$C$27, 0.0021, 0)</f>
        <v>51.409700000000001</v>
      </c>
      <c r="G549" s="17">
        <f>51.679 * CHOOSE(CONTROL!$C$9, $D$9, 100%, $F$9) + CHOOSE(CONTROL!$C$27, 0.0021, 0)</f>
        <v>51.681100000000001</v>
      </c>
      <c r="H549" s="17">
        <f>51.5442 * CHOOSE(CONTROL!$C$9, $D$9, 100%, $F$9) + CHOOSE(CONTROL!$C$27, 0.0021, 0)</f>
        <v>51.546299999999995</v>
      </c>
      <c r="I549" s="17">
        <f>51.5442 * CHOOSE(CONTROL!$C$9, $D$9, 100%, $F$9) + CHOOSE(CONTROL!$C$27, 0.0021, 0)</f>
        <v>51.546299999999995</v>
      </c>
      <c r="J549" s="17">
        <f>51.5442 * CHOOSE(CONTROL!$C$9, $D$9, 100%, $F$9) + CHOOSE(CONTROL!$C$27, 0.0021, 0)</f>
        <v>51.546299999999995</v>
      </c>
      <c r="K549" s="17">
        <f>51.5442 * CHOOSE(CONTROL!$C$9, $D$9, 100%, $F$9) + CHOOSE(CONTROL!$C$27, 0.0021, 0)</f>
        <v>51.546299999999995</v>
      </c>
      <c r="L549" s="17"/>
    </row>
    <row r="550" spans="1:12" ht="15.75" x14ac:dyDescent="0.25">
      <c r="A550" s="13">
        <v>57314</v>
      </c>
      <c r="B550" s="17">
        <f>52.0913 * CHOOSE(CONTROL!$C$9, $D$9, 100%, $F$9) + CHOOSE(CONTROL!$C$27, 0.0021, 0)</f>
        <v>52.093399999999995</v>
      </c>
      <c r="C550" s="17">
        <f>51.659 * CHOOSE(CONTROL!$C$9, $D$9, 100%, $F$9) + CHOOSE(CONTROL!$C$27, 0.0021, 0)</f>
        <v>51.661099999999998</v>
      </c>
      <c r="D550" s="17">
        <f>51.659 * CHOOSE(CONTROL!$C$9, $D$9, 100%, $F$9) + CHOOSE(CONTROL!$C$27, 0.0021, 0)</f>
        <v>51.661099999999998</v>
      </c>
      <c r="E550" s="17">
        <f>51.5223 * CHOOSE(CONTROL!$C$9, $D$9, 100%, $F$9) + CHOOSE(CONTROL!$C$27, 0.0021, 0)</f>
        <v>51.5244</v>
      </c>
      <c r="F550" s="17">
        <f>51.5223 * CHOOSE(CONTROL!$C$9, $D$9, 100%, $F$9) + CHOOSE(CONTROL!$C$27, 0.0021, 0)</f>
        <v>51.5244</v>
      </c>
      <c r="G550" s="17">
        <f>51.7937 * CHOOSE(CONTROL!$C$9, $D$9, 100%, $F$9) + CHOOSE(CONTROL!$C$27, 0.0021, 0)</f>
        <v>51.7958</v>
      </c>
      <c r="H550" s="17">
        <f>51.659 * CHOOSE(CONTROL!$C$9, $D$9, 100%, $F$9) + CHOOSE(CONTROL!$C$27, 0.0021, 0)</f>
        <v>51.661099999999998</v>
      </c>
      <c r="I550" s="17">
        <f>51.659 * CHOOSE(CONTROL!$C$9, $D$9, 100%, $F$9) + CHOOSE(CONTROL!$C$27, 0.0021, 0)</f>
        <v>51.661099999999998</v>
      </c>
      <c r="J550" s="17">
        <f>51.659 * CHOOSE(CONTROL!$C$9, $D$9, 100%, $F$9) + CHOOSE(CONTROL!$C$27, 0.0021, 0)</f>
        <v>51.661099999999998</v>
      </c>
      <c r="K550" s="17">
        <f>51.659 * CHOOSE(CONTROL!$C$9, $D$9, 100%, $F$9) + CHOOSE(CONTROL!$C$27, 0.0021, 0)</f>
        <v>51.661099999999998</v>
      </c>
      <c r="L550" s="17"/>
    </row>
    <row r="551" spans="1:12" ht="15.75" x14ac:dyDescent="0.25">
      <c r="A551" s="13">
        <v>57345</v>
      </c>
      <c r="B551" s="17">
        <f>51.1148 * CHOOSE(CONTROL!$C$9, $D$9, 100%, $F$9) + CHOOSE(CONTROL!$C$27, 0.0021, 0)</f>
        <v>51.116900000000001</v>
      </c>
      <c r="C551" s="17">
        <f>50.6826 * CHOOSE(CONTROL!$C$9, $D$9, 100%, $F$9) + CHOOSE(CONTROL!$C$27, 0.0021, 0)</f>
        <v>50.684699999999999</v>
      </c>
      <c r="D551" s="17">
        <f>50.6826 * CHOOSE(CONTROL!$C$9, $D$9, 100%, $F$9) + CHOOSE(CONTROL!$C$27, 0.0021, 0)</f>
        <v>50.684699999999999</v>
      </c>
      <c r="E551" s="17">
        <f>50.5459 * CHOOSE(CONTROL!$C$9, $D$9, 100%, $F$9) + CHOOSE(CONTROL!$C$27, 0.0021, 0)</f>
        <v>50.548000000000002</v>
      </c>
      <c r="F551" s="17">
        <f>50.5459 * CHOOSE(CONTROL!$C$9, $D$9, 100%, $F$9) + CHOOSE(CONTROL!$C$27, 0.0021, 0)</f>
        <v>50.548000000000002</v>
      </c>
      <c r="G551" s="17">
        <f>50.8173 * CHOOSE(CONTROL!$C$9, $D$9, 100%, $F$9) + CHOOSE(CONTROL!$C$27, 0.0021, 0)</f>
        <v>50.819400000000002</v>
      </c>
      <c r="H551" s="17">
        <f>50.6826 * CHOOSE(CONTROL!$C$9, $D$9, 100%, $F$9) + CHOOSE(CONTROL!$C$27, 0.0021, 0)</f>
        <v>50.684699999999999</v>
      </c>
      <c r="I551" s="17">
        <f>50.6826 * CHOOSE(CONTROL!$C$9, $D$9, 100%, $F$9) + CHOOSE(CONTROL!$C$27, 0.0021, 0)</f>
        <v>50.684699999999999</v>
      </c>
      <c r="J551" s="17">
        <f>50.6826 * CHOOSE(CONTROL!$C$9, $D$9, 100%, $F$9) + CHOOSE(CONTROL!$C$27, 0.0021, 0)</f>
        <v>50.684699999999999</v>
      </c>
      <c r="K551" s="17">
        <f>50.6826 * CHOOSE(CONTROL!$C$9, $D$9, 100%, $F$9) + CHOOSE(CONTROL!$C$27, 0.0021, 0)</f>
        <v>50.684699999999999</v>
      </c>
      <c r="L551" s="17"/>
    </row>
    <row r="552" spans="1:12" ht="15.75" x14ac:dyDescent="0.25">
      <c r="A552" s="13">
        <v>57376</v>
      </c>
      <c r="B552" s="17">
        <f>50.1428 * CHOOSE(CONTROL!$C$9, $D$9, 100%, $F$9) + CHOOSE(CONTROL!$C$27, 0.0021, 0)</f>
        <v>50.1449</v>
      </c>
      <c r="C552" s="17">
        <f>49.7105 * CHOOSE(CONTROL!$C$9, $D$9, 100%, $F$9) + CHOOSE(CONTROL!$C$27, 0.0021, 0)</f>
        <v>49.712600000000002</v>
      </c>
      <c r="D552" s="17">
        <f>49.7105 * CHOOSE(CONTROL!$C$9, $D$9, 100%, $F$9) + CHOOSE(CONTROL!$C$27, 0.0021, 0)</f>
        <v>49.712600000000002</v>
      </c>
      <c r="E552" s="17">
        <f>49.5739 * CHOOSE(CONTROL!$C$9, $D$9, 100%, $F$9) + CHOOSE(CONTROL!$C$27, 0.0021, 0)</f>
        <v>49.576000000000001</v>
      </c>
      <c r="F552" s="17">
        <f>49.5739 * CHOOSE(CONTROL!$C$9, $D$9, 100%, $F$9) + CHOOSE(CONTROL!$C$27, 0.0021, 0)</f>
        <v>49.576000000000001</v>
      </c>
      <c r="G552" s="17">
        <f>49.8452 * CHOOSE(CONTROL!$C$9, $D$9, 100%, $F$9) + CHOOSE(CONTROL!$C$27, 0.0021, 0)</f>
        <v>49.847299999999997</v>
      </c>
      <c r="H552" s="17">
        <f>49.7105 * CHOOSE(CONTROL!$C$9, $D$9, 100%, $F$9) + CHOOSE(CONTROL!$C$27, 0.0021, 0)</f>
        <v>49.712600000000002</v>
      </c>
      <c r="I552" s="17">
        <f>49.7105 * CHOOSE(CONTROL!$C$9, $D$9, 100%, $F$9) + CHOOSE(CONTROL!$C$27, 0.0021, 0)</f>
        <v>49.712600000000002</v>
      </c>
      <c r="J552" s="17">
        <f>49.7105 * CHOOSE(CONTROL!$C$9, $D$9, 100%, $F$9) + CHOOSE(CONTROL!$C$27, 0.0021, 0)</f>
        <v>49.712600000000002</v>
      </c>
      <c r="K552" s="17">
        <f>49.7105 * CHOOSE(CONTROL!$C$9, $D$9, 100%, $F$9) + CHOOSE(CONTROL!$C$27, 0.0021, 0)</f>
        <v>49.712600000000002</v>
      </c>
      <c r="L552" s="17"/>
    </row>
    <row r="553" spans="1:12" ht="15.75" x14ac:dyDescent="0.25">
      <c r="A553" s="13">
        <v>57404</v>
      </c>
      <c r="B553" s="17">
        <f>48.7893 * CHOOSE(CONTROL!$C$9, $D$9, 100%, $F$9) + CHOOSE(CONTROL!$C$27, 0.0021, 0)</f>
        <v>48.791399999999996</v>
      </c>
      <c r="C553" s="17">
        <f>48.3571 * CHOOSE(CONTROL!$C$9, $D$9, 100%, $F$9) + CHOOSE(CONTROL!$C$27, 0.0021, 0)</f>
        <v>48.359200000000001</v>
      </c>
      <c r="D553" s="17">
        <f>48.3571 * CHOOSE(CONTROL!$C$9, $D$9, 100%, $F$9) + CHOOSE(CONTROL!$C$27, 0.0021, 0)</f>
        <v>48.359200000000001</v>
      </c>
      <c r="E553" s="17">
        <f>48.2204 * CHOOSE(CONTROL!$C$9, $D$9, 100%, $F$9) + CHOOSE(CONTROL!$C$27, 0.0021, 0)</f>
        <v>48.222499999999997</v>
      </c>
      <c r="F553" s="17">
        <f>48.2204 * CHOOSE(CONTROL!$C$9, $D$9, 100%, $F$9) + CHOOSE(CONTROL!$C$27, 0.0021, 0)</f>
        <v>48.222499999999997</v>
      </c>
      <c r="G553" s="17">
        <f>48.4918 * CHOOSE(CONTROL!$C$9, $D$9, 100%, $F$9) + CHOOSE(CONTROL!$C$27, 0.0021, 0)</f>
        <v>48.493899999999996</v>
      </c>
      <c r="H553" s="17">
        <f>48.3571 * CHOOSE(CONTROL!$C$9, $D$9, 100%, $F$9) + CHOOSE(CONTROL!$C$27, 0.0021, 0)</f>
        <v>48.359200000000001</v>
      </c>
      <c r="I553" s="17">
        <f>48.3571 * CHOOSE(CONTROL!$C$9, $D$9, 100%, $F$9) + CHOOSE(CONTROL!$C$27, 0.0021, 0)</f>
        <v>48.359200000000001</v>
      </c>
      <c r="J553" s="17">
        <f>48.3571 * CHOOSE(CONTROL!$C$9, $D$9, 100%, $F$9) + CHOOSE(CONTROL!$C$27, 0.0021, 0)</f>
        <v>48.359200000000001</v>
      </c>
      <c r="K553" s="17">
        <f>48.3571 * CHOOSE(CONTROL!$C$9, $D$9, 100%, $F$9) + CHOOSE(CONTROL!$C$27, 0.0021, 0)</f>
        <v>48.359200000000001</v>
      </c>
      <c r="L553" s="17"/>
    </row>
    <row r="554" spans="1:12" ht="15.75" x14ac:dyDescent="0.25">
      <c r="A554" s="13">
        <v>57435</v>
      </c>
      <c r="B554" s="17">
        <f>48.2306 * CHOOSE(CONTROL!$C$9, $D$9, 100%, $F$9) + CHOOSE(CONTROL!$C$27, 0.0021, 0)</f>
        <v>48.232700000000001</v>
      </c>
      <c r="C554" s="17">
        <f>47.7984 * CHOOSE(CONTROL!$C$9, $D$9, 100%, $F$9) + CHOOSE(CONTROL!$C$27, 0.0021, 0)</f>
        <v>47.8005</v>
      </c>
      <c r="D554" s="17">
        <f>47.7984 * CHOOSE(CONTROL!$C$9, $D$9, 100%, $F$9) + CHOOSE(CONTROL!$C$27, 0.0021, 0)</f>
        <v>47.8005</v>
      </c>
      <c r="E554" s="17">
        <f>47.6617 * CHOOSE(CONTROL!$C$9, $D$9, 100%, $F$9) + CHOOSE(CONTROL!$C$27, 0.0021, 0)</f>
        <v>47.663800000000002</v>
      </c>
      <c r="F554" s="17">
        <f>47.6617 * CHOOSE(CONTROL!$C$9, $D$9, 100%, $F$9) + CHOOSE(CONTROL!$C$27, 0.0021, 0)</f>
        <v>47.663800000000002</v>
      </c>
      <c r="G554" s="17">
        <f>47.9331 * CHOOSE(CONTROL!$C$9, $D$9, 100%, $F$9) + CHOOSE(CONTROL!$C$27, 0.0021, 0)</f>
        <v>47.935200000000002</v>
      </c>
      <c r="H554" s="17">
        <f>47.7984 * CHOOSE(CONTROL!$C$9, $D$9, 100%, $F$9) + CHOOSE(CONTROL!$C$27, 0.0021, 0)</f>
        <v>47.8005</v>
      </c>
      <c r="I554" s="17">
        <f>47.7984 * CHOOSE(CONTROL!$C$9, $D$9, 100%, $F$9) + CHOOSE(CONTROL!$C$27, 0.0021, 0)</f>
        <v>47.8005</v>
      </c>
      <c r="J554" s="17">
        <f>47.7984 * CHOOSE(CONTROL!$C$9, $D$9, 100%, $F$9) + CHOOSE(CONTROL!$C$27, 0.0021, 0)</f>
        <v>47.8005</v>
      </c>
      <c r="K554" s="17">
        <f>47.7984 * CHOOSE(CONTROL!$C$9, $D$9, 100%, $F$9) + CHOOSE(CONTROL!$C$27, 0.0021, 0)</f>
        <v>47.8005</v>
      </c>
      <c r="L554" s="17"/>
    </row>
    <row r="555" spans="1:12" ht="15.75" x14ac:dyDescent="0.25">
      <c r="A555" s="13">
        <v>57465</v>
      </c>
      <c r="B555" s="17">
        <f>47.5635 * CHOOSE(CONTROL!$C$9, $D$9, 100%, $F$9) + CHOOSE(CONTROL!$C$27, 0.0021, 0)</f>
        <v>47.565599999999996</v>
      </c>
      <c r="C555" s="17">
        <f>47.1312 * CHOOSE(CONTROL!$C$9, $D$9, 100%, $F$9) + CHOOSE(CONTROL!$C$27, 0.0021, 0)</f>
        <v>47.133299999999998</v>
      </c>
      <c r="D555" s="17">
        <f>47.1312 * CHOOSE(CONTROL!$C$9, $D$9, 100%, $F$9) + CHOOSE(CONTROL!$C$27, 0.0021, 0)</f>
        <v>47.133299999999998</v>
      </c>
      <c r="E555" s="17">
        <f>46.9946 * CHOOSE(CONTROL!$C$9, $D$9, 100%, $F$9) + CHOOSE(CONTROL!$C$27, 0.0021, 0)</f>
        <v>46.996699999999997</v>
      </c>
      <c r="F555" s="17">
        <f>46.9946 * CHOOSE(CONTROL!$C$9, $D$9, 100%, $F$9) + CHOOSE(CONTROL!$C$27, 0.0021, 0)</f>
        <v>46.996699999999997</v>
      </c>
      <c r="G555" s="17">
        <f>47.266 * CHOOSE(CONTROL!$C$9, $D$9, 100%, $F$9) + CHOOSE(CONTROL!$C$27, 0.0021, 0)</f>
        <v>47.268099999999997</v>
      </c>
      <c r="H555" s="17">
        <f>47.1312 * CHOOSE(CONTROL!$C$9, $D$9, 100%, $F$9) + CHOOSE(CONTROL!$C$27, 0.0021, 0)</f>
        <v>47.133299999999998</v>
      </c>
      <c r="I555" s="17">
        <f>47.1312 * CHOOSE(CONTROL!$C$9, $D$9, 100%, $F$9) + CHOOSE(CONTROL!$C$27, 0.0021, 0)</f>
        <v>47.133299999999998</v>
      </c>
      <c r="J555" s="17">
        <f>47.1312 * CHOOSE(CONTROL!$C$9, $D$9, 100%, $F$9) + CHOOSE(CONTROL!$C$27, 0.0021, 0)</f>
        <v>47.133299999999998</v>
      </c>
      <c r="K555" s="17">
        <f>47.1312 * CHOOSE(CONTROL!$C$9, $D$9, 100%, $F$9) + CHOOSE(CONTROL!$C$27, 0.0021, 0)</f>
        <v>47.133299999999998</v>
      </c>
      <c r="L555" s="17"/>
    </row>
    <row r="556" spans="1:12" ht="15.75" x14ac:dyDescent="0.25">
      <c r="A556" s="13">
        <v>57496</v>
      </c>
      <c r="B556" s="17">
        <f>48.5142 * CHOOSE(CONTROL!$C$9, $D$9, 100%, $F$9) + CHOOSE(CONTROL!$C$27, 0.0021, 0)</f>
        <v>48.516300000000001</v>
      </c>
      <c r="C556" s="17">
        <f>48.082 * CHOOSE(CONTROL!$C$9, $D$9, 100%, $F$9) + CHOOSE(CONTROL!$C$27, 0.0021, 0)</f>
        <v>48.084099999999999</v>
      </c>
      <c r="D556" s="17">
        <f>48.082 * CHOOSE(CONTROL!$C$9, $D$9, 100%, $F$9) + CHOOSE(CONTROL!$C$27, 0.0021, 0)</f>
        <v>48.084099999999999</v>
      </c>
      <c r="E556" s="17">
        <f>47.9453 * CHOOSE(CONTROL!$C$9, $D$9, 100%, $F$9) + CHOOSE(CONTROL!$C$27, 0.0021, 0)</f>
        <v>47.947400000000002</v>
      </c>
      <c r="F556" s="17">
        <f>47.9453 * CHOOSE(CONTROL!$C$9, $D$9, 100%, $F$9) + CHOOSE(CONTROL!$C$27, 0.0021, 0)</f>
        <v>47.947400000000002</v>
      </c>
      <c r="G556" s="17">
        <f>48.2167 * CHOOSE(CONTROL!$C$9, $D$9, 100%, $F$9) + CHOOSE(CONTROL!$C$27, 0.0021, 0)</f>
        <v>48.218800000000002</v>
      </c>
      <c r="H556" s="17">
        <f>48.082 * CHOOSE(CONTROL!$C$9, $D$9, 100%, $F$9) + CHOOSE(CONTROL!$C$27, 0.0021, 0)</f>
        <v>48.084099999999999</v>
      </c>
      <c r="I556" s="17">
        <f>48.082 * CHOOSE(CONTROL!$C$9, $D$9, 100%, $F$9) + CHOOSE(CONTROL!$C$27, 0.0021, 0)</f>
        <v>48.084099999999999</v>
      </c>
      <c r="J556" s="17">
        <f>48.082 * CHOOSE(CONTROL!$C$9, $D$9, 100%, $F$9) + CHOOSE(CONTROL!$C$27, 0.0021, 0)</f>
        <v>48.084099999999999</v>
      </c>
      <c r="K556" s="17">
        <f>48.082 * CHOOSE(CONTROL!$C$9, $D$9, 100%, $F$9) + CHOOSE(CONTROL!$C$27, 0.0021, 0)</f>
        <v>48.084099999999999</v>
      </c>
      <c r="L556" s="17"/>
    </row>
    <row r="557" spans="1:12" ht="15.75" x14ac:dyDescent="0.25">
      <c r="A557" s="13">
        <v>57526</v>
      </c>
      <c r="B557" s="17">
        <f>49.0836 * CHOOSE(CONTROL!$C$9, $D$9, 100%, $F$9) + CHOOSE(CONTROL!$C$27, 0.0021, 0)</f>
        <v>49.085699999999996</v>
      </c>
      <c r="C557" s="17">
        <f>48.6514 * CHOOSE(CONTROL!$C$9, $D$9, 100%, $F$9) + CHOOSE(CONTROL!$C$27, 0.0021, 0)</f>
        <v>48.653500000000001</v>
      </c>
      <c r="D557" s="17">
        <f>48.6514 * CHOOSE(CONTROL!$C$9, $D$9, 100%, $F$9) + CHOOSE(CONTROL!$C$27, 0.0021, 0)</f>
        <v>48.653500000000001</v>
      </c>
      <c r="E557" s="17">
        <f>48.5147 * CHOOSE(CONTROL!$C$9, $D$9, 100%, $F$9) + CHOOSE(CONTROL!$C$27, 0.0021, 0)</f>
        <v>48.516799999999996</v>
      </c>
      <c r="F557" s="17">
        <f>48.5147 * CHOOSE(CONTROL!$C$9, $D$9, 100%, $F$9) + CHOOSE(CONTROL!$C$27, 0.0021, 0)</f>
        <v>48.516799999999996</v>
      </c>
      <c r="G557" s="17">
        <f>48.7861 * CHOOSE(CONTROL!$C$9, $D$9, 100%, $F$9) + CHOOSE(CONTROL!$C$27, 0.0021, 0)</f>
        <v>48.788199999999996</v>
      </c>
      <c r="H557" s="17">
        <f>48.6514 * CHOOSE(CONTROL!$C$9, $D$9, 100%, $F$9) + CHOOSE(CONTROL!$C$27, 0.0021, 0)</f>
        <v>48.653500000000001</v>
      </c>
      <c r="I557" s="17">
        <f>48.6514 * CHOOSE(CONTROL!$C$9, $D$9, 100%, $F$9) + CHOOSE(CONTROL!$C$27, 0.0021, 0)</f>
        <v>48.653500000000001</v>
      </c>
      <c r="J557" s="17">
        <f>48.6514 * CHOOSE(CONTROL!$C$9, $D$9, 100%, $F$9) + CHOOSE(CONTROL!$C$27, 0.0021, 0)</f>
        <v>48.653500000000001</v>
      </c>
      <c r="K557" s="17">
        <f>48.6514 * CHOOSE(CONTROL!$C$9, $D$9, 100%, $F$9) + CHOOSE(CONTROL!$C$27, 0.0021, 0)</f>
        <v>48.653500000000001</v>
      </c>
      <c r="L557" s="17"/>
    </row>
    <row r="558" spans="1:12" ht="15.75" x14ac:dyDescent="0.25">
      <c r="A558" s="13">
        <v>57557</v>
      </c>
      <c r="B558" s="17">
        <f>50.023 * CHOOSE(CONTROL!$C$9, $D$9, 100%, $F$9) + CHOOSE(CONTROL!$C$27, 0.0021, 0)</f>
        <v>50.025100000000002</v>
      </c>
      <c r="C558" s="17">
        <f>49.5908 * CHOOSE(CONTROL!$C$9, $D$9, 100%, $F$9) + CHOOSE(CONTROL!$C$27, 0.0021, 0)</f>
        <v>49.5929</v>
      </c>
      <c r="D558" s="17">
        <f>49.5908 * CHOOSE(CONTROL!$C$9, $D$9, 100%, $F$9) + CHOOSE(CONTROL!$C$27, 0.0021, 0)</f>
        <v>49.5929</v>
      </c>
      <c r="E558" s="17">
        <f>49.4541 * CHOOSE(CONTROL!$C$9, $D$9, 100%, $F$9) + CHOOSE(CONTROL!$C$27, 0.0021, 0)</f>
        <v>49.456199999999995</v>
      </c>
      <c r="F558" s="17">
        <f>49.4541 * CHOOSE(CONTROL!$C$9, $D$9, 100%, $F$9) + CHOOSE(CONTROL!$C$27, 0.0021, 0)</f>
        <v>49.456199999999995</v>
      </c>
      <c r="G558" s="17">
        <f>49.7255 * CHOOSE(CONTROL!$C$9, $D$9, 100%, $F$9) + CHOOSE(CONTROL!$C$27, 0.0021, 0)</f>
        <v>49.727599999999995</v>
      </c>
      <c r="H558" s="17">
        <f>49.5908 * CHOOSE(CONTROL!$C$9, $D$9, 100%, $F$9) + CHOOSE(CONTROL!$C$27, 0.0021, 0)</f>
        <v>49.5929</v>
      </c>
      <c r="I558" s="17">
        <f>49.5908 * CHOOSE(CONTROL!$C$9, $D$9, 100%, $F$9) + CHOOSE(CONTROL!$C$27, 0.0021, 0)</f>
        <v>49.5929</v>
      </c>
      <c r="J558" s="17">
        <f>49.5908 * CHOOSE(CONTROL!$C$9, $D$9, 100%, $F$9) + CHOOSE(CONTROL!$C$27, 0.0021, 0)</f>
        <v>49.5929</v>
      </c>
      <c r="K558" s="17">
        <f>49.5908 * CHOOSE(CONTROL!$C$9, $D$9, 100%, $F$9) + CHOOSE(CONTROL!$C$27, 0.0021, 0)</f>
        <v>49.5929</v>
      </c>
      <c r="L558" s="17"/>
    </row>
    <row r="559" spans="1:12" ht="15.75" x14ac:dyDescent="0.25">
      <c r="A559" s="13">
        <v>57588</v>
      </c>
      <c r="B559" s="17">
        <f>50.3097 * CHOOSE(CONTROL!$C$9, $D$9, 100%, $F$9) + CHOOSE(CONTROL!$C$27, 0.0021, 0)</f>
        <v>50.311799999999998</v>
      </c>
      <c r="C559" s="17">
        <f>49.8775 * CHOOSE(CONTROL!$C$9, $D$9, 100%, $F$9) + CHOOSE(CONTROL!$C$27, 0.0021, 0)</f>
        <v>49.879599999999996</v>
      </c>
      <c r="D559" s="17">
        <f>49.8775 * CHOOSE(CONTROL!$C$9, $D$9, 100%, $F$9) + CHOOSE(CONTROL!$C$27, 0.0021, 0)</f>
        <v>49.879599999999996</v>
      </c>
      <c r="E559" s="17">
        <f>49.7408 * CHOOSE(CONTROL!$C$9, $D$9, 100%, $F$9) + CHOOSE(CONTROL!$C$27, 0.0021, 0)</f>
        <v>49.742899999999999</v>
      </c>
      <c r="F559" s="17">
        <f>49.7408 * CHOOSE(CONTROL!$C$9, $D$9, 100%, $F$9) + CHOOSE(CONTROL!$C$27, 0.0021, 0)</f>
        <v>49.742899999999999</v>
      </c>
      <c r="G559" s="17">
        <f>50.0122 * CHOOSE(CONTROL!$C$9, $D$9, 100%, $F$9) + CHOOSE(CONTROL!$C$27, 0.0021, 0)</f>
        <v>50.014299999999999</v>
      </c>
      <c r="H559" s="17">
        <f>49.8775 * CHOOSE(CONTROL!$C$9, $D$9, 100%, $F$9) + CHOOSE(CONTROL!$C$27, 0.0021, 0)</f>
        <v>49.879599999999996</v>
      </c>
      <c r="I559" s="17">
        <f>49.8775 * CHOOSE(CONTROL!$C$9, $D$9, 100%, $F$9) + CHOOSE(CONTROL!$C$27, 0.0021, 0)</f>
        <v>49.879599999999996</v>
      </c>
      <c r="J559" s="17">
        <f>49.8775 * CHOOSE(CONTROL!$C$9, $D$9, 100%, $F$9) + CHOOSE(CONTROL!$C$27, 0.0021, 0)</f>
        <v>49.879599999999996</v>
      </c>
      <c r="K559" s="17">
        <f>49.8775 * CHOOSE(CONTROL!$C$9, $D$9, 100%, $F$9) + CHOOSE(CONTROL!$C$27, 0.0021, 0)</f>
        <v>49.879599999999996</v>
      </c>
      <c r="L559" s="17"/>
    </row>
    <row r="560" spans="1:12" ht="15.75" x14ac:dyDescent="0.25">
      <c r="A560" s="13">
        <v>57618</v>
      </c>
      <c r="B560" s="17">
        <f>51.2862 * CHOOSE(CONTROL!$C$9, $D$9, 100%, $F$9) + CHOOSE(CONTROL!$C$27, 0.0021, 0)</f>
        <v>51.2883</v>
      </c>
      <c r="C560" s="17">
        <f>50.8539 * CHOOSE(CONTROL!$C$9, $D$9, 100%, $F$9) + CHOOSE(CONTROL!$C$27, 0.0021, 0)</f>
        <v>50.856000000000002</v>
      </c>
      <c r="D560" s="17">
        <f>50.8539 * CHOOSE(CONTROL!$C$9, $D$9, 100%, $F$9) + CHOOSE(CONTROL!$C$27, 0.0021, 0)</f>
        <v>50.856000000000002</v>
      </c>
      <c r="E560" s="17">
        <f>50.7173 * CHOOSE(CONTROL!$C$9, $D$9, 100%, $F$9) + CHOOSE(CONTROL!$C$27, 0.0021, 0)</f>
        <v>50.7194</v>
      </c>
      <c r="F560" s="17">
        <f>50.7173 * CHOOSE(CONTROL!$C$9, $D$9, 100%, $F$9) + CHOOSE(CONTROL!$C$27, 0.0021, 0)</f>
        <v>50.7194</v>
      </c>
      <c r="G560" s="17">
        <f>50.9886 * CHOOSE(CONTROL!$C$9, $D$9, 100%, $F$9) + CHOOSE(CONTROL!$C$27, 0.0021, 0)</f>
        <v>50.990699999999997</v>
      </c>
      <c r="H560" s="17">
        <f>50.8539 * CHOOSE(CONTROL!$C$9, $D$9, 100%, $F$9) + CHOOSE(CONTROL!$C$27, 0.0021, 0)</f>
        <v>50.856000000000002</v>
      </c>
      <c r="I560" s="17">
        <f>50.8539 * CHOOSE(CONTROL!$C$9, $D$9, 100%, $F$9) + CHOOSE(CONTROL!$C$27, 0.0021, 0)</f>
        <v>50.856000000000002</v>
      </c>
      <c r="J560" s="17">
        <f>50.8539 * CHOOSE(CONTROL!$C$9, $D$9, 100%, $F$9) + CHOOSE(CONTROL!$C$27, 0.0021, 0)</f>
        <v>50.856000000000002</v>
      </c>
      <c r="K560" s="17">
        <f>50.8539 * CHOOSE(CONTROL!$C$9, $D$9, 100%, $F$9) + CHOOSE(CONTROL!$C$27, 0.0021, 0)</f>
        <v>50.856000000000002</v>
      </c>
      <c r="L560" s="17"/>
    </row>
    <row r="561" spans="1:12" ht="15.75" x14ac:dyDescent="0.25">
      <c r="A561" s="13">
        <v>57649</v>
      </c>
      <c r="B561" s="17">
        <f>52.5222 * CHOOSE(CONTROL!$C$9, $D$9, 100%, $F$9) + CHOOSE(CONTROL!$C$27, 0.0021, 0)</f>
        <v>52.524299999999997</v>
      </c>
      <c r="C561" s="17">
        <f>52.0899 * CHOOSE(CONTROL!$C$9, $D$9, 100%, $F$9) + CHOOSE(CONTROL!$C$27, 0.0021, 0)</f>
        <v>52.091999999999999</v>
      </c>
      <c r="D561" s="17">
        <f>52.0899 * CHOOSE(CONTROL!$C$9, $D$9, 100%, $F$9) + CHOOSE(CONTROL!$C$27, 0.0021, 0)</f>
        <v>52.091999999999999</v>
      </c>
      <c r="E561" s="17">
        <f>51.9533 * CHOOSE(CONTROL!$C$9, $D$9, 100%, $F$9) + CHOOSE(CONTROL!$C$27, 0.0021, 0)</f>
        <v>51.955399999999997</v>
      </c>
      <c r="F561" s="17">
        <f>51.9533 * CHOOSE(CONTROL!$C$9, $D$9, 100%, $F$9) + CHOOSE(CONTROL!$C$27, 0.0021, 0)</f>
        <v>51.955399999999997</v>
      </c>
      <c r="G561" s="17">
        <f>52.2246 * CHOOSE(CONTROL!$C$9, $D$9, 100%, $F$9) + CHOOSE(CONTROL!$C$27, 0.0021, 0)</f>
        <v>52.226700000000001</v>
      </c>
      <c r="H561" s="17">
        <f>52.0899 * CHOOSE(CONTROL!$C$9, $D$9, 100%, $F$9) + CHOOSE(CONTROL!$C$27, 0.0021, 0)</f>
        <v>52.091999999999999</v>
      </c>
      <c r="I561" s="17">
        <f>52.0899 * CHOOSE(CONTROL!$C$9, $D$9, 100%, $F$9) + CHOOSE(CONTROL!$C$27, 0.0021, 0)</f>
        <v>52.091999999999999</v>
      </c>
      <c r="J561" s="17">
        <f>52.0899 * CHOOSE(CONTROL!$C$9, $D$9, 100%, $F$9) + CHOOSE(CONTROL!$C$27, 0.0021, 0)</f>
        <v>52.091999999999999</v>
      </c>
      <c r="K561" s="17">
        <f>52.0899 * CHOOSE(CONTROL!$C$9, $D$9, 100%, $F$9) + CHOOSE(CONTROL!$C$27, 0.0021, 0)</f>
        <v>52.091999999999999</v>
      </c>
      <c r="L561" s="17"/>
    </row>
    <row r="562" spans="1:12" ht="15.75" x14ac:dyDescent="0.25">
      <c r="A562" s="13">
        <v>57679</v>
      </c>
      <c r="B562" s="17">
        <f>52.6382 * CHOOSE(CONTROL!$C$9, $D$9, 100%, $F$9) + CHOOSE(CONTROL!$C$27, 0.0021, 0)</f>
        <v>52.640299999999996</v>
      </c>
      <c r="C562" s="17">
        <f>52.2059 * CHOOSE(CONTROL!$C$9, $D$9, 100%, $F$9) + CHOOSE(CONTROL!$C$27, 0.0021, 0)</f>
        <v>52.207999999999998</v>
      </c>
      <c r="D562" s="17">
        <f>52.2059 * CHOOSE(CONTROL!$C$9, $D$9, 100%, $F$9) + CHOOSE(CONTROL!$C$27, 0.0021, 0)</f>
        <v>52.207999999999998</v>
      </c>
      <c r="E562" s="17">
        <f>52.0693 * CHOOSE(CONTROL!$C$9, $D$9, 100%, $F$9) + CHOOSE(CONTROL!$C$27, 0.0021, 0)</f>
        <v>52.071399999999997</v>
      </c>
      <c r="F562" s="17">
        <f>52.0693 * CHOOSE(CONTROL!$C$9, $D$9, 100%, $F$9) + CHOOSE(CONTROL!$C$27, 0.0021, 0)</f>
        <v>52.071399999999997</v>
      </c>
      <c r="G562" s="17">
        <f>52.3407 * CHOOSE(CONTROL!$C$9, $D$9, 100%, $F$9) + CHOOSE(CONTROL!$C$27, 0.0021, 0)</f>
        <v>52.342799999999997</v>
      </c>
      <c r="H562" s="17">
        <f>52.2059 * CHOOSE(CONTROL!$C$9, $D$9, 100%, $F$9) + CHOOSE(CONTROL!$C$27, 0.0021, 0)</f>
        <v>52.207999999999998</v>
      </c>
      <c r="I562" s="17">
        <f>52.2059 * CHOOSE(CONTROL!$C$9, $D$9, 100%, $F$9) + CHOOSE(CONTROL!$C$27, 0.0021, 0)</f>
        <v>52.207999999999998</v>
      </c>
      <c r="J562" s="17">
        <f>52.2059 * CHOOSE(CONTROL!$C$9, $D$9, 100%, $F$9) + CHOOSE(CONTROL!$C$27, 0.0021, 0)</f>
        <v>52.207999999999998</v>
      </c>
      <c r="K562" s="17">
        <f>52.2059 * CHOOSE(CONTROL!$C$9, $D$9, 100%, $F$9) + CHOOSE(CONTROL!$C$27, 0.0021, 0)</f>
        <v>52.207999999999998</v>
      </c>
      <c r="L562" s="17"/>
    </row>
    <row r="563" spans="1:12" ht="15.75" x14ac:dyDescent="0.25">
      <c r="A563" s="13">
        <v>57710</v>
      </c>
      <c r="B563" s="17">
        <f>51.651 * CHOOSE(CONTROL!$C$9, $D$9, 100%, $F$9) + CHOOSE(CONTROL!$C$27, 0.0021, 0)</f>
        <v>51.653100000000002</v>
      </c>
      <c r="C563" s="17">
        <f>51.2188 * CHOOSE(CONTROL!$C$9, $D$9, 100%, $F$9) + CHOOSE(CONTROL!$C$27, 0.0021, 0)</f>
        <v>51.2209</v>
      </c>
      <c r="D563" s="17">
        <f>51.2188 * CHOOSE(CONTROL!$C$9, $D$9, 100%, $F$9) + CHOOSE(CONTROL!$C$27, 0.0021, 0)</f>
        <v>51.2209</v>
      </c>
      <c r="E563" s="17">
        <f>51.0821 * CHOOSE(CONTROL!$C$9, $D$9, 100%, $F$9) + CHOOSE(CONTROL!$C$27, 0.0021, 0)</f>
        <v>51.084199999999996</v>
      </c>
      <c r="F563" s="17">
        <f>51.0821 * CHOOSE(CONTROL!$C$9, $D$9, 100%, $F$9) + CHOOSE(CONTROL!$C$27, 0.0021, 0)</f>
        <v>51.084199999999996</v>
      </c>
      <c r="G563" s="17">
        <f>51.3535 * CHOOSE(CONTROL!$C$9, $D$9, 100%, $F$9) + CHOOSE(CONTROL!$C$27, 0.0021, 0)</f>
        <v>51.355599999999995</v>
      </c>
      <c r="H563" s="17">
        <f>51.2188 * CHOOSE(CONTROL!$C$9, $D$9, 100%, $F$9) + CHOOSE(CONTROL!$C$27, 0.0021, 0)</f>
        <v>51.2209</v>
      </c>
      <c r="I563" s="17">
        <f>51.2188 * CHOOSE(CONTROL!$C$9, $D$9, 100%, $F$9) + CHOOSE(CONTROL!$C$27, 0.0021, 0)</f>
        <v>51.2209</v>
      </c>
      <c r="J563" s="17">
        <f>51.2188 * CHOOSE(CONTROL!$C$9, $D$9, 100%, $F$9) + CHOOSE(CONTROL!$C$27, 0.0021, 0)</f>
        <v>51.2209</v>
      </c>
      <c r="K563" s="17">
        <f>51.2188 * CHOOSE(CONTROL!$C$9, $D$9, 100%, $F$9) + CHOOSE(CONTROL!$C$27, 0.0021, 0)</f>
        <v>51.2209</v>
      </c>
      <c r="L563" s="17"/>
    </row>
    <row r="564" spans="1:12" ht="15.75" x14ac:dyDescent="0.25">
      <c r="A564" s="13">
        <v>57741</v>
      </c>
      <c r="B564" s="17">
        <f>50.6683 * CHOOSE(CONTROL!$C$9, $D$9, 100%, $F$9) + CHOOSE(CONTROL!$C$27, 0.0021, 0)</f>
        <v>50.670400000000001</v>
      </c>
      <c r="C564" s="17">
        <f>50.2361 * CHOOSE(CONTROL!$C$9, $D$9, 100%, $F$9) + CHOOSE(CONTROL!$C$27, 0.0021, 0)</f>
        <v>50.238199999999999</v>
      </c>
      <c r="D564" s="17">
        <f>50.2361 * CHOOSE(CONTROL!$C$9, $D$9, 100%, $F$9) + CHOOSE(CONTROL!$C$27, 0.0021, 0)</f>
        <v>50.238199999999999</v>
      </c>
      <c r="E564" s="17">
        <f>50.0994 * CHOOSE(CONTROL!$C$9, $D$9, 100%, $F$9) + CHOOSE(CONTROL!$C$27, 0.0021, 0)</f>
        <v>50.101500000000001</v>
      </c>
      <c r="F564" s="17">
        <f>50.0994 * CHOOSE(CONTROL!$C$9, $D$9, 100%, $F$9) + CHOOSE(CONTROL!$C$27, 0.0021, 0)</f>
        <v>50.101500000000001</v>
      </c>
      <c r="G564" s="17">
        <f>50.3708 * CHOOSE(CONTROL!$C$9, $D$9, 100%, $F$9) + CHOOSE(CONTROL!$C$27, 0.0021, 0)</f>
        <v>50.372900000000001</v>
      </c>
      <c r="H564" s="17">
        <f>50.2361 * CHOOSE(CONTROL!$C$9, $D$9, 100%, $F$9) + CHOOSE(CONTROL!$C$27, 0.0021, 0)</f>
        <v>50.238199999999999</v>
      </c>
      <c r="I564" s="17">
        <f>50.2361 * CHOOSE(CONTROL!$C$9, $D$9, 100%, $F$9) + CHOOSE(CONTROL!$C$27, 0.0021, 0)</f>
        <v>50.238199999999999</v>
      </c>
      <c r="J564" s="17">
        <f>50.2361 * CHOOSE(CONTROL!$C$9, $D$9, 100%, $F$9) + CHOOSE(CONTROL!$C$27, 0.0021, 0)</f>
        <v>50.238199999999999</v>
      </c>
      <c r="K564" s="17">
        <f>50.2361 * CHOOSE(CONTROL!$C$9, $D$9, 100%, $F$9) + CHOOSE(CONTROL!$C$27, 0.0021, 0)</f>
        <v>50.238199999999999</v>
      </c>
      <c r="L564" s="17"/>
    </row>
    <row r="565" spans="1:12" ht="15.75" x14ac:dyDescent="0.25">
      <c r="A565" s="13">
        <v>57769</v>
      </c>
      <c r="B565" s="17">
        <f>49.3 * CHOOSE(CONTROL!$C$9, $D$9, 100%, $F$9) + CHOOSE(CONTROL!$C$27, 0.0021, 0)</f>
        <v>49.302099999999996</v>
      </c>
      <c r="C565" s="17">
        <f>48.8677 * CHOOSE(CONTROL!$C$9, $D$9, 100%, $F$9) + CHOOSE(CONTROL!$C$27, 0.0021, 0)</f>
        <v>48.869799999999998</v>
      </c>
      <c r="D565" s="17">
        <f>48.8677 * CHOOSE(CONTROL!$C$9, $D$9, 100%, $F$9) + CHOOSE(CONTROL!$C$27, 0.0021, 0)</f>
        <v>48.869799999999998</v>
      </c>
      <c r="E565" s="17">
        <f>48.7311 * CHOOSE(CONTROL!$C$9, $D$9, 100%, $F$9) + CHOOSE(CONTROL!$C$27, 0.0021, 0)</f>
        <v>48.733199999999997</v>
      </c>
      <c r="F565" s="17">
        <f>48.7311 * CHOOSE(CONTROL!$C$9, $D$9, 100%, $F$9) + CHOOSE(CONTROL!$C$27, 0.0021, 0)</f>
        <v>48.733199999999997</v>
      </c>
      <c r="G565" s="17">
        <f>49.0024 * CHOOSE(CONTROL!$C$9, $D$9, 100%, $F$9) + CHOOSE(CONTROL!$C$27, 0.0021, 0)</f>
        <v>49.0045</v>
      </c>
      <c r="H565" s="17">
        <f>48.8677 * CHOOSE(CONTROL!$C$9, $D$9, 100%, $F$9) + CHOOSE(CONTROL!$C$27, 0.0021, 0)</f>
        <v>48.869799999999998</v>
      </c>
      <c r="I565" s="17">
        <f>48.8677 * CHOOSE(CONTROL!$C$9, $D$9, 100%, $F$9) + CHOOSE(CONTROL!$C$27, 0.0021, 0)</f>
        <v>48.869799999999998</v>
      </c>
      <c r="J565" s="17">
        <f>48.8677 * CHOOSE(CONTROL!$C$9, $D$9, 100%, $F$9) + CHOOSE(CONTROL!$C$27, 0.0021, 0)</f>
        <v>48.869799999999998</v>
      </c>
      <c r="K565" s="17">
        <f>48.8677 * CHOOSE(CONTROL!$C$9, $D$9, 100%, $F$9) + CHOOSE(CONTROL!$C$27, 0.0021, 0)</f>
        <v>48.869799999999998</v>
      </c>
      <c r="L565" s="17"/>
    </row>
    <row r="566" spans="1:12" ht="15.75" x14ac:dyDescent="0.25">
      <c r="A566" s="13">
        <v>57800</v>
      </c>
      <c r="B566" s="17">
        <f>48.7351 * CHOOSE(CONTROL!$C$9, $D$9, 100%, $F$9) + CHOOSE(CONTROL!$C$27, 0.0021, 0)</f>
        <v>48.737200000000001</v>
      </c>
      <c r="C566" s="17">
        <f>48.3029 * CHOOSE(CONTROL!$C$9, $D$9, 100%, $F$9) + CHOOSE(CONTROL!$C$27, 0.0021, 0)</f>
        <v>48.305</v>
      </c>
      <c r="D566" s="17">
        <f>48.3029 * CHOOSE(CONTROL!$C$9, $D$9, 100%, $F$9) + CHOOSE(CONTROL!$C$27, 0.0021, 0)</f>
        <v>48.305</v>
      </c>
      <c r="E566" s="17">
        <f>48.1662 * CHOOSE(CONTROL!$C$9, $D$9, 100%, $F$9) + CHOOSE(CONTROL!$C$27, 0.0021, 0)</f>
        <v>48.168300000000002</v>
      </c>
      <c r="F566" s="17">
        <f>48.1662 * CHOOSE(CONTROL!$C$9, $D$9, 100%, $F$9) + CHOOSE(CONTROL!$C$27, 0.0021, 0)</f>
        <v>48.168300000000002</v>
      </c>
      <c r="G566" s="17">
        <f>48.4376 * CHOOSE(CONTROL!$C$9, $D$9, 100%, $F$9) + CHOOSE(CONTROL!$C$27, 0.0021, 0)</f>
        <v>48.439700000000002</v>
      </c>
      <c r="H566" s="17">
        <f>48.3029 * CHOOSE(CONTROL!$C$9, $D$9, 100%, $F$9) + CHOOSE(CONTROL!$C$27, 0.0021, 0)</f>
        <v>48.305</v>
      </c>
      <c r="I566" s="17">
        <f>48.3029 * CHOOSE(CONTROL!$C$9, $D$9, 100%, $F$9) + CHOOSE(CONTROL!$C$27, 0.0021, 0)</f>
        <v>48.305</v>
      </c>
      <c r="J566" s="17">
        <f>48.3029 * CHOOSE(CONTROL!$C$9, $D$9, 100%, $F$9) + CHOOSE(CONTROL!$C$27, 0.0021, 0)</f>
        <v>48.305</v>
      </c>
      <c r="K566" s="17">
        <f>48.3029 * CHOOSE(CONTROL!$C$9, $D$9, 100%, $F$9) + CHOOSE(CONTROL!$C$27, 0.0021, 0)</f>
        <v>48.305</v>
      </c>
      <c r="L566" s="17"/>
    </row>
    <row r="567" spans="1:12" ht="15.75" x14ac:dyDescent="0.25">
      <c r="A567" s="13">
        <v>57830</v>
      </c>
      <c r="B567" s="17">
        <f>48.0607 * CHOOSE(CONTROL!$C$9, $D$9, 100%, $F$9) + CHOOSE(CONTROL!$C$27, 0.0021, 0)</f>
        <v>48.062799999999996</v>
      </c>
      <c r="C567" s="17">
        <f>47.6284 * CHOOSE(CONTROL!$C$9, $D$9, 100%, $F$9) + CHOOSE(CONTROL!$C$27, 0.0021, 0)</f>
        <v>47.630499999999998</v>
      </c>
      <c r="D567" s="17">
        <f>47.6284 * CHOOSE(CONTROL!$C$9, $D$9, 100%, $F$9) + CHOOSE(CONTROL!$C$27, 0.0021, 0)</f>
        <v>47.630499999999998</v>
      </c>
      <c r="E567" s="17">
        <f>47.4918 * CHOOSE(CONTROL!$C$9, $D$9, 100%, $F$9) + CHOOSE(CONTROL!$C$27, 0.0021, 0)</f>
        <v>47.493899999999996</v>
      </c>
      <c r="F567" s="17">
        <f>47.4918 * CHOOSE(CONTROL!$C$9, $D$9, 100%, $F$9) + CHOOSE(CONTROL!$C$27, 0.0021, 0)</f>
        <v>47.493899999999996</v>
      </c>
      <c r="G567" s="17">
        <f>47.7632 * CHOOSE(CONTROL!$C$9, $D$9, 100%, $F$9) + CHOOSE(CONTROL!$C$27, 0.0021, 0)</f>
        <v>47.765299999999996</v>
      </c>
      <c r="H567" s="17">
        <f>47.6284 * CHOOSE(CONTROL!$C$9, $D$9, 100%, $F$9) + CHOOSE(CONTROL!$C$27, 0.0021, 0)</f>
        <v>47.630499999999998</v>
      </c>
      <c r="I567" s="17">
        <f>47.6284 * CHOOSE(CONTROL!$C$9, $D$9, 100%, $F$9) + CHOOSE(CONTROL!$C$27, 0.0021, 0)</f>
        <v>47.630499999999998</v>
      </c>
      <c r="J567" s="17">
        <f>47.6284 * CHOOSE(CONTROL!$C$9, $D$9, 100%, $F$9) + CHOOSE(CONTROL!$C$27, 0.0021, 0)</f>
        <v>47.630499999999998</v>
      </c>
      <c r="K567" s="17">
        <f>47.6284 * CHOOSE(CONTROL!$C$9, $D$9, 100%, $F$9) + CHOOSE(CONTROL!$C$27, 0.0021, 0)</f>
        <v>47.630499999999998</v>
      </c>
      <c r="L567" s="17"/>
    </row>
    <row r="568" spans="1:12" ht="15.75" x14ac:dyDescent="0.25">
      <c r="A568" s="13">
        <v>57861</v>
      </c>
      <c r="B568" s="17">
        <f>49.0218 * CHOOSE(CONTROL!$C$9, $D$9, 100%, $F$9) + CHOOSE(CONTROL!$C$27, 0.0021, 0)</f>
        <v>49.023899999999998</v>
      </c>
      <c r="C568" s="17">
        <f>48.5896 * CHOOSE(CONTROL!$C$9, $D$9, 100%, $F$9) + CHOOSE(CONTROL!$C$27, 0.0021, 0)</f>
        <v>48.591699999999996</v>
      </c>
      <c r="D568" s="17">
        <f>48.5896 * CHOOSE(CONTROL!$C$9, $D$9, 100%, $F$9) + CHOOSE(CONTROL!$C$27, 0.0021, 0)</f>
        <v>48.591699999999996</v>
      </c>
      <c r="E568" s="17">
        <f>48.4529 * CHOOSE(CONTROL!$C$9, $D$9, 100%, $F$9) + CHOOSE(CONTROL!$C$27, 0.0021, 0)</f>
        <v>48.454999999999998</v>
      </c>
      <c r="F568" s="17">
        <f>48.4529 * CHOOSE(CONTROL!$C$9, $D$9, 100%, $F$9) + CHOOSE(CONTROL!$C$27, 0.0021, 0)</f>
        <v>48.454999999999998</v>
      </c>
      <c r="G568" s="17">
        <f>48.7243 * CHOOSE(CONTROL!$C$9, $D$9, 100%, $F$9) + CHOOSE(CONTROL!$C$27, 0.0021, 0)</f>
        <v>48.726399999999998</v>
      </c>
      <c r="H568" s="17">
        <f>48.5896 * CHOOSE(CONTROL!$C$9, $D$9, 100%, $F$9) + CHOOSE(CONTROL!$C$27, 0.0021, 0)</f>
        <v>48.591699999999996</v>
      </c>
      <c r="I568" s="17">
        <f>48.5896 * CHOOSE(CONTROL!$C$9, $D$9, 100%, $F$9) + CHOOSE(CONTROL!$C$27, 0.0021, 0)</f>
        <v>48.591699999999996</v>
      </c>
      <c r="J568" s="17">
        <f>48.5896 * CHOOSE(CONTROL!$C$9, $D$9, 100%, $F$9) + CHOOSE(CONTROL!$C$27, 0.0021, 0)</f>
        <v>48.591699999999996</v>
      </c>
      <c r="K568" s="17">
        <f>48.5896 * CHOOSE(CONTROL!$C$9, $D$9, 100%, $F$9) + CHOOSE(CONTROL!$C$27, 0.0021, 0)</f>
        <v>48.591699999999996</v>
      </c>
      <c r="L568" s="17"/>
    </row>
    <row r="569" spans="1:12" ht="15.75" x14ac:dyDescent="0.25">
      <c r="A569" s="13">
        <v>57891</v>
      </c>
      <c r="B569" s="17">
        <f>49.5975 * CHOOSE(CONTROL!$C$9, $D$9, 100%, $F$9) + CHOOSE(CONTROL!$C$27, 0.0021, 0)</f>
        <v>49.599599999999995</v>
      </c>
      <c r="C569" s="17">
        <f>49.1653 * CHOOSE(CONTROL!$C$9, $D$9, 100%, $F$9) + CHOOSE(CONTROL!$C$27, 0.0021, 0)</f>
        <v>49.167400000000001</v>
      </c>
      <c r="D569" s="17">
        <f>49.1653 * CHOOSE(CONTROL!$C$9, $D$9, 100%, $F$9) + CHOOSE(CONTROL!$C$27, 0.0021, 0)</f>
        <v>49.167400000000001</v>
      </c>
      <c r="E569" s="17">
        <f>49.0286 * CHOOSE(CONTROL!$C$9, $D$9, 100%, $F$9) + CHOOSE(CONTROL!$C$27, 0.0021, 0)</f>
        <v>49.030699999999996</v>
      </c>
      <c r="F569" s="17">
        <f>49.0286 * CHOOSE(CONTROL!$C$9, $D$9, 100%, $F$9) + CHOOSE(CONTROL!$C$27, 0.0021, 0)</f>
        <v>49.030699999999996</v>
      </c>
      <c r="G569" s="17">
        <f>49.3 * CHOOSE(CONTROL!$C$9, $D$9, 100%, $F$9) + CHOOSE(CONTROL!$C$27, 0.0021, 0)</f>
        <v>49.302099999999996</v>
      </c>
      <c r="H569" s="17">
        <f>49.1653 * CHOOSE(CONTROL!$C$9, $D$9, 100%, $F$9) + CHOOSE(CONTROL!$C$27, 0.0021, 0)</f>
        <v>49.167400000000001</v>
      </c>
      <c r="I569" s="17">
        <f>49.1653 * CHOOSE(CONTROL!$C$9, $D$9, 100%, $F$9) + CHOOSE(CONTROL!$C$27, 0.0021, 0)</f>
        <v>49.167400000000001</v>
      </c>
      <c r="J569" s="17">
        <f>49.1653 * CHOOSE(CONTROL!$C$9, $D$9, 100%, $F$9) + CHOOSE(CONTROL!$C$27, 0.0021, 0)</f>
        <v>49.167400000000001</v>
      </c>
      <c r="K569" s="17">
        <f>49.1653 * CHOOSE(CONTROL!$C$9, $D$9, 100%, $F$9) + CHOOSE(CONTROL!$C$27, 0.0021, 0)</f>
        <v>49.167400000000001</v>
      </c>
      <c r="L569" s="17"/>
    </row>
    <row r="570" spans="1:12" ht="15.75" x14ac:dyDescent="0.25">
      <c r="A570" s="13">
        <v>57922</v>
      </c>
      <c r="B570" s="17">
        <f>50.5472 * CHOOSE(CONTROL!$C$9, $D$9, 100%, $F$9) + CHOOSE(CONTROL!$C$27, 0.0021, 0)</f>
        <v>50.549299999999995</v>
      </c>
      <c r="C570" s="17">
        <f>50.115 * CHOOSE(CONTROL!$C$9, $D$9, 100%, $F$9) + CHOOSE(CONTROL!$C$27, 0.0021, 0)</f>
        <v>50.117100000000001</v>
      </c>
      <c r="D570" s="17">
        <f>50.115 * CHOOSE(CONTROL!$C$9, $D$9, 100%, $F$9) + CHOOSE(CONTROL!$C$27, 0.0021, 0)</f>
        <v>50.117100000000001</v>
      </c>
      <c r="E570" s="17">
        <f>49.9783 * CHOOSE(CONTROL!$C$9, $D$9, 100%, $F$9) + CHOOSE(CONTROL!$C$27, 0.0021, 0)</f>
        <v>49.980399999999996</v>
      </c>
      <c r="F570" s="17">
        <f>49.9783 * CHOOSE(CONTROL!$C$9, $D$9, 100%, $F$9) + CHOOSE(CONTROL!$C$27, 0.0021, 0)</f>
        <v>49.980399999999996</v>
      </c>
      <c r="G570" s="17">
        <f>50.2497 * CHOOSE(CONTROL!$C$9, $D$9, 100%, $F$9) + CHOOSE(CONTROL!$C$27, 0.0021, 0)</f>
        <v>50.251799999999996</v>
      </c>
      <c r="H570" s="17">
        <f>50.115 * CHOOSE(CONTROL!$C$9, $D$9, 100%, $F$9) + CHOOSE(CONTROL!$C$27, 0.0021, 0)</f>
        <v>50.117100000000001</v>
      </c>
      <c r="I570" s="17">
        <f>50.115 * CHOOSE(CONTROL!$C$9, $D$9, 100%, $F$9) + CHOOSE(CONTROL!$C$27, 0.0021, 0)</f>
        <v>50.117100000000001</v>
      </c>
      <c r="J570" s="17">
        <f>50.115 * CHOOSE(CONTROL!$C$9, $D$9, 100%, $F$9) + CHOOSE(CONTROL!$C$27, 0.0021, 0)</f>
        <v>50.117100000000001</v>
      </c>
      <c r="K570" s="17">
        <f>50.115 * CHOOSE(CONTROL!$C$9, $D$9, 100%, $F$9) + CHOOSE(CONTROL!$C$27, 0.0021, 0)</f>
        <v>50.117100000000001</v>
      </c>
      <c r="L570" s="17"/>
    </row>
    <row r="571" spans="1:12" ht="15.75" x14ac:dyDescent="0.25">
      <c r="A571" s="13">
        <v>57953</v>
      </c>
      <c r="B571" s="17">
        <f>50.8371 * CHOOSE(CONTROL!$C$9, $D$9, 100%, $F$9) + CHOOSE(CONTROL!$C$27, 0.0021, 0)</f>
        <v>50.839199999999998</v>
      </c>
      <c r="C571" s="17">
        <f>50.4049 * CHOOSE(CONTROL!$C$9, $D$9, 100%, $F$9) + CHOOSE(CONTROL!$C$27, 0.0021, 0)</f>
        <v>50.406999999999996</v>
      </c>
      <c r="D571" s="17">
        <f>50.4049 * CHOOSE(CONTROL!$C$9, $D$9, 100%, $F$9) + CHOOSE(CONTROL!$C$27, 0.0021, 0)</f>
        <v>50.406999999999996</v>
      </c>
      <c r="E571" s="17">
        <f>50.2682 * CHOOSE(CONTROL!$C$9, $D$9, 100%, $F$9) + CHOOSE(CONTROL!$C$27, 0.0021, 0)</f>
        <v>50.270299999999999</v>
      </c>
      <c r="F571" s="17">
        <f>50.2682 * CHOOSE(CONTROL!$C$9, $D$9, 100%, $F$9) + CHOOSE(CONTROL!$C$27, 0.0021, 0)</f>
        <v>50.270299999999999</v>
      </c>
      <c r="G571" s="17">
        <f>50.5396 * CHOOSE(CONTROL!$C$9, $D$9, 100%, $F$9) + CHOOSE(CONTROL!$C$27, 0.0021, 0)</f>
        <v>50.541699999999999</v>
      </c>
      <c r="H571" s="17">
        <f>50.4049 * CHOOSE(CONTROL!$C$9, $D$9, 100%, $F$9) + CHOOSE(CONTROL!$C$27, 0.0021, 0)</f>
        <v>50.406999999999996</v>
      </c>
      <c r="I571" s="17">
        <f>50.4049 * CHOOSE(CONTROL!$C$9, $D$9, 100%, $F$9) + CHOOSE(CONTROL!$C$27, 0.0021, 0)</f>
        <v>50.406999999999996</v>
      </c>
      <c r="J571" s="17">
        <f>50.4049 * CHOOSE(CONTROL!$C$9, $D$9, 100%, $F$9) + CHOOSE(CONTROL!$C$27, 0.0021, 0)</f>
        <v>50.406999999999996</v>
      </c>
      <c r="K571" s="17">
        <f>50.4049 * CHOOSE(CONTROL!$C$9, $D$9, 100%, $F$9) + CHOOSE(CONTROL!$C$27, 0.0021, 0)</f>
        <v>50.406999999999996</v>
      </c>
      <c r="L571" s="17"/>
    </row>
    <row r="572" spans="1:12" ht="15.75" x14ac:dyDescent="0.25">
      <c r="A572" s="13">
        <v>57983</v>
      </c>
      <c r="B572" s="17">
        <f>51.8243 * CHOOSE(CONTROL!$C$9, $D$9, 100%, $F$9) + CHOOSE(CONTROL!$C$27, 0.0021, 0)</f>
        <v>51.8264</v>
      </c>
      <c r="C572" s="17">
        <f>51.392 * CHOOSE(CONTROL!$C$9, $D$9, 100%, $F$9) + CHOOSE(CONTROL!$C$27, 0.0021, 0)</f>
        <v>51.394100000000002</v>
      </c>
      <c r="D572" s="17">
        <f>51.392 * CHOOSE(CONTROL!$C$9, $D$9, 100%, $F$9) + CHOOSE(CONTROL!$C$27, 0.0021, 0)</f>
        <v>51.394100000000002</v>
      </c>
      <c r="E572" s="17">
        <f>51.2554 * CHOOSE(CONTROL!$C$9, $D$9, 100%, $F$9) + CHOOSE(CONTROL!$C$27, 0.0021, 0)</f>
        <v>51.2575</v>
      </c>
      <c r="F572" s="17">
        <f>51.2554 * CHOOSE(CONTROL!$C$9, $D$9, 100%, $F$9) + CHOOSE(CONTROL!$C$27, 0.0021, 0)</f>
        <v>51.2575</v>
      </c>
      <c r="G572" s="17">
        <f>51.5267 * CHOOSE(CONTROL!$C$9, $D$9, 100%, $F$9) + CHOOSE(CONTROL!$C$27, 0.0021, 0)</f>
        <v>51.528799999999997</v>
      </c>
      <c r="H572" s="17">
        <f>51.392 * CHOOSE(CONTROL!$C$9, $D$9, 100%, $F$9) + CHOOSE(CONTROL!$C$27, 0.0021, 0)</f>
        <v>51.394100000000002</v>
      </c>
      <c r="I572" s="17">
        <f>51.392 * CHOOSE(CONTROL!$C$9, $D$9, 100%, $F$9) + CHOOSE(CONTROL!$C$27, 0.0021, 0)</f>
        <v>51.394100000000002</v>
      </c>
      <c r="J572" s="17">
        <f>51.392 * CHOOSE(CONTROL!$C$9, $D$9, 100%, $F$9) + CHOOSE(CONTROL!$C$27, 0.0021, 0)</f>
        <v>51.394100000000002</v>
      </c>
      <c r="K572" s="17">
        <f>51.392 * CHOOSE(CONTROL!$C$9, $D$9, 100%, $F$9) + CHOOSE(CONTROL!$C$27, 0.0021, 0)</f>
        <v>51.394100000000002</v>
      </c>
      <c r="L572" s="17"/>
    </row>
    <row r="573" spans="1:12" ht="15.75" x14ac:dyDescent="0.25">
      <c r="A573" s="13">
        <v>58014</v>
      </c>
      <c r="B573" s="17">
        <f>53.0738 * CHOOSE(CONTROL!$C$9, $D$9, 100%, $F$9) + CHOOSE(CONTROL!$C$27, 0.0021, 0)</f>
        <v>53.075899999999997</v>
      </c>
      <c r="C573" s="17">
        <f>52.6416 * CHOOSE(CONTROL!$C$9, $D$9, 100%, $F$9) + CHOOSE(CONTROL!$C$27, 0.0021, 0)</f>
        <v>52.643699999999995</v>
      </c>
      <c r="D573" s="17">
        <f>52.6416 * CHOOSE(CONTROL!$C$9, $D$9, 100%, $F$9) + CHOOSE(CONTROL!$C$27, 0.0021, 0)</f>
        <v>52.643699999999995</v>
      </c>
      <c r="E573" s="17">
        <f>52.5049 * CHOOSE(CONTROL!$C$9, $D$9, 100%, $F$9) + CHOOSE(CONTROL!$C$27, 0.0021, 0)</f>
        <v>52.506999999999998</v>
      </c>
      <c r="F573" s="17">
        <f>52.5049 * CHOOSE(CONTROL!$C$9, $D$9, 100%, $F$9) + CHOOSE(CONTROL!$C$27, 0.0021, 0)</f>
        <v>52.506999999999998</v>
      </c>
      <c r="G573" s="17">
        <f>52.7763 * CHOOSE(CONTROL!$C$9, $D$9, 100%, $F$9) + CHOOSE(CONTROL!$C$27, 0.0021, 0)</f>
        <v>52.778399999999998</v>
      </c>
      <c r="H573" s="17">
        <f>52.6416 * CHOOSE(CONTROL!$C$9, $D$9, 100%, $F$9) + CHOOSE(CONTROL!$C$27, 0.0021, 0)</f>
        <v>52.643699999999995</v>
      </c>
      <c r="I573" s="17">
        <f>52.6416 * CHOOSE(CONTROL!$C$9, $D$9, 100%, $F$9) + CHOOSE(CONTROL!$C$27, 0.0021, 0)</f>
        <v>52.643699999999995</v>
      </c>
      <c r="J573" s="17">
        <f>52.6416 * CHOOSE(CONTROL!$C$9, $D$9, 100%, $F$9) + CHOOSE(CONTROL!$C$27, 0.0021, 0)</f>
        <v>52.643699999999995</v>
      </c>
      <c r="K573" s="17">
        <f>52.6416 * CHOOSE(CONTROL!$C$9, $D$9, 100%, $F$9) + CHOOSE(CONTROL!$C$27, 0.0021, 0)</f>
        <v>52.643699999999995</v>
      </c>
      <c r="L573" s="17"/>
    </row>
    <row r="574" spans="1:12" ht="15.75" x14ac:dyDescent="0.25">
      <c r="A574" s="13">
        <v>58044</v>
      </c>
      <c r="B574" s="17">
        <f>53.1911 * CHOOSE(CONTROL!$C$9, $D$9, 100%, $F$9) + CHOOSE(CONTROL!$C$27, 0.0021, 0)</f>
        <v>53.193199999999997</v>
      </c>
      <c r="C574" s="17">
        <f>52.7589 * CHOOSE(CONTROL!$C$9, $D$9, 100%, $F$9) + CHOOSE(CONTROL!$C$27, 0.0021, 0)</f>
        <v>52.760999999999996</v>
      </c>
      <c r="D574" s="17">
        <f>52.7589 * CHOOSE(CONTROL!$C$9, $D$9, 100%, $F$9) + CHOOSE(CONTROL!$C$27, 0.0021, 0)</f>
        <v>52.760999999999996</v>
      </c>
      <c r="E574" s="17">
        <f>52.6222 * CHOOSE(CONTROL!$C$9, $D$9, 100%, $F$9) + CHOOSE(CONTROL!$C$27, 0.0021, 0)</f>
        <v>52.624299999999998</v>
      </c>
      <c r="F574" s="17">
        <f>52.6222 * CHOOSE(CONTROL!$C$9, $D$9, 100%, $F$9) + CHOOSE(CONTROL!$C$27, 0.0021, 0)</f>
        <v>52.624299999999998</v>
      </c>
      <c r="G574" s="17">
        <f>52.8936 * CHOOSE(CONTROL!$C$9, $D$9, 100%, $F$9) + CHOOSE(CONTROL!$C$27, 0.0021, 0)</f>
        <v>52.895699999999998</v>
      </c>
      <c r="H574" s="17">
        <f>52.7589 * CHOOSE(CONTROL!$C$9, $D$9, 100%, $F$9) + CHOOSE(CONTROL!$C$27, 0.0021, 0)</f>
        <v>52.760999999999996</v>
      </c>
      <c r="I574" s="17">
        <f>52.7589 * CHOOSE(CONTROL!$C$9, $D$9, 100%, $F$9) + CHOOSE(CONTROL!$C$27, 0.0021, 0)</f>
        <v>52.760999999999996</v>
      </c>
      <c r="J574" s="17">
        <f>52.7589 * CHOOSE(CONTROL!$C$9, $D$9, 100%, $F$9) + CHOOSE(CONTROL!$C$27, 0.0021, 0)</f>
        <v>52.760999999999996</v>
      </c>
      <c r="K574" s="17">
        <f>52.7589 * CHOOSE(CONTROL!$C$9, $D$9, 100%, $F$9) + CHOOSE(CONTROL!$C$27, 0.0021, 0)</f>
        <v>52.760999999999996</v>
      </c>
      <c r="L574" s="17"/>
    </row>
    <row r="575" spans="1:12" ht="15.75" x14ac:dyDescent="0.25">
      <c r="A575" s="13">
        <v>58075</v>
      </c>
      <c r="B575" s="17">
        <f>52.1931 * CHOOSE(CONTROL!$C$9, $D$9, 100%, $F$9) + CHOOSE(CONTROL!$C$27, 0.0021, 0)</f>
        <v>52.1952</v>
      </c>
      <c r="C575" s="17">
        <f>51.7609 * CHOOSE(CONTROL!$C$9, $D$9, 100%, $F$9) + CHOOSE(CONTROL!$C$27, 0.0021, 0)</f>
        <v>51.762999999999998</v>
      </c>
      <c r="D575" s="17">
        <f>51.7609 * CHOOSE(CONTROL!$C$9, $D$9, 100%, $F$9) + CHOOSE(CONTROL!$C$27, 0.0021, 0)</f>
        <v>51.762999999999998</v>
      </c>
      <c r="E575" s="17">
        <f>51.6242 * CHOOSE(CONTROL!$C$9, $D$9, 100%, $F$9) + CHOOSE(CONTROL!$C$27, 0.0021, 0)</f>
        <v>51.626300000000001</v>
      </c>
      <c r="F575" s="17">
        <f>51.6242 * CHOOSE(CONTROL!$C$9, $D$9, 100%, $F$9) + CHOOSE(CONTROL!$C$27, 0.0021, 0)</f>
        <v>51.626300000000001</v>
      </c>
      <c r="G575" s="17">
        <f>51.8956 * CHOOSE(CONTROL!$C$9, $D$9, 100%, $F$9) + CHOOSE(CONTROL!$C$27, 0.0021, 0)</f>
        <v>51.8977</v>
      </c>
      <c r="H575" s="17">
        <f>51.7609 * CHOOSE(CONTROL!$C$9, $D$9, 100%, $F$9) + CHOOSE(CONTROL!$C$27, 0.0021, 0)</f>
        <v>51.762999999999998</v>
      </c>
      <c r="I575" s="17">
        <f>51.7609 * CHOOSE(CONTROL!$C$9, $D$9, 100%, $F$9) + CHOOSE(CONTROL!$C$27, 0.0021, 0)</f>
        <v>51.762999999999998</v>
      </c>
      <c r="J575" s="17">
        <f>51.7609 * CHOOSE(CONTROL!$C$9, $D$9, 100%, $F$9) + CHOOSE(CONTROL!$C$27, 0.0021, 0)</f>
        <v>51.762999999999998</v>
      </c>
      <c r="K575" s="17">
        <f>51.7609 * CHOOSE(CONTROL!$C$9, $D$9, 100%, $F$9) + CHOOSE(CONTROL!$C$27, 0.0021, 0)</f>
        <v>51.762999999999998</v>
      </c>
      <c r="L575" s="17"/>
    </row>
    <row r="576" spans="1:12" ht="15.75" x14ac:dyDescent="0.25">
      <c r="A576" s="13">
        <v>58106</v>
      </c>
      <c r="B576" s="17">
        <f>51.1996 * CHOOSE(CONTROL!$C$9, $D$9, 100%, $F$9) + CHOOSE(CONTROL!$C$27, 0.0021, 0)</f>
        <v>51.201699999999995</v>
      </c>
      <c r="C576" s="17">
        <f>50.7674 * CHOOSE(CONTROL!$C$9, $D$9, 100%, $F$9) + CHOOSE(CONTROL!$C$27, 0.0021, 0)</f>
        <v>50.769500000000001</v>
      </c>
      <c r="D576" s="17">
        <f>50.7674 * CHOOSE(CONTROL!$C$9, $D$9, 100%, $F$9) + CHOOSE(CONTROL!$C$27, 0.0021, 0)</f>
        <v>50.769500000000001</v>
      </c>
      <c r="E576" s="17">
        <f>50.6307 * CHOOSE(CONTROL!$C$9, $D$9, 100%, $F$9) + CHOOSE(CONTROL!$C$27, 0.0021, 0)</f>
        <v>50.632799999999996</v>
      </c>
      <c r="F576" s="17">
        <f>50.6307 * CHOOSE(CONTROL!$C$9, $D$9, 100%, $F$9) + CHOOSE(CONTROL!$C$27, 0.0021, 0)</f>
        <v>50.632799999999996</v>
      </c>
      <c r="G576" s="17">
        <f>50.9021 * CHOOSE(CONTROL!$C$9, $D$9, 100%, $F$9) + CHOOSE(CONTROL!$C$27, 0.0021, 0)</f>
        <v>50.904199999999996</v>
      </c>
      <c r="H576" s="17">
        <f>50.7674 * CHOOSE(CONTROL!$C$9, $D$9, 100%, $F$9) + CHOOSE(CONTROL!$C$27, 0.0021, 0)</f>
        <v>50.769500000000001</v>
      </c>
      <c r="I576" s="17">
        <f>50.7674 * CHOOSE(CONTROL!$C$9, $D$9, 100%, $F$9) + CHOOSE(CONTROL!$C$27, 0.0021, 0)</f>
        <v>50.769500000000001</v>
      </c>
      <c r="J576" s="17">
        <f>50.7674 * CHOOSE(CONTROL!$C$9, $D$9, 100%, $F$9) + CHOOSE(CONTROL!$C$27, 0.0021, 0)</f>
        <v>50.769500000000001</v>
      </c>
      <c r="K576" s="17">
        <f>50.7674 * CHOOSE(CONTROL!$C$9, $D$9, 100%, $F$9) + CHOOSE(CONTROL!$C$27, 0.0021, 0)</f>
        <v>50.769500000000001</v>
      </c>
      <c r="L576" s="17"/>
    </row>
    <row r="577" spans="1:12" ht="15.75" x14ac:dyDescent="0.25">
      <c r="A577" s="13">
        <v>58134</v>
      </c>
      <c r="B577" s="17">
        <f>49.8163 * CHOOSE(CONTROL!$C$9, $D$9, 100%, $F$9) + CHOOSE(CONTROL!$C$27, 0.0021, 0)</f>
        <v>49.818399999999997</v>
      </c>
      <c r="C577" s="17">
        <f>49.384 * CHOOSE(CONTROL!$C$9, $D$9, 100%, $F$9) + CHOOSE(CONTROL!$C$27, 0.0021, 0)</f>
        <v>49.386099999999999</v>
      </c>
      <c r="D577" s="17">
        <f>49.384 * CHOOSE(CONTROL!$C$9, $D$9, 100%, $F$9) + CHOOSE(CONTROL!$C$27, 0.0021, 0)</f>
        <v>49.386099999999999</v>
      </c>
      <c r="E577" s="17">
        <f>49.2474 * CHOOSE(CONTROL!$C$9, $D$9, 100%, $F$9) + CHOOSE(CONTROL!$C$27, 0.0021, 0)</f>
        <v>49.249499999999998</v>
      </c>
      <c r="F577" s="17">
        <f>49.2474 * CHOOSE(CONTROL!$C$9, $D$9, 100%, $F$9) + CHOOSE(CONTROL!$C$27, 0.0021, 0)</f>
        <v>49.249499999999998</v>
      </c>
      <c r="G577" s="17">
        <f>49.5187 * CHOOSE(CONTROL!$C$9, $D$9, 100%, $F$9) + CHOOSE(CONTROL!$C$27, 0.0021, 0)</f>
        <v>49.520800000000001</v>
      </c>
      <c r="H577" s="17">
        <f>49.384 * CHOOSE(CONTROL!$C$9, $D$9, 100%, $F$9) + CHOOSE(CONTROL!$C$27, 0.0021, 0)</f>
        <v>49.386099999999999</v>
      </c>
      <c r="I577" s="17">
        <f>49.384 * CHOOSE(CONTROL!$C$9, $D$9, 100%, $F$9) + CHOOSE(CONTROL!$C$27, 0.0021, 0)</f>
        <v>49.386099999999999</v>
      </c>
      <c r="J577" s="17">
        <f>49.384 * CHOOSE(CONTROL!$C$9, $D$9, 100%, $F$9) + CHOOSE(CONTROL!$C$27, 0.0021, 0)</f>
        <v>49.386099999999999</v>
      </c>
      <c r="K577" s="17">
        <f>49.384 * CHOOSE(CONTROL!$C$9, $D$9, 100%, $F$9) + CHOOSE(CONTROL!$C$27, 0.0021, 0)</f>
        <v>49.386099999999999</v>
      </c>
      <c r="L577" s="17"/>
    </row>
    <row r="578" spans="1:12" ht="15.75" x14ac:dyDescent="0.25">
      <c r="A578" s="13">
        <v>58165</v>
      </c>
      <c r="B578" s="17">
        <f>49.2452 * CHOOSE(CONTROL!$C$9, $D$9, 100%, $F$9) + CHOOSE(CONTROL!$C$27, 0.0021, 0)</f>
        <v>49.247299999999996</v>
      </c>
      <c r="C578" s="17">
        <f>48.813 * CHOOSE(CONTROL!$C$9, $D$9, 100%, $F$9) + CHOOSE(CONTROL!$C$27, 0.0021, 0)</f>
        <v>48.815100000000001</v>
      </c>
      <c r="D578" s="17">
        <f>48.813 * CHOOSE(CONTROL!$C$9, $D$9, 100%, $F$9) + CHOOSE(CONTROL!$C$27, 0.0021, 0)</f>
        <v>48.815100000000001</v>
      </c>
      <c r="E578" s="17">
        <f>48.6763 * CHOOSE(CONTROL!$C$9, $D$9, 100%, $F$9) + CHOOSE(CONTROL!$C$27, 0.0021, 0)</f>
        <v>48.678399999999996</v>
      </c>
      <c r="F578" s="17">
        <f>48.6763 * CHOOSE(CONTROL!$C$9, $D$9, 100%, $F$9) + CHOOSE(CONTROL!$C$27, 0.0021, 0)</f>
        <v>48.678399999999996</v>
      </c>
      <c r="G578" s="17">
        <f>48.9477 * CHOOSE(CONTROL!$C$9, $D$9, 100%, $F$9) + CHOOSE(CONTROL!$C$27, 0.0021, 0)</f>
        <v>48.949799999999996</v>
      </c>
      <c r="H578" s="17">
        <f>48.813 * CHOOSE(CONTROL!$C$9, $D$9, 100%, $F$9) + CHOOSE(CONTROL!$C$27, 0.0021, 0)</f>
        <v>48.815100000000001</v>
      </c>
      <c r="I578" s="17">
        <f>48.813 * CHOOSE(CONTROL!$C$9, $D$9, 100%, $F$9) + CHOOSE(CONTROL!$C$27, 0.0021, 0)</f>
        <v>48.815100000000001</v>
      </c>
      <c r="J578" s="17">
        <f>48.813 * CHOOSE(CONTROL!$C$9, $D$9, 100%, $F$9) + CHOOSE(CONTROL!$C$27, 0.0021, 0)</f>
        <v>48.815100000000001</v>
      </c>
      <c r="K578" s="17">
        <f>48.813 * CHOOSE(CONTROL!$C$9, $D$9, 100%, $F$9) + CHOOSE(CONTROL!$C$27, 0.0021, 0)</f>
        <v>48.815100000000001</v>
      </c>
      <c r="L578" s="17"/>
    </row>
    <row r="579" spans="1:12" ht="15.75" x14ac:dyDescent="0.25">
      <c r="A579" s="13">
        <v>58195</v>
      </c>
      <c r="B579" s="17">
        <f>48.5634 * CHOOSE(CONTROL!$C$9, $D$9, 100%, $F$9) + CHOOSE(CONTROL!$C$27, 0.0021, 0)</f>
        <v>48.5655</v>
      </c>
      <c r="C579" s="17">
        <f>48.1311 * CHOOSE(CONTROL!$C$9, $D$9, 100%, $F$9) + CHOOSE(CONTROL!$C$27, 0.0021, 0)</f>
        <v>48.133200000000002</v>
      </c>
      <c r="D579" s="17">
        <f>48.1311 * CHOOSE(CONTROL!$C$9, $D$9, 100%, $F$9) + CHOOSE(CONTROL!$C$27, 0.0021, 0)</f>
        <v>48.133200000000002</v>
      </c>
      <c r="E579" s="17">
        <f>47.9945 * CHOOSE(CONTROL!$C$9, $D$9, 100%, $F$9) + CHOOSE(CONTROL!$C$27, 0.0021, 0)</f>
        <v>47.996600000000001</v>
      </c>
      <c r="F579" s="17">
        <f>47.9945 * CHOOSE(CONTROL!$C$9, $D$9, 100%, $F$9) + CHOOSE(CONTROL!$C$27, 0.0021, 0)</f>
        <v>47.996600000000001</v>
      </c>
      <c r="G579" s="17">
        <f>48.2658 * CHOOSE(CONTROL!$C$9, $D$9, 100%, $F$9) + CHOOSE(CONTROL!$C$27, 0.0021, 0)</f>
        <v>48.267899999999997</v>
      </c>
      <c r="H579" s="17">
        <f>48.1311 * CHOOSE(CONTROL!$C$9, $D$9, 100%, $F$9) + CHOOSE(CONTROL!$C$27, 0.0021, 0)</f>
        <v>48.133200000000002</v>
      </c>
      <c r="I579" s="17">
        <f>48.1311 * CHOOSE(CONTROL!$C$9, $D$9, 100%, $F$9) + CHOOSE(CONTROL!$C$27, 0.0021, 0)</f>
        <v>48.133200000000002</v>
      </c>
      <c r="J579" s="17">
        <f>48.1311 * CHOOSE(CONTROL!$C$9, $D$9, 100%, $F$9) + CHOOSE(CONTROL!$C$27, 0.0021, 0)</f>
        <v>48.133200000000002</v>
      </c>
      <c r="K579" s="17">
        <f>48.1311 * CHOOSE(CONTROL!$C$9, $D$9, 100%, $F$9) + CHOOSE(CONTROL!$C$27, 0.0021, 0)</f>
        <v>48.133200000000002</v>
      </c>
      <c r="L579" s="17"/>
    </row>
    <row r="580" spans="1:12" ht="15.75" x14ac:dyDescent="0.25">
      <c r="A580" s="13">
        <v>58226</v>
      </c>
      <c r="B580" s="17">
        <f>49.5351 * CHOOSE(CONTROL!$C$9, $D$9, 100%, $F$9) + CHOOSE(CONTROL!$C$27, 0.0021, 0)</f>
        <v>49.537199999999999</v>
      </c>
      <c r="C580" s="17">
        <f>49.1028 * CHOOSE(CONTROL!$C$9, $D$9, 100%, $F$9) + CHOOSE(CONTROL!$C$27, 0.0021, 0)</f>
        <v>49.104900000000001</v>
      </c>
      <c r="D580" s="17">
        <f>49.1028 * CHOOSE(CONTROL!$C$9, $D$9, 100%, $F$9) + CHOOSE(CONTROL!$C$27, 0.0021, 0)</f>
        <v>49.104900000000001</v>
      </c>
      <c r="E580" s="17">
        <f>48.9662 * CHOOSE(CONTROL!$C$9, $D$9, 100%, $F$9) + CHOOSE(CONTROL!$C$27, 0.0021, 0)</f>
        <v>48.968299999999999</v>
      </c>
      <c r="F580" s="17">
        <f>48.9662 * CHOOSE(CONTROL!$C$9, $D$9, 100%, $F$9) + CHOOSE(CONTROL!$C$27, 0.0021, 0)</f>
        <v>48.968299999999999</v>
      </c>
      <c r="G580" s="17">
        <f>49.2375 * CHOOSE(CONTROL!$C$9, $D$9, 100%, $F$9) + CHOOSE(CONTROL!$C$27, 0.0021, 0)</f>
        <v>49.239599999999996</v>
      </c>
      <c r="H580" s="17">
        <f>49.1028 * CHOOSE(CONTROL!$C$9, $D$9, 100%, $F$9) + CHOOSE(CONTROL!$C$27, 0.0021, 0)</f>
        <v>49.104900000000001</v>
      </c>
      <c r="I580" s="17">
        <f>49.1028 * CHOOSE(CONTROL!$C$9, $D$9, 100%, $F$9) + CHOOSE(CONTROL!$C$27, 0.0021, 0)</f>
        <v>49.104900000000001</v>
      </c>
      <c r="J580" s="17">
        <f>49.1028 * CHOOSE(CONTROL!$C$9, $D$9, 100%, $F$9) + CHOOSE(CONTROL!$C$27, 0.0021, 0)</f>
        <v>49.104900000000001</v>
      </c>
      <c r="K580" s="17">
        <f>49.1028 * CHOOSE(CONTROL!$C$9, $D$9, 100%, $F$9) + CHOOSE(CONTROL!$C$27, 0.0021, 0)</f>
        <v>49.104900000000001</v>
      </c>
      <c r="L580" s="17"/>
    </row>
    <row r="581" spans="1:12" ht="15.75" x14ac:dyDescent="0.25">
      <c r="A581" s="13">
        <v>58256</v>
      </c>
      <c r="B581" s="17">
        <f>50.1171 * CHOOSE(CONTROL!$C$9, $D$9, 100%, $F$9) + CHOOSE(CONTROL!$C$27, 0.0021, 0)</f>
        <v>50.119199999999999</v>
      </c>
      <c r="C581" s="17">
        <f>49.6848 * CHOOSE(CONTROL!$C$9, $D$9, 100%, $F$9) + CHOOSE(CONTROL!$C$27, 0.0021, 0)</f>
        <v>49.686900000000001</v>
      </c>
      <c r="D581" s="17">
        <f>49.6848 * CHOOSE(CONTROL!$C$9, $D$9, 100%, $F$9) + CHOOSE(CONTROL!$C$27, 0.0021, 0)</f>
        <v>49.686900000000001</v>
      </c>
      <c r="E581" s="17">
        <f>49.5482 * CHOOSE(CONTROL!$C$9, $D$9, 100%, $F$9) + CHOOSE(CONTROL!$C$27, 0.0021, 0)</f>
        <v>49.5503</v>
      </c>
      <c r="F581" s="17">
        <f>49.5482 * CHOOSE(CONTROL!$C$9, $D$9, 100%, $F$9) + CHOOSE(CONTROL!$C$27, 0.0021, 0)</f>
        <v>49.5503</v>
      </c>
      <c r="G581" s="17">
        <f>49.8196 * CHOOSE(CONTROL!$C$9, $D$9, 100%, $F$9) + CHOOSE(CONTROL!$C$27, 0.0021, 0)</f>
        <v>49.8217</v>
      </c>
      <c r="H581" s="17">
        <f>49.6848 * CHOOSE(CONTROL!$C$9, $D$9, 100%, $F$9) + CHOOSE(CONTROL!$C$27, 0.0021, 0)</f>
        <v>49.686900000000001</v>
      </c>
      <c r="I581" s="17">
        <f>49.6848 * CHOOSE(CONTROL!$C$9, $D$9, 100%, $F$9) + CHOOSE(CONTROL!$C$27, 0.0021, 0)</f>
        <v>49.686900000000001</v>
      </c>
      <c r="J581" s="17">
        <f>49.6848 * CHOOSE(CONTROL!$C$9, $D$9, 100%, $F$9) + CHOOSE(CONTROL!$C$27, 0.0021, 0)</f>
        <v>49.686900000000001</v>
      </c>
      <c r="K581" s="17">
        <f>49.6848 * CHOOSE(CONTROL!$C$9, $D$9, 100%, $F$9) + CHOOSE(CONTROL!$C$27, 0.0021, 0)</f>
        <v>49.686900000000001</v>
      </c>
      <c r="L581" s="17"/>
    </row>
    <row r="582" spans="1:12" ht="15.75" x14ac:dyDescent="0.25">
      <c r="A582" s="13">
        <v>58287</v>
      </c>
      <c r="B582" s="17">
        <f>51.0772 * CHOOSE(CONTROL!$C$9, $D$9, 100%, $F$9) + CHOOSE(CONTROL!$C$27, 0.0021, 0)</f>
        <v>51.079299999999996</v>
      </c>
      <c r="C582" s="17">
        <f>50.645 * CHOOSE(CONTROL!$C$9, $D$9, 100%, $F$9) + CHOOSE(CONTROL!$C$27, 0.0021, 0)</f>
        <v>50.647100000000002</v>
      </c>
      <c r="D582" s="17">
        <f>50.645 * CHOOSE(CONTROL!$C$9, $D$9, 100%, $F$9) + CHOOSE(CONTROL!$C$27, 0.0021, 0)</f>
        <v>50.647100000000002</v>
      </c>
      <c r="E582" s="17">
        <f>50.5083 * CHOOSE(CONTROL!$C$9, $D$9, 100%, $F$9) + CHOOSE(CONTROL!$C$27, 0.0021, 0)</f>
        <v>50.510399999999997</v>
      </c>
      <c r="F582" s="17">
        <f>50.5083 * CHOOSE(CONTROL!$C$9, $D$9, 100%, $F$9) + CHOOSE(CONTROL!$C$27, 0.0021, 0)</f>
        <v>50.510399999999997</v>
      </c>
      <c r="G582" s="17">
        <f>50.7797 * CHOOSE(CONTROL!$C$9, $D$9, 100%, $F$9) + CHOOSE(CONTROL!$C$27, 0.0021, 0)</f>
        <v>50.781799999999997</v>
      </c>
      <c r="H582" s="17">
        <f>50.645 * CHOOSE(CONTROL!$C$9, $D$9, 100%, $F$9) + CHOOSE(CONTROL!$C$27, 0.0021, 0)</f>
        <v>50.647100000000002</v>
      </c>
      <c r="I582" s="17">
        <f>50.645 * CHOOSE(CONTROL!$C$9, $D$9, 100%, $F$9) + CHOOSE(CONTROL!$C$27, 0.0021, 0)</f>
        <v>50.647100000000002</v>
      </c>
      <c r="J582" s="17">
        <f>50.645 * CHOOSE(CONTROL!$C$9, $D$9, 100%, $F$9) + CHOOSE(CONTROL!$C$27, 0.0021, 0)</f>
        <v>50.647100000000002</v>
      </c>
      <c r="K582" s="17">
        <f>50.645 * CHOOSE(CONTROL!$C$9, $D$9, 100%, $F$9) + CHOOSE(CONTROL!$C$27, 0.0021, 0)</f>
        <v>50.647100000000002</v>
      </c>
      <c r="L582" s="17"/>
    </row>
    <row r="583" spans="1:12" ht="15.75" x14ac:dyDescent="0.25">
      <c r="A583" s="13">
        <v>58318</v>
      </c>
      <c r="B583" s="17">
        <f>51.3703 * CHOOSE(CONTROL!$C$9, $D$9, 100%, $F$9) + CHOOSE(CONTROL!$C$27, 0.0021, 0)</f>
        <v>51.372399999999999</v>
      </c>
      <c r="C583" s="17">
        <f>50.938 * CHOOSE(CONTROL!$C$9, $D$9, 100%, $F$9) + CHOOSE(CONTROL!$C$27, 0.0021, 0)</f>
        <v>50.940100000000001</v>
      </c>
      <c r="D583" s="17">
        <f>50.938 * CHOOSE(CONTROL!$C$9, $D$9, 100%, $F$9) + CHOOSE(CONTROL!$C$27, 0.0021, 0)</f>
        <v>50.940100000000001</v>
      </c>
      <c r="E583" s="17">
        <f>50.8014 * CHOOSE(CONTROL!$C$9, $D$9, 100%, $F$9) + CHOOSE(CONTROL!$C$27, 0.0021, 0)</f>
        <v>50.8035</v>
      </c>
      <c r="F583" s="17">
        <f>50.8014 * CHOOSE(CONTROL!$C$9, $D$9, 100%, $F$9) + CHOOSE(CONTROL!$C$27, 0.0021, 0)</f>
        <v>50.8035</v>
      </c>
      <c r="G583" s="17">
        <f>51.0727 * CHOOSE(CONTROL!$C$9, $D$9, 100%, $F$9) + CHOOSE(CONTROL!$C$27, 0.0021, 0)</f>
        <v>51.074799999999996</v>
      </c>
      <c r="H583" s="17">
        <f>50.938 * CHOOSE(CONTROL!$C$9, $D$9, 100%, $F$9) + CHOOSE(CONTROL!$C$27, 0.0021, 0)</f>
        <v>50.940100000000001</v>
      </c>
      <c r="I583" s="17">
        <f>50.938 * CHOOSE(CONTROL!$C$9, $D$9, 100%, $F$9) + CHOOSE(CONTROL!$C$27, 0.0021, 0)</f>
        <v>50.940100000000001</v>
      </c>
      <c r="J583" s="17">
        <f>50.938 * CHOOSE(CONTROL!$C$9, $D$9, 100%, $F$9) + CHOOSE(CONTROL!$C$27, 0.0021, 0)</f>
        <v>50.940100000000001</v>
      </c>
      <c r="K583" s="17">
        <f>50.938 * CHOOSE(CONTROL!$C$9, $D$9, 100%, $F$9) + CHOOSE(CONTROL!$C$27, 0.0021, 0)</f>
        <v>50.940100000000001</v>
      </c>
      <c r="L583" s="17"/>
    </row>
    <row r="584" spans="1:12" ht="15.75" x14ac:dyDescent="0.25">
      <c r="A584" s="13">
        <v>58348</v>
      </c>
      <c r="B584" s="17">
        <f>52.3683 * CHOOSE(CONTROL!$C$9, $D$9, 100%, $F$9) + CHOOSE(CONTROL!$C$27, 0.0021, 0)</f>
        <v>52.370399999999997</v>
      </c>
      <c r="C584" s="17">
        <f>51.936 * CHOOSE(CONTROL!$C$9, $D$9, 100%, $F$9) + CHOOSE(CONTROL!$C$27, 0.0021, 0)</f>
        <v>51.938099999999999</v>
      </c>
      <c r="D584" s="17">
        <f>51.936 * CHOOSE(CONTROL!$C$9, $D$9, 100%, $F$9) + CHOOSE(CONTROL!$C$27, 0.0021, 0)</f>
        <v>51.938099999999999</v>
      </c>
      <c r="E584" s="17">
        <f>51.7994 * CHOOSE(CONTROL!$C$9, $D$9, 100%, $F$9) + CHOOSE(CONTROL!$C$27, 0.0021, 0)</f>
        <v>51.801499999999997</v>
      </c>
      <c r="F584" s="17">
        <f>51.7994 * CHOOSE(CONTROL!$C$9, $D$9, 100%, $F$9) + CHOOSE(CONTROL!$C$27, 0.0021, 0)</f>
        <v>51.801499999999997</v>
      </c>
      <c r="G584" s="17">
        <f>52.0707 * CHOOSE(CONTROL!$C$9, $D$9, 100%, $F$9) + CHOOSE(CONTROL!$C$27, 0.0021, 0)</f>
        <v>52.072800000000001</v>
      </c>
      <c r="H584" s="17">
        <f>51.936 * CHOOSE(CONTROL!$C$9, $D$9, 100%, $F$9) + CHOOSE(CONTROL!$C$27, 0.0021, 0)</f>
        <v>51.938099999999999</v>
      </c>
      <c r="I584" s="17">
        <f>51.936 * CHOOSE(CONTROL!$C$9, $D$9, 100%, $F$9) + CHOOSE(CONTROL!$C$27, 0.0021, 0)</f>
        <v>51.938099999999999</v>
      </c>
      <c r="J584" s="17">
        <f>51.936 * CHOOSE(CONTROL!$C$9, $D$9, 100%, $F$9) + CHOOSE(CONTROL!$C$27, 0.0021, 0)</f>
        <v>51.938099999999999</v>
      </c>
      <c r="K584" s="17">
        <f>51.936 * CHOOSE(CONTROL!$C$9, $D$9, 100%, $F$9) + CHOOSE(CONTROL!$C$27, 0.0021, 0)</f>
        <v>51.938099999999999</v>
      </c>
      <c r="L584" s="17"/>
    </row>
    <row r="585" spans="1:12" ht="15.75" x14ac:dyDescent="0.25">
      <c r="A585" s="13">
        <v>58379</v>
      </c>
      <c r="B585" s="17">
        <f>53.6316 * CHOOSE(CONTROL!$C$9, $D$9, 100%, $F$9) + CHOOSE(CONTROL!$C$27, 0.0021, 0)</f>
        <v>53.633699999999997</v>
      </c>
      <c r="C585" s="17">
        <f>53.1993 * CHOOSE(CONTROL!$C$9, $D$9, 100%, $F$9) + CHOOSE(CONTROL!$C$27, 0.0021, 0)</f>
        <v>53.2014</v>
      </c>
      <c r="D585" s="17">
        <f>53.1993 * CHOOSE(CONTROL!$C$9, $D$9, 100%, $F$9) + CHOOSE(CONTROL!$C$27, 0.0021, 0)</f>
        <v>53.2014</v>
      </c>
      <c r="E585" s="17">
        <f>53.0626 * CHOOSE(CONTROL!$C$9, $D$9, 100%, $F$9) + CHOOSE(CONTROL!$C$27, 0.0021, 0)</f>
        <v>53.064700000000002</v>
      </c>
      <c r="F585" s="17">
        <f>53.0626 * CHOOSE(CONTROL!$C$9, $D$9, 100%, $F$9) + CHOOSE(CONTROL!$C$27, 0.0021, 0)</f>
        <v>53.064700000000002</v>
      </c>
      <c r="G585" s="17">
        <f>53.334 * CHOOSE(CONTROL!$C$9, $D$9, 100%, $F$9) + CHOOSE(CONTROL!$C$27, 0.0021, 0)</f>
        <v>53.336100000000002</v>
      </c>
      <c r="H585" s="17">
        <f>53.1993 * CHOOSE(CONTROL!$C$9, $D$9, 100%, $F$9) + CHOOSE(CONTROL!$C$27, 0.0021, 0)</f>
        <v>53.2014</v>
      </c>
      <c r="I585" s="17">
        <f>53.1993 * CHOOSE(CONTROL!$C$9, $D$9, 100%, $F$9) + CHOOSE(CONTROL!$C$27, 0.0021, 0)</f>
        <v>53.2014</v>
      </c>
      <c r="J585" s="17">
        <f>53.1993 * CHOOSE(CONTROL!$C$9, $D$9, 100%, $F$9) + CHOOSE(CONTROL!$C$27, 0.0021, 0)</f>
        <v>53.2014</v>
      </c>
      <c r="K585" s="17">
        <f>53.1993 * CHOOSE(CONTROL!$C$9, $D$9, 100%, $F$9) + CHOOSE(CONTROL!$C$27, 0.0021, 0)</f>
        <v>53.2014</v>
      </c>
      <c r="L585" s="17"/>
    </row>
    <row r="586" spans="1:12" ht="15.75" x14ac:dyDescent="0.25">
      <c r="A586" s="13">
        <v>58409</v>
      </c>
      <c r="B586" s="17">
        <f>53.7501 * CHOOSE(CONTROL!$C$9, $D$9, 100%, $F$9) + CHOOSE(CONTROL!$C$27, 0.0021, 0)</f>
        <v>53.752200000000002</v>
      </c>
      <c r="C586" s="17">
        <f>53.3179 * CHOOSE(CONTROL!$C$9, $D$9, 100%, $F$9) + CHOOSE(CONTROL!$C$27, 0.0021, 0)</f>
        <v>53.32</v>
      </c>
      <c r="D586" s="17">
        <f>53.3179 * CHOOSE(CONTROL!$C$9, $D$9, 100%, $F$9) + CHOOSE(CONTROL!$C$27, 0.0021, 0)</f>
        <v>53.32</v>
      </c>
      <c r="E586" s="17">
        <f>53.1812 * CHOOSE(CONTROL!$C$9, $D$9, 100%, $F$9) + CHOOSE(CONTROL!$C$27, 0.0021, 0)</f>
        <v>53.183299999999996</v>
      </c>
      <c r="F586" s="17">
        <f>53.1812 * CHOOSE(CONTROL!$C$9, $D$9, 100%, $F$9) + CHOOSE(CONTROL!$C$27, 0.0021, 0)</f>
        <v>53.183299999999996</v>
      </c>
      <c r="G586" s="17">
        <f>53.4526 * CHOOSE(CONTROL!$C$9, $D$9, 100%, $F$9) + CHOOSE(CONTROL!$C$27, 0.0021, 0)</f>
        <v>53.454699999999995</v>
      </c>
      <c r="H586" s="17">
        <f>53.3179 * CHOOSE(CONTROL!$C$9, $D$9, 100%, $F$9) + CHOOSE(CONTROL!$C$27, 0.0021, 0)</f>
        <v>53.32</v>
      </c>
      <c r="I586" s="17">
        <f>53.3179 * CHOOSE(CONTROL!$C$9, $D$9, 100%, $F$9) + CHOOSE(CONTROL!$C$27, 0.0021, 0)</f>
        <v>53.32</v>
      </c>
      <c r="J586" s="17">
        <f>53.3179 * CHOOSE(CONTROL!$C$9, $D$9, 100%, $F$9) + CHOOSE(CONTROL!$C$27, 0.0021, 0)</f>
        <v>53.32</v>
      </c>
      <c r="K586" s="17">
        <f>53.3179 * CHOOSE(CONTROL!$C$9, $D$9, 100%, $F$9) + CHOOSE(CONTROL!$C$27, 0.0021, 0)</f>
        <v>53.32</v>
      </c>
      <c r="L586" s="17"/>
    </row>
    <row r="587" spans="1:12" ht="15.75" x14ac:dyDescent="0.25">
      <c r="A587" s="13">
        <v>58440</v>
      </c>
      <c r="B587" s="17">
        <f>52.7412 * CHOOSE(CONTROL!$C$9, $D$9, 100%, $F$9) + CHOOSE(CONTROL!$C$27, 0.0021, 0)</f>
        <v>52.743299999999998</v>
      </c>
      <c r="C587" s="17">
        <f>52.3089 * CHOOSE(CONTROL!$C$9, $D$9, 100%, $F$9) + CHOOSE(CONTROL!$C$27, 0.0021, 0)</f>
        <v>52.311</v>
      </c>
      <c r="D587" s="17">
        <f>52.3089 * CHOOSE(CONTROL!$C$9, $D$9, 100%, $F$9) + CHOOSE(CONTROL!$C$27, 0.0021, 0)</f>
        <v>52.311</v>
      </c>
      <c r="E587" s="17">
        <f>52.1723 * CHOOSE(CONTROL!$C$9, $D$9, 100%, $F$9) + CHOOSE(CONTROL!$C$27, 0.0021, 0)</f>
        <v>52.174399999999999</v>
      </c>
      <c r="F587" s="17">
        <f>52.1723 * CHOOSE(CONTROL!$C$9, $D$9, 100%, $F$9) + CHOOSE(CONTROL!$C$27, 0.0021, 0)</f>
        <v>52.174399999999999</v>
      </c>
      <c r="G587" s="17">
        <f>52.4436 * CHOOSE(CONTROL!$C$9, $D$9, 100%, $F$9) + CHOOSE(CONTROL!$C$27, 0.0021, 0)</f>
        <v>52.445700000000002</v>
      </c>
      <c r="H587" s="17">
        <f>52.3089 * CHOOSE(CONTROL!$C$9, $D$9, 100%, $F$9) + CHOOSE(CONTROL!$C$27, 0.0021, 0)</f>
        <v>52.311</v>
      </c>
      <c r="I587" s="17">
        <f>52.3089 * CHOOSE(CONTROL!$C$9, $D$9, 100%, $F$9) + CHOOSE(CONTROL!$C$27, 0.0021, 0)</f>
        <v>52.311</v>
      </c>
      <c r="J587" s="17">
        <f>52.3089 * CHOOSE(CONTROL!$C$9, $D$9, 100%, $F$9) + CHOOSE(CONTROL!$C$27, 0.0021, 0)</f>
        <v>52.311</v>
      </c>
      <c r="K587" s="17">
        <f>52.3089 * CHOOSE(CONTROL!$C$9, $D$9, 100%, $F$9) + CHOOSE(CONTROL!$C$27, 0.0021, 0)</f>
        <v>52.311</v>
      </c>
      <c r="L587" s="17"/>
    </row>
    <row r="588" spans="1:12" ht="15.75" x14ac:dyDescent="0.25">
      <c r="A588" s="13">
        <v>58471</v>
      </c>
      <c r="B588" s="17">
        <f>51.7368 * CHOOSE(CONTROL!$C$9, $D$9, 100%, $F$9) + CHOOSE(CONTROL!$C$27, 0.0021, 0)</f>
        <v>51.738900000000001</v>
      </c>
      <c r="C588" s="17">
        <f>51.3045 * CHOOSE(CONTROL!$C$9, $D$9, 100%, $F$9) + CHOOSE(CONTROL!$C$27, 0.0021, 0)</f>
        <v>51.306599999999996</v>
      </c>
      <c r="D588" s="17">
        <f>51.3045 * CHOOSE(CONTROL!$C$9, $D$9, 100%, $F$9) + CHOOSE(CONTROL!$C$27, 0.0021, 0)</f>
        <v>51.306599999999996</v>
      </c>
      <c r="E588" s="17">
        <f>51.1679 * CHOOSE(CONTROL!$C$9, $D$9, 100%, $F$9) + CHOOSE(CONTROL!$C$27, 0.0021, 0)</f>
        <v>51.17</v>
      </c>
      <c r="F588" s="17">
        <f>51.1679 * CHOOSE(CONTROL!$C$9, $D$9, 100%, $F$9) + CHOOSE(CONTROL!$C$27, 0.0021, 0)</f>
        <v>51.17</v>
      </c>
      <c r="G588" s="17">
        <f>51.4392 * CHOOSE(CONTROL!$C$9, $D$9, 100%, $F$9) + CHOOSE(CONTROL!$C$27, 0.0021, 0)</f>
        <v>51.441299999999998</v>
      </c>
      <c r="H588" s="17">
        <f>51.3045 * CHOOSE(CONTROL!$C$9, $D$9, 100%, $F$9) + CHOOSE(CONTROL!$C$27, 0.0021, 0)</f>
        <v>51.306599999999996</v>
      </c>
      <c r="I588" s="17">
        <f>51.3045 * CHOOSE(CONTROL!$C$9, $D$9, 100%, $F$9) + CHOOSE(CONTROL!$C$27, 0.0021, 0)</f>
        <v>51.306599999999996</v>
      </c>
      <c r="J588" s="17">
        <f>51.3045 * CHOOSE(CONTROL!$C$9, $D$9, 100%, $F$9) + CHOOSE(CONTROL!$C$27, 0.0021, 0)</f>
        <v>51.306599999999996</v>
      </c>
      <c r="K588" s="17">
        <f>51.3045 * CHOOSE(CONTROL!$C$9, $D$9, 100%, $F$9) + CHOOSE(CONTROL!$C$27, 0.0021, 0)</f>
        <v>51.306599999999996</v>
      </c>
      <c r="L588" s="17"/>
    </row>
    <row r="589" spans="1:12" ht="15.75" x14ac:dyDescent="0.25">
      <c r="A589" s="13">
        <v>58499</v>
      </c>
      <c r="B589" s="17">
        <f>50.3382 * CHOOSE(CONTROL!$C$9, $D$9, 100%, $F$9) + CHOOSE(CONTROL!$C$27, 0.0021, 0)</f>
        <v>50.340299999999999</v>
      </c>
      <c r="C589" s="17">
        <f>49.906 * CHOOSE(CONTROL!$C$9, $D$9, 100%, $F$9) + CHOOSE(CONTROL!$C$27, 0.0021, 0)</f>
        <v>49.908099999999997</v>
      </c>
      <c r="D589" s="17">
        <f>49.906 * CHOOSE(CONTROL!$C$9, $D$9, 100%, $F$9) + CHOOSE(CONTROL!$C$27, 0.0021, 0)</f>
        <v>49.908099999999997</v>
      </c>
      <c r="E589" s="17">
        <f>49.7693 * CHOOSE(CONTROL!$C$9, $D$9, 100%, $F$9) + CHOOSE(CONTROL!$C$27, 0.0021, 0)</f>
        <v>49.7714</v>
      </c>
      <c r="F589" s="17">
        <f>49.7693 * CHOOSE(CONTROL!$C$9, $D$9, 100%, $F$9) + CHOOSE(CONTROL!$C$27, 0.0021, 0)</f>
        <v>49.7714</v>
      </c>
      <c r="G589" s="17">
        <f>50.0407 * CHOOSE(CONTROL!$C$9, $D$9, 100%, $F$9) + CHOOSE(CONTROL!$C$27, 0.0021, 0)</f>
        <v>50.0428</v>
      </c>
      <c r="H589" s="17">
        <f>49.906 * CHOOSE(CONTROL!$C$9, $D$9, 100%, $F$9) + CHOOSE(CONTROL!$C$27, 0.0021, 0)</f>
        <v>49.908099999999997</v>
      </c>
      <c r="I589" s="17">
        <f>49.906 * CHOOSE(CONTROL!$C$9, $D$9, 100%, $F$9) + CHOOSE(CONTROL!$C$27, 0.0021, 0)</f>
        <v>49.908099999999997</v>
      </c>
      <c r="J589" s="17">
        <f>49.906 * CHOOSE(CONTROL!$C$9, $D$9, 100%, $F$9) + CHOOSE(CONTROL!$C$27, 0.0021, 0)</f>
        <v>49.908099999999997</v>
      </c>
      <c r="K589" s="17">
        <f>49.906 * CHOOSE(CONTROL!$C$9, $D$9, 100%, $F$9) + CHOOSE(CONTROL!$C$27, 0.0021, 0)</f>
        <v>49.908099999999997</v>
      </c>
      <c r="L589" s="17"/>
    </row>
    <row r="590" spans="1:12" ht="15.75" x14ac:dyDescent="0.25">
      <c r="A590" s="13">
        <v>58531</v>
      </c>
      <c r="B590" s="17">
        <f>49.7609 * CHOOSE(CONTROL!$C$9, $D$9, 100%, $F$9) + CHOOSE(CONTROL!$C$27, 0.0021, 0)</f>
        <v>49.762999999999998</v>
      </c>
      <c r="C590" s="17">
        <f>49.3286 * CHOOSE(CONTROL!$C$9, $D$9, 100%, $F$9) + CHOOSE(CONTROL!$C$27, 0.0021, 0)</f>
        <v>49.3307</v>
      </c>
      <c r="D590" s="17">
        <f>49.3286 * CHOOSE(CONTROL!$C$9, $D$9, 100%, $F$9) + CHOOSE(CONTROL!$C$27, 0.0021, 0)</f>
        <v>49.3307</v>
      </c>
      <c r="E590" s="17">
        <f>49.192 * CHOOSE(CONTROL!$C$9, $D$9, 100%, $F$9) + CHOOSE(CONTROL!$C$27, 0.0021, 0)</f>
        <v>49.194099999999999</v>
      </c>
      <c r="F590" s="17">
        <f>49.192 * CHOOSE(CONTROL!$C$9, $D$9, 100%, $F$9) + CHOOSE(CONTROL!$C$27, 0.0021, 0)</f>
        <v>49.194099999999999</v>
      </c>
      <c r="G590" s="17">
        <f>49.4634 * CHOOSE(CONTROL!$C$9, $D$9, 100%, $F$9) + CHOOSE(CONTROL!$C$27, 0.0021, 0)</f>
        <v>49.465499999999999</v>
      </c>
      <c r="H590" s="17">
        <f>49.3286 * CHOOSE(CONTROL!$C$9, $D$9, 100%, $F$9) + CHOOSE(CONTROL!$C$27, 0.0021, 0)</f>
        <v>49.3307</v>
      </c>
      <c r="I590" s="17">
        <f>49.3286 * CHOOSE(CONTROL!$C$9, $D$9, 100%, $F$9) + CHOOSE(CONTROL!$C$27, 0.0021, 0)</f>
        <v>49.3307</v>
      </c>
      <c r="J590" s="17">
        <f>49.3286 * CHOOSE(CONTROL!$C$9, $D$9, 100%, $F$9) + CHOOSE(CONTROL!$C$27, 0.0021, 0)</f>
        <v>49.3307</v>
      </c>
      <c r="K590" s="17">
        <f>49.3286 * CHOOSE(CONTROL!$C$9, $D$9, 100%, $F$9) + CHOOSE(CONTROL!$C$27, 0.0021, 0)</f>
        <v>49.3307</v>
      </c>
      <c r="L590" s="17"/>
    </row>
    <row r="591" spans="1:12" ht="15.75" x14ac:dyDescent="0.25">
      <c r="A591" s="13">
        <v>58561</v>
      </c>
      <c r="B591" s="17">
        <f>49.0716 * CHOOSE(CONTROL!$C$9, $D$9, 100%, $F$9) + CHOOSE(CONTROL!$C$27, 0.0021, 0)</f>
        <v>49.073699999999995</v>
      </c>
      <c r="C591" s="17">
        <f>48.6393 * CHOOSE(CONTROL!$C$9, $D$9, 100%, $F$9) + CHOOSE(CONTROL!$C$27, 0.0021, 0)</f>
        <v>48.641399999999997</v>
      </c>
      <c r="D591" s="17">
        <f>48.6393 * CHOOSE(CONTROL!$C$9, $D$9, 100%, $F$9) + CHOOSE(CONTROL!$C$27, 0.0021, 0)</f>
        <v>48.641399999999997</v>
      </c>
      <c r="E591" s="17">
        <f>48.5026 * CHOOSE(CONTROL!$C$9, $D$9, 100%, $F$9) + CHOOSE(CONTROL!$C$27, 0.0021, 0)</f>
        <v>48.5047</v>
      </c>
      <c r="F591" s="17">
        <f>48.5026 * CHOOSE(CONTROL!$C$9, $D$9, 100%, $F$9) + CHOOSE(CONTROL!$C$27, 0.0021, 0)</f>
        <v>48.5047</v>
      </c>
      <c r="G591" s="17">
        <f>48.774 * CHOOSE(CONTROL!$C$9, $D$9, 100%, $F$9) + CHOOSE(CONTROL!$C$27, 0.0021, 0)</f>
        <v>48.7761</v>
      </c>
      <c r="H591" s="17">
        <f>48.6393 * CHOOSE(CONTROL!$C$9, $D$9, 100%, $F$9) + CHOOSE(CONTROL!$C$27, 0.0021, 0)</f>
        <v>48.641399999999997</v>
      </c>
      <c r="I591" s="17">
        <f>48.6393 * CHOOSE(CONTROL!$C$9, $D$9, 100%, $F$9) + CHOOSE(CONTROL!$C$27, 0.0021, 0)</f>
        <v>48.641399999999997</v>
      </c>
      <c r="J591" s="17">
        <f>48.6393 * CHOOSE(CONTROL!$C$9, $D$9, 100%, $F$9) + CHOOSE(CONTROL!$C$27, 0.0021, 0)</f>
        <v>48.641399999999997</v>
      </c>
      <c r="K591" s="17">
        <f>48.6393 * CHOOSE(CONTROL!$C$9, $D$9, 100%, $F$9) + CHOOSE(CONTROL!$C$27, 0.0021, 0)</f>
        <v>48.641399999999997</v>
      </c>
      <c r="L591" s="17"/>
    </row>
    <row r="592" spans="1:12" ht="15.75" x14ac:dyDescent="0.25">
      <c r="A592" s="13">
        <v>58592</v>
      </c>
      <c r="B592" s="17">
        <f>50.0539 * CHOOSE(CONTROL!$C$9, $D$9, 100%, $F$9) + CHOOSE(CONTROL!$C$27, 0.0021, 0)</f>
        <v>50.055999999999997</v>
      </c>
      <c r="C592" s="17">
        <f>49.6217 * CHOOSE(CONTROL!$C$9, $D$9, 100%, $F$9) + CHOOSE(CONTROL!$C$27, 0.0021, 0)</f>
        <v>49.623799999999996</v>
      </c>
      <c r="D592" s="17">
        <f>49.6217 * CHOOSE(CONTROL!$C$9, $D$9, 100%, $F$9) + CHOOSE(CONTROL!$C$27, 0.0021, 0)</f>
        <v>49.623799999999996</v>
      </c>
      <c r="E592" s="17">
        <f>49.485 * CHOOSE(CONTROL!$C$9, $D$9, 100%, $F$9) + CHOOSE(CONTROL!$C$27, 0.0021, 0)</f>
        <v>49.487099999999998</v>
      </c>
      <c r="F592" s="17">
        <f>49.485 * CHOOSE(CONTROL!$C$9, $D$9, 100%, $F$9) + CHOOSE(CONTROL!$C$27, 0.0021, 0)</f>
        <v>49.487099999999998</v>
      </c>
      <c r="G592" s="17">
        <f>49.7564 * CHOOSE(CONTROL!$C$9, $D$9, 100%, $F$9) + CHOOSE(CONTROL!$C$27, 0.0021, 0)</f>
        <v>49.758499999999998</v>
      </c>
      <c r="H592" s="17">
        <f>49.6217 * CHOOSE(CONTROL!$C$9, $D$9, 100%, $F$9) + CHOOSE(CONTROL!$C$27, 0.0021, 0)</f>
        <v>49.623799999999996</v>
      </c>
      <c r="I592" s="17">
        <f>49.6217 * CHOOSE(CONTROL!$C$9, $D$9, 100%, $F$9) + CHOOSE(CONTROL!$C$27, 0.0021, 0)</f>
        <v>49.623799999999996</v>
      </c>
      <c r="J592" s="17">
        <f>49.6217 * CHOOSE(CONTROL!$C$9, $D$9, 100%, $F$9) + CHOOSE(CONTROL!$C$27, 0.0021, 0)</f>
        <v>49.623799999999996</v>
      </c>
      <c r="K592" s="17">
        <f>49.6217 * CHOOSE(CONTROL!$C$9, $D$9, 100%, $F$9) + CHOOSE(CONTROL!$C$27, 0.0021, 0)</f>
        <v>49.623799999999996</v>
      </c>
      <c r="L592" s="17"/>
    </row>
    <row r="593" spans="1:12" ht="15.75" x14ac:dyDescent="0.25">
      <c r="A593" s="13">
        <v>58622</v>
      </c>
      <c r="B593" s="17">
        <f>50.6423 * CHOOSE(CONTROL!$C$9, $D$9, 100%, $F$9) + CHOOSE(CONTROL!$C$27, 0.0021, 0)</f>
        <v>50.644399999999997</v>
      </c>
      <c r="C593" s="17">
        <f>50.2101 * CHOOSE(CONTROL!$C$9, $D$9, 100%, $F$9) + CHOOSE(CONTROL!$C$27, 0.0021, 0)</f>
        <v>50.212199999999996</v>
      </c>
      <c r="D593" s="17">
        <f>50.2101 * CHOOSE(CONTROL!$C$9, $D$9, 100%, $F$9) + CHOOSE(CONTROL!$C$27, 0.0021, 0)</f>
        <v>50.212199999999996</v>
      </c>
      <c r="E593" s="17">
        <f>50.0734 * CHOOSE(CONTROL!$C$9, $D$9, 100%, $F$9) + CHOOSE(CONTROL!$C$27, 0.0021, 0)</f>
        <v>50.075499999999998</v>
      </c>
      <c r="F593" s="17">
        <f>50.0734 * CHOOSE(CONTROL!$C$9, $D$9, 100%, $F$9) + CHOOSE(CONTROL!$C$27, 0.0021, 0)</f>
        <v>50.075499999999998</v>
      </c>
      <c r="G593" s="17">
        <f>50.3448 * CHOOSE(CONTROL!$C$9, $D$9, 100%, $F$9) + CHOOSE(CONTROL!$C$27, 0.0021, 0)</f>
        <v>50.346899999999998</v>
      </c>
      <c r="H593" s="17">
        <f>50.2101 * CHOOSE(CONTROL!$C$9, $D$9, 100%, $F$9) + CHOOSE(CONTROL!$C$27, 0.0021, 0)</f>
        <v>50.212199999999996</v>
      </c>
      <c r="I593" s="17">
        <f>50.2101 * CHOOSE(CONTROL!$C$9, $D$9, 100%, $F$9) + CHOOSE(CONTROL!$C$27, 0.0021, 0)</f>
        <v>50.212199999999996</v>
      </c>
      <c r="J593" s="17">
        <f>50.2101 * CHOOSE(CONTROL!$C$9, $D$9, 100%, $F$9) + CHOOSE(CONTROL!$C$27, 0.0021, 0)</f>
        <v>50.212199999999996</v>
      </c>
      <c r="K593" s="17">
        <f>50.2101 * CHOOSE(CONTROL!$C$9, $D$9, 100%, $F$9) + CHOOSE(CONTROL!$C$27, 0.0021, 0)</f>
        <v>50.212199999999996</v>
      </c>
      <c r="L593" s="17"/>
    </row>
    <row r="594" spans="1:12" ht="15.75" x14ac:dyDescent="0.25">
      <c r="A594" s="13">
        <v>58653</v>
      </c>
      <c r="B594" s="17">
        <f>51.613 * CHOOSE(CONTROL!$C$9, $D$9, 100%, $F$9) + CHOOSE(CONTROL!$C$27, 0.0021, 0)</f>
        <v>51.615099999999998</v>
      </c>
      <c r="C594" s="17">
        <f>51.1808 * CHOOSE(CONTROL!$C$9, $D$9, 100%, $F$9) + CHOOSE(CONTROL!$C$27, 0.0021, 0)</f>
        <v>51.182899999999997</v>
      </c>
      <c r="D594" s="17">
        <f>51.1808 * CHOOSE(CONTROL!$C$9, $D$9, 100%, $F$9) + CHOOSE(CONTROL!$C$27, 0.0021, 0)</f>
        <v>51.182899999999997</v>
      </c>
      <c r="E594" s="17">
        <f>51.0441 * CHOOSE(CONTROL!$C$9, $D$9, 100%, $F$9) + CHOOSE(CONTROL!$C$27, 0.0021, 0)</f>
        <v>51.046199999999999</v>
      </c>
      <c r="F594" s="17">
        <f>51.0441 * CHOOSE(CONTROL!$C$9, $D$9, 100%, $F$9) + CHOOSE(CONTROL!$C$27, 0.0021, 0)</f>
        <v>51.046199999999999</v>
      </c>
      <c r="G594" s="17">
        <f>51.3155 * CHOOSE(CONTROL!$C$9, $D$9, 100%, $F$9) + CHOOSE(CONTROL!$C$27, 0.0021, 0)</f>
        <v>51.317599999999999</v>
      </c>
      <c r="H594" s="17">
        <f>51.1808 * CHOOSE(CONTROL!$C$9, $D$9, 100%, $F$9) + CHOOSE(CONTROL!$C$27, 0.0021, 0)</f>
        <v>51.182899999999997</v>
      </c>
      <c r="I594" s="17">
        <f>51.1808 * CHOOSE(CONTROL!$C$9, $D$9, 100%, $F$9) + CHOOSE(CONTROL!$C$27, 0.0021, 0)</f>
        <v>51.182899999999997</v>
      </c>
      <c r="J594" s="17">
        <f>51.1808 * CHOOSE(CONTROL!$C$9, $D$9, 100%, $F$9) + CHOOSE(CONTROL!$C$27, 0.0021, 0)</f>
        <v>51.182899999999997</v>
      </c>
      <c r="K594" s="17">
        <f>51.1808 * CHOOSE(CONTROL!$C$9, $D$9, 100%, $F$9) + CHOOSE(CONTROL!$C$27, 0.0021, 0)</f>
        <v>51.182899999999997</v>
      </c>
      <c r="L594" s="17"/>
    </row>
    <row r="595" spans="1:12" ht="15.75" x14ac:dyDescent="0.25">
      <c r="A595" s="13">
        <v>58684</v>
      </c>
      <c r="B595" s="17">
        <f>51.9093 * CHOOSE(CONTROL!$C$9, $D$9, 100%, $F$9) + CHOOSE(CONTROL!$C$27, 0.0021, 0)</f>
        <v>51.9114</v>
      </c>
      <c r="C595" s="17">
        <f>51.477 * CHOOSE(CONTROL!$C$9, $D$9, 100%, $F$9) + CHOOSE(CONTROL!$C$27, 0.0021, 0)</f>
        <v>51.479099999999995</v>
      </c>
      <c r="D595" s="17">
        <f>51.477 * CHOOSE(CONTROL!$C$9, $D$9, 100%, $F$9) + CHOOSE(CONTROL!$C$27, 0.0021, 0)</f>
        <v>51.479099999999995</v>
      </c>
      <c r="E595" s="17">
        <f>51.3404 * CHOOSE(CONTROL!$C$9, $D$9, 100%, $F$9) + CHOOSE(CONTROL!$C$27, 0.0021, 0)</f>
        <v>51.342500000000001</v>
      </c>
      <c r="F595" s="17">
        <f>51.3404 * CHOOSE(CONTROL!$C$9, $D$9, 100%, $F$9) + CHOOSE(CONTROL!$C$27, 0.0021, 0)</f>
        <v>51.342500000000001</v>
      </c>
      <c r="G595" s="17">
        <f>51.6117 * CHOOSE(CONTROL!$C$9, $D$9, 100%, $F$9) + CHOOSE(CONTROL!$C$27, 0.0021, 0)</f>
        <v>51.613799999999998</v>
      </c>
      <c r="H595" s="17">
        <f>51.477 * CHOOSE(CONTROL!$C$9, $D$9, 100%, $F$9) + CHOOSE(CONTROL!$C$27, 0.0021, 0)</f>
        <v>51.479099999999995</v>
      </c>
      <c r="I595" s="17">
        <f>51.477 * CHOOSE(CONTROL!$C$9, $D$9, 100%, $F$9) + CHOOSE(CONTROL!$C$27, 0.0021, 0)</f>
        <v>51.479099999999995</v>
      </c>
      <c r="J595" s="17">
        <f>51.477 * CHOOSE(CONTROL!$C$9, $D$9, 100%, $F$9) + CHOOSE(CONTROL!$C$27, 0.0021, 0)</f>
        <v>51.479099999999995</v>
      </c>
      <c r="K595" s="17">
        <f>51.477 * CHOOSE(CONTROL!$C$9, $D$9, 100%, $F$9) + CHOOSE(CONTROL!$C$27, 0.0021, 0)</f>
        <v>51.479099999999995</v>
      </c>
      <c r="L595" s="17"/>
    </row>
    <row r="596" spans="1:12" ht="15.75" x14ac:dyDescent="0.25">
      <c r="A596" s="13">
        <v>58714</v>
      </c>
      <c r="B596" s="17">
        <f>52.9182 * CHOOSE(CONTROL!$C$9, $D$9, 100%, $F$9) + CHOOSE(CONTROL!$C$27, 0.0021, 0)</f>
        <v>52.920299999999997</v>
      </c>
      <c r="C596" s="17">
        <f>52.486 * CHOOSE(CONTROL!$C$9, $D$9, 100%, $F$9) + CHOOSE(CONTROL!$C$27, 0.0021, 0)</f>
        <v>52.488099999999996</v>
      </c>
      <c r="D596" s="17">
        <f>52.486 * CHOOSE(CONTROL!$C$9, $D$9, 100%, $F$9) + CHOOSE(CONTROL!$C$27, 0.0021, 0)</f>
        <v>52.488099999999996</v>
      </c>
      <c r="E596" s="17">
        <f>52.3493 * CHOOSE(CONTROL!$C$9, $D$9, 100%, $F$9) + CHOOSE(CONTROL!$C$27, 0.0021, 0)</f>
        <v>52.351399999999998</v>
      </c>
      <c r="F596" s="17">
        <f>52.3493 * CHOOSE(CONTROL!$C$9, $D$9, 100%, $F$9) + CHOOSE(CONTROL!$C$27, 0.0021, 0)</f>
        <v>52.351399999999998</v>
      </c>
      <c r="G596" s="17">
        <f>52.6207 * CHOOSE(CONTROL!$C$9, $D$9, 100%, $F$9) + CHOOSE(CONTROL!$C$27, 0.0021, 0)</f>
        <v>52.622799999999998</v>
      </c>
      <c r="H596" s="17">
        <f>52.486 * CHOOSE(CONTROL!$C$9, $D$9, 100%, $F$9) + CHOOSE(CONTROL!$C$27, 0.0021, 0)</f>
        <v>52.488099999999996</v>
      </c>
      <c r="I596" s="17">
        <f>52.486 * CHOOSE(CONTROL!$C$9, $D$9, 100%, $F$9) + CHOOSE(CONTROL!$C$27, 0.0021, 0)</f>
        <v>52.488099999999996</v>
      </c>
      <c r="J596" s="17">
        <f>52.486 * CHOOSE(CONTROL!$C$9, $D$9, 100%, $F$9) + CHOOSE(CONTROL!$C$27, 0.0021, 0)</f>
        <v>52.488099999999996</v>
      </c>
      <c r="K596" s="17">
        <f>52.486 * CHOOSE(CONTROL!$C$9, $D$9, 100%, $F$9) + CHOOSE(CONTROL!$C$27, 0.0021, 0)</f>
        <v>52.488099999999996</v>
      </c>
      <c r="L596" s="17"/>
    </row>
    <row r="597" spans="1:12" ht="15.75" x14ac:dyDescent="0.25">
      <c r="A597" s="13">
        <v>58745</v>
      </c>
      <c r="B597" s="17">
        <f>54.1954 * CHOOSE(CONTROL!$C$9, $D$9, 100%, $F$9) + CHOOSE(CONTROL!$C$27, 0.0021, 0)</f>
        <v>54.197499999999998</v>
      </c>
      <c r="C597" s="17">
        <f>53.7632 * CHOOSE(CONTROL!$C$9, $D$9, 100%, $F$9) + CHOOSE(CONTROL!$C$27, 0.0021, 0)</f>
        <v>53.765299999999996</v>
      </c>
      <c r="D597" s="17">
        <f>53.7632 * CHOOSE(CONTROL!$C$9, $D$9, 100%, $F$9) + CHOOSE(CONTROL!$C$27, 0.0021, 0)</f>
        <v>53.765299999999996</v>
      </c>
      <c r="E597" s="17">
        <f>53.6265 * CHOOSE(CONTROL!$C$9, $D$9, 100%, $F$9) + CHOOSE(CONTROL!$C$27, 0.0021, 0)</f>
        <v>53.628599999999999</v>
      </c>
      <c r="F597" s="17">
        <f>53.6265 * CHOOSE(CONTROL!$C$9, $D$9, 100%, $F$9) + CHOOSE(CONTROL!$C$27, 0.0021, 0)</f>
        <v>53.628599999999999</v>
      </c>
      <c r="G597" s="17">
        <f>53.8979 * CHOOSE(CONTROL!$C$9, $D$9, 100%, $F$9) + CHOOSE(CONTROL!$C$27, 0.0021, 0)</f>
        <v>53.9</v>
      </c>
      <c r="H597" s="17">
        <f>53.7632 * CHOOSE(CONTROL!$C$9, $D$9, 100%, $F$9) + CHOOSE(CONTROL!$C$27, 0.0021, 0)</f>
        <v>53.765299999999996</v>
      </c>
      <c r="I597" s="17">
        <f>53.7632 * CHOOSE(CONTROL!$C$9, $D$9, 100%, $F$9) + CHOOSE(CONTROL!$C$27, 0.0021, 0)</f>
        <v>53.765299999999996</v>
      </c>
      <c r="J597" s="17">
        <f>53.7632 * CHOOSE(CONTROL!$C$9, $D$9, 100%, $F$9) + CHOOSE(CONTROL!$C$27, 0.0021, 0)</f>
        <v>53.765299999999996</v>
      </c>
      <c r="K597" s="17">
        <f>53.7632 * CHOOSE(CONTROL!$C$9, $D$9, 100%, $F$9) + CHOOSE(CONTROL!$C$27, 0.0021, 0)</f>
        <v>53.765299999999996</v>
      </c>
      <c r="L597" s="17"/>
    </row>
    <row r="598" spans="1:12" ht="15.75" x14ac:dyDescent="0.25">
      <c r="A598" s="13">
        <v>58775</v>
      </c>
      <c r="B598" s="17">
        <f>54.3153 * CHOOSE(CONTROL!$C$9, $D$9, 100%, $F$9) + CHOOSE(CONTROL!$C$27, 0.0021, 0)</f>
        <v>54.317399999999999</v>
      </c>
      <c r="C598" s="17">
        <f>53.8831 * CHOOSE(CONTROL!$C$9, $D$9, 100%, $F$9) + CHOOSE(CONTROL!$C$27, 0.0021, 0)</f>
        <v>53.885199999999998</v>
      </c>
      <c r="D598" s="17">
        <f>53.8831 * CHOOSE(CONTROL!$C$9, $D$9, 100%, $F$9) + CHOOSE(CONTROL!$C$27, 0.0021, 0)</f>
        <v>53.885199999999998</v>
      </c>
      <c r="E598" s="17">
        <f>53.7464 * CHOOSE(CONTROL!$C$9, $D$9, 100%, $F$9) + CHOOSE(CONTROL!$C$27, 0.0021, 0)</f>
        <v>53.7485</v>
      </c>
      <c r="F598" s="17">
        <f>53.7464 * CHOOSE(CONTROL!$C$9, $D$9, 100%, $F$9) + CHOOSE(CONTROL!$C$27, 0.0021, 0)</f>
        <v>53.7485</v>
      </c>
      <c r="G598" s="17">
        <f>54.0178 * CHOOSE(CONTROL!$C$9, $D$9, 100%, $F$9) + CHOOSE(CONTROL!$C$27, 0.0021, 0)</f>
        <v>54.0199</v>
      </c>
      <c r="H598" s="17">
        <f>53.8831 * CHOOSE(CONTROL!$C$9, $D$9, 100%, $F$9) + CHOOSE(CONTROL!$C$27, 0.0021, 0)</f>
        <v>53.885199999999998</v>
      </c>
      <c r="I598" s="17">
        <f>53.8831 * CHOOSE(CONTROL!$C$9, $D$9, 100%, $F$9) + CHOOSE(CONTROL!$C$27, 0.0021, 0)</f>
        <v>53.885199999999998</v>
      </c>
      <c r="J598" s="17">
        <f>53.8831 * CHOOSE(CONTROL!$C$9, $D$9, 100%, $F$9) + CHOOSE(CONTROL!$C$27, 0.0021, 0)</f>
        <v>53.885199999999998</v>
      </c>
      <c r="K598" s="17">
        <f>53.8831 * CHOOSE(CONTROL!$C$9, $D$9, 100%, $F$9) + CHOOSE(CONTROL!$C$27, 0.0021, 0)</f>
        <v>53.885199999999998</v>
      </c>
      <c r="L598" s="17"/>
    </row>
    <row r="599" spans="1:12" ht="15.75" x14ac:dyDescent="0.25">
      <c r="A599" s="13">
        <v>58806</v>
      </c>
      <c r="B599" s="17">
        <f>53.2953 * CHOOSE(CONTROL!$C$9, $D$9, 100%, $F$9) + CHOOSE(CONTROL!$C$27, 0.0021, 0)</f>
        <v>53.297399999999996</v>
      </c>
      <c r="C599" s="17">
        <f>52.863 * CHOOSE(CONTROL!$C$9, $D$9, 100%, $F$9) + CHOOSE(CONTROL!$C$27, 0.0021, 0)</f>
        <v>52.865099999999998</v>
      </c>
      <c r="D599" s="17">
        <f>52.863 * CHOOSE(CONTROL!$C$9, $D$9, 100%, $F$9) + CHOOSE(CONTROL!$C$27, 0.0021, 0)</f>
        <v>52.865099999999998</v>
      </c>
      <c r="E599" s="17">
        <f>52.7263 * CHOOSE(CONTROL!$C$9, $D$9, 100%, $F$9) + CHOOSE(CONTROL!$C$27, 0.0021, 0)</f>
        <v>52.728400000000001</v>
      </c>
      <c r="F599" s="17">
        <f>52.7263 * CHOOSE(CONTROL!$C$9, $D$9, 100%, $F$9) + CHOOSE(CONTROL!$C$27, 0.0021, 0)</f>
        <v>52.728400000000001</v>
      </c>
      <c r="G599" s="17">
        <f>52.9977 * CHOOSE(CONTROL!$C$9, $D$9, 100%, $F$9) + CHOOSE(CONTROL!$C$27, 0.0021, 0)</f>
        <v>52.9998</v>
      </c>
      <c r="H599" s="17">
        <f>52.863 * CHOOSE(CONTROL!$C$9, $D$9, 100%, $F$9) + CHOOSE(CONTROL!$C$27, 0.0021, 0)</f>
        <v>52.865099999999998</v>
      </c>
      <c r="I599" s="17">
        <f>52.863 * CHOOSE(CONTROL!$C$9, $D$9, 100%, $F$9) + CHOOSE(CONTROL!$C$27, 0.0021, 0)</f>
        <v>52.865099999999998</v>
      </c>
      <c r="J599" s="17">
        <f>52.863 * CHOOSE(CONTROL!$C$9, $D$9, 100%, $F$9) + CHOOSE(CONTROL!$C$27, 0.0021, 0)</f>
        <v>52.865099999999998</v>
      </c>
      <c r="K599" s="17">
        <f>52.863 * CHOOSE(CONTROL!$C$9, $D$9, 100%, $F$9) + CHOOSE(CONTROL!$C$27, 0.0021, 0)</f>
        <v>52.865099999999998</v>
      </c>
      <c r="L599" s="17"/>
    </row>
    <row r="600" spans="1:12" ht="15.75" x14ac:dyDescent="0.25">
      <c r="A600" s="13">
        <v>58837</v>
      </c>
      <c r="B600" s="17">
        <f>52.2798 * CHOOSE(CONTROL!$C$9, $D$9, 100%, $F$9) + CHOOSE(CONTROL!$C$27, 0.0021, 0)</f>
        <v>52.2819</v>
      </c>
      <c r="C600" s="17">
        <f>51.8476 * CHOOSE(CONTROL!$C$9, $D$9, 100%, $F$9) + CHOOSE(CONTROL!$C$27, 0.0021, 0)</f>
        <v>51.849699999999999</v>
      </c>
      <c r="D600" s="17">
        <f>51.8476 * CHOOSE(CONTROL!$C$9, $D$9, 100%, $F$9) + CHOOSE(CONTROL!$C$27, 0.0021, 0)</f>
        <v>51.849699999999999</v>
      </c>
      <c r="E600" s="17">
        <f>51.7109 * CHOOSE(CONTROL!$C$9, $D$9, 100%, $F$9) + CHOOSE(CONTROL!$C$27, 0.0021, 0)</f>
        <v>51.713000000000001</v>
      </c>
      <c r="F600" s="17">
        <f>51.7109 * CHOOSE(CONTROL!$C$9, $D$9, 100%, $F$9) + CHOOSE(CONTROL!$C$27, 0.0021, 0)</f>
        <v>51.713000000000001</v>
      </c>
      <c r="G600" s="17">
        <f>51.9823 * CHOOSE(CONTROL!$C$9, $D$9, 100%, $F$9) + CHOOSE(CONTROL!$C$27, 0.0021, 0)</f>
        <v>51.984400000000001</v>
      </c>
      <c r="H600" s="17">
        <f>51.8476 * CHOOSE(CONTROL!$C$9, $D$9, 100%, $F$9) + CHOOSE(CONTROL!$C$27, 0.0021, 0)</f>
        <v>51.849699999999999</v>
      </c>
      <c r="I600" s="17">
        <f>51.8476 * CHOOSE(CONTROL!$C$9, $D$9, 100%, $F$9) + CHOOSE(CONTROL!$C$27, 0.0021, 0)</f>
        <v>51.849699999999999</v>
      </c>
      <c r="J600" s="17">
        <f>51.8476 * CHOOSE(CONTROL!$C$9, $D$9, 100%, $F$9) + CHOOSE(CONTROL!$C$27, 0.0021, 0)</f>
        <v>51.849699999999999</v>
      </c>
      <c r="K600" s="17">
        <f>51.8476 * CHOOSE(CONTROL!$C$9, $D$9, 100%, $F$9) + CHOOSE(CONTROL!$C$27, 0.0021, 0)</f>
        <v>51.849699999999999</v>
      </c>
      <c r="L600" s="17"/>
    </row>
    <row r="601" spans="1:12" ht="15.75" x14ac:dyDescent="0.25">
      <c r="A601" s="13">
        <v>58865</v>
      </c>
      <c r="B601" s="17">
        <f>50.8659 * CHOOSE(CONTROL!$C$9, $D$9, 100%, $F$9) + CHOOSE(CONTROL!$C$27, 0.0021, 0)</f>
        <v>50.868000000000002</v>
      </c>
      <c r="C601" s="17">
        <f>50.4336 * CHOOSE(CONTROL!$C$9, $D$9, 100%, $F$9) + CHOOSE(CONTROL!$C$27, 0.0021, 0)</f>
        <v>50.435699999999997</v>
      </c>
      <c r="D601" s="17">
        <f>50.4336 * CHOOSE(CONTROL!$C$9, $D$9, 100%, $F$9) + CHOOSE(CONTROL!$C$27, 0.0021, 0)</f>
        <v>50.435699999999997</v>
      </c>
      <c r="E601" s="17">
        <f>50.297 * CHOOSE(CONTROL!$C$9, $D$9, 100%, $F$9) + CHOOSE(CONTROL!$C$27, 0.0021, 0)</f>
        <v>50.299099999999996</v>
      </c>
      <c r="F601" s="17">
        <f>50.297 * CHOOSE(CONTROL!$C$9, $D$9, 100%, $F$9) + CHOOSE(CONTROL!$C$27, 0.0021, 0)</f>
        <v>50.299099999999996</v>
      </c>
      <c r="G601" s="17">
        <f>50.5684 * CHOOSE(CONTROL!$C$9, $D$9, 100%, $F$9) + CHOOSE(CONTROL!$C$27, 0.0021, 0)</f>
        <v>50.570499999999996</v>
      </c>
      <c r="H601" s="17">
        <f>50.4336 * CHOOSE(CONTROL!$C$9, $D$9, 100%, $F$9) + CHOOSE(CONTROL!$C$27, 0.0021, 0)</f>
        <v>50.435699999999997</v>
      </c>
      <c r="I601" s="17">
        <f>50.4336 * CHOOSE(CONTROL!$C$9, $D$9, 100%, $F$9) + CHOOSE(CONTROL!$C$27, 0.0021, 0)</f>
        <v>50.435699999999997</v>
      </c>
      <c r="J601" s="17">
        <f>50.4336 * CHOOSE(CONTROL!$C$9, $D$9, 100%, $F$9) + CHOOSE(CONTROL!$C$27, 0.0021, 0)</f>
        <v>50.435699999999997</v>
      </c>
      <c r="K601" s="17">
        <f>50.4336 * CHOOSE(CONTROL!$C$9, $D$9, 100%, $F$9) + CHOOSE(CONTROL!$C$27, 0.0021, 0)</f>
        <v>50.435699999999997</v>
      </c>
      <c r="L601" s="17"/>
    </row>
    <row r="602" spans="1:12" ht="15.75" x14ac:dyDescent="0.25">
      <c r="A602" s="13">
        <v>58893</v>
      </c>
      <c r="B602" s="17">
        <f>50.2822 * CHOOSE(CONTROL!$C$9, $D$9, 100%, $F$9) + CHOOSE(CONTROL!$C$27, 0.0021, 0)</f>
        <v>50.284300000000002</v>
      </c>
      <c r="C602" s="17">
        <f>49.85 * CHOOSE(CONTROL!$C$9, $D$9, 100%, $F$9) + CHOOSE(CONTROL!$C$27, 0.0021, 0)</f>
        <v>49.8521</v>
      </c>
      <c r="D602" s="17">
        <f>49.85 * CHOOSE(CONTROL!$C$9, $D$9, 100%, $F$9) + CHOOSE(CONTROL!$C$27, 0.0021, 0)</f>
        <v>49.8521</v>
      </c>
      <c r="E602" s="17">
        <f>49.7133 * CHOOSE(CONTROL!$C$9, $D$9, 100%, $F$9) + CHOOSE(CONTROL!$C$27, 0.0021, 0)</f>
        <v>49.715399999999995</v>
      </c>
      <c r="F602" s="17">
        <f>49.7133 * CHOOSE(CONTROL!$C$9, $D$9, 100%, $F$9) + CHOOSE(CONTROL!$C$27, 0.0021, 0)</f>
        <v>49.715399999999995</v>
      </c>
      <c r="G602" s="17">
        <f>49.9847 * CHOOSE(CONTROL!$C$9, $D$9, 100%, $F$9) + CHOOSE(CONTROL!$C$27, 0.0021, 0)</f>
        <v>49.986799999999995</v>
      </c>
      <c r="H602" s="17">
        <f>49.85 * CHOOSE(CONTROL!$C$9, $D$9, 100%, $F$9) + CHOOSE(CONTROL!$C$27, 0.0021, 0)</f>
        <v>49.8521</v>
      </c>
      <c r="I602" s="17">
        <f>49.85 * CHOOSE(CONTROL!$C$9, $D$9, 100%, $F$9) + CHOOSE(CONTROL!$C$27, 0.0021, 0)</f>
        <v>49.8521</v>
      </c>
      <c r="J602" s="17">
        <f>49.85 * CHOOSE(CONTROL!$C$9, $D$9, 100%, $F$9) + CHOOSE(CONTROL!$C$27, 0.0021, 0)</f>
        <v>49.8521</v>
      </c>
      <c r="K602" s="17">
        <f>49.85 * CHOOSE(CONTROL!$C$9, $D$9, 100%, $F$9) + CHOOSE(CONTROL!$C$27, 0.0021, 0)</f>
        <v>49.8521</v>
      </c>
      <c r="L602" s="17"/>
    </row>
    <row r="603" spans="1:12" ht="15.75" x14ac:dyDescent="0.25">
      <c r="A603" s="13">
        <v>58926</v>
      </c>
      <c r="B603" s="17">
        <f>49.5853 * CHOOSE(CONTROL!$C$9, $D$9, 100%, $F$9) + CHOOSE(CONTROL!$C$27, 0.0021, 0)</f>
        <v>49.587399999999995</v>
      </c>
      <c r="C603" s="17">
        <f>49.1531 * CHOOSE(CONTROL!$C$9, $D$9, 100%, $F$9) + CHOOSE(CONTROL!$C$27, 0.0021, 0)</f>
        <v>49.155200000000001</v>
      </c>
      <c r="D603" s="17">
        <f>49.1531 * CHOOSE(CONTROL!$C$9, $D$9, 100%, $F$9) + CHOOSE(CONTROL!$C$27, 0.0021, 0)</f>
        <v>49.155200000000001</v>
      </c>
      <c r="E603" s="17">
        <f>49.0164 * CHOOSE(CONTROL!$C$9, $D$9, 100%, $F$9) + CHOOSE(CONTROL!$C$27, 0.0021, 0)</f>
        <v>49.018499999999996</v>
      </c>
      <c r="F603" s="17">
        <f>49.0164 * CHOOSE(CONTROL!$C$9, $D$9, 100%, $F$9) + CHOOSE(CONTROL!$C$27, 0.0021, 0)</f>
        <v>49.018499999999996</v>
      </c>
      <c r="G603" s="17">
        <f>49.2878 * CHOOSE(CONTROL!$C$9, $D$9, 100%, $F$9) + CHOOSE(CONTROL!$C$27, 0.0021, 0)</f>
        <v>49.289899999999996</v>
      </c>
      <c r="H603" s="17">
        <f>49.1531 * CHOOSE(CONTROL!$C$9, $D$9, 100%, $F$9) + CHOOSE(CONTROL!$C$27, 0.0021, 0)</f>
        <v>49.155200000000001</v>
      </c>
      <c r="I603" s="17">
        <f>49.1531 * CHOOSE(CONTROL!$C$9, $D$9, 100%, $F$9) + CHOOSE(CONTROL!$C$27, 0.0021, 0)</f>
        <v>49.155200000000001</v>
      </c>
      <c r="J603" s="17">
        <f>49.1531 * CHOOSE(CONTROL!$C$9, $D$9, 100%, $F$9) + CHOOSE(CONTROL!$C$27, 0.0021, 0)</f>
        <v>49.155200000000001</v>
      </c>
      <c r="K603" s="17">
        <f>49.1531 * CHOOSE(CONTROL!$C$9, $D$9, 100%, $F$9) + CHOOSE(CONTROL!$C$27, 0.0021, 0)</f>
        <v>49.155200000000001</v>
      </c>
      <c r="L603" s="17"/>
    </row>
    <row r="604" spans="1:12" ht="15.75" x14ac:dyDescent="0.25">
      <c r="A604" s="13">
        <v>58957</v>
      </c>
      <c r="B604" s="17">
        <f>50.5785 * CHOOSE(CONTROL!$C$9, $D$9, 100%, $F$9) + CHOOSE(CONTROL!$C$27, 0.0021, 0)</f>
        <v>50.580599999999997</v>
      </c>
      <c r="C604" s="17">
        <f>50.1462 * CHOOSE(CONTROL!$C$9, $D$9, 100%, $F$9) + CHOOSE(CONTROL!$C$27, 0.0021, 0)</f>
        <v>50.148299999999999</v>
      </c>
      <c r="D604" s="17">
        <f>50.1462 * CHOOSE(CONTROL!$C$9, $D$9, 100%, $F$9) + CHOOSE(CONTROL!$C$27, 0.0021, 0)</f>
        <v>50.148299999999999</v>
      </c>
      <c r="E604" s="17">
        <f>50.0096 * CHOOSE(CONTROL!$C$9, $D$9, 100%, $F$9) + CHOOSE(CONTROL!$C$27, 0.0021, 0)</f>
        <v>50.011699999999998</v>
      </c>
      <c r="F604" s="17">
        <f>50.0096 * CHOOSE(CONTROL!$C$9, $D$9, 100%, $F$9) + CHOOSE(CONTROL!$C$27, 0.0021, 0)</f>
        <v>50.011699999999998</v>
      </c>
      <c r="G604" s="17">
        <f>50.281 * CHOOSE(CONTROL!$C$9, $D$9, 100%, $F$9) + CHOOSE(CONTROL!$C$27, 0.0021, 0)</f>
        <v>50.283099999999997</v>
      </c>
      <c r="H604" s="17">
        <f>50.1462 * CHOOSE(CONTROL!$C$9, $D$9, 100%, $F$9) + CHOOSE(CONTROL!$C$27, 0.0021, 0)</f>
        <v>50.148299999999999</v>
      </c>
      <c r="I604" s="17">
        <f>50.1462 * CHOOSE(CONTROL!$C$9, $D$9, 100%, $F$9) + CHOOSE(CONTROL!$C$27, 0.0021, 0)</f>
        <v>50.148299999999999</v>
      </c>
      <c r="J604" s="17">
        <f>50.1462 * CHOOSE(CONTROL!$C$9, $D$9, 100%, $F$9) + CHOOSE(CONTROL!$C$27, 0.0021, 0)</f>
        <v>50.148299999999999</v>
      </c>
      <c r="K604" s="17">
        <f>50.1462 * CHOOSE(CONTROL!$C$9, $D$9, 100%, $F$9) + CHOOSE(CONTROL!$C$27, 0.0021, 0)</f>
        <v>50.148299999999999</v>
      </c>
      <c r="L604" s="17"/>
    </row>
    <row r="605" spans="1:12" ht="15.75" x14ac:dyDescent="0.25">
      <c r="A605" s="13">
        <v>58987</v>
      </c>
      <c r="B605" s="17">
        <f>51.1734 * CHOOSE(CONTROL!$C$9, $D$9, 100%, $F$9) + CHOOSE(CONTROL!$C$27, 0.0021, 0)</f>
        <v>51.1755</v>
      </c>
      <c r="C605" s="17">
        <f>50.7411 * CHOOSE(CONTROL!$C$9, $D$9, 100%, $F$9) + CHOOSE(CONTROL!$C$27, 0.0021, 0)</f>
        <v>50.743200000000002</v>
      </c>
      <c r="D605" s="17">
        <f>50.7411 * CHOOSE(CONTROL!$C$9, $D$9, 100%, $F$9) + CHOOSE(CONTROL!$C$27, 0.0021, 0)</f>
        <v>50.743200000000002</v>
      </c>
      <c r="E605" s="17">
        <f>50.6045 * CHOOSE(CONTROL!$C$9, $D$9, 100%, $F$9) + CHOOSE(CONTROL!$C$27, 0.0021, 0)</f>
        <v>50.6066</v>
      </c>
      <c r="F605" s="17">
        <f>50.6045 * CHOOSE(CONTROL!$C$9, $D$9, 100%, $F$9) + CHOOSE(CONTROL!$C$27, 0.0021, 0)</f>
        <v>50.6066</v>
      </c>
      <c r="G605" s="17">
        <f>50.8758 * CHOOSE(CONTROL!$C$9, $D$9, 100%, $F$9) + CHOOSE(CONTROL!$C$27, 0.0021, 0)</f>
        <v>50.877899999999997</v>
      </c>
      <c r="H605" s="17">
        <f>50.7411 * CHOOSE(CONTROL!$C$9, $D$9, 100%, $F$9) + CHOOSE(CONTROL!$C$27, 0.0021, 0)</f>
        <v>50.743200000000002</v>
      </c>
      <c r="I605" s="17">
        <f>50.7411 * CHOOSE(CONTROL!$C$9, $D$9, 100%, $F$9) + CHOOSE(CONTROL!$C$27, 0.0021, 0)</f>
        <v>50.743200000000002</v>
      </c>
      <c r="J605" s="17">
        <f>50.7411 * CHOOSE(CONTROL!$C$9, $D$9, 100%, $F$9) + CHOOSE(CONTROL!$C$27, 0.0021, 0)</f>
        <v>50.743200000000002</v>
      </c>
      <c r="K605" s="17">
        <f>50.7411 * CHOOSE(CONTROL!$C$9, $D$9, 100%, $F$9) + CHOOSE(CONTROL!$C$27, 0.0021, 0)</f>
        <v>50.743200000000002</v>
      </c>
      <c r="L605" s="17"/>
    </row>
    <row r="606" spans="1:12" ht="15.75" x14ac:dyDescent="0.25">
      <c r="A606" s="13">
        <v>59018</v>
      </c>
      <c r="B606" s="17">
        <f>52.1547 * CHOOSE(CONTROL!$C$9, $D$9, 100%, $F$9) + CHOOSE(CONTROL!$C$27, 0.0021, 0)</f>
        <v>52.156799999999997</v>
      </c>
      <c r="C606" s="17">
        <f>51.7224 * CHOOSE(CONTROL!$C$9, $D$9, 100%, $F$9) + CHOOSE(CONTROL!$C$27, 0.0021, 0)</f>
        <v>51.724499999999999</v>
      </c>
      <c r="D606" s="17">
        <f>51.7224 * CHOOSE(CONTROL!$C$9, $D$9, 100%, $F$9) + CHOOSE(CONTROL!$C$27, 0.0021, 0)</f>
        <v>51.724499999999999</v>
      </c>
      <c r="E606" s="17">
        <f>51.5858 * CHOOSE(CONTROL!$C$9, $D$9, 100%, $F$9) + CHOOSE(CONTROL!$C$27, 0.0021, 0)</f>
        <v>51.587899999999998</v>
      </c>
      <c r="F606" s="17">
        <f>51.5858 * CHOOSE(CONTROL!$C$9, $D$9, 100%, $F$9) + CHOOSE(CONTROL!$C$27, 0.0021, 0)</f>
        <v>51.587899999999998</v>
      </c>
      <c r="G606" s="17">
        <f>51.8572 * CHOOSE(CONTROL!$C$9, $D$9, 100%, $F$9) + CHOOSE(CONTROL!$C$27, 0.0021, 0)</f>
        <v>51.859299999999998</v>
      </c>
      <c r="H606" s="17">
        <f>51.7224 * CHOOSE(CONTROL!$C$9, $D$9, 100%, $F$9) + CHOOSE(CONTROL!$C$27, 0.0021, 0)</f>
        <v>51.724499999999999</v>
      </c>
      <c r="I606" s="17">
        <f>51.7224 * CHOOSE(CONTROL!$C$9, $D$9, 100%, $F$9) + CHOOSE(CONTROL!$C$27, 0.0021, 0)</f>
        <v>51.724499999999999</v>
      </c>
      <c r="J606" s="17">
        <f>51.7224 * CHOOSE(CONTROL!$C$9, $D$9, 100%, $F$9) + CHOOSE(CONTROL!$C$27, 0.0021, 0)</f>
        <v>51.724499999999999</v>
      </c>
      <c r="K606" s="17">
        <f>51.7224 * CHOOSE(CONTROL!$C$9, $D$9, 100%, $F$9) + CHOOSE(CONTROL!$C$27, 0.0021, 0)</f>
        <v>51.724499999999999</v>
      </c>
      <c r="L606" s="17"/>
    </row>
    <row r="607" spans="1:12" ht="15.75" x14ac:dyDescent="0.25">
      <c r="A607" s="13">
        <v>59049</v>
      </c>
      <c r="B607" s="17">
        <f>52.4542 * CHOOSE(CONTROL!$C$9, $D$9, 100%, $F$9) + CHOOSE(CONTROL!$C$27, 0.0021, 0)</f>
        <v>52.456299999999999</v>
      </c>
      <c r="C607" s="17">
        <f>52.022 * CHOOSE(CONTROL!$C$9, $D$9, 100%, $F$9) + CHOOSE(CONTROL!$C$27, 0.0021, 0)</f>
        <v>52.024099999999997</v>
      </c>
      <c r="D607" s="17">
        <f>52.022 * CHOOSE(CONTROL!$C$9, $D$9, 100%, $F$9) + CHOOSE(CONTROL!$C$27, 0.0021, 0)</f>
        <v>52.024099999999997</v>
      </c>
      <c r="E607" s="17">
        <f>51.8853 * CHOOSE(CONTROL!$C$9, $D$9, 100%, $F$9) + CHOOSE(CONTROL!$C$27, 0.0021, 0)</f>
        <v>51.8874</v>
      </c>
      <c r="F607" s="17">
        <f>51.8853 * CHOOSE(CONTROL!$C$9, $D$9, 100%, $F$9) + CHOOSE(CONTROL!$C$27, 0.0021, 0)</f>
        <v>51.8874</v>
      </c>
      <c r="G607" s="17">
        <f>52.1567 * CHOOSE(CONTROL!$C$9, $D$9, 100%, $F$9) + CHOOSE(CONTROL!$C$27, 0.0021, 0)</f>
        <v>52.158799999999999</v>
      </c>
      <c r="H607" s="17">
        <f>52.022 * CHOOSE(CONTROL!$C$9, $D$9, 100%, $F$9) + CHOOSE(CONTROL!$C$27, 0.0021, 0)</f>
        <v>52.024099999999997</v>
      </c>
      <c r="I607" s="17">
        <f>52.022 * CHOOSE(CONTROL!$C$9, $D$9, 100%, $F$9) + CHOOSE(CONTROL!$C$27, 0.0021, 0)</f>
        <v>52.024099999999997</v>
      </c>
      <c r="J607" s="17">
        <f>52.022 * CHOOSE(CONTROL!$C$9, $D$9, 100%, $F$9) + CHOOSE(CONTROL!$C$27, 0.0021, 0)</f>
        <v>52.024099999999997</v>
      </c>
      <c r="K607" s="17">
        <f>52.022 * CHOOSE(CONTROL!$C$9, $D$9, 100%, $F$9) + CHOOSE(CONTROL!$C$27, 0.0021, 0)</f>
        <v>52.024099999999997</v>
      </c>
      <c r="L607" s="17"/>
    </row>
    <row r="608" spans="1:12" ht="15.75" x14ac:dyDescent="0.25">
      <c r="A608" s="13">
        <v>59079</v>
      </c>
      <c r="B608" s="17">
        <f>53.4743 * CHOOSE(CONTROL!$C$9, $D$9, 100%, $F$9) + CHOOSE(CONTROL!$C$27, 0.0021, 0)</f>
        <v>53.476399999999998</v>
      </c>
      <c r="C608" s="17">
        <f>53.042 * CHOOSE(CONTROL!$C$9, $D$9, 100%, $F$9) + CHOOSE(CONTROL!$C$27, 0.0021, 0)</f>
        <v>53.0441</v>
      </c>
      <c r="D608" s="17">
        <f>53.042 * CHOOSE(CONTROL!$C$9, $D$9, 100%, $F$9) + CHOOSE(CONTROL!$C$27, 0.0021, 0)</f>
        <v>53.0441</v>
      </c>
      <c r="E608" s="17">
        <f>52.9053 * CHOOSE(CONTROL!$C$9, $D$9, 100%, $F$9) + CHOOSE(CONTROL!$C$27, 0.0021, 0)</f>
        <v>52.907399999999996</v>
      </c>
      <c r="F608" s="17">
        <f>52.9053 * CHOOSE(CONTROL!$C$9, $D$9, 100%, $F$9) + CHOOSE(CONTROL!$C$27, 0.0021, 0)</f>
        <v>52.907399999999996</v>
      </c>
      <c r="G608" s="17">
        <f>53.1767 * CHOOSE(CONTROL!$C$9, $D$9, 100%, $F$9) + CHOOSE(CONTROL!$C$27, 0.0021, 0)</f>
        <v>53.178799999999995</v>
      </c>
      <c r="H608" s="17">
        <f>53.042 * CHOOSE(CONTROL!$C$9, $D$9, 100%, $F$9) + CHOOSE(CONTROL!$C$27, 0.0021, 0)</f>
        <v>53.0441</v>
      </c>
      <c r="I608" s="17">
        <f>53.042 * CHOOSE(CONTROL!$C$9, $D$9, 100%, $F$9) + CHOOSE(CONTROL!$C$27, 0.0021, 0)</f>
        <v>53.0441</v>
      </c>
      <c r="J608" s="17">
        <f>53.042 * CHOOSE(CONTROL!$C$9, $D$9, 100%, $F$9) + CHOOSE(CONTROL!$C$27, 0.0021, 0)</f>
        <v>53.0441</v>
      </c>
      <c r="K608" s="17">
        <f>53.042 * CHOOSE(CONTROL!$C$9, $D$9, 100%, $F$9) + CHOOSE(CONTROL!$C$27, 0.0021, 0)</f>
        <v>53.0441</v>
      </c>
      <c r="L608" s="17"/>
    </row>
    <row r="609" spans="1:12" ht="15.75" x14ac:dyDescent="0.25">
      <c r="A609" s="13">
        <v>59110</v>
      </c>
      <c r="B609" s="17">
        <f>54.7654 * CHOOSE(CONTROL!$C$9, $D$9, 100%, $F$9) + CHOOSE(CONTROL!$C$27, 0.0021, 0)</f>
        <v>54.767499999999998</v>
      </c>
      <c r="C609" s="17">
        <f>54.3332 * CHOOSE(CONTROL!$C$9, $D$9, 100%, $F$9) + CHOOSE(CONTROL!$C$27, 0.0021, 0)</f>
        <v>54.335299999999997</v>
      </c>
      <c r="D609" s="17">
        <f>54.3332 * CHOOSE(CONTROL!$C$9, $D$9, 100%, $F$9) + CHOOSE(CONTROL!$C$27, 0.0021, 0)</f>
        <v>54.335299999999997</v>
      </c>
      <c r="E609" s="17">
        <f>54.1965 * CHOOSE(CONTROL!$C$9, $D$9, 100%, $F$9) + CHOOSE(CONTROL!$C$27, 0.0021, 0)</f>
        <v>54.198599999999999</v>
      </c>
      <c r="F609" s="17">
        <f>54.1965 * CHOOSE(CONTROL!$C$9, $D$9, 100%, $F$9) + CHOOSE(CONTROL!$C$27, 0.0021, 0)</f>
        <v>54.198599999999999</v>
      </c>
      <c r="G609" s="17">
        <f>54.4679 * CHOOSE(CONTROL!$C$9, $D$9, 100%, $F$9) + CHOOSE(CONTROL!$C$27, 0.0021, 0)</f>
        <v>54.47</v>
      </c>
      <c r="H609" s="17">
        <f>54.3332 * CHOOSE(CONTROL!$C$9, $D$9, 100%, $F$9) + CHOOSE(CONTROL!$C$27, 0.0021, 0)</f>
        <v>54.335299999999997</v>
      </c>
      <c r="I609" s="17">
        <f>54.3332 * CHOOSE(CONTROL!$C$9, $D$9, 100%, $F$9) + CHOOSE(CONTROL!$C$27, 0.0021, 0)</f>
        <v>54.335299999999997</v>
      </c>
      <c r="J609" s="17">
        <f>54.3332 * CHOOSE(CONTROL!$C$9, $D$9, 100%, $F$9) + CHOOSE(CONTROL!$C$27, 0.0021, 0)</f>
        <v>54.335299999999997</v>
      </c>
      <c r="K609" s="17">
        <f>54.3332 * CHOOSE(CONTROL!$C$9, $D$9, 100%, $F$9) + CHOOSE(CONTROL!$C$27, 0.0021, 0)</f>
        <v>54.335299999999997</v>
      </c>
      <c r="L609" s="17"/>
    </row>
    <row r="610" spans="1:12" ht="15.75" x14ac:dyDescent="0.25">
      <c r="A610" s="13">
        <v>59140</v>
      </c>
      <c r="B610" s="17">
        <f>54.8867 * CHOOSE(CONTROL!$C$9, $D$9, 100%, $F$9) + CHOOSE(CONTROL!$C$27, 0.0021, 0)</f>
        <v>54.888799999999996</v>
      </c>
      <c r="C610" s="17">
        <f>54.4544 * CHOOSE(CONTROL!$C$9, $D$9, 100%, $F$9) + CHOOSE(CONTROL!$C$27, 0.0021, 0)</f>
        <v>54.456499999999998</v>
      </c>
      <c r="D610" s="17">
        <f>54.4544 * CHOOSE(CONTROL!$C$9, $D$9, 100%, $F$9) + CHOOSE(CONTROL!$C$27, 0.0021, 0)</f>
        <v>54.456499999999998</v>
      </c>
      <c r="E610" s="17">
        <f>54.3178 * CHOOSE(CONTROL!$C$9, $D$9, 100%, $F$9) + CHOOSE(CONTROL!$C$27, 0.0021, 0)</f>
        <v>54.319899999999997</v>
      </c>
      <c r="F610" s="17">
        <f>54.3178 * CHOOSE(CONTROL!$C$9, $D$9, 100%, $F$9) + CHOOSE(CONTROL!$C$27, 0.0021, 0)</f>
        <v>54.319899999999997</v>
      </c>
      <c r="G610" s="17">
        <f>54.5891 * CHOOSE(CONTROL!$C$9, $D$9, 100%, $F$9) + CHOOSE(CONTROL!$C$27, 0.0021, 0)</f>
        <v>54.591200000000001</v>
      </c>
      <c r="H610" s="17">
        <f>54.4544 * CHOOSE(CONTROL!$C$9, $D$9, 100%, $F$9) + CHOOSE(CONTROL!$C$27, 0.0021, 0)</f>
        <v>54.456499999999998</v>
      </c>
      <c r="I610" s="17">
        <f>54.4544 * CHOOSE(CONTROL!$C$9, $D$9, 100%, $F$9) + CHOOSE(CONTROL!$C$27, 0.0021, 0)</f>
        <v>54.456499999999998</v>
      </c>
      <c r="J610" s="17">
        <f>54.4544 * CHOOSE(CONTROL!$C$9, $D$9, 100%, $F$9) + CHOOSE(CONTROL!$C$27, 0.0021, 0)</f>
        <v>54.456499999999998</v>
      </c>
      <c r="K610" s="17">
        <f>54.4544 * CHOOSE(CONTROL!$C$9, $D$9, 100%, $F$9) + CHOOSE(CONTROL!$C$27, 0.0021, 0)</f>
        <v>54.456499999999998</v>
      </c>
      <c r="L610" s="17"/>
    </row>
    <row r="611" spans="1:12" ht="15.75" x14ac:dyDescent="0.25">
      <c r="A611" s="13">
        <v>59171</v>
      </c>
      <c r="B611" s="17">
        <f>53.8554 * CHOOSE(CONTROL!$C$9, $D$9, 100%, $F$9) + CHOOSE(CONTROL!$C$27, 0.0021, 0)</f>
        <v>53.857500000000002</v>
      </c>
      <c r="C611" s="17">
        <f>53.4232 * CHOOSE(CONTROL!$C$9, $D$9, 100%, $F$9) + CHOOSE(CONTROL!$C$27, 0.0021, 0)</f>
        <v>53.4253</v>
      </c>
      <c r="D611" s="17">
        <f>53.4232 * CHOOSE(CONTROL!$C$9, $D$9, 100%, $F$9) + CHOOSE(CONTROL!$C$27, 0.0021, 0)</f>
        <v>53.4253</v>
      </c>
      <c r="E611" s="17">
        <f>53.2865 * CHOOSE(CONTROL!$C$9, $D$9, 100%, $F$9) + CHOOSE(CONTROL!$C$27, 0.0021, 0)</f>
        <v>53.288599999999995</v>
      </c>
      <c r="F611" s="17">
        <f>53.2865 * CHOOSE(CONTROL!$C$9, $D$9, 100%, $F$9) + CHOOSE(CONTROL!$C$27, 0.0021, 0)</f>
        <v>53.288599999999995</v>
      </c>
      <c r="G611" s="17">
        <f>53.5579 * CHOOSE(CONTROL!$C$9, $D$9, 100%, $F$9) + CHOOSE(CONTROL!$C$27, 0.0021, 0)</f>
        <v>53.559999999999995</v>
      </c>
      <c r="H611" s="17">
        <f>53.4232 * CHOOSE(CONTROL!$C$9, $D$9, 100%, $F$9) + CHOOSE(CONTROL!$C$27, 0.0021, 0)</f>
        <v>53.4253</v>
      </c>
      <c r="I611" s="17">
        <f>53.4232 * CHOOSE(CONTROL!$C$9, $D$9, 100%, $F$9) + CHOOSE(CONTROL!$C$27, 0.0021, 0)</f>
        <v>53.4253</v>
      </c>
      <c r="J611" s="17">
        <f>53.4232 * CHOOSE(CONTROL!$C$9, $D$9, 100%, $F$9) + CHOOSE(CONTROL!$C$27, 0.0021, 0)</f>
        <v>53.4253</v>
      </c>
      <c r="K611" s="17">
        <f>53.4232 * CHOOSE(CONTROL!$C$9, $D$9, 100%, $F$9) + CHOOSE(CONTROL!$C$27, 0.0021, 0)</f>
        <v>53.4253</v>
      </c>
      <c r="L611" s="17"/>
    </row>
    <row r="612" spans="1:12" ht="15" x14ac:dyDescent="0.2">
      <c r="A612" s="12"/>
      <c r="B612" s="17"/>
      <c r="C612" s="17"/>
      <c r="D612" s="17"/>
      <c r="E612" s="17"/>
      <c r="F612" s="17"/>
      <c r="G612" s="17"/>
      <c r="H612" s="17"/>
      <c r="I612" s="17"/>
      <c r="L612" s="17"/>
    </row>
    <row r="613" spans="1:12" ht="15" x14ac:dyDescent="0.2">
      <c r="A613" s="11">
        <v>2012</v>
      </c>
      <c r="B613" s="17">
        <f t="shared" ref="B613:L613" si="0">AVERAGE(B12:B23)</f>
        <v>24.229677899563285</v>
      </c>
      <c r="C613" s="17">
        <f t="shared" si="0"/>
        <v>24.013554400420926</v>
      </c>
      <c r="D613" s="17">
        <f t="shared" si="0"/>
        <v>24.013554400420926</v>
      </c>
      <c r="E613" s="17">
        <f t="shared" si="0"/>
        <v>23.945225155137909</v>
      </c>
      <c r="F613" s="17">
        <f t="shared" si="0"/>
        <v>23.945225155137909</v>
      </c>
      <c r="G613" s="17">
        <f t="shared" si="0"/>
        <v>24.075870009340317</v>
      </c>
      <c r="H613" s="17">
        <f t="shared" si="0"/>
        <v>24.013554400420926</v>
      </c>
      <c r="I613" s="17">
        <f t="shared" si="0"/>
        <v>24.013554400420926</v>
      </c>
      <c r="J613" s="17">
        <f t="shared" si="0"/>
        <v>24.013554400420926</v>
      </c>
      <c r="K613" s="17">
        <f t="shared" si="0"/>
        <v>24.013554400420926</v>
      </c>
      <c r="L613" s="17">
        <f t="shared" si="0"/>
        <v>24.013554400420926</v>
      </c>
    </row>
    <row r="614" spans="1:12" ht="15" x14ac:dyDescent="0.2">
      <c r="A614" s="11">
        <v>2013</v>
      </c>
      <c r="B614" s="17">
        <f>AVERAGE(B24:B35)</f>
        <v>24.176475</v>
      </c>
      <c r="C614" s="17">
        <f>AVERAGE(C24:C35)</f>
        <v>23.74421666666667</v>
      </c>
      <c r="D614" s="17"/>
      <c r="E614" s="17">
        <f t="shared" ref="E614:K614" si="1">AVERAGE(E24:E35)</f>
        <v>23.607574999999997</v>
      </c>
      <c r="F614" s="17">
        <f t="shared" si="1"/>
        <v>23.607574999999997</v>
      </c>
      <c r="G614" s="17">
        <f t="shared" si="1"/>
        <v>23.878933333333332</v>
      </c>
      <c r="H614" s="17">
        <f t="shared" si="1"/>
        <v>23.74421666666667</v>
      </c>
      <c r="I614" s="17">
        <f t="shared" si="1"/>
        <v>23.74421666666667</v>
      </c>
      <c r="J614" s="17">
        <f t="shared" si="1"/>
        <v>23.384016666666664</v>
      </c>
      <c r="K614" s="17">
        <f t="shared" si="1"/>
        <v>23.74421666666667</v>
      </c>
      <c r="L614" s="17"/>
    </row>
    <row r="615" spans="1:12" ht="15" x14ac:dyDescent="0.2">
      <c r="A615" s="11">
        <v>2014</v>
      </c>
      <c r="B615" s="17">
        <f>AVERAGE(B36:B47)</f>
        <v>23.531708333333338</v>
      </c>
      <c r="C615" s="17">
        <f>AVERAGE(C36:C47)</f>
        <v>23.099450000000004</v>
      </c>
      <c r="D615" s="17"/>
      <c r="E615" s="17">
        <f t="shared" ref="E615:K615" si="2">AVERAGE(E36:E47)</f>
        <v>22.962808333333328</v>
      </c>
      <c r="F615" s="17">
        <f t="shared" si="2"/>
        <v>22.962808333333328</v>
      </c>
      <c r="G615" s="17">
        <f t="shared" si="2"/>
        <v>23.234183333333331</v>
      </c>
      <c r="H615" s="17">
        <f t="shared" si="2"/>
        <v>23.099450000000004</v>
      </c>
      <c r="I615" s="17">
        <f t="shared" si="2"/>
        <v>23.099450000000004</v>
      </c>
      <c r="J615" s="17">
        <f t="shared" si="2"/>
        <v>22.739249999999998</v>
      </c>
      <c r="K615" s="17">
        <f t="shared" si="2"/>
        <v>23.099450000000004</v>
      </c>
      <c r="L615" s="17"/>
    </row>
    <row r="616" spans="1:12" ht="15" x14ac:dyDescent="0.2">
      <c r="A616" s="11">
        <v>2015</v>
      </c>
      <c r="B616" s="17">
        <f>AVERAGE(B48:B59)</f>
        <v>23.514516666666665</v>
      </c>
      <c r="C616" s="17">
        <f>AVERAGE(C48:C59)</f>
        <v>23.082241666666665</v>
      </c>
      <c r="D616" s="17"/>
      <c r="E616" s="17">
        <f t="shared" ref="E616:K616" si="3">AVERAGE(E48:E59)</f>
        <v>22.945616666666666</v>
      </c>
      <c r="F616" s="17">
        <f t="shared" si="3"/>
        <v>22.945616666666666</v>
      </c>
      <c r="G616" s="17">
        <f t="shared" si="3"/>
        <v>23.216975000000001</v>
      </c>
      <c r="H616" s="17">
        <f t="shared" si="3"/>
        <v>23.082241666666665</v>
      </c>
      <c r="I616" s="17">
        <f t="shared" si="3"/>
        <v>23.082241666666665</v>
      </c>
      <c r="J616" s="17">
        <f t="shared" si="3"/>
        <v>23.082241666666665</v>
      </c>
      <c r="K616" s="17">
        <f t="shared" si="3"/>
        <v>23.082241666666665</v>
      </c>
      <c r="L616" s="17"/>
    </row>
    <row r="617" spans="1:12" ht="15" x14ac:dyDescent="0.2">
      <c r="A617" s="11">
        <v>2016</v>
      </c>
      <c r="B617" s="17">
        <f>AVERAGE(B60:B71)</f>
        <v>23.632474999999999</v>
      </c>
      <c r="C617" s="17">
        <f>AVERAGE(C60:C71)</f>
        <v>23.200225</v>
      </c>
      <c r="D617" s="17"/>
      <c r="E617" s="17">
        <f t="shared" ref="E617:K617" si="4">AVERAGE(E60:E71)</f>
        <v>23.063566666666663</v>
      </c>
      <c r="F617" s="17">
        <f t="shared" si="4"/>
        <v>23.063566666666663</v>
      </c>
      <c r="G617" s="17">
        <f t="shared" si="4"/>
        <v>23.334941666666666</v>
      </c>
      <c r="H617" s="17">
        <f t="shared" si="4"/>
        <v>23.200225</v>
      </c>
      <c r="I617" s="17">
        <f t="shared" si="4"/>
        <v>23.200225</v>
      </c>
      <c r="J617" s="17">
        <f t="shared" si="4"/>
        <v>23.200225</v>
      </c>
      <c r="K617" s="17">
        <f t="shared" si="4"/>
        <v>23.200225</v>
      </c>
      <c r="L617" s="17"/>
    </row>
    <row r="618" spans="1:12" ht="15" x14ac:dyDescent="0.2">
      <c r="A618" s="11">
        <v>2017</v>
      </c>
      <c r="B618" s="17">
        <f>AVERAGE(B72:B83)</f>
        <v>24.736383333333333</v>
      </c>
      <c r="C618" s="17">
        <f>AVERAGE(C72:C83)</f>
        <v>24.304141666666663</v>
      </c>
      <c r="D618" s="17"/>
      <c r="E618" s="17">
        <f t="shared" ref="E618:K618" si="5">AVERAGE(E72:E83)</f>
        <v>24.167466666666666</v>
      </c>
      <c r="F618" s="17">
        <f t="shared" si="5"/>
        <v>24.167466666666666</v>
      </c>
      <c r="G618" s="17">
        <f t="shared" si="5"/>
        <v>24.438858333333332</v>
      </c>
      <c r="H618" s="17">
        <f t="shared" si="5"/>
        <v>24.304141666666663</v>
      </c>
      <c r="I618" s="17">
        <f t="shared" si="5"/>
        <v>24.304141666666663</v>
      </c>
      <c r="J618" s="17">
        <f t="shared" si="5"/>
        <v>24.304141666666663</v>
      </c>
      <c r="K618" s="17">
        <f t="shared" si="5"/>
        <v>24.304141666666663</v>
      </c>
      <c r="L618" s="17"/>
    </row>
    <row r="619" spans="1:12" ht="15" x14ac:dyDescent="0.2">
      <c r="A619" s="11">
        <v>2018</v>
      </c>
      <c r="B619" s="17">
        <f>AVERAGE(B84:B95)</f>
        <v>25.35529166666667</v>
      </c>
      <c r="C619" s="17">
        <f>AVERAGE(C84:C95)</f>
        <v>24.923008333333332</v>
      </c>
      <c r="D619" s="17"/>
      <c r="E619" s="17">
        <f t="shared" ref="E619:K619" si="6">AVERAGE(E84:E95)</f>
        <v>24.786391666666663</v>
      </c>
      <c r="F619" s="17">
        <f t="shared" si="6"/>
        <v>24.786391666666663</v>
      </c>
      <c r="G619" s="17">
        <f t="shared" si="6"/>
        <v>25.057741666666661</v>
      </c>
      <c r="H619" s="17">
        <f t="shared" si="6"/>
        <v>24.923008333333332</v>
      </c>
      <c r="I619" s="17">
        <f t="shared" si="6"/>
        <v>24.923008333333332</v>
      </c>
      <c r="J619" s="17">
        <f t="shared" si="6"/>
        <v>24.923008333333332</v>
      </c>
      <c r="K619" s="17">
        <f t="shared" si="6"/>
        <v>24.923008333333332</v>
      </c>
      <c r="L619" s="17"/>
    </row>
    <row r="620" spans="1:12" ht="15" x14ac:dyDescent="0.2">
      <c r="A620" s="11">
        <v>2019</v>
      </c>
      <c r="B620" s="17">
        <f>AVERAGE(B96:B107)</f>
        <v>25.988933333333335</v>
      </c>
      <c r="C620" s="17">
        <f>AVERAGE(C96:C107)</f>
        <v>25.556691666666666</v>
      </c>
      <c r="D620" s="17"/>
      <c r="E620" s="17">
        <f t="shared" ref="E620:K620" si="7">AVERAGE(E96:E107)</f>
        <v>25.420033333333333</v>
      </c>
      <c r="F620" s="17">
        <f t="shared" si="7"/>
        <v>25.420033333333333</v>
      </c>
      <c r="G620" s="17">
        <f t="shared" si="7"/>
        <v>25.691400000000002</v>
      </c>
      <c r="H620" s="17">
        <f t="shared" si="7"/>
        <v>25.556691666666666</v>
      </c>
      <c r="I620" s="17">
        <f t="shared" si="7"/>
        <v>25.556691666666666</v>
      </c>
      <c r="J620" s="17">
        <f t="shared" si="7"/>
        <v>25.556691666666666</v>
      </c>
      <c r="K620" s="17">
        <f t="shared" si="7"/>
        <v>25.556691666666666</v>
      </c>
      <c r="L620" s="17"/>
    </row>
    <row r="621" spans="1:12" ht="15" x14ac:dyDescent="0.2">
      <c r="A621" s="11">
        <v>2020</v>
      </c>
      <c r="B621" s="17">
        <f>AVERAGE(B108:B119)</f>
        <v>26.776858333333333</v>
      </c>
      <c r="C621" s="17">
        <f>AVERAGE(C108:C119)</f>
        <v>26.344624999999994</v>
      </c>
      <c r="D621" s="17"/>
      <c r="E621" s="17">
        <f t="shared" ref="E621:K621" si="8">AVERAGE(E108:E119)</f>
        <v>26.207958333333337</v>
      </c>
      <c r="F621" s="17">
        <f t="shared" si="8"/>
        <v>26.207958333333337</v>
      </c>
      <c r="G621" s="17">
        <f t="shared" si="8"/>
        <v>26.479341666666667</v>
      </c>
      <c r="H621" s="17">
        <f t="shared" si="8"/>
        <v>26.344624999999994</v>
      </c>
      <c r="I621" s="17">
        <f t="shared" si="8"/>
        <v>26.344624999999994</v>
      </c>
      <c r="J621" s="17">
        <f t="shared" si="8"/>
        <v>26.344624999999994</v>
      </c>
      <c r="K621" s="17">
        <f t="shared" si="8"/>
        <v>26.344624999999994</v>
      </c>
      <c r="L621" s="17"/>
    </row>
    <row r="622" spans="1:12" ht="15" x14ac:dyDescent="0.2">
      <c r="A622" s="11">
        <v>2021</v>
      </c>
      <c r="B622" s="17">
        <f>AVERAGE(B120:B131)</f>
        <v>28.140741666666667</v>
      </c>
      <c r="C622" s="17">
        <f>AVERAGE(C120:C131)</f>
        <v>27.708491666666664</v>
      </c>
      <c r="D622" s="17"/>
      <c r="E622" s="17">
        <f t="shared" ref="E622:K622" si="9">AVERAGE(E120:E131)</f>
        <v>27.571841666666668</v>
      </c>
      <c r="F622" s="17">
        <f t="shared" si="9"/>
        <v>27.571841666666668</v>
      </c>
      <c r="G622" s="17">
        <f t="shared" si="9"/>
        <v>27.843225000000004</v>
      </c>
      <c r="H622" s="17">
        <f t="shared" si="9"/>
        <v>27.708491666666664</v>
      </c>
      <c r="I622" s="17">
        <f t="shared" si="9"/>
        <v>27.708491666666664</v>
      </c>
      <c r="J622" s="17">
        <f t="shared" si="9"/>
        <v>27.708491666666664</v>
      </c>
      <c r="K622" s="17">
        <f t="shared" si="9"/>
        <v>27.708491666666664</v>
      </c>
      <c r="L622" s="17"/>
    </row>
    <row r="623" spans="1:12" ht="15" x14ac:dyDescent="0.2">
      <c r="A623" s="11">
        <v>2022</v>
      </c>
      <c r="B623" s="17">
        <f>AVERAGE(B132:B143)</f>
        <v>29.612616666666664</v>
      </c>
      <c r="C623" s="17">
        <f>AVERAGE(C132:C143)</f>
        <v>29.180383333333328</v>
      </c>
      <c r="D623" s="17"/>
      <c r="E623" s="17">
        <f t="shared" ref="E623:K623" si="10">AVERAGE(E132:E143)</f>
        <v>29.043708333333338</v>
      </c>
      <c r="F623" s="17">
        <f t="shared" si="10"/>
        <v>29.043708333333338</v>
      </c>
      <c r="G623" s="17">
        <f t="shared" si="10"/>
        <v>29.315083333333334</v>
      </c>
      <c r="H623" s="17">
        <f t="shared" si="10"/>
        <v>29.180383333333328</v>
      </c>
      <c r="I623" s="17">
        <f t="shared" si="10"/>
        <v>29.180383333333328</v>
      </c>
      <c r="J623" s="17">
        <f t="shared" si="10"/>
        <v>29.180383333333328</v>
      </c>
      <c r="K623" s="17">
        <f t="shared" si="10"/>
        <v>29.180383333333328</v>
      </c>
      <c r="L623" s="17"/>
    </row>
    <row r="624" spans="1:12" ht="15" x14ac:dyDescent="0.2">
      <c r="A624" s="11">
        <v>2023</v>
      </c>
      <c r="B624" s="17">
        <f>AVERAGE(B144:B155)</f>
        <v>31.04195</v>
      </c>
      <c r="C624" s="17">
        <f>AVERAGE(C144:C155)</f>
        <v>30.6097</v>
      </c>
      <c r="D624" s="17"/>
      <c r="E624" s="17">
        <f t="shared" ref="E624:K624" si="11">AVERAGE(E144:E155)</f>
        <v>30.473041666666663</v>
      </c>
      <c r="F624" s="17">
        <f t="shared" si="11"/>
        <v>30.473041666666663</v>
      </c>
      <c r="G624" s="17">
        <f t="shared" si="11"/>
        <v>30.744400000000002</v>
      </c>
      <c r="H624" s="17">
        <f t="shared" si="11"/>
        <v>30.6097</v>
      </c>
      <c r="I624" s="17">
        <f t="shared" si="11"/>
        <v>30.6097</v>
      </c>
      <c r="J624" s="17">
        <f t="shared" si="11"/>
        <v>30.6097</v>
      </c>
      <c r="K624" s="17">
        <f t="shared" si="11"/>
        <v>30.6097</v>
      </c>
      <c r="L624" s="17"/>
    </row>
    <row r="625" spans="1:12" ht="15" x14ac:dyDescent="0.2">
      <c r="A625" s="11">
        <v>2024</v>
      </c>
      <c r="B625" s="17">
        <f>AVERAGE(B156:B167)</f>
        <v>32.451483333333336</v>
      </c>
      <c r="C625" s="17">
        <f>AVERAGE(C156:C167)</f>
        <v>32.019233333333339</v>
      </c>
      <c r="D625" s="17"/>
      <c r="E625" s="17">
        <f t="shared" ref="E625:K625" si="12">AVERAGE(E156:E167)</f>
        <v>31.882583333333329</v>
      </c>
      <c r="F625" s="17">
        <f t="shared" si="12"/>
        <v>31.882583333333329</v>
      </c>
      <c r="G625" s="17">
        <f t="shared" si="12"/>
        <v>32.153941666666661</v>
      </c>
      <c r="H625" s="17">
        <f t="shared" si="12"/>
        <v>32.019233333333339</v>
      </c>
      <c r="I625" s="17">
        <f t="shared" si="12"/>
        <v>32.019233333333339</v>
      </c>
      <c r="J625" s="17">
        <f t="shared" si="12"/>
        <v>32.019233333333339</v>
      </c>
      <c r="K625" s="17">
        <f t="shared" si="12"/>
        <v>32.019233333333339</v>
      </c>
      <c r="L625" s="17"/>
    </row>
    <row r="626" spans="1:12" ht="15" x14ac:dyDescent="0.2">
      <c r="A626" s="11">
        <v>2025</v>
      </c>
      <c r="B626" s="17">
        <f>AVERAGE(B168:B179)</f>
        <v>33.824816666666663</v>
      </c>
      <c r="C626" s="17">
        <f>AVERAGE(C168:C179)</f>
        <v>33.392558333333334</v>
      </c>
      <c r="D626" s="17"/>
      <c r="E626" s="17">
        <f t="shared" ref="E626:K626" si="13">AVERAGE(E168:E179)</f>
        <v>33.255916666666671</v>
      </c>
      <c r="F626" s="17">
        <f t="shared" si="13"/>
        <v>33.255916666666671</v>
      </c>
      <c r="G626" s="17">
        <f t="shared" si="13"/>
        <v>33.527283333333337</v>
      </c>
      <c r="H626" s="17">
        <f t="shared" si="13"/>
        <v>33.392558333333334</v>
      </c>
      <c r="I626" s="17">
        <f t="shared" si="13"/>
        <v>33.392558333333334</v>
      </c>
      <c r="J626" s="17">
        <f t="shared" si="13"/>
        <v>33.392558333333334</v>
      </c>
      <c r="K626" s="17">
        <f t="shared" si="13"/>
        <v>33.392558333333334</v>
      </c>
      <c r="L626" s="17"/>
    </row>
    <row r="627" spans="1:12" ht="15" x14ac:dyDescent="0.2">
      <c r="A627" s="11">
        <v>2026</v>
      </c>
      <c r="B627" s="17">
        <f>AVERAGE(B180:B191)</f>
        <v>34.654341666666667</v>
      </c>
      <c r="C627" s="17">
        <f>AVERAGE(C180:C191)</f>
        <v>34.22208333333333</v>
      </c>
      <c r="D627" s="17"/>
      <c r="E627" s="17">
        <f t="shared" ref="E627:K627" si="14">AVERAGE(E180:E191)</f>
        <v>34.085441666666661</v>
      </c>
      <c r="F627" s="17">
        <f t="shared" si="14"/>
        <v>34.085441666666661</v>
      </c>
      <c r="G627" s="17">
        <f t="shared" si="14"/>
        <v>34.356791666666666</v>
      </c>
      <c r="H627" s="17">
        <f t="shared" si="14"/>
        <v>34.22208333333333</v>
      </c>
      <c r="I627" s="17">
        <f t="shared" si="14"/>
        <v>34.22208333333333</v>
      </c>
      <c r="J627" s="17">
        <f t="shared" si="14"/>
        <v>34.22208333333333</v>
      </c>
      <c r="K627" s="17">
        <f t="shared" si="14"/>
        <v>34.22208333333333</v>
      </c>
      <c r="L627" s="17"/>
    </row>
    <row r="628" spans="1:12" ht="15" x14ac:dyDescent="0.2">
      <c r="A628" s="11">
        <v>2027</v>
      </c>
      <c r="B628" s="17">
        <f>AVERAGE(B192:B203)</f>
        <v>35.465600000000002</v>
      </c>
      <c r="C628" s="17">
        <f>AVERAGE(C192:C203)</f>
        <v>35.033349999999992</v>
      </c>
      <c r="D628" s="17"/>
      <c r="E628" s="17">
        <f t="shared" ref="E628:K628" si="15">AVERAGE(E192:E203)</f>
        <v>34.896691666666662</v>
      </c>
      <c r="F628" s="17">
        <f t="shared" si="15"/>
        <v>34.896691666666662</v>
      </c>
      <c r="G628" s="17">
        <f t="shared" si="15"/>
        <v>35.168058333333335</v>
      </c>
      <c r="H628" s="17">
        <f t="shared" si="15"/>
        <v>35.033349999999992</v>
      </c>
      <c r="I628" s="17">
        <f t="shared" si="15"/>
        <v>35.033349999999992</v>
      </c>
      <c r="J628" s="17">
        <f t="shared" si="15"/>
        <v>35.033349999999992</v>
      </c>
      <c r="K628" s="17">
        <f t="shared" si="15"/>
        <v>35.033349999999992</v>
      </c>
      <c r="L628" s="17"/>
    </row>
    <row r="629" spans="1:12" ht="15" x14ac:dyDescent="0.2">
      <c r="A629" s="11">
        <v>2028</v>
      </c>
      <c r="B629" s="17">
        <f>AVERAGE(B204:B215)</f>
        <v>36.231008333333328</v>
      </c>
      <c r="C629" s="17">
        <f>AVERAGE(C204:C215)</f>
        <v>35.798733333333324</v>
      </c>
      <c r="D629" s="17"/>
      <c r="E629" s="17">
        <f t="shared" ref="E629:K629" si="16">AVERAGE(E204:E215)</f>
        <v>35.662091666666669</v>
      </c>
      <c r="F629" s="17">
        <f t="shared" si="16"/>
        <v>35.662091666666669</v>
      </c>
      <c r="G629" s="17">
        <f t="shared" si="16"/>
        <v>35.933458333333334</v>
      </c>
      <c r="H629" s="17">
        <f t="shared" si="16"/>
        <v>35.798733333333324</v>
      </c>
      <c r="I629" s="17">
        <f t="shared" si="16"/>
        <v>35.798733333333324</v>
      </c>
      <c r="J629" s="17">
        <f t="shared" si="16"/>
        <v>35.798733333333324</v>
      </c>
      <c r="K629" s="17">
        <f t="shared" si="16"/>
        <v>35.798733333333324</v>
      </c>
      <c r="L629" s="17"/>
    </row>
    <row r="630" spans="1:12" ht="15" x14ac:dyDescent="0.2">
      <c r="A630" s="11">
        <v>2029</v>
      </c>
      <c r="B630" s="17">
        <f>AVERAGE(B216:B227)</f>
        <v>37.032908333333332</v>
      </c>
      <c r="C630" s="17">
        <f>AVERAGE(C216:C227)</f>
        <v>36.600666666666662</v>
      </c>
      <c r="D630" s="17"/>
      <c r="E630" s="17">
        <f t="shared" ref="E630:K630" si="17">AVERAGE(E216:E227)</f>
        <v>36.464008333333332</v>
      </c>
      <c r="F630" s="17">
        <f t="shared" si="17"/>
        <v>36.464008333333332</v>
      </c>
      <c r="G630" s="17">
        <f t="shared" si="17"/>
        <v>36.735383333333338</v>
      </c>
      <c r="H630" s="17">
        <f t="shared" si="17"/>
        <v>36.600666666666662</v>
      </c>
      <c r="I630" s="17">
        <f t="shared" si="17"/>
        <v>36.600666666666662</v>
      </c>
      <c r="J630" s="17">
        <f t="shared" si="17"/>
        <v>36.600666666666662</v>
      </c>
      <c r="K630" s="17">
        <f t="shared" si="17"/>
        <v>36.600666666666662</v>
      </c>
      <c r="L630" s="17"/>
    </row>
    <row r="631" spans="1:12" ht="15" x14ac:dyDescent="0.2">
      <c r="A631" s="11">
        <v>2030</v>
      </c>
      <c r="B631" s="17">
        <f>AVERAGE(B228:B239)</f>
        <v>37.739541666666668</v>
      </c>
      <c r="C631" s="17">
        <f>AVERAGE(C228:C239)</f>
        <v>37.307291666666664</v>
      </c>
      <c r="D631" s="17"/>
      <c r="E631" s="17">
        <f t="shared" ref="E631:K631" si="18">AVERAGE(E228:E239)</f>
        <v>37.170641666666661</v>
      </c>
      <c r="F631" s="17">
        <f t="shared" si="18"/>
        <v>37.170641666666661</v>
      </c>
      <c r="G631" s="17">
        <f t="shared" si="18"/>
        <v>37.442</v>
      </c>
      <c r="H631" s="17">
        <f t="shared" si="18"/>
        <v>37.307291666666664</v>
      </c>
      <c r="I631" s="17">
        <f t="shared" si="18"/>
        <v>37.307291666666664</v>
      </c>
      <c r="J631" s="17">
        <f t="shared" si="18"/>
        <v>37.307291666666664</v>
      </c>
      <c r="K631" s="17">
        <f t="shared" si="18"/>
        <v>37.307291666666664</v>
      </c>
      <c r="L631" s="17"/>
    </row>
    <row r="632" spans="1:12" ht="15" x14ac:dyDescent="0.2">
      <c r="A632" s="11">
        <v>2031</v>
      </c>
      <c r="B632" s="17">
        <f>AVERAGE(B240:B251)</f>
        <v>38.254558333333335</v>
      </c>
      <c r="C632" s="17">
        <f>AVERAGE(C240:C251)</f>
        <v>37.822316666666673</v>
      </c>
      <c r="D632" s="17"/>
      <c r="E632" s="17">
        <f t="shared" ref="E632:K632" si="19">AVERAGE(E240:E251)</f>
        <v>37.685658333333329</v>
      </c>
      <c r="F632" s="17">
        <f t="shared" si="19"/>
        <v>37.685658333333329</v>
      </c>
      <c r="G632" s="17">
        <f t="shared" si="19"/>
        <v>37.957041666666662</v>
      </c>
      <c r="H632" s="17">
        <f t="shared" si="19"/>
        <v>37.822316666666673</v>
      </c>
      <c r="I632" s="17">
        <f t="shared" si="19"/>
        <v>37.822316666666673</v>
      </c>
      <c r="J632" s="17">
        <f t="shared" si="19"/>
        <v>37.822316666666673</v>
      </c>
      <c r="K632" s="17">
        <f t="shared" si="19"/>
        <v>37.822316666666673</v>
      </c>
      <c r="L632" s="17"/>
    </row>
    <row r="633" spans="1:12" ht="15" x14ac:dyDescent="0.2">
      <c r="A633" s="11">
        <v>2032</v>
      </c>
      <c r="B633" s="17">
        <f>AVERAGE(B252:B263)</f>
        <v>38.64950833333333</v>
      </c>
      <c r="C633" s="17">
        <f>AVERAGE(C252:C263)</f>
        <v>38.217249999999993</v>
      </c>
      <c r="D633" s="17"/>
      <c r="E633" s="17">
        <f t="shared" ref="E633:K633" si="20">AVERAGE(E252:E263)</f>
        <v>38.080608333333338</v>
      </c>
      <c r="F633" s="17">
        <f t="shared" si="20"/>
        <v>38.080608333333338</v>
      </c>
      <c r="G633" s="17">
        <f t="shared" si="20"/>
        <v>38.351999999999997</v>
      </c>
      <c r="H633" s="17">
        <f t="shared" si="20"/>
        <v>38.217249999999993</v>
      </c>
      <c r="I633" s="17">
        <f t="shared" si="20"/>
        <v>38.217249999999993</v>
      </c>
      <c r="J633" s="17">
        <f t="shared" si="20"/>
        <v>38.217249999999993</v>
      </c>
      <c r="K633" s="17">
        <f t="shared" si="20"/>
        <v>38.217249999999993</v>
      </c>
      <c r="L633" s="17"/>
    </row>
    <row r="634" spans="1:12" ht="15" x14ac:dyDescent="0.2">
      <c r="A634" s="11">
        <v>2033</v>
      </c>
      <c r="B634" s="17">
        <f>AVERAGE(B264:B275)</f>
        <v>39.048791666666659</v>
      </c>
      <c r="C634" s="17">
        <f>AVERAGE(C264:C275)</f>
        <v>38.616541666666663</v>
      </c>
      <c r="D634" s="17"/>
      <c r="E634" s="17">
        <f t="shared" ref="E634:K634" si="21">AVERAGE(E264:E275)</f>
        <v>38.479891666666667</v>
      </c>
      <c r="F634" s="17">
        <f t="shared" si="21"/>
        <v>38.479891666666667</v>
      </c>
      <c r="G634" s="17">
        <f t="shared" si="21"/>
        <v>38.751266666666666</v>
      </c>
      <c r="H634" s="17">
        <f t="shared" si="21"/>
        <v>38.616541666666663</v>
      </c>
      <c r="I634" s="17">
        <f t="shared" si="21"/>
        <v>38.616541666666663</v>
      </c>
      <c r="J634" s="17">
        <f t="shared" si="21"/>
        <v>38.616541666666663</v>
      </c>
      <c r="K634" s="17">
        <f t="shared" si="21"/>
        <v>38.616541666666663</v>
      </c>
      <c r="L634" s="17"/>
    </row>
    <row r="635" spans="1:12" ht="15" x14ac:dyDescent="0.2">
      <c r="A635" s="11">
        <v>2034</v>
      </c>
      <c r="B635" s="17">
        <f>AVERAGE(B276:B287)</f>
        <v>39.452458333333333</v>
      </c>
      <c r="C635" s="17">
        <f>AVERAGE(C276:C287)</f>
        <v>39.020216666666663</v>
      </c>
      <c r="D635" s="17"/>
      <c r="E635" s="17">
        <f t="shared" ref="E635:K635" si="22">AVERAGE(E276:E287)</f>
        <v>38.88355</v>
      </c>
      <c r="F635" s="17">
        <f t="shared" si="22"/>
        <v>38.88355</v>
      </c>
      <c r="G635" s="17">
        <f t="shared" si="22"/>
        <v>39.154933333333332</v>
      </c>
      <c r="H635" s="17">
        <f t="shared" si="22"/>
        <v>39.020216666666663</v>
      </c>
      <c r="I635" s="17">
        <f t="shared" si="22"/>
        <v>39.020216666666663</v>
      </c>
      <c r="J635" s="17">
        <f t="shared" si="22"/>
        <v>39.020216666666663</v>
      </c>
      <c r="K635" s="17">
        <f t="shared" si="22"/>
        <v>39.020216666666663</v>
      </c>
      <c r="L635" s="17"/>
    </row>
    <row r="636" spans="1:12" ht="15" x14ac:dyDescent="0.2">
      <c r="A636" s="11">
        <v>2035</v>
      </c>
      <c r="B636" s="17">
        <f>AVERAGE(B288:B299)</f>
        <v>39.860566666666671</v>
      </c>
      <c r="C636" s="17">
        <f>AVERAGE(C288:C299)</f>
        <v>39.428325000000001</v>
      </c>
      <c r="D636" s="17"/>
      <c r="E636" s="17">
        <f t="shared" ref="E636:K636" si="23">AVERAGE(E288:E299)</f>
        <v>39.291666666666664</v>
      </c>
      <c r="F636" s="17">
        <f t="shared" si="23"/>
        <v>39.291666666666664</v>
      </c>
      <c r="G636" s="17">
        <f t="shared" si="23"/>
        <v>39.56303333333333</v>
      </c>
      <c r="H636" s="17">
        <f t="shared" si="23"/>
        <v>39.428325000000001</v>
      </c>
      <c r="I636" s="17">
        <f t="shared" si="23"/>
        <v>39.428325000000001</v>
      </c>
      <c r="J636" s="17">
        <f t="shared" si="23"/>
        <v>39.428325000000001</v>
      </c>
      <c r="K636" s="17">
        <f t="shared" si="23"/>
        <v>39.428325000000001</v>
      </c>
      <c r="L636" s="17"/>
    </row>
    <row r="637" spans="1:12" ht="15" x14ac:dyDescent="0.2">
      <c r="A637" s="11">
        <v>2036</v>
      </c>
      <c r="B637" s="17">
        <f>AVERAGE(B300:B311)</f>
        <v>40.273150000000001</v>
      </c>
      <c r="C637" s="17">
        <f>AVERAGE(C300:C311)</f>
        <v>39.840899999999998</v>
      </c>
      <c r="D637" s="17"/>
      <c r="E637" s="17">
        <f t="shared" ref="E637:K637" si="24">AVERAGE(E300:E311)</f>
        <v>39.704241666666668</v>
      </c>
      <c r="F637" s="17">
        <f t="shared" si="24"/>
        <v>39.704241666666668</v>
      </c>
      <c r="G637" s="17">
        <f t="shared" si="24"/>
        <v>39.97561666666666</v>
      </c>
      <c r="H637" s="17">
        <f t="shared" si="24"/>
        <v>39.840899999999998</v>
      </c>
      <c r="I637" s="17">
        <f t="shared" si="24"/>
        <v>39.840899999999998</v>
      </c>
      <c r="J637" s="17">
        <f t="shared" si="24"/>
        <v>39.840899999999998</v>
      </c>
      <c r="K637" s="17">
        <f t="shared" si="24"/>
        <v>39.840899999999998</v>
      </c>
      <c r="L637" s="17"/>
    </row>
    <row r="638" spans="1:12" ht="15" x14ac:dyDescent="0.2">
      <c r="A638" s="11">
        <v>2037</v>
      </c>
      <c r="B638" s="17">
        <f>AVERAGE(B312:B323)</f>
        <v>40.690258333333325</v>
      </c>
      <c r="C638" s="17">
        <f>AVERAGE(C312:C323)</f>
        <v>40.258024999999996</v>
      </c>
      <c r="D638" s="17"/>
      <c r="E638" s="17">
        <f t="shared" ref="E638:K638" si="25">AVERAGE(E312:E323)</f>
        <v>40.121358333333326</v>
      </c>
      <c r="F638" s="17">
        <f t="shared" si="25"/>
        <v>40.121358333333326</v>
      </c>
      <c r="G638" s="17">
        <f t="shared" si="25"/>
        <v>40.392733333333332</v>
      </c>
      <c r="H638" s="17">
        <f t="shared" si="25"/>
        <v>40.258024999999996</v>
      </c>
      <c r="I638" s="17">
        <f t="shared" si="25"/>
        <v>40.258024999999996</v>
      </c>
      <c r="J638" s="17">
        <f t="shared" si="25"/>
        <v>40.258024999999996</v>
      </c>
      <c r="K638" s="17">
        <f t="shared" si="25"/>
        <v>40.258024999999996</v>
      </c>
      <c r="L638" s="17"/>
    </row>
    <row r="639" spans="1:12" ht="15" x14ac:dyDescent="0.2">
      <c r="A639" s="11">
        <f t="shared" ref="A639:A662" si="26">A638+1</f>
        <v>2038</v>
      </c>
      <c r="B639" s="17">
        <f>AVERAGE(B324:B335)</f>
        <v>41.111958333333327</v>
      </c>
      <c r="C639" s="17">
        <f>AVERAGE(C324:C335)</f>
        <v>40.679708333333323</v>
      </c>
      <c r="D639" s="17"/>
      <c r="E639" s="17">
        <f t="shared" ref="E639:K639" si="27">AVERAGE(E324:E335)</f>
        <v>40.543058333333335</v>
      </c>
      <c r="F639" s="17">
        <f t="shared" si="27"/>
        <v>40.543058333333335</v>
      </c>
      <c r="G639" s="17">
        <f t="shared" si="27"/>
        <v>40.814424999999993</v>
      </c>
      <c r="H639" s="17">
        <f t="shared" si="27"/>
        <v>40.679708333333323</v>
      </c>
      <c r="I639" s="17">
        <f t="shared" si="27"/>
        <v>40.679708333333323</v>
      </c>
      <c r="J639" s="17">
        <f t="shared" si="27"/>
        <v>40.679708333333323</v>
      </c>
      <c r="K639" s="17">
        <f t="shared" si="27"/>
        <v>40.679708333333323</v>
      </c>
      <c r="L639" s="17"/>
    </row>
    <row r="640" spans="1:12" ht="15" x14ac:dyDescent="0.2">
      <c r="A640" s="11">
        <f t="shared" si="26"/>
        <v>2039</v>
      </c>
      <c r="B640" s="17">
        <f>AVERAGE(B336:B347)</f>
        <v>41.538283333333339</v>
      </c>
      <c r="C640" s="17">
        <f>AVERAGE(C336:C347)</f>
        <v>41.106033333333336</v>
      </c>
      <c r="D640" s="17"/>
      <c r="E640" s="17">
        <f t="shared" ref="E640:K640" si="28">AVERAGE(E336:E347)</f>
        <v>40.969366666666659</v>
      </c>
      <c r="F640" s="17">
        <f t="shared" si="28"/>
        <v>40.969366666666659</v>
      </c>
      <c r="G640" s="17">
        <f t="shared" si="28"/>
        <v>41.240741666666672</v>
      </c>
      <c r="H640" s="17">
        <f t="shared" si="28"/>
        <v>41.106033333333336</v>
      </c>
      <c r="I640" s="17">
        <f t="shared" si="28"/>
        <v>41.106033333333336</v>
      </c>
      <c r="J640" s="17">
        <f t="shared" si="28"/>
        <v>41.106033333333336</v>
      </c>
      <c r="K640" s="17">
        <f t="shared" si="28"/>
        <v>41.106033333333336</v>
      </c>
      <c r="L640" s="17"/>
    </row>
    <row r="641" spans="1:12" ht="15" x14ac:dyDescent="0.2">
      <c r="A641" s="11">
        <f t="shared" si="26"/>
        <v>2040</v>
      </c>
      <c r="B641" s="17">
        <f>AVERAGE(B348:B359)</f>
        <v>41.969299999999997</v>
      </c>
      <c r="C641" s="17">
        <f>AVERAGE(C348:C359)</f>
        <v>41.537041666666674</v>
      </c>
      <c r="D641" s="17"/>
      <c r="E641" s="17">
        <f t="shared" ref="E641:K641" si="29">AVERAGE(E348:E359)</f>
        <v>41.400391666666664</v>
      </c>
      <c r="F641" s="17">
        <f t="shared" si="29"/>
        <v>41.400391666666664</v>
      </c>
      <c r="G641" s="17">
        <f t="shared" si="29"/>
        <v>41.671774999999997</v>
      </c>
      <c r="H641" s="17">
        <f t="shared" si="29"/>
        <v>41.537041666666674</v>
      </c>
      <c r="I641" s="17">
        <f t="shared" si="29"/>
        <v>41.537041666666674</v>
      </c>
      <c r="J641" s="17">
        <f t="shared" si="29"/>
        <v>41.537041666666674</v>
      </c>
      <c r="K641" s="17">
        <f t="shared" si="29"/>
        <v>41.537041666666674</v>
      </c>
      <c r="L641" s="17"/>
    </row>
    <row r="642" spans="1:12" ht="15" x14ac:dyDescent="0.2">
      <c r="A642" s="11">
        <f t="shared" si="26"/>
        <v>2041</v>
      </c>
      <c r="B642" s="17">
        <f>AVERAGE(B360:B371)</f>
        <v>42.405025000000002</v>
      </c>
      <c r="C642" s="17">
        <f>AVERAGE(C360:C371)</f>
        <v>41.972799999999999</v>
      </c>
      <c r="D642" s="17"/>
      <c r="E642" s="17">
        <f t="shared" ref="E642:K642" si="30">AVERAGE(E360:E371)</f>
        <v>41.836124999999996</v>
      </c>
      <c r="F642" s="17">
        <f t="shared" si="30"/>
        <v>41.836124999999996</v>
      </c>
      <c r="G642" s="17">
        <f t="shared" si="30"/>
        <v>42.107525000000003</v>
      </c>
      <c r="H642" s="17">
        <f t="shared" si="30"/>
        <v>41.972799999999999</v>
      </c>
      <c r="I642" s="17">
        <f t="shared" si="30"/>
        <v>41.972799999999999</v>
      </c>
      <c r="J642" s="17">
        <f t="shared" si="30"/>
        <v>41.972799999999999</v>
      </c>
      <c r="K642" s="17">
        <f t="shared" si="30"/>
        <v>41.972799999999999</v>
      </c>
      <c r="L642" s="17"/>
    </row>
    <row r="643" spans="1:12" ht="15" x14ac:dyDescent="0.2">
      <c r="A643" s="11">
        <f t="shared" si="26"/>
        <v>2042</v>
      </c>
      <c r="B643" s="17">
        <f>AVERAGE(B372:B383)</f>
        <v>42.845558333333337</v>
      </c>
      <c r="C643" s="17">
        <f>AVERAGE(C372:C383)</f>
        <v>42.413341666666661</v>
      </c>
      <c r="D643" s="17"/>
      <c r="E643" s="17">
        <f t="shared" ref="E643:K643" si="31">AVERAGE(E372:E383)</f>
        <v>42.276658333333337</v>
      </c>
      <c r="F643" s="17">
        <f t="shared" si="31"/>
        <v>42.276658333333337</v>
      </c>
      <c r="G643" s="17">
        <f t="shared" si="31"/>
        <v>42.548050000000003</v>
      </c>
      <c r="H643" s="17">
        <f t="shared" si="31"/>
        <v>42.413341666666661</v>
      </c>
      <c r="I643" s="17">
        <f t="shared" si="31"/>
        <v>42.413341666666661</v>
      </c>
      <c r="J643" s="17">
        <f t="shared" si="31"/>
        <v>42.413341666666661</v>
      </c>
      <c r="K643" s="17">
        <f t="shared" si="31"/>
        <v>42.413341666666661</v>
      </c>
      <c r="L643" s="17"/>
    </row>
    <row r="644" spans="1:12" ht="15" x14ac:dyDescent="0.2">
      <c r="A644" s="11">
        <f t="shared" si="26"/>
        <v>2043</v>
      </c>
      <c r="B644" s="17">
        <f>AVERAGE(B384:B395)</f>
        <v>43.290941666666669</v>
      </c>
      <c r="C644" s="17">
        <f>AVERAGE(C384:C395)</f>
        <v>42.858691666666665</v>
      </c>
      <c r="D644" s="17"/>
      <c r="E644" s="17">
        <f t="shared" ref="E644:K644" si="32">AVERAGE(E384:E395)</f>
        <v>42.722041666666676</v>
      </c>
      <c r="F644" s="17">
        <f t="shared" si="32"/>
        <v>42.722041666666676</v>
      </c>
      <c r="G644" s="17">
        <f t="shared" si="32"/>
        <v>42.993425000000002</v>
      </c>
      <c r="H644" s="17">
        <f t="shared" si="32"/>
        <v>42.858691666666665</v>
      </c>
      <c r="I644" s="17">
        <f t="shared" si="32"/>
        <v>42.858691666666665</v>
      </c>
      <c r="J644" s="17">
        <f t="shared" si="32"/>
        <v>42.858691666666665</v>
      </c>
      <c r="K644" s="17">
        <f t="shared" si="32"/>
        <v>42.858691666666665</v>
      </c>
      <c r="L644" s="17"/>
    </row>
    <row r="645" spans="1:12" ht="15" x14ac:dyDescent="0.2">
      <c r="A645" s="11">
        <f t="shared" si="26"/>
        <v>2044</v>
      </c>
      <c r="B645" s="17">
        <f>AVERAGE(B396:B407)</f>
        <v>43.741183333333332</v>
      </c>
      <c r="C645" s="17">
        <f>AVERAGE(C396:C407)</f>
        <v>43.308950000000003</v>
      </c>
      <c r="D645" s="17"/>
      <c r="E645" s="17">
        <f t="shared" ref="E645:K645" si="33">AVERAGE(E396:E407)</f>
        <v>43.172283333333333</v>
      </c>
      <c r="F645" s="17">
        <f t="shared" si="33"/>
        <v>43.172283333333333</v>
      </c>
      <c r="G645" s="17">
        <f t="shared" si="33"/>
        <v>43.443674999999992</v>
      </c>
      <c r="H645" s="17">
        <f t="shared" si="33"/>
        <v>43.308950000000003</v>
      </c>
      <c r="I645" s="17">
        <f t="shared" si="33"/>
        <v>43.308950000000003</v>
      </c>
      <c r="J645" s="17">
        <f t="shared" si="33"/>
        <v>43.308950000000003</v>
      </c>
      <c r="K645" s="17">
        <f t="shared" si="33"/>
        <v>43.308950000000003</v>
      </c>
      <c r="L645" s="17"/>
    </row>
    <row r="646" spans="1:12" ht="15" x14ac:dyDescent="0.2">
      <c r="A646" s="11">
        <f t="shared" si="26"/>
        <v>2045</v>
      </c>
      <c r="B646" s="17">
        <f>AVERAGE(B408:B419)</f>
        <v>44.196400000000004</v>
      </c>
      <c r="C646" s="17">
        <f>AVERAGE(C408:C419)</f>
        <v>43.764158333333334</v>
      </c>
      <c r="D646" s="17"/>
      <c r="E646" s="17">
        <f t="shared" ref="E646:K646" si="34">AVERAGE(E408:E419)</f>
        <v>43.627499999999998</v>
      </c>
      <c r="F646" s="17">
        <f t="shared" si="34"/>
        <v>43.627499999999998</v>
      </c>
      <c r="G646" s="17">
        <f t="shared" si="34"/>
        <v>43.898875000000004</v>
      </c>
      <c r="H646" s="17">
        <f t="shared" si="34"/>
        <v>43.764158333333334</v>
      </c>
      <c r="I646" s="17">
        <f t="shared" si="34"/>
        <v>43.764158333333334</v>
      </c>
      <c r="J646" s="17">
        <f t="shared" si="34"/>
        <v>43.764158333333334</v>
      </c>
      <c r="K646" s="17">
        <f t="shared" si="34"/>
        <v>43.764158333333334</v>
      </c>
      <c r="L646" s="17"/>
    </row>
    <row r="647" spans="1:12" ht="15" x14ac:dyDescent="0.2">
      <c r="A647" s="11">
        <f t="shared" si="26"/>
        <v>2046</v>
      </c>
      <c r="B647" s="17">
        <f>AVERAGE(B420:B431)</f>
        <v>44.656616666666672</v>
      </c>
      <c r="C647" s="17">
        <f>AVERAGE(C420:C431)</f>
        <v>44.224349999999994</v>
      </c>
      <c r="D647" s="17"/>
      <c r="E647" s="17">
        <f t="shared" ref="E647:K647" si="35">AVERAGE(E420:E431)</f>
        <v>44.087708333333325</v>
      </c>
      <c r="F647" s="17">
        <f t="shared" si="35"/>
        <v>44.087708333333325</v>
      </c>
      <c r="G647" s="17">
        <f t="shared" si="35"/>
        <v>44.359066666666656</v>
      </c>
      <c r="H647" s="17">
        <f t="shared" si="35"/>
        <v>44.224349999999994</v>
      </c>
      <c r="I647" s="17">
        <f t="shared" si="35"/>
        <v>44.224349999999994</v>
      </c>
      <c r="J647" s="17">
        <f t="shared" si="35"/>
        <v>44.224349999999994</v>
      </c>
      <c r="K647" s="17">
        <f t="shared" si="35"/>
        <v>44.224349999999994</v>
      </c>
      <c r="L647" s="17"/>
    </row>
    <row r="648" spans="1:12" ht="15" x14ac:dyDescent="0.2">
      <c r="A648" s="11">
        <f t="shared" si="26"/>
        <v>2047</v>
      </c>
      <c r="B648" s="17">
        <f>AVERAGE(B432:B443)</f>
        <v>45.121866666666669</v>
      </c>
      <c r="C648" s="17">
        <f>AVERAGE(C432:C443)</f>
        <v>44.689608333333332</v>
      </c>
      <c r="D648" s="17"/>
      <c r="E648" s="17">
        <f t="shared" ref="E648:K648" si="36">AVERAGE(E432:E443)</f>
        <v>44.552966666666663</v>
      </c>
      <c r="F648" s="17">
        <f t="shared" si="36"/>
        <v>44.552966666666663</v>
      </c>
      <c r="G648" s="17">
        <f t="shared" si="36"/>
        <v>44.824350000000003</v>
      </c>
      <c r="H648" s="17">
        <f t="shared" si="36"/>
        <v>44.689608333333332</v>
      </c>
      <c r="I648" s="17">
        <f t="shared" si="36"/>
        <v>44.689608333333332</v>
      </c>
      <c r="J648" s="17">
        <f t="shared" si="36"/>
        <v>44.689608333333332</v>
      </c>
      <c r="K648" s="17">
        <f t="shared" si="36"/>
        <v>44.689608333333332</v>
      </c>
      <c r="L648" s="17"/>
    </row>
    <row r="649" spans="1:12" ht="15" x14ac:dyDescent="0.2">
      <c r="A649" s="11">
        <f t="shared" si="26"/>
        <v>2048</v>
      </c>
      <c r="B649" s="17">
        <f>AVERAGE(B444:B455)</f>
        <v>45.592233333333333</v>
      </c>
      <c r="C649" s="17">
        <f>AVERAGE(C444:C455)</f>
        <v>45.159991666666663</v>
      </c>
      <c r="D649" s="17"/>
      <c r="E649" s="17">
        <f t="shared" ref="E649:K649" si="37">AVERAGE(E444:E455)</f>
        <v>45.023333333333333</v>
      </c>
      <c r="F649" s="17">
        <f t="shared" si="37"/>
        <v>45.023333333333333</v>
      </c>
      <c r="G649" s="17">
        <f t="shared" si="37"/>
        <v>45.294700000000006</v>
      </c>
      <c r="H649" s="17">
        <f t="shared" si="37"/>
        <v>45.159991666666663</v>
      </c>
      <c r="I649" s="17">
        <f t="shared" si="37"/>
        <v>45.159991666666663</v>
      </c>
      <c r="J649" s="17">
        <f t="shared" si="37"/>
        <v>45.159991666666663</v>
      </c>
      <c r="K649" s="17">
        <f t="shared" si="37"/>
        <v>45.159991666666663</v>
      </c>
      <c r="L649" s="17"/>
    </row>
    <row r="650" spans="1:12" ht="15" x14ac:dyDescent="0.2">
      <c r="A650" s="11">
        <f t="shared" si="26"/>
        <v>2049</v>
      </c>
      <c r="B650" s="17">
        <f>AVERAGE(B456:B467)</f>
        <v>46.067766666666664</v>
      </c>
      <c r="C650" s="17">
        <f>AVERAGE(C456:C467)</f>
        <v>45.635516666666668</v>
      </c>
      <c r="D650" s="17"/>
      <c r="E650" s="17">
        <f t="shared" ref="E650:K650" si="38">AVERAGE(E456:E467)</f>
        <v>45.498858333333338</v>
      </c>
      <c r="F650" s="17">
        <f t="shared" si="38"/>
        <v>45.498858333333338</v>
      </c>
      <c r="G650" s="17">
        <f t="shared" si="38"/>
        <v>45.770258333333338</v>
      </c>
      <c r="H650" s="17">
        <f t="shared" si="38"/>
        <v>45.635516666666668</v>
      </c>
      <c r="I650" s="17">
        <f t="shared" si="38"/>
        <v>45.635516666666668</v>
      </c>
      <c r="J650" s="17">
        <f t="shared" si="38"/>
        <v>45.635516666666668</v>
      </c>
      <c r="K650" s="17">
        <f t="shared" si="38"/>
        <v>45.635516666666668</v>
      </c>
      <c r="L650" s="17"/>
    </row>
    <row r="651" spans="1:12" ht="15" x14ac:dyDescent="0.2">
      <c r="A651" s="11">
        <f t="shared" si="26"/>
        <v>2050</v>
      </c>
      <c r="B651" s="17">
        <f>AVERAGE(B468:B479)</f>
        <v>46.548525000000005</v>
      </c>
      <c r="C651" s="17">
        <f>AVERAGE(C468:C479)</f>
        <v>46.116266666666668</v>
      </c>
      <c r="D651" s="17"/>
      <c r="E651" s="17">
        <f t="shared" ref="E651:K651" si="39">AVERAGE(E468:E479)</f>
        <v>45.979624999999999</v>
      </c>
      <c r="F651" s="17">
        <f t="shared" si="39"/>
        <v>45.979624999999999</v>
      </c>
      <c r="G651" s="17">
        <f t="shared" si="39"/>
        <v>46.251008333333324</v>
      </c>
      <c r="H651" s="17">
        <f t="shared" si="39"/>
        <v>46.116266666666668</v>
      </c>
      <c r="I651" s="17">
        <f t="shared" si="39"/>
        <v>46.116266666666668</v>
      </c>
      <c r="J651" s="17">
        <f t="shared" si="39"/>
        <v>46.116266666666668</v>
      </c>
      <c r="K651" s="17">
        <f t="shared" si="39"/>
        <v>46.116266666666668</v>
      </c>
      <c r="L651" s="17"/>
    </row>
    <row r="652" spans="1:12" ht="15" x14ac:dyDescent="0.2">
      <c r="A652" s="11">
        <f t="shared" si="26"/>
        <v>2051</v>
      </c>
      <c r="B652" s="17">
        <f>AVERAGE(B480:B491)</f>
        <v>47.034558333333337</v>
      </c>
      <c r="C652" s="17">
        <f>AVERAGE(C480:C491)</f>
        <v>46.602316666666667</v>
      </c>
      <c r="D652" s="17"/>
      <c r="E652" s="17">
        <f t="shared" ref="E652:K652" si="40">AVERAGE(E480:E491)</f>
        <v>46.465650000000004</v>
      </c>
      <c r="F652" s="17">
        <f t="shared" si="40"/>
        <v>46.465650000000004</v>
      </c>
      <c r="G652" s="17">
        <f t="shared" si="40"/>
        <v>46.73702500000001</v>
      </c>
      <c r="H652" s="17">
        <f t="shared" si="40"/>
        <v>46.602316666666667</v>
      </c>
      <c r="I652" s="17">
        <f t="shared" si="40"/>
        <v>46.602316666666667</v>
      </c>
      <c r="J652" s="17">
        <f t="shared" si="40"/>
        <v>46.602316666666667</v>
      </c>
      <c r="K652" s="17">
        <f t="shared" si="40"/>
        <v>46.602316666666667</v>
      </c>
      <c r="L652" s="17"/>
    </row>
    <row r="653" spans="1:12" ht="15" x14ac:dyDescent="0.2">
      <c r="A653" s="11">
        <f t="shared" si="26"/>
        <v>2052</v>
      </c>
      <c r="B653" s="17">
        <f>AVERAGE(B492:B503)</f>
        <v>47.525941666666661</v>
      </c>
      <c r="C653" s="17">
        <f>AVERAGE(C492:C503)</f>
        <v>47.093683333333331</v>
      </c>
      <c r="D653" s="17"/>
      <c r="E653" s="17">
        <f t="shared" ref="E653:K653" si="41">AVERAGE(E492:E503)</f>
        <v>46.957041666666662</v>
      </c>
      <c r="F653" s="17">
        <f t="shared" si="41"/>
        <v>46.957041666666662</v>
      </c>
      <c r="G653" s="17">
        <f t="shared" si="41"/>
        <v>47.228416666666675</v>
      </c>
      <c r="H653" s="17">
        <f t="shared" si="41"/>
        <v>47.093683333333331</v>
      </c>
      <c r="I653" s="17">
        <f t="shared" si="41"/>
        <v>47.093683333333331</v>
      </c>
      <c r="J653" s="17">
        <f t="shared" si="41"/>
        <v>47.093683333333331</v>
      </c>
      <c r="K653" s="17">
        <f t="shared" si="41"/>
        <v>47.093683333333331</v>
      </c>
      <c r="L653" s="17"/>
    </row>
    <row r="654" spans="1:12" ht="15" x14ac:dyDescent="0.2">
      <c r="A654" s="11">
        <f t="shared" si="26"/>
        <v>2053</v>
      </c>
      <c r="B654" s="17">
        <f>AVERAGE(B504:B515)</f>
        <v>48.022716666666668</v>
      </c>
      <c r="C654" s="17">
        <f>AVERAGE(C504:C515)</f>
        <v>47.590458333333324</v>
      </c>
      <c r="D654" s="17"/>
      <c r="E654" s="17">
        <f t="shared" ref="E654:K654" si="42">AVERAGE(E504:E515)</f>
        <v>47.453808333333335</v>
      </c>
      <c r="F654" s="17">
        <f t="shared" si="42"/>
        <v>47.453808333333335</v>
      </c>
      <c r="G654" s="17">
        <f t="shared" si="42"/>
        <v>47.725175</v>
      </c>
      <c r="H654" s="17">
        <f t="shared" si="42"/>
        <v>47.590458333333324</v>
      </c>
      <c r="I654" s="17">
        <f t="shared" si="42"/>
        <v>47.590458333333324</v>
      </c>
      <c r="J654" s="17">
        <f t="shared" si="42"/>
        <v>47.590458333333324</v>
      </c>
      <c r="K654" s="17">
        <f t="shared" si="42"/>
        <v>47.590458333333324</v>
      </c>
      <c r="L654" s="17"/>
    </row>
    <row r="655" spans="1:12" ht="15" x14ac:dyDescent="0.2">
      <c r="A655" s="11">
        <f t="shared" si="26"/>
        <v>2054</v>
      </c>
      <c r="B655" s="17">
        <f>AVERAGE(B516:B527)</f>
        <v>48.524925000000003</v>
      </c>
      <c r="C655" s="17">
        <f>AVERAGE(C516:C527)</f>
        <v>48.09269166666666</v>
      </c>
      <c r="D655" s="17"/>
      <c r="E655" s="17">
        <f t="shared" ref="E655:K655" si="43">AVERAGE(E516:E527)</f>
        <v>47.956016666666677</v>
      </c>
      <c r="F655" s="17">
        <f t="shared" si="43"/>
        <v>47.956016666666677</v>
      </c>
      <c r="G655" s="17">
        <f t="shared" si="43"/>
        <v>48.22740000000001</v>
      </c>
      <c r="H655" s="17">
        <f t="shared" si="43"/>
        <v>48.09269166666666</v>
      </c>
      <c r="I655" s="17">
        <f t="shared" si="43"/>
        <v>48.09269166666666</v>
      </c>
      <c r="J655" s="17">
        <f t="shared" si="43"/>
        <v>48.09269166666666</v>
      </c>
      <c r="K655" s="17">
        <f t="shared" si="43"/>
        <v>48.09269166666666</v>
      </c>
      <c r="L655" s="17"/>
    </row>
    <row r="656" spans="1:12" ht="15" x14ac:dyDescent="0.2">
      <c r="A656" s="11">
        <f t="shared" si="26"/>
        <v>2055</v>
      </c>
      <c r="B656" s="17">
        <f>AVERAGE(B528:B539)</f>
        <v>49.032675000000005</v>
      </c>
      <c r="C656" s="17">
        <f>AVERAGE(C528:C539)</f>
        <v>48.600433333333335</v>
      </c>
      <c r="D656" s="17"/>
      <c r="E656" s="17">
        <f t="shared" ref="E656:K656" si="44">AVERAGE(E528:E539)</f>
        <v>48.463766666666679</v>
      </c>
      <c r="F656" s="17">
        <f t="shared" si="44"/>
        <v>48.463766666666679</v>
      </c>
      <c r="G656" s="17">
        <f t="shared" si="44"/>
        <v>48.735149999999997</v>
      </c>
      <c r="H656" s="17">
        <f t="shared" si="44"/>
        <v>48.600433333333335</v>
      </c>
      <c r="I656" s="17">
        <f t="shared" si="44"/>
        <v>48.600433333333335</v>
      </c>
      <c r="J656" s="17">
        <f t="shared" si="44"/>
        <v>48.600433333333335</v>
      </c>
      <c r="K656" s="17">
        <f t="shared" si="44"/>
        <v>48.600433333333335</v>
      </c>
      <c r="L656" s="17"/>
    </row>
    <row r="657" spans="1:12" ht="15" x14ac:dyDescent="0.2">
      <c r="A657" s="11">
        <f t="shared" si="26"/>
        <v>2056</v>
      </c>
      <c r="B657" s="17">
        <f>AVERAGE(B540:B551)</f>
        <v>49.546008333333326</v>
      </c>
      <c r="C657" s="17">
        <f>AVERAGE(C540:C551)</f>
        <v>49.11374166666667</v>
      </c>
      <c r="D657" s="17"/>
      <c r="E657" s="17">
        <f t="shared" ref="E657:K657" si="45">AVERAGE(E540:E551)</f>
        <v>48.977091666666659</v>
      </c>
      <c r="F657" s="17">
        <f t="shared" si="45"/>
        <v>48.977091666666659</v>
      </c>
      <c r="G657" s="17">
        <f t="shared" si="45"/>
        <v>49.248483333333333</v>
      </c>
      <c r="H657" s="17">
        <f t="shared" si="45"/>
        <v>49.11374166666667</v>
      </c>
      <c r="I657" s="17">
        <f t="shared" si="45"/>
        <v>49.11374166666667</v>
      </c>
      <c r="J657" s="17">
        <f t="shared" si="45"/>
        <v>49.11374166666667</v>
      </c>
      <c r="K657" s="17">
        <f t="shared" si="45"/>
        <v>49.11374166666667</v>
      </c>
      <c r="L657" s="17"/>
    </row>
    <row r="658" spans="1:12" ht="15" x14ac:dyDescent="0.2">
      <c r="A658" s="11">
        <f t="shared" si="26"/>
        <v>2057</v>
      </c>
      <c r="B658" s="17">
        <f>AVERAGE(B552:B563)</f>
        <v>50.06495833333333</v>
      </c>
      <c r="C658" s="17">
        <f>AVERAGE(C552:C563)</f>
        <v>49.63271666666666</v>
      </c>
      <c r="D658" s="17"/>
      <c r="E658" s="17">
        <f t="shared" ref="E658:K658" si="46">AVERAGE(E552:E563)</f>
        <v>49.496058333333337</v>
      </c>
      <c r="F658" s="17">
        <f t="shared" si="46"/>
        <v>49.496058333333337</v>
      </c>
      <c r="G658" s="17">
        <f t="shared" si="46"/>
        <v>49.767433333333337</v>
      </c>
      <c r="H658" s="17">
        <f t="shared" si="46"/>
        <v>49.63271666666666</v>
      </c>
      <c r="I658" s="17">
        <f t="shared" si="46"/>
        <v>49.63271666666666</v>
      </c>
      <c r="J658" s="17">
        <f t="shared" si="46"/>
        <v>49.63271666666666</v>
      </c>
      <c r="K658" s="17">
        <f t="shared" si="46"/>
        <v>49.63271666666666</v>
      </c>
      <c r="L658" s="17"/>
    </row>
    <row r="659" spans="1:12" ht="15" x14ac:dyDescent="0.2">
      <c r="A659" s="11">
        <f t="shared" si="26"/>
        <v>2058</v>
      </c>
      <c r="B659" s="17">
        <f>AVERAGE(B564:B575)</f>
        <v>50.589599999999997</v>
      </c>
      <c r="C659" s="17">
        <f>AVERAGE(C564:C575)</f>
        <v>50.157374999999995</v>
      </c>
      <c r="D659" s="17"/>
      <c r="E659" s="17">
        <f t="shared" ref="E659:K659" si="47">AVERAGE(E564:E575)</f>
        <v>50.020699999999998</v>
      </c>
      <c r="F659" s="17">
        <f t="shared" si="47"/>
        <v>50.020699999999998</v>
      </c>
      <c r="G659" s="17">
        <f t="shared" si="47"/>
        <v>50.292083333333323</v>
      </c>
      <c r="H659" s="17">
        <f t="shared" si="47"/>
        <v>50.157374999999995</v>
      </c>
      <c r="I659" s="17">
        <f t="shared" si="47"/>
        <v>50.157374999999995</v>
      </c>
      <c r="J659" s="17">
        <f t="shared" si="47"/>
        <v>50.157374999999995</v>
      </c>
      <c r="K659" s="17">
        <f t="shared" si="47"/>
        <v>50.157374999999995</v>
      </c>
      <c r="L659" s="17"/>
    </row>
    <row r="660" spans="1:12" ht="15" x14ac:dyDescent="0.2">
      <c r="A660" s="11">
        <f t="shared" si="26"/>
        <v>2059</v>
      </c>
      <c r="B660" s="17">
        <f>AVERAGE(B576:B587)</f>
        <v>51.120049999999992</v>
      </c>
      <c r="C660" s="17">
        <f>AVERAGE(C576:C587)</f>
        <v>50.687783333333336</v>
      </c>
      <c r="D660" s="17"/>
      <c r="E660" s="17">
        <f t="shared" ref="E660:K660" si="48">AVERAGE(E576:E587)</f>
        <v>50.551141666666666</v>
      </c>
      <c r="F660" s="17">
        <f t="shared" si="48"/>
        <v>50.551141666666666</v>
      </c>
      <c r="G660" s="17">
        <f t="shared" si="48"/>
        <v>50.822491666666657</v>
      </c>
      <c r="H660" s="17">
        <f t="shared" si="48"/>
        <v>50.687783333333336</v>
      </c>
      <c r="I660" s="17">
        <f t="shared" si="48"/>
        <v>50.687783333333336</v>
      </c>
      <c r="J660" s="17">
        <f t="shared" si="48"/>
        <v>50.687783333333336</v>
      </c>
      <c r="K660" s="17">
        <f t="shared" si="48"/>
        <v>50.687783333333336</v>
      </c>
      <c r="L660" s="17"/>
    </row>
    <row r="661" spans="1:12" ht="15" x14ac:dyDescent="0.2">
      <c r="A661" s="11">
        <f t="shared" si="26"/>
        <v>2060</v>
      </c>
      <c r="B661" s="17">
        <f>AVERAGE(B588:B599)</f>
        <v>51.656283333333342</v>
      </c>
      <c r="C661" s="17">
        <f>AVERAGE(C588:C599)</f>
        <v>51.224041666666665</v>
      </c>
      <c r="D661" s="17"/>
      <c r="E661" s="17">
        <f t="shared" ref="E661:K661" si="49">AVERAGE(E588:E599)</f>
        <v>51.087366666666668</v>
      </c>
      <c r="F661" s="17">
        <f t="shared" si="49"/>
        <v>51.087366666666668</v>
      </c>
      <c r="G661" s="17">
        <f t="shared" si="49"/>
        <v>51.358749999999993</v>
      </c>
      <c r="H661" s="17">
        <f t="shared" si="49"/>
        <v>51.224041666666665</v>
      </c>
      <c r="I661" s="17">
        <f t="shared" si="49"/>
        <v>51.224041666666665</v>
      </c>
      <c r="J661" s="17">
        <f t="shared" si="49"/>
        <v>51.224041666666665</v>
      </c>
      <c r="K661" s="17">
        <f t="shared" si="49"/>
        <v>51.224041666666665</v>
      </c>
      <c r="L661" s="17"/>
    </row>
    <row r="662" spans="1:12" ht="15" x14ac:dyDescent="0.2">
      <c r="A662" s="11">
        <f t="shared" si="26"/>
        <v>2061</v>
      </c>
      <c r="B662" s="17">
        <f>AVERAGE(B600:B611)</f>
        <v>52.198416666666652</v>
      </c>
      <c r="C662" s="17">
        <f>AVERAGE(C600:C611)</f>
        <v>51.766166666666663</v>
      </c>
      <c r="D662" s="17"/>
      <c r="E662" s="17">
        <f t="shared" ref="E662:K662" si="50">AVERAGE(E600:E611)</f>
        <v>51.629508333333327</v>
      </c>
      <c r="F662" s="17">
        <f t="shared" si="50"/>
        <v>51.629508333333327</v>
      </c>
      <c r="G662" s="17">
        <f t="shared" si="50"/>
        <v>51.900891666666659</v>
      </c>
      <c r="H662" s="17">
        <f t="shared" si="50"/>
        <v>51.766166666666663</v>
      </c>
      <c r="I662" s="17">
        <f t="shared" si="50"/>
        <v>51.766166666666663</v>
      </c>
      <c r="J662" s="17">
        <f t="shared" si="50"/>
        <v>51.766166666666663</v>
      </c>
      <c r="K662" s="17">
        <f t="shared" si="50"/>
        <v>51.766166666666663</v>
      </c>
      <c r="L662" s="17"/>
    </row>
    <row r="663" spans="1:12" x14ac:dyDescent="0.2">
      <c r="A663" s="8"/>
    </row>
    <row r="664" spans="1:12" x14ac:dyDescent="0.2">
      <c r="A664" s="8"/>
    </row>
    <row r="665" spans="1:12" x14ac:dyDescent="0.2">
      <c r="A665" s="8"/>
    </row>
    <row r="666" spans="1:12" x14ac:dyDescent="0.2">
      <c r="A666" s="8"/>
    </row>
    <row r="667" spans="1:12" x14ac:dyDescent="0.2">
      <c r="A667" s="8"/>
    </row>
    <row r="668" spans="1:12" x14ac:dyDescent="0.2">
      <c r="A668" s="8"/>
    </row>
    <row r="669" spans="1:12" x14ac:dyDescent="0.2">
      <c r="A669" s="8"/>
    </row>
    <row r="670" spans="1:12" x14ac:dyDescent="0.2">
      <c r="A670" s="8"/>
    </row>
    <row r="671" spans="1:12" x14ac:dyDescent="0.2">
      <c r="A671" s="8"/>
    </row>
    <row r="672" spans="1:12" x14ac:dyDescent="0.2">
      <c r="A672" s="8"/>
    </row>
    <row r="673" spans="1:1" x14ac:dyDescent="0.2">
      <c r="A673" s="8"/>
    </row>
    <row r="674" spans="1:1" x14ac:dyDescent="0.2">
      <c r="A674" s="8"/>
    </row>
    <row r="675" spans="1:1" x14ac:dyDescent="0.2">
      <c r="A675" s="8"/>
    </row>
    <row r="676" spans="1:1" x14ac:dyDescent="0.2">
      <c r="A676" s="8"/>
    </row>
    <row r="677" spans="1:1" x14ac:dyDescent="0.2">
      <c r="A677" s="8"/>
    </row>
    <row r="678" spans="1:1" x14ac:dyDescent="0.2">
      <c r="A678" s="8"/>
    </row>
    <row r="679" spans="1:1" x14ac:dyDescent="0.2">
      <c r="A679" s="8"/>
    </row>
    <row r="680" spans="1:1" x14ac:dyDescent="0.2">
      <c r="A680" s="8"/>
    </row>
    <row r="681" spans="1:1" x14ac:dyDescent="0.2">
      <c r="A681" s="8"/>
    </row>
    <row r="682" spans="1:1" x14ac:dyDescent="0.2">
      <c r="A682" s="8"/>
    </row>
    <row r="683" spans="1:1" x14ac:dyDescent="0.2">
      <c r="A683" s="8"/>
    </row>
    <row r="684" spans="1:1" x14ac:dyDescent="0.2">
      <c r="A684" s="8"/>
    </row>
    <row r="685" spans="1:1" x14ac:dyDescent="0.2">
      <c r="A685" s="8"/>
    </row>
    <row r="686" spans="1:1" x14ac:dyDescent="0.2">
      <c r="A686" s="8"/>
    </row>
    <row r="687" spans="1:1" x14ac:dyDescent="0.2">
      <c r="A687" s="8"/>
    </row>
    <row r="688" spans="1:1" x14ac:dyDescent="0.2">
      <c r="A688" s="8"/>
    </row>
    <row r="689" spans="1:1" x14ac:dyDescent="0.2">
      <c r="A689" s="8"/>
    </row>
    <row r="690" spans="1:1" x14ac:dyDescent="0.2">
      <c r="A690" s="8"/>
    </row>
    <row r="691" spans="1:1" x14ac:dyDescent="0.2">
      <c r="A691" s="8"/>
    </row>
    <row r="692" spans="1:1" x14ac:dyDescent="0.2">
      <c r="A692" s="8"/>
    </row>
    <row r="693" spans="1:1" x14ac:dyDescent="0.2">
      <c r="A693" s="8"/>
    </row>
    <row r="694" spans="1:1" x14ac:dyDescent="0.2">
      <c r="A694" s="8"/>
    </row>
    <row r="695" spans="1:1" x14ac:dyDescent="0.2">
      <c r="A695" s="8"/>
    </row>
    <row r="696" spans="1:1" x14ac:dyDescent="0.2">
      <c r="A696" s="8"/>
    </row>
    <row r="697" spans="1:1" x14ac:dyDescent="0.2">
      <c r="A697" s="8"/>
    </row>
    <row r="698" spans="1:1" x14ac:dyDescent="0.2">
      <c r="A698" s="8"/>
    </row>
    <row r="699" spans="1:1" x14ac:dyDescent="0.2">
      <c r="A699" s="8"/>
    </row>
    <row r="700" spans="1:1" x14ac:dyDescent="0.2">
      <c r="A700" s="8"/>
    </row>
    <row r="701" spans="1:1" x14ac:dyDescent="0.2">
      <c r="A701" s="8"/>
    </row>
    <row r="702" spans="1:1" x14ac:dyDescent="0.2">
      <c r="A702" s="8"/>
    </row>
    <row r="703" spans="1:1" x14ac:dyDescent="0.2">
      <c r="A703" s="8"/>
    </row>
    <row r="704" spans="1:1" x14ac:dyDescent="0.2">
      <c r="A704" s="8"/>
    </row>
    <row r="705" spans="1:1" x14ac:dyDescent="0.2">
      <c r="A705" s="8"/>
    </row>
    <row r="706" spans="1:1" x14ac:dyDescent="0.2">
      <c r="A706" s="8"/>
    </row>
    <row r="707" spans="1:1" x14ac:dyDescent="0.2">
      <c r="A707" s="8"/>
    </row>
    <row r="708" spans="1:1" x14ac:dyDescent="0.2">
      <c r="A708" s="8"/>
    </row>
    <row r="709" spans="1:1" x14ac:dyDescent="0.2">
      <c r="A709" s="8"/>
    </row>
    <row r="710" spans="1:1" x14ac:dyDescent="0.2">
      <c r="A710" s="8"/>
    </row>
    <row r="711" spans="1:1" x14ac:dyDescent="0.2">
      <c r="A711" s="8"/>
    </row>
    <row r="712" spans="1:1" x14ac:dyDescent="0.2">
      <c r="A712" s="8"/>
    </row>
    <row r="713" spans="1:1" x14ac:dyDescent="0.2">
      <c r="A713" s="8"/>
    </row>
    <row r="714" spans="1:1" x14ac:dyDescent="0.2">
      <c r="A714" s="8"/>
    </row>
    <row r="715" spans="1:1" x14ac:dyDescent="0.2">
      <c r="A715" s="8"/>
    </row>
    <row r="716" spans="1:1" x14ac:dyDescent="0.2">
      <c r="A716" s="8"/>
    </row>
    <row r="717" spans="1:1" x14ac:dyDescent="0.2">
      <c r="A717" s="8"/>
    </row>
    <row r="718" spans="1:1" x14ac:dyDescent="0.2">
      <c r="A718" s="8"/>
    </row>
    <row r="719" spans="1:1" x14ac:dyDescent="0.2">
      <c r="A719" s="8"/>
    </row>
    <row r="720" spans="1:1" x14ac:dyDescent="0.2">
      <c r="A720" s="8"/>
    </row>
    <row r="721" spans="1:1" x14ac:dyDescent="0.2">
      <c r="A721" s="8"/>
    </row>
  </sheetData>
  <pageMargins left="0.5" right="0.25" top="0.5" bottom="0.5" header="0.25" footer="0.25"/>
  <pageSetup paperSize="5" scale="75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6</xdr:col>
                    <xdr:colOff>104775</xdr:colOff>
                    <xdr:row>7</xdr:row>
                    <xdr:rowOff>85725</xdr:rowOff>
                  </from>
                  <to>
                    <xdr:col>7</xdr:col>
                    <xdr:colOff>104775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7</xdr:col>
                    <xdr:colOff>295275</xdr:colOff>
                    <xdr:row>7</xdr:row>
                    <xdr:rowOff>114300</xdr:rowOff>
                  </from>
                  <to>
                    <xdr:col>8</xdr:col>
                    <xdr:colOff>295275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K721"/>
  <sheetViews>
    <sheetView zoomScale="75" workbookViewId="0">
      <pane xSplit="1" ySplit="11" topLeftCell="B12" activePane="bottomRight" state="frozen"/>
      <selection activeCell="A7" sqref="A7"/>
      <selection pane="topRight" activeCell="A7" sqref="A7"/>
      <selection pane="bottomLeft" activeCell="A7" sqref="A7"/>
      <selection pane="bottomRight" activeCell="B12" sqref="B12"/>
    </sheetView>
  </sheetViews>
  <sheetFormatPr defaultColWidth="7.109375" defaultRowHeight="12.75" x14ac:dyDescent="0.2"/>
  <cols>
    <col min="1" max="1" width="18.44140625" style="33" customWidth="1"/>
    <col min="2" max="3" width="14.5546875" style="33" customWidth="1"/>
    <col min="4" max="4" width="16.88671875" style="33" customWidth="1"/>
    <col min="5" max="5" width="14.5546875" style="33" customWidth="1"/>
    <col min="6" max="6" width="16.77734375" style="33" customWidth="1"/>
    <col min="7" max="9" width="14.5546875" style="33" customWidth="1"/>
    <col min="10" max="10" width="12.21875" style="8" customWidth="1"/>
    <col min="11" max="11" width="9.6640625" style="8" customWidth="1"/>
    <col min="12" max="16384" width="7.109375" style="8"/>
  </cols>
  <sheetData>
    <row r="1" spans="1:10" ht="15.75" x14ac:dyDescent="0.25">
      <c r="A1" s="112" t="s">
        <v>90</v>
      </c>
    </row>
    <row r="2" spans="1:10" ht="15.75" x14ac:dyDescent="0.25">
      <c r="A2" s="112" t="s">
        <v>91</v>
      </c>
    </row>
    <row r="3" spans="1:10" ht="15.75" x14ac:dyDescent="0.25">
      <c r="A3" s="112" t="s">
        <v>92</v>
      </c>
    </row>
    <row r="4" spans="1:10" ht="15.75" x14ac:dyDescent="0.25">
      <c r="A4" s="112" t="s">
        <v>93</v>
      </c>
    </row>
    <row r="5" spans="1:10" ht="15.75" x14ac:dyDescent="0.25">
      <c r="A5" s="112" t="s">
        <v>95</v>
      </c>
    </row>
    <row r="6" spans="1:10" ht="15.75" x14ac:dyDescent="0.25">
      <c r="A6" s="112" t="s">
        <v>98</v>
      </c>
    </row>
    <row r="7" spans="1:10" ht="15.75" x14ac:dyDescent="0.25">
      <c r="A7" s="112"/>
    </row>
    <row r="8" spans="1:10" s="25" customFormat="1" ht="15.75" x14ac:dyDescent="0.25">
      <c r="A8" s="46" t="s">
        <v>27</v>
      </c>
      <c r="B8" s="47"/>
      <c r="C8" s="41"/>
      <c r="D8" s="47"/>
      <c r="E8" s="47"/>
      <c r="F8" s="47"/>
      <c r="G8" s="47"/>
      <c r="H8" s="47"/>
      <c r="I8" s="47"/>
    </row>
    <row r="9" spans="1:10" ht="15.75" x14ac:dyDescent="0.25">
      <c r="A9" s="46"/>
      <c r="B9" s="41"/>
      <c r="C9" s="41"/>
      <c r="D9" s="40" t="s">
        <v>25</v>
      </c>
      <c r="E9" s="39">
        <f>1-0.278</f>
        <v>0.72199999999999998</v>
      </c>
      <c r="F9" s="40" t="s">
        <v>24</v>
      </c>
      <c r="G9" s="39">
        <v>1.278</v>
      </c>
    </row>
    <row r="10" spans="1:10" s="35" customFormat="1" ht="34.9" customHeight="1" x14ac:dyDescent="0.25">
      <c r="B10" s="38" t="s">
        <v>48</v>
      </c>
      <c r="C10" s="36" t="s">
        <v>47</v>
      </c>
      <c r="D10" s="38" t="s">
        <v>46</v>
      </c>
      <c r="E10" s="36" t="s">
        <v>45</v>
      </c>
      <c r="F10" s="38" t="s">
        <v>44</v>
      </c>
      <c r="G10" s="36" t="s">
        <v>43</v>
      </c>
      <c r="H10" s="36" t="s">
        <v>42</v>
      </c>
      <c r="I10" s="38" t="s">
        <v>41</v>
      </c>
      <c r="J10" s="36" t="s">
        <v>40</v>
      </c>
    </row>
    <row r="11" spans="1:10" s="35" customFormat="1" ht="13.15" customHeight="1" x14ac:dyDescent="0.25">
      <c r="A11" s="37" t="s">
        <v>15</v>
      </c>
      <c r="B11" s="37" t="s">
        <v>14</v>
      </c>
      <c r="C11" s="37" t="s">
        <v>14</v>
      </c>
      <c r="D11" s="37" t="s">
        <v>14</v>
      </c>
      <c r="E11" s="37" t="s">
        <v>14</v>
      </c>
      <c r="F11" s="37" t="s">
        <v>14</v>
      </c>
      <c r="G11" s="37" t="s">
        <v>14</v>
      </c>
      <c r="H11" s="37" t="s">
        <v>14</v>
      </c>
      <c r="I11" s="37" t="s">
        <v>14</v>
      </c>
      <c r="J11" s="37" t="s">
        <v>39</v>
      </c>
    </row>
    <row r="12" spans="1:10" ht="15" x14ac:dyDescent="0.2">
      <c r="A12" s="16">
        <v>40909</v>
      </c>
      <c r="B12" s="17">
        <v>17.665412346034</v>
      </c>
      <c r="C12" s="17">
        <v>16.689019215993699</v>
      </c>
      <c r="D12" s="17">
        <v>16.681206715993699</v>
      </c>
      <c r="E12" s="17">
        <v>16.681206715993699</v>
      </c>
      <c r="F12" s="17">
        <v>16.628081715993702</v>
      </c>
      <c r="G12" s="17">
        <v>16.687456715993701</v>
      </c>
      <c r="H12" s="17">
        <v>16.687456715993701</v>
      </c>
      <c r="I12" s="17">
        <v>16.689019215993699</v>
      </c>
      <c r="J12" s="44">
        <f>97.22</f>
        <v>97.22</v>
      </c>
    </row>
    <row r="13" spans="1:10" ht="15" x14ac:dyDescent="0.2">
      <c r="A13" s="16">
        <v>40940</v>
      </c>
      <c r="B13" s="17">
        <v>18.63662328233</v>
      </c>
      <c r="C13" s="17">
        <v>18.0024601761878</v>
      </c>
      <c r="D13" s="17">
        <v>17.9946476761878</v>
      </c>
      <c r="E13" s="17">
        <v>17.9946476761878</v>
      </c>
      <c r="F13" s="17">
        <v>17.941522676187802</v>
      </c>
      <c r="G13" s="17">
        <v>18.000897676187801</v>
      </c>
      <c r="H13" s="17">
        <v>18.000897676187801</v>
      </c>
      <c r="I13" s="17">
        <v>18.0024601761878</v>
      </c>
      <c r="J13" s="44">
        <f>98.46</f>
        <v>98.46</v>
      </c>
    </row>
    <row r="14" spans="1:10" ht="15" x14ac:dyDescent="0.2">
      <c r="A14" s="16">
        <v>40969</v>
      </c>
      <c r="B14" s="17">
        <v>19.6479525059518</v>
      </c>
      <c r="C14" s="17">
        <v>19.026647213613099</v>
      </c>
      <c r="D14" s="17">
        <v>19.018834713613099</v>
      </c>
      <c r="E14" s="17">
        <v>19.018834713613099</v>
      </c>
      <c r="F14" s="17">
        <v>18.965709713613101</v>
      </c>
      <c r="G14" s="17">
        <v>19.025084713613101</v>
      </c>
      <c r="H14" s="17">
        <v>19.025084713613101</v>
      </c>
      <c r="I14" s="17">
        <v>19.026647213613099</v>
      </c>
      <c r="J14" s="44">
        <f>105.84</f>
        <v>105.84</v>
      </c>
    </row>
    <row r="15" spans="1:10" ht="15" x14ac:dyDescent="0.2">
      <c r="A15" s="16">
        <v>41000</v>
      </c>
      <c r="B15" s="17">
        <v>19.523784489804701</v>
      </c>
      <c r="C15" s="17">
        <v>19.0675894898047</v>
      </c>
      <c r="D15" s="17">
        <v>19.0597769898047</v>
      </c>
      <c r="E15" s="17">
        <v>19.0597769898047</v>
      </c>
      <c r="F15" s="17">
        <v>19.006651989804698</v>
      </c>
      <c r="G15" s="17">
        <v>19.066026989804701</v>
      </c>
      <c r="H15" s="17">
        <v>19.066026989804701</v>
      </c>
      <c r="I15" s="17">
        <v>19.0675894898047</v>
      </c>
      <c r="J15" s="44">
        <f>105.61</f>
        <v>105.61</v>
      </c>
    </row>
    <row r="16" spans="1:10" ht="15" x14ac:dyDescent="0.2">
      <c r="A16" s="16">
        <v>41030</v>
      </c>
      <c r="B16" s="17">
        <v>17.6038993915184</v>
      </c>
      <c r="C16" s="17">
        <v>17.057932206538599</v>
      </c>
      <c r="D16" s="17">
        <v>17.050119706538599</v>
      </c>
      <c r="E16" s="17">
        <v>17.050119706538599</v>
      </c>
      <c r="F16" s="17">
        <v>16.996994706538601</v>
      </c>
      <c r="G16" s="17">
        <v>17.0563697065386</v>
      </c>
      <c r="H16" s="17">
        <v>17.0563697065386</v>
      </c>
      <c r="I16" s="17">
        <v>17.057932206538599</v>
      </c>
      <c r="J16" s="44">
        <f>103.05</f>
        <v>103.05</v>
      </c>
    </row>
    <row r="17" spans="1:10" ht="15" x14ac:dyDescent="0.2">
      <c r="A17" s="16">
        <v>41061</v>
      </c>
      <c r="B17" s="17">
        <v>15.6297571462589</v>
      </c>
      <c r="C17" s="17">
        <v>14.859676276467299</v>
      </c>
      <c r="D17" s="17">
        <v>14.851863776467299</v>
      </c>
      <c r="E17" s="17">
        <v>14.851863776467299</v>
      </c>
      <c r="F17" s="17">
        <v>14.7987387764673</v>
      </c>
      <c r="G17" s="17">
        <v>14.858113776467301</v>
      </c>
      <c r="H17" s="17">
        <v>14.858113776467301</v>
      </c>
      <c r="I17" s="17">
        <v>14.859676276467299</v>
      </c>
      <c r="J17" s="44">
        <f>91.66</f>
        <v>91.66</v>
      </c>
    </row>
    <row r="18" spans="1:10" ht="15" x14ac:dyDescent="0.2">
      <c r="A18" s="16">
        <v>41091</v>
      </c>
      <c r="B18" s="17">
        <v>16.620658225483702</v>
      </c>
      <c r="C18" s="17">
        <v>15.961868139672299</v>
      </c>
      <c r="D18" s="17">
        <v>15.954055639672299</v>
      </c>
      <c r="E18" s="17">
        <v>15.954055639672299</v>
      </c>
      <c r="F18" s="17">
        <v>15.9009306396723</v>
      </c>
      <c r="G18" s="17">
        <v>15.960305639672301</v>
      </c>
      <c r="H18" s="17">
        <v>15.960305639672301</v>
      </c>
      <c r="I18" s="17">
        <v>15.961868139672299</v>
      </c>
      <c r="J18" s="44">
        <f>81.8</f>
        <v>81.8</v>
      </c>
    </row>
    <row r="19" spans="1:10" ht="15" x14ac:dyDescent="0.2">
      <c r="A19" s="16">
        <v>41122</v>
      </c>
      <c r="B19" s="17">
        <v>18.068591693225699</v>
      </c>
      <c r="C19" s="17">
        <v>17.516303623543202</v>
      </c>
      <c r="D19" s="17">
        <v>17.508491123543202</v>
      </c>
      <c r="E19" s="17">
        <v>17.508491123543202</v>
      </c>
      <c r="F19" s="17">
        <v>17.4553661235432</v>
      </c>
      <c r="G19" s="17">
        <v>17.5147411235432</v>
      </c>
      <c r="H19" s="17">
        <v>17.5147411235432</v>
      </c>
      <c r="I19" s="17">
        <v>17.516303623543202</v>
      </c>
      <c r="J19" s="44">
        <f>91.44</f>
        <v>91.44</v>
      </c>
    </row>
    <row r="20" spans="1:10" ht="15" x14ac:dyDescent="0.2">
      <c r="A20" s="16">
        <v>41153</v>
      </c>
      <c r="B20" s="17">
        <v>17.9542286068971</v>
      </c>
      <c r="C20" s="17">
        <v>17.334589596480399</v>
      </c>
      <c r="D20" s="17">
        <v>17.326777096480399</v>
      </c>
      <c r="E20" s="17">
        <v>17.326777096480399</v>
      </c>
      <c r="F20" s="17">
        <v>17.273652096480401</v>
      </c>
      <c r="G20" s="17">
        <v>17.3330270964804</v>
      </c>
      <c r="H20" s="17">
        <v>17.3330270964804</v>
      </c>
      <c r="I20" s="17">
        <v>17.334589596480399</v>
      </c>
      <c r="J20" s="44">
        <f>96.68</f>
        <v>96.68</v>
      </c>
    </row>
    <row r="21" spans="1:10" ht="15" x14ac:dyDescent="0.2">
      <c r="A21" s="16">
        <v>41183</v>
      </c>
      <c r="B21" s="17">
        <v>17.042793434759499</v>
      </c>
      <c r="C21" s="17">
        <v>16.432719276493401</v>
      </c>
      <c r="D21" s="17">
        <v>16.424906776493401</v>
      </c>
      <c r="E21" s="17">
        <v>16.424906776493401</v>
      </c>
      <c r="F21" s="17">
        <v>16.3717817764934</v>
      </c>
      <c r="G21" s="17">
        <v>16.431156776493399</v>
      </c>
      <c r="H21" s="17">
        <v>16.431156776493399</v>
      </c>
      <c r="I21" s="17">
        <v>16.432719276493401</v>
      </c>
      <c r="J21" s="44">
        <f>91.87</f>
        <v>91.87</v>
      </c>
    </row>
    <row r="22" spans="1:10" ht="15" x14ac:dyDescent="0.2">
      <c r="A22" s="16">
        <v>41214</v>
      </c>
      <c r="B22" s="17">
        <v>16.506750087985299</v>
      </c>
      <c r="C22" s="17">
        <v>15.9119027442353</v>
      </c>
      <c r="D22" s="17">
        <v>15.9040902442353</v>
      </c>
      <c r="E22" s="17">
        <v>15.9040902442353</v>
      </c>
      <c r="F22" s="17">
        <v>15.850965244235301</v>
      </c>
      <c r="G22" s="17">
        <v>15.9103402442353</v>
      </c>
      <c r="H22" s="17">
        <v>15.9103402442353</v>
      </c>
      <c r="I22" s="17">
        <v>15.9119027442353</v>
      </c>
      <c r="J22" s="44">
        <v>86.67</v>
      </c>
    </row>
    <row r="23" spans="1:10" ht="15" x14ac:dyDescent="0.2">
      <c r="A23" s="16">
        <v>41244</v>
      </c>
      <c r="B23" s="17">
        <v>16.473573004652</v>
      </c>
      <c r="C23" s="17">
        <v>15.8775277442353</v>
      </c>
      <c r="D23" s="17">
        <v>15.8697152442353</v>
      </c>
      <c r="E23" s="17">
        <v>15.8697152442353</v>
      </c>
      <c r="F23" s="17">
        <v>15.8165902442353</v>
      </c>
      <c r="G23" s="17">
        <v>15.875965244235299</v>
      </c>
      <c r="H23" s="17">
        <v>15.875965244235299</v>
      </c>
      <c r="I23" s="17">
        <v>15.8775277442353</v>
      </c>
      <c r="J23" s="44">
        <f>86.67</f>
        <v>86.67</v>
      </c>
    </row>
    <row r="24" spans="1:10" ht="15" x14ac:dyDescent="0.2">
      <c r="A24" s="16">
        <v>41275</v>
      </c>
      <c r="B24" s="17">
        <f>16.4531 * CHOOSE(CONTROL!$C$15, $E$9, 100%, $G$9) + CHOOSE(CONTROL!$C$38, 0.0339, 0)</f>
        <v>16.486999999999998</v>
      </c>
      <c r="C24" s="17">
        <f>15.8281 * CHOOSE(CONTROL!$C$15, $E$9, 100%, $G$9) + CHOOSE(CONTROL!$C$38, 0.034, 0)</f>
        <v>15.8621</v>
      </c>
      <c r="D24" s="17">
        <f>15.8203 * CHOOSE(CONTROL!$C$15, $E$9, 100%, $G$9) + CHOOSE(CONTROL!$C$38, 0.034, 0)</f>
        <v>15.8543</v>
      </c>
      <c r="E24" s="17">
        <f>15.8203 * CHOOSE(CONTROL!$C$15, $E$9, 100%, $G$9) + CHOOSE(CONTROL!$C$38, 0.034, 0)</f>
        <v>15.8543</v>
      </c>
      <c r="F24" s="17">
        <f>15.7672 * CHOOSE(CONTROL!$C$15, $E$9, 100%, $G$9) + CHOOSE(CONTROL!$C$38, 0.034, 0)</f>
        <v>15.801200000000001</v>
      </c>
      <c r="G24" s="17">
        <f>15.8266 * CHOOSE(CONTROL!$C$15, $E$9, 100%, $G$9) + CHOOSE(CONTROL!$C$38, 0.034, 0)</f>
        <v>15.8606</v>
      </c>
      <c r="H24" s="17">
        <f>15.8266 * CHOOSE(CONTROL!$C$15, $E$9, 100%, $G$9) + CHOOSE(CONTROL!$C$38, 0.034, 0)</f>
        <v>15.8606</v>
      </c>
      <c r="I24" s="17">
        <f>15.8281 * CHOOSE(CONTROL!$C$15, $E$9, 100%, $G$9) + CHOOSE(CONTROL!$C$38, 0.034, 0)</f>
        <v>15.8621</v>
      </c>
      <c r="J24" s="44">
        <f>89.09</f>
        <v>89.09</v>
      </c>
    </row>
    <row r="25" spans="1:10" ht="15" x14ac:dyDescent="0.2">
      <c r="A25" s="16">
        <v>41306</v>
      </c>
      <c r="B25" s="17">
        <f>16.5312 * CHOOSE(CONTROL!$C$15, $E$9, 100%, $G$9) + CHOOSE(CONTROL!$C$38, 0.0339, 0)</f>
        <v>16.565099999999997</v>
      </c>
      <c r="C25" s="17">
        <f>15.8281 * CHOOSE(CONTROL!$C$15, $E$9, 100%, $G$9) + CHOOSE(CONTROL!$C$38, 0.034, 0)</f>
        <v>15.8621</v>
      </c>
      <c r="D25" s="17">
        <f>15.8203 * CHOOSE(CONTROL!$C$15, $E$9, 100%, $G$9) + CHOOSE(CONTROL!$C$38, 0.034, 0)</f>
        <v>15.8543</v>
      </c>
      <c r="E25" s="17">
        <f>15.8203 * CHOOSE(CONTROL!$C$15, $E$9, 100%, $G$9) + CHOOSE(CONTROL!$C$38, 0.034, 0)</f>
        <v>15.8543</v>
      </c>
      <c r="F25" s="17">
        <f>15.7672 * CHOOSE(CONTROL!$C$15, $E$9, 100%, $G$9) + CHOOSE(CONTROL!$C$38, 0.034, 0)</f>
        <v>15.801200000000001</v>
      </c>
      <c r="G25" s="17">
        <f>15.8266 * CHOOSE(CONTROL!$C$15, $E$9, 100%, $G$9) + CHOOSE(CONTROL!$C$38, 0.034, 0)</f>
        <v>15.8606</v>
      </c>
      <c r="H25" s="17">
        <f>15.8266 * CHOOSE(CONTROL!$C$15, $E$9, 100%, $G$9) + CHOOSE(CONTROL!$C$38, 0.034, 0)</f>
        <v>15.8606</v>
      </c>
      <c r="I25" s="17">
        <f>15.8281 * CHOOSE(CONTROL!$C$15, $E$9, 100%, $G$9) + CHOOSE(CONTROL!$C$38, 0.034, 0)</f>
        <v>15.8621</v>
      </c>
      <c r="J25" s="44">
        <f>89.69</f>
        <v>89.69</v>
      </c>
    </row>
    <row r="26" spans="1:10" ht="15" x14ac:dyDescent="0.2">
      <c r="A26" s="16">
        <v>41334</v>
      </c>
      <c r="B26" s="17">
        <f>16.6016 * CHOOSE(CONTROL!$C$15, $E$9, 100%, $G$9) + CHOOSE(CONTROL!$C$38, 0.0339, 0)</f>
        <v>16.6355</v>
      </c>
      <c r="C26" s="17">
        <f>15.8203 * CHOOSE(CONTROL!$C$15, $E$9, 100%, $G$9) + CHOOSE(CONTROL!$C$38, 0.034, 0)</f>
        <v>15.8543</v>
      </c>
      <c r="D26" s="17">
        <f>15.8125 * CHOOSE(CONTROL!$C$15, $E$9, 100%, $G$9) + CHOOSE(CONTROL!$C$38, 0.034, 0)</f>
        <v>15.846500000000001</v>
      </c>
      <c r="E26" s="17">
        <f>15.8125 * CHOOSE(CONTROL!$C$15, $E$9, 100%, $G$9) + CHOOSE(CONTROL!$C$38, 0.034, 0)</f>
        <v>15.846500000000001</v>
      </c>
      <c r="F26" s="17">
        <f>15.7594 * CHOOSE(CONTROL!$C$15, $E$9, 100%, $G$9) + CHOOSE(CONTROL!$C$38, 0.034, 0)</f>
        <v>15.7934</v>
      </c>
      <c r="G26" s="17">
        <f>15.8187 * CHOOSE(CONTROL!$C$15, $E$9, 100%, $G$9) + CHOOSE(CONTROL!$C$38, 0.034, 0)</f>
        <v>15.8527</v>
      </c>
      <c r="H26" s="17">
        <f>15.8187 * CHOOSE(CONTROL!$C$15, $E$9, 100%, $G$9) + CHOOSE(CONTROL!$C$38, 0.034, 0)</f>
        <v>15.8527</v>
      </c>
      <c r="I26" s="17">
        <f>15.8203 * CHOOSE(CONTROL!$C$15, $E$9, 100%, $G$9) + CHOOSE(CONTROL!$C$38, 0.034, 0)</f>
        <v>15.8543</v>
      </c>
      <c r="J26" s="44">
        <f>90.34</f>
        <v>90.34</v>
      </c>
    </row>
    <row r="27" spans="1:10" ht="15" x14ac:dyDescent="0.2">
      <c r="A27" s="16">
        <v>41365</v>
      </c>
      <c r="B27" s="17">
        <f>16.6828 * CHOOSE(CONTROL!$C$15, $E$9, 100%, $G$9) + CHOOSE(CONTROL!$C$38, 0.0339, 0)</f>
        <v>16.716699999999999</v>
      </c>
      <c r="C27" s="17">
        <f>15.7969 * CHOOSE(CONTROL!$C$15, $E$9, 100%, $G$9) + CHOOSE(CONTROL!$C$38, 0.034, 0)</f>
        <v>15.830900000000002</v>
      </c>
      <c r="D27" s="17">
        <f>15.7891 * CHOOSE(CONTROL!$C$15, $E$9, 100%, $G$9) + CHOOSE(CONTROL!$C$38, 0.034, 0)</f>
        <v>15.8231</v>
      </c>
      <c r="E27" s="17">
        <f>15.7891 * CHOOSE(CONTROL!$C$15, $E$9, 100%, $G$9) + CHOOSE(CONTROL!$C$38, 0.034, 0)</f>
        <v>15.8231</v>
      </c>
      <c r="F27" s="45">
        <f>16.6828 * CHOOSE(CONTROL!$C$15, $E$9, 100%, $G$9) + CHOOSE(CONTROL!$C$38, 0.0339, 0)</f>
        <v>16.716699999999999</v>
      </c>
      <c r="G27" s="17">
        <f>15.7953 * CHOOSE(CONTROL!$C$15, $E$9, 100%, $G$9) + CHOOSE(CONTROL!$C$38, 0.034, 0)</f>
        <v>15.8293</v>
      </c>
      <c r="H27" s="17">
        <f>15.7953 * CHOOSE(CONTROL!$C$15, $E$9, 100%, $G$9) + CHOOSE(CONTROL!$C$38, 0.034, 0)</f>
        <v>15.8293</v>
      </c>
      <c r="I27" s="17">
        <f>15.7969 * CHOOSE(CONTROL!$C$15, $E$9, 100%, $G$9) + CHOOSE(CONTROL!$C$38, 0.034, 0)</f>
        <v>15.830900000000002</v>
      </c>
      <c r="J27" s="44">
        <f>90.92</f>
        <v>90.92</v>
      </c>
    </row>
    <row r="28" spans="1:10" ht="15" x14ac:dyDescent="0.2">
      <c r="A28" s="16">
        <v>41395</v>
      </c>
      <c r="B28" s="17">
        <f>16.6828 * CHOOSE(CONTROL!$C$15, $E$9, 100%, $G$9) + CHOOSE(CONTROL!$C$38, 0.0355, 0)</f>
        <v>16.718299999999999</v>
      </c>
      <c r="C28" s="17">
        <f>15.7969 * CHOOSE(CONTROL!$C$15, $E$9, 100%, $G$9) + CHOOSE(CONTROL!$C$38, 0.0356, 0)</f>
        <v>15.832500000000001</v>
      </c>
      <c r="D28" s="17">
        <f>15.7891 * CHOOSE(CONTROL!$C$15, $E$9, 100%, $G$9) + CHOOSE(CONTROL!$C$38, 0.0356, 0)</f>
        <v>15.8247</v>
      </c>
      <c r="E28" s="17">
        <f>15.7891 * CHOOSE(CONTROL!$C$15, $E$9, 100%, $G$9) + CHOOSE(CONTROL!$C$38, 0.0356, 0)</f>
        <v>15.8247</v>
      </c>
      <c r="F28" s="45">
        <f>16.6828 * CHOOSE(CONTROL!$C$15, $E$9, 100%, $G$9) + CHOOSE(CONTROL!$C$38, 0.0355, 0)</f>
        <v>16.718299999999999</v>
      </c>
      <c r="G28" s="17">
        <f>15.7953 * CHOOSE(CONTROL!$C$15, $E$9, 100%, $G$9) + CHOOSE(CONTROL!$C$38, 0.0356, 0)</f>
        <v>15.8309</v>
      </c>
      <c r="H28" s="17">
        <f>15.7953 * CHOOSE(CONTROL!$C$15, $E$9, 100%, $G$9) + CHOOSE(CONTROL!$C$38, 0.0356, 0)</f>
        <v>15.8309</v>
      </c>
      <c r="I28" s="17">
        <f>15.7969 * CHOOSE(CONTROL!$C$15, $E$9, 100%, $G$9) + CHOOSE(CONTROL!$C$38, 0.0356, 0)</f>
        <v>15.832500000000001</v>
      </c>
      <c r="J28" s="44">
        <f>91.38</f>
        <v>91.38</v>
      </c>
    </row>
    <row r="29" spans="1:10" ht="15" x14ac:dyDescent="0.2">
      <c r="A29" s="16">
        <v>41426</v>
      </c>
      <c r="B29" s="17">
        <f>16.6828 * CHOOSE(CONTROL!$C$15, $E$9, 100%, $G$9) + CHOOSE(CONTROL!$C$38, 0.0355, 0)</f>
        <v>16.718299999999999</v>
      </c>
      <c r="C29" s="17">
        <f>15.7969 * CHOOSE(CONTROL!$C$15, $E$9, 100%, $G$9) + CHOOSE(CONTROL!$C$38, 0.0356, 0)</f>
        <v>15.832500000000001</v>
      </c>
      <c r="D29" s="17">
        <f>15.7891 * CHOOSE(CONTROL!$C$15, $E$9, 100%, $G$9) + CHOOSE(CONTROL!$C$38, 0.0356, 0)</f>
        <v>15.8247</v>
      </c>
      <c r="E29" s="17">
        <f>15.7891 * CHOOSE(CONTROL!$C$15, $E$9, 100%, $G$9) + CHOOSE(CONTROL!$C$38, 0.0356, 0)</f>
        <v>15.8247</v>
      </c>
      <c r="F29" s="45">
        <f>16.6828 * CHOOSE(CONTROL!$C$15, $E$9, 100%, $G$9) + CHOOSE(CONTROL!$C$38, 0.0355, 0)</f>
        <v>16.718299999999999</v>
      </c>
      <c r="G29" s="17">
        <f>15.7953 * CHOOSE(CONTROL!$C$15, $E$9, 100%, $G$9) + CHOOSE(CONTROL!$C$38, 0.0356, 0)</f>
        <v>15.8309</v>
      </c>
      <c r="H29" s="17">
        <f>15.7953 * CHOOSE(CONTROL!$C$15, $E$9, 100%, $G$9) + CHOOSE(CONTROL!$C$38, 0.0356, 0)</f>
        <v>15.8309</v>
      </c>
      <c r="I29" s="17">
        <f>15.7969 * CHOOSE(CONTROL!$C$15, $E$9, 100%, $G$9) + CHOOSE(CONTROL!$C$38, 0.0356, 0)</f>
        <v>15.832500000000001</v>
      </c>
      <c r="J29" s="44">
        <f>91.72</f>
        <v>91.72</v>
      </c>
    </row>
    <row r="30" spans="1:10" ht="15" x14ac:dyDescent="0.2">
      <c r="A30" s="16">
        <v>41456</v>
      </c>
      <c r="B30" s="17">
        <f>16.6797 * CHOOSE(CONTROL!$C$15, $E$9, 100%, $G$9) + CHOOSE(CONTROL!$C$38, 0.0355, 0)</f>
        <v>16.715199999999999</v>
      </c>
      <c r="C30" s="17">
        <f>15.7422 * CHOOSE(CONTROL!$C$15, $E$9, 100%, $G$9) + CHOOSE(CONTROL!$C$38, 0.0356, 0)</f>
        <v>15.777800000000001</v>
      </c>
      <c r="D30" s="17">
        <f>15.7344 * CHOOSE(CONTROL!$C$15, $E$9, 100%, $G$9) + CHOOSE(CONTROL!$C$38, 0.0356, 0)</f>
        <v>15.770000000000001</v>
      </c>
      <c r="E30" s="17">
        <f>15.7344 * CHOOSE(CONTROL!$C$15, $E$9, 100%, $G$9) + CHOOSE(CONTROL!$C$38, 0.0356, 0)</f>
        <v>15.770000000000001</v>
      </c>
      <c r="F30" s="45">
        <f>16.6797 * CHOOSE(CONTROL!$C$15, $E$9, 100%, $G$9) + CHOOSE(CONTROL!$C$38, 0.0355, 0)</f>
        <v>16.715199999999999</v>
      </c>
      <c r="G30" s="17">
        <f>15.7406 * CHOOSE(CONTROL!$C$15, $E$9, 100%, $G$9) + CHOOSE(CONTROL!$C$38, 0.0356, 0)</f>
        <v>15.776200000000001</v>
      </c>
      <c r="H30" s="17">
        <f>15.7406 * CHOOSE(CONTROL!$C$15, $E$9, 100%, $G$9) + CHOOSE(CONTROL!$C$38, 0.0356, 0)</f>
        <v>15.776200000000001</v>
      </c>
      <c r="I30" s="17">
        <f>15.7422 * CHOOSE(CONTROL!$C$15, $E$9, 100%, $G$9) + CHOOSE(CONTROL!$C$38, 0.0356, 0)</f>
        <v>15.777800000000001</v>
      </c>
      <c r="J30" s="44">
        <f>91.94</f>
        <v>91.94</v>
      </c>
    </row>
    <row r="31" spans="1:10" ht="15" x14ac:dyDescent="0.2">
      <c r="A31" s="16">
        <v>41487</v>
      </c>
      <c r="B31" s="17">
        <f>16.6797 * CHOOSE(CONTROL!$C$15, $E$9, 100%, $G$9) + CHOOSE(CONTROL!$C$38, 0.0355, 0)</f>
        <v>16.715199999999999</v>
      </c>
      <c r="C31" s="17">
        <f>15.7422 * CHOOSE(CONTROL!$C$15, $E$9, 100%, $G$9) + CHOOSE(CONTROL!$C$38, 0.0356, 0)</f>
        <v>15.777800000000001</v>
      </c>
      <c r="D31" s="17">
        <f>15.7344 * CHOOSE(CONTROL!$C$15, $E$9, 100%, $G$9) + CHOOSE(CONTROL!$C$38, 0.0356, 0)</f>
        <v>15.770000000000001</v>
      </c>
      <c r="E31" s="17">
        <f>15.7344 * CHOOSE(CONTROL!$C$15, $E$9, 100%, $G$9) + CHOOSE(CONTROL!$C$38, 0.0356, 0)</f>
        <v>15.770000000000001</v>
      </c>
      <c r="F31" s="45">
        <f>16.6797 * CHOOSE(CONTROL!$C$15, $E$9, 100%, $G$9) + CHOOSE(CONTROL!$C$38, 0.0355, 0)</f>
        <v>16.715199999999999</v>
      </c>
      <c r="G31" s="17">
        <f>15.7406 * CHOOSE(CONTROL!$C$15, $E$9, 100%, $G$9) + CHOOSE(CONTROL!$C$38, 0.0356, 0)</f>
        <v>15.776200000000001</v>
      </c>
      <c r="H31" s="17">
        <f>15.7406 * CHOOSE(CONTROL!$C$15, $E$9, 100%, $G$9) + CHOOSE(CONTROL!$C$38, 0.0356, 0)</f>
        <v>15.776200000000001</v>
      </c>
      <c r="I31" s="17">
        <f>15.7422 * CHOOSE(CONTROL!$C$15, $E$9, 100%, $G$9) + CHOOSE(CONTROL!$C$38, 0.0356, 0)</f>
        <v>15.777800000000001</v>
      </c>
      <c r="J31" s="44">
        <f>92.06</f>
        <v>92.06</v>
      </c>
    </row>
    <row r="32" spans="1:10" ht="15" x14ac:dyDescent="0.2">
      <c r="A32" s="16">
        <v>41518</v>
      </c>
      <c r="B32" s="17">
        <f>16.6797 * CHOOSE(CONTROL!$C$15, $E$9, 100%, $G$9) + CHOOSE(CONTROL!$C$38, 0.0355, 0)</f>
        <v>16.715199999999999</v>
      </c>
      <c r="C32" s="17">
        <f>15.7422 * CHOOSE(CONTROL!$C$15, $E$9, 100%, $G$9) + CHOOSE(CONTROL!$C$38, 0.0356, 0)</f>
        <v>15.777800000000001</v>
      </c>
      <c r="D32" s="17">
        <f>15.7344 * CHOOSE(CONTROL!$C$15, $E$9, 100%, $G$9) + CHOOSE(CONTROL!$C$38, 0.0356, 0)</f>
        <v>15.770000000000001</v>
      </c>
      <c r="E32" s="17">
        <f>15.7344 * CHOOSE(CONTROL!$C$15, $E$9, 100%, $G$9) + CHOOSE(CONTROL!$C$38, 0.0356, 0)</f>
        <v>15.770000000000001</v>
      </c>
      <c r="F32" s="45">
        <f>16.6797 * CHOOSE(CONTROL!$C$15, $E$9, 100%, $G$9) + CHOOSE(CONTROL!$C$38, 0.0355, 0)</f>
        <v>16.715199999999999</v>
      </c>
      <c r="G32" s="17">
        <f>15.7406 * CHOOSE(CONTROL!$C$15, $E$9, 100%, $G$9) + CHOOSE(CONTROL!$C$38, 0.0356, 0)</f>
        <v>15.776200000000001</v>
      </c>
      <c r="H32" s="17">
        <f>15.7406 * CHOOSE(CONTROL!$C$15, $E$9, 100%, $G$9) + CHOOSE(CONTROL!$C$38, 0.0356, 0)</f>
        <v>15.776200000000001</v>
      </c>
      <c r="I32" s="17">
        <f>15.7422 * CHOOSE(CONTROL!$C$15, $E$9, 100%, $G$9) + CHOOSE(CONTROL!$C$38, 0.0356, 0)</f>
        <v>15.777800000000001</v>
      </c>
      <c r="J32" s="44">
        <f>92.14</f>
        <v>92.14</v>
      </c>
    </row>
    <row r="33" spans="1:10" ht="15" x14ac:dyDescent="0.2">
      <c r="A33" s="16">
        <v>41548</v>
      </c>
      <c r="B33" s="17">
        <f>16.6906 * CHOOSE(CONTROL!$C$15, $E$9, 100%, $G$9) + CHOOSE(CONTROL!$C$38, 0.0339, 0)</f>
        <v>16.724499999999999</v>
      </c>
      <c r="C33" s="17">
        <f>15.6797 * CHOOSE(CONTROL!$C$15, $E$9, 100%, $G$9) + CHOOSE(CONTROL!$C$38, 0.034, 0)</f>
        <v>15.713700000000001</v>
      </c>
      <c r="D33" s="17">
        <f>15.6719 * CHOOSE(CONTROL!$C$15, $E$9, 100%, $G$9) + CHOOSE(CONTROL!$C$38, 0.034, 0)</f>
        <v>15.705900000000002</v>
      </c>
      <c r="E33" s="17">
        <f>15.6719 * CHOOSE(CONTROL!$C$15, $E$9, 100%, $G$9) + CHOOSE(CONTROL!$C$38, 0.034, 0)</f>
        <v>15.705900000000002</v>
      </c>
      <c r="F33" s="45">
        <f>16.6906 * CHOOSE(CONTROL!$C$15, $E$9, 100%, $G$9) + CHOOSE(CONTROL!$C$38, 0.0339, 0)</f>
        <v>16.724499999999999</v>
      </c>
      <c r="G33" s="17">
        <f>15.6781 * CHOOSE(CONTROL!$C$15, $E$9, 100%, $G$9) + CHOOSE(CONTROL!$C$38, 0.034, 0)</f>
        <v>15.712100000000001</v>
      </c>
      <c r="H33" s="17">
        <f>15.6781 * CHOOSE(CONTROL!$C$15, $E$9, 100%, $G$9) + CHOOSE(CONTROL!$C$38, 0.034, 0)</f>
        <v>15.712100000000001</v>
      </c>
      <c r="I33" s="17">
        <f>15.6797 * CHOOSE(CONTROL!$C$15, $E$9, 100%, $G$9) + CHOOSE(CONTROL!$C$38, 0.034, 0)</f>
        <v>15.713700000000001</v>
      </c>
      <c r="J33" s="44">
        <f>92.17</f>
        <v>92.17</v>
      </c>
    </row>
    <row r="34" spans="1:10" ht="15" x14ac:dyDescent="0.2">
      <c r="A34" s="16">
        <v>41579</v>
      </c>
      <c r="B34" s="17">
        <f>16.6906 * CHOOSE(CONTROL!$C$15, $E$9, 100%, $G$9) + CHOOSE(CONTROL!$C$38, 0.0339, 0)</f>
        <v>16.724499999999999</v>
      </c>
      <c r="C34" s="17">
        <f>15.6797 * CHOOSE(CONTROL!$C$15, $E$9, 100%, $G$9) + CHOOSE(CONTROL!$C$38, 0.034, 0)</f>
        <v>15.713700000000001</v>
      </c>
      <c r="D34" s="17">
        <f>15.6719 * CHOOSE(CONTROL!$C$15, $E$9, 100%, $G$9) + CHOOSE(CONTROL!$C$38, 0.034, 0)</f>
        <v>15.705900000000002</v>
      </c>
      <c r="E34" s="17">
        <f>15.6719 * CHOOSE(CONTROL!$C$15, $E$9, 100%, $G$9) + CHOOSE(CONTROL!$C$38, 0.034, 0)</f>
        <v>15.705900000000002</v>
      </c>
      <c r="F34" s="45">
        <f>16.6906 * CHOOSE(CONTROL!$C$15, $E$9, 100%, $G$9) + CHOOSE(CONTROL!$C$38, 0.0339, 0)</f>
        <v>16.724499999999999</v>
      </c>
      <c r="G34" s="17">
        <f>15.6781 * CHOOSE(CONTROL!$C$15, $E$9, 100%, $G$9) + CHOOSE(CONTROL!$C$38, 0.034, 0)</f>
        <v>15.712100000000001</v>
      </c>
      <c r="H34" s="17">
        <f>15.6781 * CHOOSE(CONTROL!$C$15, $E$9, 100%, $G$9) + CHOOSE(CONTROL!$C$38, 0.034, 0)</f>
        <v>15.712100000000001</v>
      </c>
      <c r="I34" s="17">
        <f>15.6797 * CHOOSE(CONTROL!$C$15, $E$9, 100%, $G$9) + CHOOSE(CONTROL!$C$38, 0.034, 0)</f>
        <v>15.713700000000001</v>
      </c>
      <c r="J34" s="44">
        <f>92.21</f>
        <v>92.21</v>
      </c>
    </row>
    <row r="35" spans="1:10" ht="15" x14ac:dyDescent="0.2">
      <c r="A35" s="16">
        <v>41609</v>
      </c>
      <c r="B35" s="17">
        <f>16.6906 * CHOOSE(CONTROL!$C$15, $E$9, 100%, $G$9) + CHOOSE(CONTROL!$C$38, 0.0339, 0)</f>
        <v>16.724499999999999</v>
      </c>
      <c r="C35" s="17">
        <f>15.6797 * CHOOSE(CONTROL!$C$15, $E$9, 100%, $G$9) + CHOOSE(CONTROL!$C$38, 0.034, 0)</f>
        <v>15.713700000000001</v>
      </c>
      <c r="D35" s="17">
        <f>15.6719 * CHOOSE(CONTROL!$C$15, $E$9, 100%, $G$9) + CHOOSE(CONTROL!$C$38, 0.034, 0)</f>
        <v>15.705900000000002</v>
      </c>
      <c r="E35" s="17">
        <f>15.6719 * CHOOSE(CONTROL!$C$15, $E$9, 100%, $G$9) + CHOOSE(CONTROL!$C$38, 0.034, 0)</f>
        <v>15.705900000000002</v>
      </c>
      <c r="F35" s="45">
        <f>16.6906 * CHOOSE(CONTROL!$C$15, $E$9, 100%, $G$9) + CHOOSE(CONTROL!$C$38, 0.0339, 0)</f>
        <v>16.724499999999999</v>
      </c>
      <c r="G35" s="17">
        <f>15.6781 * CHOOSE(CONTROL!$C$15, $E$9, 100%, $G$9) + CHOOSE(CONTROL!$C$38, 0.034, 0)</f>
        <v>15.712100000000001</v>
      </c>
      <c r="H35" s="17">
        <f>15.6781 * CHOOSE(CONTROL!$C$15, $E$9, 100%, $G$9) + CHOOSE(CONTROL!$C$38, 0.034, 0)</f>
        <v>15.712100000000001</v>
      </c>
      <c r="I35" s="17">
        <f>15.6797 * CHOOSE(CONTROL!$C$15, $E$9, 100%, $G$9) + CHOOSE(CONTROL!$C$38, 0.034, 0)</f>
        <v>15.713700000000001</v>
      </c>
      <c r="J35" s="44">
        <f>92.21</f>
        <v>92.21</v>
      </c>
    </row>
    <row r="36" spans="1:10" ht="15" x14ac:dyDescent="0.2">
      <c r="A36" s="16">
        <v>41640</v>
      </c>
      <c r="B36" s="17">
        <f>16.6509 * CHOOSE(CONTROL!$C$15, $E$9, 100%, $G$9) + CHOOSE(CONTROL!$C$38, 0.0339, 0)</f>
        <v>16.684799999999999</v>
      </c>
      <c r="C36" s="17">
        <f>15.5359 * CHOOSE(CONTROL!$C$15, $E$9, 100%, $G$9) + CHOOSE(CONTROL!$C$38, 0.034, 0)</f>
        <v>15.569900000000001</v>
      </c>
      <c r="D36" s="17">
        <f>15.5281 * CHOOSE(CONTROL!$C$15, $E$9, 100%, $G$9) + CHOOSE(CONTROL!$C$38, 0.034, 0)</f>
        <v>15.562100000000001</v>
      </c>
      <c r="E36" s="17">
        <f>15.5281 * CHOOSE(CONTROL!$C$15, $E$9, 100%, $G$9) + CHOOSE(CONTROL!$C$38, 0.034, 0)</f>
        <v>15.562100000000001</v>
      </c>
      <c r="F36" s="45">
        <f>16.6509 * CHOOSE(CONTROL!$C$15, $E$9, 100%, $G$9) + CHOOSE(CONTROL!$C$38, 0.0339, 0)</f>
        <v>16.684799999999999</v>
      </c>
      <c r="G36" s="17">
        <f>15.5344 * CHOOSE(CONTROL!$C$15, $E$9, 100%, $G$9) + CHOOSE(CONTROL!$C$38, 0.034, 0)</f>
        <v>15.5684</v>
      </c>
      <c r="H36" s="17">
        <f>15.5344 * CHOOSE(CONTROL!$C$15, $E$9, 100%, $G$9) + CHOOSE(CONTROL!$C$38, 0.034, 0)</f>
        <v>15.5684</v>
      </c>
      <c r="I36" s="17">
        <f>15.5359 * CHOOSE(CONTROL!$C$15, $E$9, 100%, $G$9) + CHOOSE(CONTROL!$C$38, 0.034, 0)</f>
        <v>15.569900000000001</v>
      </c>
      <c r="J36" s="44">
        <f>92.09</f>
        <v>92.09</v>
      </c>
    </row>
    <row r="37" spans="1:10" ht="15" x14ac:dyDescent="0.2">
      <c r="A37" s="16">
        <v>41671</v>
      </c>
      <c r="B37" s="17">
        <f>16.6509 * CHOOSE(CONTROL!$C$15, $E$9, 100%, $G$9) + CHOOSE(CONTROL!$C$38, 0.0339, 0)</f>
        <v>16.684799999999999</v>
      </c>
      <c r="C37" s="17">
        <f>15.5359 * CHOOSE(CONTROL!$C$15, $E$9, 100%, $G$9) + CHOOSE(CONTROL!$C$38, 0.034, 0)</f>
        <v>15.569900000000001</v>
      </c>
      <c r="D37" s="17">
        <f>15.5281 * CHOOSE(CONTROL!$C$15, $E$9, 100%, $G$9) + CHOOSE(CONTROL!$C$38, 0.034, 0)</f>
        <v>15.562100000000001</v>
      </c>
      <c r="E37" s="17">
        <f>15.5281 * CHOOSE(CONTROL!$C$15, $E$9, 100%, $G$9) + CHOOSE(CONTROL!$C$38, 0.034, 0)</f>
        <v>15.562100000000001</v>
      </c>
      <c r="F37" s="45">
        <f>16.6509 * CHOOSE(CONTROL!$C$15, $E$9, 100%, $G$9) + CHOOSE(CONTROL!$C$38, 0.0339, 0)</f>
        <v>16.684799999999999</v>
      </c>
      <c r="G37" s="17">
        <f>15.5344 * CHOOSE(CONTROL!$C$15, $E$9, 100%, $G$9) + CHOOSE(CONTROL!$C$38, 0.034, 0)</f>
        <v>15.5684</v>
      </c>
      <c r="H37" s="17">
        <f>15.5344 * CHOOSE(CONTROL!$C$15, $E$9, 100%, $G$9) + CHOOSE(CONTROL!$C$38, 0.034, 0)</f>
        <v>15.5684</v>
      </c>
      <c r="I37" s="17">
        <f>15.5359 * CHOOSE(CONTROL!$C$15, $E$9, 100%, $G$9) + CHOOSE(CONTROL!$C$38, 0.034, 0)</f>
        <v>15.569900000000001</v>
      </c>
      <c r="J37" s="44">
        <f>91.95</f>
        <v>91.95</v>
      </c>
    </row>
    <row r="38" spans="1:10" ht="15" x14ac:dyDescent="0.2">
      <c r="A38" s="16">
        <v>41699</v>
      </c>
      <c r="B38" s="17">
        <f>16.6509 * CHOOSE(CONTROL!$C$15, $E$9, 100%, $G$9) + CHOOSE(CONTROL!$C$38, 0.0339, 0)</f>
        <v>16.684799999999999</v>
      </c>
      <c r="C38" s="17">
        <f>15.5359 * CHOOSE(CONTROL!$C$15, $E$9, 100%, $G$9) + CHOOSE(CONTROL!$C$38, 0.034, 0)</f>
        <v>15.569900000000001</v>
      </c>
      <c r="D38" s="17">
        <f>15.5281 * CHOOSE(CONTROL!$C$15, $E$9, 100%, $G$9) + CHOOSE(CONTROL!$C$38, 0.034, 0)</f>
        <v>15.562100000000001</v>
      </c>
      <c r="E38" s="17">
        <f>15.5281 * CHOOSE(CONTROL!$C$15, $E$9, 100%, $G$9) + CHOOSE(CONTROL!$C$38, 0.034, 0)</f>
        <v>15.562100000000001</v>
      </c>
      <c r="F38" s="45">
        <f>16.6509 * CHOOSE(CONTROL!$C$15, $E$9, 100%, $G$9) + CHOOSE(CONTROL!$C$38, 0.0339, 0)</f>
        <v>16.684799999999999</v>
      </c>
      <c r="G38" s="17">
        <f>15.5344 * CHOOSE(CONTROL!$C$15, $E$9, 100%, $G$9) + CHOOSE(CONTROL!$C$38, 0.034, 0)</f>
        <v>15.5684</v>
      </c>
      <c r="H38" s="17">
        <f>15.5344 * CHOOSE(CONTROL!$C$15, $E$9, 100%, $G$9) + CHOOSE(CONTROL!$C$38, 0.034, 0)</f>
        <v>15.5684</v>
      </c>
      <c r="I38" s="17">
        <f>15.5359 * CHOOSE(CONTROL!$C$15, $E$9, 100%, $G$9) + CHOOSE(CONTROL!$C$38, 0.034, 0)</f>
        <v>15.569900000000001</v>
      </c>
      <c r="J38" s="44">
        <f>91.81</f>
        <v>91.81</v>
      </c>
    </row>
    <row r="39" spans="1:10" ht="15" x14ac:dyDescent="0.2">
      <c r="A39" s="16">
        <v>41730</v>
      </c>
      <c r="B39" s="17">
        <f>16.6509 * CHOOSE(CONTROL!$C$15, $E$9, 100%, $G$9) + CHOOSE(CONTROL!$C$38, 0.0339, 0)</f>
        <v>16.684799999999999</v>
      </c>
      <c r="C39" s="17">
        <f>15.5359 * CHOOSE(CONTROL!$C$15, $E$9, 100%, $G$9) + CHOOSE(CONTROL!$C$38, 0.034, 0)</f>
        <v>15.569900000000001</v>
      </c>
      <c r="D39" s="17">
        <f>15.5281 * CHOOSE(CONTROL!$C$15, $E$9, 100%, $G$9) + CHOOSE(CONTROL!$C$38, 0.034, 0)</f>
        <v>15.562100000000001</v>
      </c>
      <c r="E39" s="17">
        <f>15.5281 * CHOOSE(CONTROL!$C$15, $E$9, 100%, $G$9) + CHOOSE(CONTROL!$C$38, 0.034, 0)</f>
        <v>15.562100000000001</v>
      </c>
      <c r="F39" s="45">
        <f>16.6509 * CHOOSE(CONTROL!$C$15, $E$9, 100%, $G$9) + CHOOSE(CONTROL!$C$38, 0.0339, 0)</f>
        <v>16.684799999999999</v>
      </c>
      <c r="G39" s="17">
        <f>15.5344 * CHOOSE(CONTROL!$C$15, $E$9, 100%, $G$9) + CHOOSE(CONTROL!$C$38, 0.034, 0)</f>
        <v>15.5684</v>
      </c>
      <c r="H39" s="17">
        <f>15.5344 * CHOOSE(CONTROL!$C$15, $E$9, 100%, $G$9) + CHOOSE(CONTROL!$C$38, 0.034, 0)</f>
        <v>15.5684</v>
      </c>
      <c r="I39" s="17">
        <f>15.5359 * CHOOSE(CONTROL!$C$15, $E$9, 100%, $G$9) + CHOOSE(CONTROL!$C$38, 0.034, 0)</f>
        <v>15.569900000000001</v>
      </c>
      <c r="J39" s="44">
        <f>91.68</f>
        <v>91.68</v>
      </c>
    </row>
    <row r="40" spans="1:10" ht="15" x14ac:dyDescent="0.2">
      <c r="A40" s="16">
        <v>41760</v>
      </c>
      <c r="B40" s="17">
        <f>16.6509 * CHOOSE(CONTROL!$C$15, $E$9, 100%, $G$9) + CHOOSE(CONTROL!$C$38, 0.0355, 0)</f>
        <v>16.686399999999999</v>
      </c>
      <c r="C40" s="17">
        <f>15.5359 * CHOOSE(CONTROL!$C$15, $E$9, 100%, $G$9) + CHOOSE(CONTROL!$C$38, 0.0356, 0)</f>
        <v>15.5715</v>
      </c>
      <c r="D40" s="17">
        <f>15.5281 * CHOOSE(CONTROL!$C$15, $E$9, 100%, $G$9) + CHOOSE(CONTROL!$C$38, 0.0356, 0)</f>
        <v>15.563700000000001</v>
      </c>
      <c r="E40" s="17">
        <f>15.5281 * CHOOSE(CONTROL!$C$15, $E$9, 100%, $G$9) + CHOOSE(CONTROL!$C$38, 0.0356, 0)</f>
        <v>15.563700000000001</v>
      </c>
      <c r="F40" s="45">
        <f>16.6509 * CHOOSE(CONTROL!$C$15, $E$9, 100%, $G$9) + CHOOSE(CONTROL!$C$38, 0.0355, 0)</f>
        <v>16.686399999999999</v>
      </c>
      <c r="G40" s="17">
        <f>15.5344 * CHOOSE(CONTROL!$C$15, $E$9, 100%, $G$9) + CHOOSE(CONTROL!$C$38, 0.0356, 0)</f>
        <v>15.57</v>
      </c>
      <c r="H40" s="17">
        <f>15.5344 * CHOOSE(CONTROL!$C$15, $E$9, 100%, $G$9) + CHOOSE(CONTROL!$C$38, 0.0356, 0)</f>
        <v>15.57</v>
      </c>
      <c r="I40" s="17">
        <f>15.5359 * CHOOSE(CONTROL!$C$15, $E$9, 100%, $G$9) + CHOOSE(CONTROL!$C$38, 0.0356, 0)</f>
        <v>15.5715</v>
      </c>
      <c r="J40" s="44">
        <f>91.56</f>
        <v>91.56</v>
      </c>
    </row>
    <row r="41" spans="1:10" ht="15" x14ac:dyDescent="0.2">
      <c r="A41" s="16">
        <v>41791</v>
      </c>
      <c r="B41" s="17">
        <f>16.6509 * CHOOSE(CONTROL!$C$15, $E$9, 100%, $G$9) + CHOOSE(CONTROL!$C$38, 0.0355, 0)</f>
        <v>16.686399999999999</v>
      </c>
      <c r="C41" s="17">
        <f>15.5359 * CHOOSE(CONTROL!$C$15, $E$9, 100%, $G$9) + CHOOSE(CONTROL!$C$38, 0.0356, 0)</f>
        <v>15.5715</v>
      </c>
      <c r="D41" s="17">
        <f>15.5281 * CHOOSE(CONTROL!$C$15, $E$9, 100%, $G$9) + CHOOSE(CONTROL!$C$38, 0.0356, 0)</f>
        <v>15.563700000000001</v>
      </c>
      <c r="E41" s="17">
        <f>15.5281 * CHOOSE(CONTROL!$C$15, $E$9, 100%, $G$9) + CHOOSE(CONTROL!$C$38, 0.0356, 0)</f>
        <v>15.563700000000001</v>
      </c>
      <c r="F41" s="45">
        <f>16.6509 * CHOOSE(CONTROL!$C$15, $E$9, 100%, $G$9) + CHOOSE(CONTROL!$C$38, 0.0355, 0)</f>
        <v>16.686399999999999</v>
      </c>
      <c r="G41" s="17">
        <f>15.5344 * CHOOSE(CONTROL!$C$15, $E$9, 100%, $G$9) + CHOOSE(CONTROL!$C$38, 0.0356, 0)</f>
        <v>15.57</v>
      </c>
      <c r="H41" s="17">
        <f>15.5344 * CHOOSE(CONTROL!$C$15, $E$9, 100%, $G$9) + CHOOSE(CONTROL!$C$38, 0.0356, 0)</f>
        <v>15.57</v>
      </c>
      <c r="I41" s="17">
        <f>15.5359 * CHOOSE(CONTROL!$C$15, $E$9, 100%, $G$9) + CHOOSE(CONTROL!$C$38, 0.0356, 0)</f>
        <v>15.5715</v>
      </c>
      <c r="J41" s="44">
        <f>91.44</f>
        <v>91.44</v>
      </c>
    </row>
    <row r="42" spans="1:10" ht="15" x14ac:dyDescent="0.2">
      <c r="A42" s="16">
        <v>41821</v>
      </c>
      <c r="B42" s="17">
        <f>16.6509 * CHOOSE(CONTROL!$C$15, $E$9, 100%, $G$9) + CHOOSE(CONTROL!$C$38, 0.0355, 0)</f>
        <v>16.686399999999999</v>
      </c>
      <c r="C42" s="17">
        <f>15.5359 * CHOOSE(CONTROL!$C$15, $E$9, 100%, $G$9) + CHOOSE(CONTROL!$C$38, 0.0356, 0)</f>
        <v>15.5715</v>
      </c>
      <c r="D42" s="17">
        <f>15.5281 * CHOOSE(CONTROL!$C$15, $E$9, 100%, $G$9) + CHOOSE(CONTROL!$C$38, 0.0356, 0)</f>
        <v>15.563700000000001</v>
      </c>
      <c r="E42" s="17">
        <f>15.5281 * CHOOSE(CONTROL!$C$15, $E$9, 100%, $G$9) + CHOOSE(CONTROL!$C$38, 0.0356, 0)</f>
        <v>15.563700000000001</v>
      </c>
      <c r="F42" s="45">
        <f>16.6509 * CHOOSE(CONTROL!$C$15, $E$9, 100%, $G$9) + CHOOSE(CONTROL!$C$38, 0.0355, 0)</f>
        <v>16.686399999999999</v>
      </c>
      <c r="G42" s="17">
        <f>15.5344 * CHOOSE(CONTROL!$C$15, $E$9, 100%, $G$9) + CHOOSE(CONTROL!$C$38, 0.0356, 0)</f>
        <v>15.57</v>
      </c>
      <c r="H42" s="17">
        <f>15.5344 * CHOOSE(CONTROL!$C$15, $E$9, 100%, $G$9) + CHOOSE(CONTROL!$C$38, 0.0356, 0)</f>
        <v>15.57</v>
      </c>
      <c r="I42" s="17">
        <f>15.5359 * CHOOSE(CONTROL!$C$15, $E$9, 100%, $G$9) + CHOOSE(CONTROL!$C$38, 0.0356, 0)</f>
        <v>15.5715</v>
      </c>
      <c r="J42" s="44">
        <f>91.27</f>
        <v>91.27</v>
      </c>
    </row>
    <row r="43" spans="1:10" ht="15" x14ac:dyDescent="0.2">
      <c r="A43" s="16">
        <v>41852</v>
      </c>
      <c r="B43" s="17">
        <f>16.6509 * CHOOSE(CONTROL!$C$15, $E$9, 100%, $G$9) + CHOOSE(CONTROL!$C$38, 0.0355, 0)</f>
        <v>16.686399999999999</v>
      </c>
      <c r="C43" s="17">
        <f>15.5359 * CHOOSE(CONTROL!$C$15, $E$9, 100%, $G$9) + CHOOSE(CONTROL!$C$38, 0.0356, 0)</f>
        <v>15.5715</v>
      </c>
      <c r="D43" s="17">
        <f>15.5281 * CHOOSE(CONTROL!$C$15, $E$9, 100%, $G$9) + CHOOSE(CONTROL!$C$38, 0.0356, 0)</f>
        <v>15.563700000000001</v>
      </c>
      <c r="E43" s="17">
        <f>15.5281 * CHOOSE(CONTROL!$C$15, $E$9, 100%, $G$9) + CHOOSE(CONTROL!$C$38, 0.0356, 0)</f>
        <v>15.563700000000001</v>
      </c>
      <c r="F43" s="45">
        <f>16.6509 * CHOOSE(CONTROL!$C$15, $E$9, 100%, $G$9) + CHOOSE(CONTROL!$C$38, 0.0355, 0)</f>
        <v>16.686399999999999</v>
      </c>
      <c r="G43" s="17">
        <f>15.5344 * CHOOSE(CONTROL!$C$15, $E$9, 100%, $G$9) + CHOOSE(CONTROL!$C$38, 0.0356, 0)</f>
        <v>15.57</v>
      </c>
      <c r="H43" s="17">
        <f>15.5344 * CHOOSE(CONTROL!$C$15, $E$9, 100%, $G$9) + CHOOSE(CONTROL!$C$38, 0.0356, 0)</f>
        <v>15.57</v>
      </c>
      <c r="I43" s="17">
        <f>15.5359 * CHOOSE(CONTROL!$C$15, $E$9, 100%, $G$9) + CHOOSE(CONTROL!$C$38, 0.0356, 0)</f>
        <v>15.5715</v>
      </c>
      <c r="J43" s="44">
        <f>91.11</f>
        <v>91.11</v>
      </c>
    </row>
    <row r="44" spans="1:10" ht="15" x14ac:dyDescent="0.2">
      <c r="A44" s="16">
        <v>41883</v>
      </c>
      <c r="B44" s="17">
        <f>16.6509 * CHOOSE(CONTROL!$C$15, $E$9, 100%, $G$9) + CHOOSE(CONTROL!$C$38, 0.0355, 0)</f>
        <v>16.686399999999999</v>
      </c>
      <c r="C44" s="17">
        <f>15.5359 * CHOOSE(CONTROL!$C$15, $E$9, 100%, $G$9) + CHOOSE(CONTROL!$C$38, 0.0356, 0)</f>
        <v>15.5715</v>
      </c>
      <c r="D44" s="17">
        <f>15.5281 * CHOOSE(CONTROL!$C$15, $E$9, 100%, $G$9) + CHOOSE(CONTROL!$C$38, 0.0356, 0)</f>
        <v>15.563700000000001</v>
      </c>
      <c r="E44" s="17">
        <f>15.5281 * CHOOSE(CONTROL!$C$15, $E$9, 100%, $G$9) + CHOOSE(CONTROL!$C$38, 0.0356, 0)</f>
        <v>15.563700000000001</v>
      </c>
      <c r="F44" s="45">
        <f>16.6509 * CHOOSE(CONTROL!$C$15, $E$9, 100%, $G$9) + CHOOSE(CONTROL!$C$38, 0.0355, 0)</f>
        <v>16.686399999999999</v>
      </c>
      <c r="G44" s="17">
        <f>15.5344 * CHOOSE(CONTROL!$C$15, $E$9, 100%, $G$9) + CHOOSE(CONTROL!$C$38, 0.0356, 0)</f>
        <v>15.57</v>
      </c>
      <c r="H44" s="17">
        <f>15.5344 * CHOOSE(CONTROL!$C$15, $E$9, 100%, $G$9) + CHOOSE(CONTROL!$C$38, 0.0356, 0)</f>
        <v>15.57</v>
      </c>
      <c r="I44" s="17">
        <f>15.5359 * CHOOSE(CONTROL!$C$15, $E$9, 100%, $G$9) + CHOOSE(CONTROL!$C$38, 0.0356, 0)</f>
        <v>15.5715</v>
      </c>
      <c r="J44" s="44">
        <f>90.98</f>
        <v>90.98</v>
      </c>
    </row>
    <row r="45" spans="1:10" ht="15" x14ac:dyDescent="0.2">
      <c r="A45" s="16">
        <v>41913</v>
      </c>
      <c r="B45" s="17">
        <f>16.6509 * CHOOSE(CONTROL!$C$15, $E$9, 100%, $G$9) + CHOOSE(CONTROL!$C$38, 0.0339, 0)</f>
        <v>16.684799999999999</v>
      </c>
      <c r="C45" s="17">
        <f>15.5359 * CHOOSE(CONTROL!$C$15, $E$9, 100%, $G$9) + CHOOSE(CONTROL!$C$38, 0.034, 0)</f>
        <v>15.569900000000001</v>
      </c>
      <c r="D45" s="17">
        <f>15.5281 * CHOOSE(CONTROL!$C$15, $E$9, 100%, $G$9) + CHOOSE(CONTROL!$C$38, 0.034, 0)</f>
        <v>15.562100000000001</v>
      </c>
      <c r="E45" s="17">
        <f>15.5281 * CHOOSE(CONTROL!$C$15, $E$9, 100%, $G$9) + CHOOSE(CONTROL!$C$38, 0.034, 0)</f>
        <v>15.562100000000001</v>
      </c>
      <c r="F45" s="45">
        <f>16.6509 * CHOOSE(CONTROL!$C$15, $E$9, 100%, $G$9) + CHOOSE(CONTROL!$C$38, 0.0339, 0)</f>
        <v>16.684799999999999</v>
      </c>
      <c r="G45" s="17">
        <f>15.5344 * CHOOSE(CONTROL!$C$15, $E$9, 100%, $G$9) + CHOOSE(CONTROL!$C$38, 0.034, 0)</f>
        <v>15.5684</v>
      </c>
      <c r="H45" s="17">
        <f>15.5344 * CHOOSE(CONTROL!$C$15, $E$9, 100%, $G$9) + CHOOSE(CONTROL!$C$38, 0.034, 0)</f>
        <v>15.5684</v>
      </c>
      <c r="I45" s="17">
        <f>15.5359 * CHOOSE(CONTROL!$C$15, $E$9, 100%, $G$9) + CHOOSE(CONTROL!$C$38, 0.034, 0)</f>
        <v>15.569900000000001</v>
      </c>
      <c r="J45" s="44">
        <f>90.87</f>
        <v>90.87</v>
      </c>
    </row>
    <row r="46" spans="1:10" ht="15" x14ac:dyDescent="0.2">
      <c r="A46" s="16">
        <v>41944</v>
      </c>
      <c r="B46" s="17">
        <f>16.6509 * CHOOSE(CONTROL!$C$15, $E$9, 100%, $G$9) + CHOOSE(CONTROL!$C$38, 0.0339, 0)</f>
        <v>16.684799999999999</v>
      </c>
      <c r="C46" s="17">
        <f>15.5359 * CHOOSE(CONTROL!$C$15, $E$9, 100%, $G$9) + CHOOSE(CONTROL!$C$38, 0.034, 0)</f>
        <v>15.569900000000001</v>
      </c>
      <c r="D46" s="17">
        <f>15.5281 * CHOOSE(CONTROL!$C$15, $E$9, 100%, $G$9) + CHOOSE(CONTROL!$C$38, 0.034, 0)</f>
        <v>15.562100000000001</v>
      </c>
      <c r="E46" s="17">
        <f>15.5281 * CHOOSE(CONTROL!$C$15, $E$9, 100%, $G$9) + CHOOSE(CONTROL!$C$38, 0.034, 0)</f>
        <v>15.562100000000001</v>
      </c>
      <c r="F46" s="45">
        <f>16.6509 * CHOOSE(CONTROL!$C$15, $E$9, 100%, $G$9) + CHOOSE(CONTROL!$C$38, 0.0339, 0)</f>
        <v>16.684799999999999</v>
      </c>
      <c r="G46" s="17">
        <f>15.5344 * CHOOSE(CONTROL!$C$15, $E$9, 100%, $G$9) + CHOOSE(CONTROL!$C$38, 0.034, 0)</f>
        <v>15.5684</v>
      </c>
      <c r="H46" s="17">
        <f>15.5344 * CHOOSE(CONTROL!$C$15, $E$9, 100%, $G$9) + CHOOSE(CONTROL!$C$38, 0.034, 0)</f>
        <v>15.5684</v>
      </c>
      <c r="I46" s="17">
        <f>15.5359 * CHOOSE(CONTROL!$C$15, $E$9, 100%, $G$9) + CHOOSE(CONTROL!$C$38, 0.034, 0)</f>
        <v>15.569900000000001</v>
      </c>
      <c r="J46" s="44">
        <f>90.79</f>
        <v>90.79</v>
      </c>
    </row>
    <row r="47" spans="1:10" ht="15" x14ac:dyDescent="0.2">
      <c r="A47" s="16">
        <v>41974</v>
      </c>
      <c r="B47" s="17">
        <f>16.6509 * CHOOSE(CONTROL!$C$15, $E$9, 100%, $G$9) + CHOOSE(CONTROL!$C$38, 0.0339, 0)</f>
        <v>16.684799999999999</v>
      </c>
      <c r="C47" s="17">
        <f>15.5359 * CHOOSE(CONTROL!$C$15, $E$9, 100%, $G$9) + CHOOSE(CONTROL!$C$38, 0.034, 0)</f>
        <v>15.569900000000001</v>
      </c>
      <c r="D47" s="17">
        <f>15.5281 * CHOOSE(CONTROL!$C$15, $E$9, 100%, $G$9) + CHOOSE(CONTROL!$C$38, 0.034, 0)</f>
        <v>15.562100000000001</v>
      </c>
      <c r="E47" s="17">
        <f>15.5281 * CHOOSE(CONTROL!$C$15, $E$9, 100%, $G$9) + CHOOSE(CONTROL!$C$38, 0.034, 0)</f>
        <v>15.562100000000001</v>
      </c>
      <c r="F47" s="45">
        <f>16.6509 * CHOOSE(CONTROL!$C$15, $E$9, 100%, $G$9) + CHOOSE(CONTROL!$C$38, 0.0339, 0)</f>
        <v>16.684799999999999</v>
      </c>
      <c r="G47" s="17">
        <f>15.5344 * CHOOSE(CONTROL!$C$15, $E$9, 100%, $G$9) + CHOOSE(CONTROL!$C$38, 0.034, 0)</f>
        <v>15.5684</v>
      </c>
      <c r="H47" s="17">
        <f>15.5344 * CHOOSE(CONTROL!$C$15, $E$9, 100%, $G$9) + CHOOSE(CONTROL!$C$38, 0.034, 0)</f>
        <v>15.5684</v>
      </c>
      <c r="I47" s="17">
        <f>15.5359 * CHOOSE(CONTROL!$C$15, $E$9, 100%, $G$9) + CHOOSE(CONTROL!$C$38, 0.034, 0)</f>
        <v>15.569900000000001</v>
      </c>
      <c r="J47" s="44">
        <f>90.74</f>
        <v>90.74</v>
      </c>
    </row>
    <row r="48" spans="1:10" ht="15" x14ac:dyDescent="0.2">
      <c r="A48" s="16">
        <v>42005</v>
      </c>
      <c r="B48" s="17">
        <f>17.622 * CHOOSE(CONTROL!$C$15, $E$9, 100%, $G$9) + CHOOSE(CONTROL!$C$38, 0.0339, 0)</f>
        <v>17.655899999999999</v>
      </c>
      <c r="C48" s="17">
        <f>16.6352 * CHOOSE(CONTROL!$C$15, $E$9, 100%, $G$9) + CHOOSE(CONTROL!$C$38, 0.034, 0)</f>
        <v>16.6692</v>
      </c>
      <c r="D48" s="17">
        <f>16.6274 * CHOOSE(CONTROL!$C$15, $E$9, 100%, $G$9) + CHOOSE(CONTROL!$C$38, 0.034, 0)</f>
        <v>16.6614</v>
      </c>
      <c r="E48" s="17">
        <f>16.6274 * CHOOSE(CONTROL!$C$15, $E$9, 100%, $G$9) + CHOOSE(CONTROL!$C$38, 0.034, 0)</f>
        <v>16.6614</v>
      </c>
      <c r="F48" s="45">
        <f>17.622 * CHOOSE(CONTROL!$C$15, $E$9, 100%, $G$9) + CHOOSE(CONTROL!$C$38, 0.0339, 0)</f>
        <v>17.655899999999999</v>
      </c>
      <c r="G48" s="17">
        <f>16.6336 * CHOOSE(CONTROL!$C$15, $E$9, 100%, $G$9) + CHOOSE(CONTROL!$C$38, 0.034, 0)</f>
        <v>16.6676</v>
      </c>
      <c r="H48" s="17">
        <f>16.6336 * CHOOSE(CONTROL!$C$15, $E$9, 100%, $G$9) + CHOOSE(CONTROL!$C$38, 0.034, 0)</f>
        <v>16.6676</v>
      </c>
      <c r="I48" s="17">
        <f>16.6352 * CHOOSE(CONTROL!$C$15, $E$9, 100%, $G$9) + CHOOSE(CONTROL!$C$38, 0.034, 0)</f>
        <v>16.6692</v>
      </c>
      <c r="J48" s="44">
        <f>87.7764</f>
        <v>87.776399999999995</v>
      </c>
    </row>
    <row r="49" spans="1:10" ht="15" x14ac:dyDescent="0.2">
      <c r="A49" s="16">
        <v>42036</v>
      </c>
      <c r="B49" s="17">
        <f>17.8982 * CHOOSE(CONTROL!$C$15, $E$9, 100%, $G$9) + CHOOSE(CONTROL!$C$38, 0.0339, 0)</f>
        <v>17.932099999999998</v>
      </c>
      <c r="C49" s="17">
        <f>16.9097 * CHOOSE(CONTROL!$C$15, $E$9, 100%, $G$9) + CHOOSE(CONTROL!$C$38, 0.034, 0)</f>
        <v>16.9437</v>
      </c>
      <c r="D49" s="17">
        <f>16.9019 * CHOOSE(CONTROL!$C$15, $E$9, 100%, $G$9) + CHOOSE(CONTROL!$C$38, 0.034, 0)</f>
        <v>16.9359</v>
      </c>
      <c r="E49" s="17">
        <f>16.9019 * CHOOSE(CONTROL!$C$15, $E$9, 100%, $G$9) + CHOOSE(CONTROL!$C$38, 0.034, 0)</f>
        <v>16.9359</v>
      </c>
      <c r="F49" s="45">
        <f>17.8982 * CHOOSE(CONTROL!$C$15, $E$9, 100%, $G$9) + CHOOSE(CONTROL!$C$38, 0.0339, 0)</f>
        <v>17.932099999999998</v>
      </c>
      <c r="G49" s="17">
        <f>16.9081 * CHOOSE(CONTROL!$C$15, $E$9, 100%, $G$9) + CHOOSE(CONTROL!$C$38, 0.034, 0)</f>
        <v>16.9421</v>
      </c>
      <c r="H49" s="17">
        <f>16.9081 * CHOOSE(CONTROL!$C$15, $E$9, 100%, $G$9) + CHOOSE(CONTROL!$C$38, 0.034, 0)</f>
        <v>16.9421</v>
      </c>
      <c r="I49" s="17">
        <f>16.9097 * CHOOSE(CONTROL!$C$15, $E$9, 100%, $G$9) + CHOOSE(CONTROL!$C$38, 0.034, 0)</f>
        <v>16.9437</v>
      </c>
      <c r="J49" s="44">
        <f>87.7127</f>
        <v>87.712699999999998</v>
      </c>
    </row>
    <row r="50" spans="1:10" ht="15" x14ac:dyDescent="0.2">
      <c r="A50" s="16">
        <v>42064</v>
      </c>
      <c r="B50" s="17">
        <f>17.3744 * CHOOSE(CONTROL!$C$15, $E$9, 100%, $G$9) + CHOOSE(CONTROL!$C$38, 0.0339, 0)</f>
        <v>17.408300000000001</v>
      </c>
      <c r="C50" s="17">
        <f>16.3841 * CHOOSE(CONTROL!$C$15, $E$9, 100%, $G$9) + CHOOSE(CONTROL!$C$38, 0.034, 0)</f>
        <v>16.418099999999999</v>
      </c>
      <c r="D50" s="17">
        <f>16.3763 * CHOOSE(CONTROL!$C$15, $E$9, 100%, $G$9) + CHOOSE(CONTROL!$C$38, 0.034, 0)</f>
        <v>16.410299999999999</v>
      </c>
      <c r="E50" s="17">
        <f>16.3763 * CHOOSE(CONTROL!$C$15, $E$9, 100%, $G$9) + CHOOSE(CONTROL!$C$38, 0.034, 0)</f>
        <v>16.410299999999999</v>
      </c>
      <c r="F50" s="45">
        <f>17.3744 * CHOOSE(CONTROL!$C$15, $E$9, 100%, $G$9) + CHOOSE(CONTROL!$C$38, 0.0339, 0)</f>
        <v>17.408300000000001</v>
      </c>
      <c r="G50" s="17">
        <f>16.3826 * CHOOSE(CONTROL!$C$15, $E$9, 100%, $G$9) + CHOOSE(CONTROL!$C$38, 0.034, 0)</f>
        <v>16.416599999999999</v>
      </c>
      <c r="H50" s="17">
        <f>16.3826 * CHOOSE(CONTROL!$C$15, $E$9, 100%, $G$9) + CHOOSE(CONTROL!$C$38, 0.034, 0)</f>
        <v>16.416599999999999</v>
      </c>
      <c r="I50" s="17">
        <f>16.3841 * CHOOSE(CONTROL!$C$15, $E$9, 100%, $G$9) + CHOOSE(CONTROL!$C$38, 0.034, 0)</f>
        <v>16.418099999999999</v>
      </c>
      <c r="J50" s="44">
        <f>92.5258</f>
        <v>92.525800000000004</v>
      </c>
    </row>
    <row r="51" spans="1:10" ht="15" x14ac:dyDescent="0.2">
      <c r="A51" s="16">
        <v>42095</v>
      </c>
      <c r="B51" s="17">
        <f>16.8657 * CHOOSE(CONTROL!$C$15, $E$9, 100%, $G$9) + CHOOSE(CONTROL!$C$38, 0.0339, 0)</f>
        <v>16.8996</v>
      </c>
      <c r="C51" s="17">
        <f>15.8737 * CHOOSE(CONTROL!$C$15, $E$9, 100%, $G$9) + CHOOSE(CONTROL!$C$38, 0.034, 0)</f>
        <v>15.9077</v>
      </c>
      <c r="D51" s="17">
        <f>15.8659 * CHOOSE(CONTROL!$C$15, $E$9, 100%, $G$9) + CHOOSE(CONTROL!$C$38, 0.034, 0)</f>
        <v>15.899900000000001</v>
      </c>
      <c r="E51" s="17">
        <f>15.8659 * CHOOSE(CONTROL!$C$15, $E$9, 100%, $G$9) + CHOOSE(CONTROL!$C$38, 0.034, 0)</f>
        <v>15.899900000000001</v>
      </c>
      <c r="F51" s="45">
        <f>16.8657 * CHOOSE(CONTROL!$C$15, $E$9, 100%, $G$9) + CHOOSE(CONTROL!$C$38, 0.0339, 0)</f>
        <v>16.8996</v>
      </c>
      <c r="G51" s="17">
        <f>15.8721 * CHOOSE(CONTROL!$C$15, $E$9, 100%, $G$9) + CHOOSE(CONTROL!$C$38, 0.034, 0)</f>
        <v>15.9061</v>
      </c>
      <c r="H51" s="17">
        <f>15.8721 * CHOOSE(CONTROL!$C$15, $E$9, 100%, $G$9) + CHOOSE(CONTROL!$C$38, 0.034, 0)</f>
        <v>15.9061</v>
      </c>
      <c r="I51" s="17">
        <f>15.8737 * CHOOSE(CONTROL!$C$15, $E$9, 100%, $G$9) + CHOOSE(CONTROL!$C$38, 0.034, 0)</f>
        <v>15.9077</v>
      </c>
      <c r="J51" s="44">
        <f>98.736</f>
        <v>98.736000000000004</v>
      </c>
    </row>
    <row r="52" spans="1:10" ht="15" x14ac:dyDescent="0.2">
      <c r="A52" s="16">
        <v>42125</v>
      </c>
      <c r="B52" s="17">
        <f>16.3318 * CHOOSE(CONTROL!$C$15, $E$9, 100%, $G$9) + CHOOSE(CONTROL!$C$38, 0.0355, 0)</f>
        <v>16.3673</v>
      </c>
      <c r="C52" s="17">
        <f>15.3381 * CHOOSE(CONTROL!$C$15, $E$9, 100%, $G$9) + CHOOSE(CONTROL!$C$38, 0.0356, 0)</f>
        <v>15.373700000000001</v>
      </c>
      <c r="D52" s="17">
        <f>15.3303 * CHOOSE(CONTROL!$C$15, $E$9, 100%, $G$9) + CHOOSE(CONTROL!$C$38, 0.0356, 0)</f>
        <v>15.3659</v>
      </c>
      <c r="E52" s="17">
        <f>15.3303 * CHOOSE(CONTROL!$C$15, $E$9, 100%, $G$9) + CHOOSE(CONTROL!$C$38, 0.0356, 0)</f>
        <v>15.3659</v>
      </c>
      <c r="F52" s="45">
        <f>16.3318 * CHOOSE(CONTROL!$C$15, $E$9, 100%, $G$9) + CHOOSE(CONTROL!$C$38, 0.0355, 0)</f>
        <v>16.3673</v>
      </c>
      <c r="G52" s="17">
        <f>15.3365 * CHOOSE(CONTROL!$C$15, $E$9, 100%, $G$9) + CHOOSE(CONTROL!$C$38, 0.0356, 0)</f>
        <v>15.3721</v>
      </c>
      <c r="H52" s="17">
        <f>15.3365 * CHOOSE(CONTROL!$C$15, $E$9, 100%, $G$9) + CHOOSE(CONTROL!$C$38, 0.0356, 0)</f>
        <v>15.3721</v>
      </c>
      <c r="I52" s="17">
        <f>15.3381 * CHOOSE(CONTROL!$C$15, $E$9, 100%, $G$9) + CHOOSE(CONTROL!$C$38, 0.0356, 0)</f>
        <v>15.373700000000001</v>
      </c>
      <c r="J52" s="44">
        <f>102.2596</f>
        <v>102.25960000000001</v>
      </c>
    </row>
    <row r="53" spans="1:10" ht="15" x14ac:dyDescent="0.2">
      <c r="A53" s="16">
        <v>42156</v>
      </c>
      <c r="B53" s="17">
        <f>15.9656 * CHOOSE(CONTROL!$C$15, $E$9, 100%, $G$9) + CHOOSE(CONTROL!$C$38, 0.0355, 0)</f>
        <v>16.001100000000001</v>
      </c>
      <c r="C53" s="17">
        <f>14.9702 * CHOOSE(CONTROL!$C$15, $E$9, 100%, $G$9) + CHOOSE(CONTROL!$C$38, 0.0356, 0)</f>
        <v>15.005800000000001</v>
      </c>
      <c r="D53" s="17">
        <f>14.9624 * CHOOSE(CONTROL!$C$15, $E$9, 100%, $G$9) + CHOOSE(CONTROL!$C$38, 0.0356, 0)</f>
        <v>14.998000000000001</v>
      </c>
      <c r="E53" s="17">
        <f>14.9624 * CHOOSE(CONTROL!$C$15, $E$9, 100%, $G$9) + CHOOSE(CONTROL!$C$38, 0.0356, 0)</f>
        <v>14.998000000000001</v>
      </c>
      <c r="F53" s="45">
        <f>15.9656 * CHOOSE(CONTROL!$C$15, $E$9, 100%, $G$9) + CHOOSE(CONTROL!$C$38, 0.0355, 0)</f>
        <v>16.001100000000001</v>
      </c>
      <c r="G53" s="17">
        <f>14.9686 * CHOOSE(CONTROL!$C$15, $E$9, 100%, $G$9) + CHOOSE(CONTROL!$C$38, 0.0356, 0)</f>
        <v>15.004200000000001</v>
      </c>
      <c r="H53" s="17">
        <f>14.9686 * CHOOSE(CONTROL!$C$15, $E$9, 100%, $G$9) + CHOOSE(CONTROL!$C$38, 0.0356, 0)</f>
        <v>15.004200000000001</v>
      </c>
      <c r="I53" s="17">
        <f>14.9702 * CHOOSE(CONTROL!$C$15, $E$9, 100%, $G$9) + CHOOSE(CONTROL!$C$38, 0.0356, 0)</f>
        <v>15.005800000000001</v>
      </c>
      <c r="J53" s="44">
        <f>103.9468</f>
        <v>103.9468</v>
      </c>
    </row>
    <row r="54" spans="1:10" ht="15" x14ac:dyDescent="0.2">
      <c r="A54" s="16">
        <v>42186</v>
      </c>
      <c r="B54" s="17">
        <f>15.7693 * CHOOSE(CONTROL!$C$15, $E$9, 100%, $G$9) + CHOOSE(CONTROL!$C$38, 0.0355, 0)</f>
        <v>15.8048</v>
      </c>
      <c r="C54" s="17">
        <f>14.7721 * CHOOSE(CONTROL!$C$15, $E$9, 100%, $G$9) + CHOOSE(CONTROL!$C$38, 0.0356, 0)</f>
        <v>14.807700000000001</v>
      </c>
      <c r="D54" s="17">
        <f>14.7643 * CHOOSE(CONTROL!$C$15, $E$9, 100%, $G$9) + CHOOSE(CONTROL!$C$38, 0.0356, 0)</f>
        <v>14.799900000000001</v>
      </c>
      <c r="E54" s="17">
        <f>14.7643 * CHOOSE(CONTROL!$C$15, $E$9, 100%, $G$9) + CHOOSE(CONTROL!$C$38, 0.0356, 0)</f>
        <v>14.799900000000001</v>
      </c>
      <c r="F54" s="45">
        <f>15.7693 * CHOOSE(CONTROL!$C$15, $E$9, 100%, $G$9) + CHOOSE(CONTROL!$C$38, 0.0355, 0)</f>
        <v>15.8048</v>
      </c>
      <c r="G54" s="17">
        <f>14.7706 * CHOOSE(CONTROL!$C$15, $E$9, 100%, $G$9) + CHOOSE(CONTROL!$C$38, 0.0356, 0)</f>
        <v>14.8062</v>
      </c>
      <c r="H54" s="17">
        <f>14.7706 * CHOOSE(CONTROL!$C$15, $E$9, 100%, $G$9) + CHOOSE(CONTROL!$C$38, 0.0356, 0)</f>
        <v>14.8062</v>
      </c>
      <c r="I54" s="17">
        <f>14.7721 * CHOOSE(CONTROL!$C$15, $E$9, 100%, $G$9) + CHOOSE(CONTROL!$C$38, 0.0356, 0)</f>
        <v>14.807700000000001</v>
      </c>
      <c r="J54" s="44">
        <f>103.6737</f>
        <v>103.6737</v>
      </c>
    </row>
    <row r="55" spans="1:10" ht="15" x14ac:dyDescent="0.2">
      <c r="A55" s="16">
        <v>42217</v>
      </c>
      <c r="B55" s="17">
        <f>15.9132 * CHOOSE(CONTROL!$C$15, $E$9, 100%, $G$9) + CHOOSE(CONTROL!$C$38, 0.0355, 0)</f>
        <v>15.948700000000001</v>
      </c>
      <c r="C55" s="17">
        <f>14.9143 * CHOOSE(CONTROL!$C$15, $E$9, 100%, $G$9) + CHOOSE(CONTROL!$C$38, 0.0356, 0)</f>
        <v>14.949900000000001</v>
      </c>
      <c r="D55" s="17">
        <f>14.9065 * CHOOSE(CONTROL!$C$15, $E$9, 100%, $G$9) + CHOOSE(CONTROL!$C$38, 0.0356, 0)</f>
        <v>14.9421</v>
      </c>
      <c r="E55" s="17">
        <f>14.9065 * CHOOSE(CONTROL!$C$15, $E$9, 100%, $G$9) + CHOOSE(CONTROL!$C$38, 0.0356, 0)</f>
        <v>14.9421</v>
      </c>
      <c r="F55" s="45">
        <f>15.9132 * CHOOSE(CONTROL!$C$15, $E$9, 100%, $G$9) + CHOOSE(CONTROL!$C$38, 0.0355, 0)</f>
        <v>15.948700000000001</v>
      </c>
      <c r="G55" s="17">
        <f>14.9128 * CHOOSE(CONTROL!$C$15, $E$9, 100%, $G$9) + CHOOSE(CONTROL!$C$38, 0.0356, 0)</f>
        <v>14.948400000000001</v>
      </c>
      <c r="H55" s="17">
        <f>14.9128 * CHOOSE(CONTROL!$C$15, $E$9, 100%, $G$9) + CHOOSE(CONTROL!$C$38, 0.0356, 0)</f>
        <v>14.948400000000001</v>
      </c>
      <c r="I55" s="17">
        <f>14.9143 * CHOOSE(CONTROL!$C$15, $E$9, 100%, $G$9) + CHOOSE(CONTROL!$C$38, 0.0356, 0)</f>
        <v>14.949900000000001</v>
      </c>
      <c r="J55" s="44">
        <f>101.4688</f>
        <v>101.4688</v>
      </c>
    </row>
    <row r="56" spans="1:10" ht="15" x14ac:dyDescent="0.2">
      <c r="A56" s="16">
        <v>42248</v>
      </c>
      <c r="B56" s="17">
        <f>16.2515 * CHOOSE(CONTROL!$C$15, $E$9, 100%, $G$9) + CHOOSE(CONTROL!$C$38, 0.0355, 0)</f>
        <v>16.286999999999999</v>
      </c>
      <c r="C56" s="17">
        <f>15.2509 * CHOOSE(CONTROL!$C$15, $E$9, 100%, $G$9) + CHOOSE(CONTROL!$C$38, 0.0356, 0)</f>
        <v>15.2865</v>
      </c>
      <c r="D56" s="17">
        <f>15.2431 * CHOOSE(CONTROL!$C$15, $E$9, 100%, $G$9) + CHOOSE(CONTROL!$C$38, 0.0356, 0)</f>
        <v>15.278700000000001</v>
      </c>
      <c r="E56" s="17">
        <f>15.2431 * CHOOSE(CONTROL!$C$15, $E$9, 100%, $G$9) + CHOOSE(CONTROL!$C$38, 0.0356, 0)</f>
        <v>15.278700000000001</v>
      </c>
      <c r="F56" s="45">
        <f>16.2515 * CHOOSE(CONTROL!$C$15, $E$9, 100%, $G$9) + CHOOSE(CONTROL!$C$38, 0.0355, 0)</f>
        <v>16.286999999999999</v>
      </c>
      <c r="G56" s="17">
        <f>15.2493 * CHOOSE(CONTROL!$C$15, $E$9, 100%, $G$9) + CHOOSE(CONTROL!$C$38, 0.0356, 0)</f>
        <v>15.2849</v>
      </c>
      <c r="H56" s="17">
        <f>15.2493 * CHOOSE(CONTROL!$C$15, $E$9, 100%, $G$9) + CHOOSE(CONTROL!$C$38, 0.0356, 0)</f>
        <v>15.2849</v>
      </c>
      <c r="I56" s="17">
        <f>15.2509 * CHOOSE(CONTROL!$C$15, $E$9, 100%, $G$9) + CHOOSE(CONTROL!$C$38, 0.0356, 0)</f>
        <v>15.2865</v>
      </c>
      <c r="J56" s="44">
        <f>98.2983</f>
        <v>98.298299999999998</v>
      </c>
    </row>
    <row r="57" spans="1:10" ht="15" x14ac:dyDescent="0.2">
      <c r="A57" s="16">
        <v>42278</v>
      </c>
      <c r="B57" s="17">
        <f>16.5412 * CHOOSE(CONTROL!$C$15, $E$9, 100%, $G$9) + CHOOSE(CONTROL!$C$38, 0.0339, 0)</f>
        <v>16.575099999999999</v>
      </c>
      <c r="C57" s="17">
        <f>15.5388 * CHOOSE(CONTROL!$C$15, $E$9, 100%, $G$9) + CHOOSE(CONTROL!$C$38, 0.034, 0)</f>
        <v>15.572800000000001</v>
      </c>
      <c r="D57" s="17">
        <f>15.531 * CHOOSE(CONTROL!$C$15, $E$9, 100%, $G$9) + CHOOSE(CONTROL!$C$38, 0.034, 0)</f>
        <v>15.565000000000001</v>
      </c>
      <c r="E57" s="17">
        <f>15.531 * CHOOSE(CONTROL!$C$15, $E$9, 100%, $G$9) + CHOOSE(CONTROL!$C$38, 0.034, 0)</f>
        <v>15.565000000000001</v>
      </c>
      <c r="F57" s="45">
        <f>16.5412 * CHOOSE(CONTROL!$C$15, $E$9, 100%, $G$9) + CHOOSE(CONTROL!$C$38, 0.0339, 0)</f>
        <v>16.575099999999999</v>
      </c>
      <c r="G57" s="17">
        <f>15.5373 * CHOOSE(CONTROL!$C$15, $E$9, 100%, $G$9) + CHOOSE(CONTROL!$C$38, 0.034, 0)</f>
        <v>15.571300000000001</v>
      </c>
      <c r="H57" s="17">
        <f>15.5373 * CHOOSE(CONTROL!$C$15, $E$9, 100%, $G$9) + CHOOSE(CONTROL!$C$38, 0.034, 0)</f>
        <v>15.571300000000001</v>
      </c>
      <c r="I57" s="17">
        <f>15.5388 * CHOOSE(CONTROL!$C$15, $E$9, 100%, $G$9) + CHOOSE(CONTROL!$C$38, 0.034, 0)</f>
        <v>15.572800000000001</v>
      </c>
      <c r="J57" s="44">
        <f>95.0945</f>
        <v>95.094499999999996</v>
      </c>
    </row>
    <row r="58" spans="1:10" ht="15" x14ac:dyDescent="0.2">
      <c r="A58" s="16">
        <v>42309</v>
      </c>
      <c r="B58" s="17">
        <f>16.7893 * CHOOSE(CONTROL!$C$15, $E$9, 100%, $G$9) + CHOOSE(CONTROL!$C$38, 0.0339, 0)</f>
        <v>16.8232</v>
      </c>
      <c r="C58" s="17">
        <f>15.7852 * CHOOSE(CONTROL!$C$15, $E$9, 100%, $G$9) + CHOOSE(CONTROL!$C$38, 0.034, 0)</f>
        <v>15.8192</v>
      </c>
      <c r="D58" s="17">
        <f>15.7774 * CHOOSE(CONTROL!$C$15, $E$9, 100%, $G$9) + CHOOSE(CONTROL!$C$38, 0.034, 0)</f>
        <v>15.811400000000001</v>
      </c>
      <c r="E58" s="17">
        <f>15.7774 * CHOOSE(CONTROL!$C$15, $E$9, 100%, $G$9) + CHOOSE(CONTROL!$C$38, 0.034, 0)</f>
        <v>15.811400000000001</v>
      </c>
      <c r="F58" s="45">
        <f>16.7893 * CHOOSE(CONTROL!$C$15, $E$9, 100%, $G$9) + CHOOSE(CONTROL!$C$38, 0.0339, 0)</f>
        <v>16.8232</v>
      </c>
      <c r="G58" s="17">
        <f>15.7836 * CHOOSE(CONTROL!$C$15, $E$9, 100%, $G$9) + CHOOSE(CONTROL!$C$38, 0.034, 0)</f>
        <v>15.817600000000001</v>
      </c>
      <c r="H58" s="17">
        <f>15.7836 * CHOOSE(CONTROL!$C$15, $E$9, 100%, $G$9) + CHOOSE(CONTROL!$C$38, 0.034, 0)</f>
        <v>15.817600000000001</v>
      </c>
      <c r="I58" s="17">
        <f>15.7852 * CHOOSE(CONTROL!$C$15, $E$9, 100%, $G$9) + CHOOSE(CONTROL!$C$38, 0.034, 0)</f>
        <v>15.8192</v>
      </c>
      <c r="J58" s="44">
        <f>94.6114</f>
        <v>94.611400000000003</v>
      </c>
    </row>
    <row r="59" spans="1:10" ht="15" x14ac:dyDescent="0.2">
      <c r="A59" s="16">
        <v>42339</v>
      </c>
      <c r="B59" s="17">
        <f>17.4873 * CHOOSE(CONTROL!$C$15, $E$9, 100%, $G$9) + CHOOSE(CONTROL!$C$38, 0.0339, 0)</f>
        <v>17.5212</v>
      </c>
      <c r="C59" s="17">
        <f>16.4815 * CHOOSE(CONTROL!$C$15, $E$9, 100%, $G$9) + CHOOSE(CONTROL!$C$38, 0.034, 0)</f>
        <v>16.515499999999999</v>
      </c>
      <c r="D59" s="17">
        <f>16.4737 * CHOOSE(CONTROL!$C$15, $E$9, 100%, $G$9) + CHOOSE(CONTROL!$C$38, 0.034, 0)</f>
        <v>16.5077</v>
      </c>
      <c r="E59" s="17">
        <f>16.4737 * CHOOSE(CONTROL!$C$15, $E$9, 100%, $G$9) + CHOOSE(CONTROL!$C$38, 0.034, 0)</f>
        <v>16.5077</v>
      </c>
      <c r="F59" s="45">
        <f>17.4873 * CHOOSE(CONTROL!$C$15, $E$9, 100%, $G$9) + CHOOSE(CONTROL!$C$38, 0.0339, 0)</f>
        <v>17.5212</v>
      </c>
      <c r="G59" s="17">
        <f>16.4799 * CHOOSE(CONTROL!$C$15, $E$9, 100%, $G$9) + CHOOSE(CONTROL!$C$38, 0.034, 0)</f>
        <v>16.5139</v>
      </c>
      <c r="H59" s="17">
        <f>16.4799 * CHOOSE(CONTROL!$C$15, $E$9, 100%, $G$9) + CHOOSE(CONTROL!$C$38, 0.034, 0)</f>
        <v>16.5139</v>
      </c>
      <c r="I59" s="17">
        <f>16.4815 * CHOOSE(CONTROL!$C$15, $E$9, 100%, $G$9) + CHOOSE(CONTROL!$C$38, 0.034, 0)</f>
        <v>16.515499999999999</v>
      </c>
      <c r="J59" s="44">
        <f>91.9929</f>
        <v>91.992900000000006</v>
      </c>
    </row>
    <row r="60" spans="1:10" ht="15" x14ac:dyDescent="0.2">
      <c r="A60" s="16">
        <v>42370</v>
      </c>
      <c r="B60" s="17">
        <f>17.621 * CHOOSE(CONTROL!$C$15, $E$9, 100%, $G$9) + CHOOSE(CONTROL!$C$38, 0.0339, 0)</f>
        <v>17.654899999999998</v>
      </c>
      <c r="C60" s="17">
        <f>16.6431 * CHOOSE(CONTROL!$C$15, $E$9, 100%, $G$9) + CHOOSE(CONTROL!$C$38, 0.034, 0)</f>
        <v>16.677099999999999</v>
      </c>
      <c r="D60" s="17">
        <f>16.6352 * CHOOSE(CONTROL!$C$15, $E$9, 100%, $G$9) + CHOOSE(CONTROL!$C$38, 0.034, 0)</f>
        <v>16.6692</v>
      </c>
      <c r="E60" s="17">
        <f>16.6352 * CHOOSE(CONTROL!$C$15, $E$9, 100%, $G$9) + CHOOSE(CONTROL!$C$38, 0.034, 0)</f>
        <v>16.6692</v>
      </c>
      <c r="F60" s="45">
        <f>17.621 * CHOOSE(CONTROL!$C$15, $E$9, 100%, $G$9) + CHOOSE(CONTROL!$C$38, 0.0339, 0)</f>
        <v>17.654899999999998</v>
      </c>
      <c r="G60" s="17">
        <f>16.6415 * CHOOSE(CONTROL!$C$15, $E$9, 100%, $G$9) + CHOOSE(CONTROL!$C$38, 0.034, 0)</f>
        <v>16.6755</v>
      </c>
      <c r="H60" s="17">
        <f>16.6415 * CHOOSE(CONTROL!$C$15, $E$9, 100%, $G$9) + CHOOSE(CONTROL!$C$38, 0.034, 0)</f>
        <v>16.6755</v>
      </c>
      <c r="I60" s="17">
        <f>16.6431 * CHOOSE(CONTROL!$C$15, $E$9, 100%, $G$9) + CHOOSE(CONTROL!$C$38, 0.034, 0)</f>
        <v>16.677099999999999</v>
      </c>
      <c r="J60" s="44">
        <f>88.064</f>
        <v>88.063999999999993</v>
      </c>
    </row>
    <row r="61" spans="1:10" ht="15" x14ac:dyDescent="0.2">
      <c r="A61" s="16">
        <v>42401</v>
      </c>
      <c r="B61" s="17">
        <f>17.9032 * CHOOSE(CONTROL!$C$15, $E$9, 100%, $G$9) + CHOOSE(CONTROL!$C$38, 0.0339, 0)</f>
        <v>17.937099999999997</v>
      </c>
      <c r="C61" s="17">
        <f>16.9236 * CHOOSE(CONTROL!$C$15, $E$9, 100%, $G$9) + CHOOSE(CONTROL!$C$38, 0.034, 0)</f>
        <v>16.957599999999999</v>
      </c>
      <c r="D61" s="17">
        <f>16.9158 * CHOOSE(CONTROL!$C$15, $E$9, 100%, $G$9) + CHOOSE(CONTROL!$C$38, 0.034, 0)</f>
        <v>16.9498</v>
      </c>
      <c r="E61" s="17">
        <f>16.9158 * CHOOSE(CONTROL!$C$15, $E$9, 100%, $G$9) + CHOOSE(CONTROL!$C$38, 0.034, 0)</f>
        <v>16.9498</v>
      </c>
      <c r="F61" s="45">
        <f>17.9032 * CHOOSE(CONTROL!$C$15, $E$9, 100%, $G$9) + CHOOSE(CONTROL!$C$38, 0.0339, 0)</f>
        <v>17.937099999999997</v>
      </c>
      <c r="G61" s="17">
        <f>16.922 * CHOOSE(CONTROL!$C$15, $E$9, 100%, $G$9) + CHOOSE(CONTROL!$C$38, 0.034, 0)</f>
        <v>16.956</v>
      </c>
      <c r="H61" s="17">
        <f>16.922 * CHOOSE(CONTROL!$C$15, $E$9, 100%, $G$9) + CHOOSE(CONTROL!$C$38, 0.034, 0)</f>
        <v>16.956</v>
      </c>
      <c r="I61" s="17">
        <f>16.9236 * CHOOSE(CONTROL!$C$15, $E$9, 100%, $G$9) + CHOOSE(CONTROL!$C$38, 0.034, 0)</f>
        <v>16.957599999999999</v>
      </c>
      <c r="J61" s="44">
        <f>88.0001</f>
        <v>88.000100000000003</v>
      </c>
    </row>
    <row r="62" spans="1:10" ht="15" x14ac:dyDescent="0.2">
      <c r="A62" s="16">
        <v>42430</v>
      </c>
      <c r="B62" s="17">
        <f>17.3654 * CHOOSE(CONTROL!$C$15, $E$9, 100%, $G$9) + CHOOSE(CONTROL!$C$38, 0.0339, 0)</f>
        <v>17.3993</v>
      </c>
      <c r="C62" s="17">
        <f>16.3841 * CHOOSE(CONTROL!$C$15, $E$9, 100%, $G$9) + CHOOSE(CONTROL!$C$38, 0.034, 0)</f>
        <v>16.418099999999999</v>
      </c>
      <c r="D62" s="17">
        <f>16.3763 * CHOOSE(CONTROL!$C$15, $E$9, 100%, $G$9) + CHOOSE(CONTROL!$C$38, 0.034, 0)</f>
        <v>16.410299999999999</v>
      </c>
      <c r="E62" s="17">
        <f>16.3763 * CHOOSE(CONTROL!$C$15, $E$9, 100%, $G$9) + CHOOSE(CONTROL!$C$38, 0.034, 0)</f>
        <v>16.410299999999999</v>
      </c>
      <c r="F62" s="45">
        <f>17.3654 * CHOOSE(CONTROL!$C$15, $E$9, 100%, $G$9) + CHOOSE(CONTROL!$C$38, 0.0339, 0)</f>
        <v>17.3993</v>
      </c>
      <c r="G62" s="17">
        <f>16.3825 * CHOOSE(CONTROL!$C$15, $E$9, 100%, $G$9) + CHOOSE(CONTROL!$C$38, 0.034, 0)</f>
        <v>16.416499999999999</v>
      </c>
      <c r="H62" s="17">
        <f>16.3825 * CHOOSE(CONTROL!$C$15, $E$9, 100%, $G$9) + CHOOSE(CONTROL!$C$38, 0.034, 0)</f>
        <v>16.416499999999999</v>
      </c>
      <c r="I62" s="17">
        <f>16.3841 * CHOOSE(CONTROL!$C$15, $E$9, 100%, $G$9) + CHOOSE(CONTROL!$C$38, 0.034, 0)</f>
        <v>16.418099999999999</v>
      </c>
      <c r="J62" s="44">
        <f>92.829</f>
        <v>92.828999999999994</v>
      </c>
    </row>
    <row r="63" spans="1:10" ht="15" x14ac:dyDescent="0.2">
      <c r="A63" s="16">
        <v>42461</v>
      </c>
      <c r="B63" s="17">
        <f>16.8431 * CHOOSE(CONTROL!$C$15, $E$9, 100%, $G$9) + CHOOSE(CONTROL!$C$38, 0.0339, 0)</f>
        <v>16.876999999999999</v>
      </c>
      <c r="C63" s="17">
        <f>15.8601 * CHOOSE(CONTROL!$C$15, $E$9, 100%, $G$9) + CHOOSE(CONTROL!$C$38, 0.034, 0)</f>
        <v>15.8941</v>
      </c>
      <c r="D63" s="17">
        <f>15.8523 * CHOOSE(CONTROL!$C$15, $E$9, 100%, $G$9) + CHOOSE(CONTROL!$C$38, 0.034, 0)</f>
        <v>15.8863</v>
      </c>
      <c r="E63" s="17">
        <f>15.8523 * CHOOSE(CONTROL!$C$15, $E$9, 100%, $G$9) + CHOOSE(CONTROL!$C$38, 0.034, 0)</f>
        <v>15.8863</v>
      </c>
      <c r="F63" s="45">
        <f>16.8431 * CHOOSE(CONTROL!$C$15, $E$9, 100%, $G$9) + CHOOSE(CONTROL!$C$38, 0.0339, 0)</f>
        <v>16.876999999999999</v>
      </c>
      <c r="G63" s="17">
        <f>15.8585 * CHOOSE(CONTROL!$C$15, $E$9, 100%, $G$9) + CHOOSE(CONTROL!$C$38, 0.034, 0)</f>
        <v>15.8925</v>
      </c>
      <c r="H63" s="17">
        <f>15.8585 * CHOOSE(CONTROL!$C$15, $E$9, 100%, $G$9) + CHOOSE(CONTROL!$C$38, 0.034, 0)</f>
        <v>15.8925</v>
      </c>
      <c r="I63" s="17">
        <f>15.8601 * CHOOSE(CONTROL!$C$15, $E$9, 100%, $G$9) + CHOOSE(CONTROL!$C$38, 0.034, 0)</f>
        <v>15.8941</v>
      </c>
      <c r="J63" s="44">
        <f>99.0596</f>
        <v>99.059600000000003</v>
      </c>
    </row>
    <row r="64" spans="1:10" ht="15" x14ac:dyDescent="0.2">
      <c r="A64" s="16">
        <v>42491</v>
      </c>
      <c r="B64" s="17">
        <f>16.295 * CHOOSE(CONTROL!$C$15, $E$9, 100%, $G$9) + CHOOSE(CONTROL!$C$38, 0.0355, 0)</f>
        <v>16.330500000000001</v>
      </c>
      <c r="C64" s="17">
        <f>15.3103 * CHOOSE(CONTROL!$C$15, $E$9, 100%, $G$9) + CHOOSE(CONTROL!$C$38, 0.0356, 0)</f>
        <v>15.3459</v>
      </c>
      <c r="D64" s="17">
        <f>15.3024 * CHOOSE(CONTROL!$C$15, $E$9, 100%, $G$9) + CHOOSE(CONTROL!$C$38, 0.0356, 0)</f>
        <v>15.338000000000001</v>
      </c>
      <c r="E64" s="17">
        <f>15.3024 * CHOOSE(CONTROL!$C$15, $E$9, 100%, $G$9) + CHOOSE(CONTROL!$C$38, 0.0356, 0)</f>
        <v>15.338000000000001</v>
      </c>
      <c r="F64" s="45">
        <f>16.295 * CHOOSE(CONTROL!$C$15, $E$9, 100%, $G$9) + CHOOSE(CONTROL!$C$38, 0.0355, 0)</f>
        <v>16.330500000000001</v>
      </c>
      <c r="G64" s="17">
        <f>15.3087 * CHOOSE(CONTROL!$C$15, $E$9, 100%, $G$9) + CHOOSE(CONTROL!$C$38, 0.0356, 0)</f>
        <v>15.3443</v>
      </c>
      <c r="H64" s="17">
        <f>15.3087 * CHOOSE(CONTROL!$C$15, $E$9, 100%, $G$9) + CHOOSE(CONTROL!$C$38, 0.0356, 0)</f>
        <v>15.3443</v>
      </c>
      <c r="I64" s="17">
        <f>15.3103 * CHOOSE(CONTROL!$C$15, $E$9, 100%, $G$9) + CHOOSE(CONTROL!$C$38, 0.0356, 0)</f>
        <v>15.3459</v>
      </c>
      <c r="J64" s="44">
        <f>102.5947</f>
        <v>102.5947</v>
      </c>
    </row>
    <row r="65" spans="1:10" ht="15" x14ac:dyDescent="0.2">
      <c r="A65" s="16">
        <v>42522</v>
      </c>
      <c r="B65" s="17">
        <f>15.9187 * CHOOSE(CONTROL!$C$15, $E$9, 100%, $G$9) + CHOOSE(CONTROL!$C$38, 0.0355, 0)</f>
        <v>15.9542</v>
      </c>
      <c r="C65" s="17">
        <f>14.9323 * CHOOSE(CONTROL!$C$15, $E$9, 100%, $G$9) + CHOOSE(CONTROL!$C$38, 0.0356, 0)</f>
        <v>14.9679</v>
      </c>
      <c r="D65" s="17">
        <f>14.9245 * CHOOSE(CONTROL!$C$15, $E$9, 100%, $G$9) + CHOOSE(CONTROL!$C$38, 0.0356, 0)</f>
        <v>14.960100000000001</v>
      </c>
      <c r="E65" s="17">
        <f>14.9245 * CHOOSE(CONTROL!$C$15, $E$9, 100%, $G$9) + CHOOSE(CONTROL!$C$38, 0.0356, 0)</f>
        <v>14.960100000000001</v>
      </c>
      <c r="F65" s="45">
        <f>15.9187 * CHOOSE(CONTROL!$C$15, $E$9, 100%, $G$9) + CHOOSE(CONTROL!$C$38, 0.0355, 0)</f>
        <v>15.9542</v>
      </c>
      <c r="G65" s="17">
        <f>14.9307 * CHOOSE(CONTROL!$C$15, $E$9, 100%, $G$9) + CHOOSE(CONTROL!$C$38, 0.0356, 0)</f>
        <v>14.9663</v>
      </c>
      <c r="H65" s="17">
        <f>14.9307 * CHOOSE(CONTROL!$C$15, $E$9, 100%, $G$9) + CHOOSE(CONTROL!$C$38, 0.0356, 0)</f>
        <v>14.9663</v>
      </c>
      <c r="I65" s="17">
        <f>14.9323 * CHOOSE(CONTROL!$C$15, $E$9, 100%, $G$9) + CHOOSE(CONTROL!$C$38, 0.0356, 0)</f>
        <v>14.9679</v>
      </c>
      <c r="J65" s="44">
        <f>104.2874</f>
        <v>104.28740000000001</v>
      </c>
    </row>
    <row r="66" spans="1:10" ht="15" x14ac:dyDescent="0.2">
      <c r="A66" s="16">
        <v>42552</v>
      </c>
      <c r="B66" s="17">
        <f>15.7166 * CHOOSE(CONTROL!$C$15, $E$9, 100%, $G$9) + CHOOSE(CONTROL!$C$38, 0.0355, 0)</f>
        <v>15.7521</v>
      </c>
      <c r="C66" s="17">
        <f>14.7285 * CHOOSE(CONTROL!$C$15, $E$9, 100%, $G$9) + CHOOSE(CONTROL!$C$38, 0.0356, 0)</f>
        <v>14.764100000000001</v>
      </c>
      <c r="D66" s="17">
        <f>14.7207 * CHOOSE(CONTROL!$C$15, $E$9, 100%, $G$9) + CHOOSE(CONTROL!$C$38, 0.0356, 0)</f>
        <v>14.756300000000001</v>
      </c>
      <c r="E66" s="17">
        <f>14.7207 * CHOOSE(CONTROL!$C$15, $E$9, 100%, $G$9) + CHOOSE(CONTROL!$C$38, 0.0356, 0)</f>
        <v>14.756300000000001</v>
      </c>
      <c r="F66" s="45">
        <f>15.7166 * CHOOSE(CONTROL!$C$15, $E$9, 100%, $G$9) + CHOOSE(CONTROL!$C$38, 0.0355, 0)</f>
        <v>15.7521</v>
      </c>
      <c r="G66" s="17">
        <f>14.7269 * CHOOSE(CONTROL!$C$15, $E$9, 100%, $G$9) + CHOOSE(CONTROL!$C$38, 0.0356, 0)</f>
        <v>14.762500000000001</v>
      </c>
      <c r="H66" s="17">
        <f>14.7269 * CHOOSE(CONTROL!$C$15, $E$9, 100%, $G$9) + CHOOSE(CONTROL!$C$38, 0.0356, 0)</f>
        <v>14.762500000000001</v>
      </c>
      <c r="I66" s="17">
        <f>14.7285 * CHOOSE(CONTROL!$C$15, $E$9, 100%, $G$9) + CHOOSE(CONTROL!$C$38, 0.0356, 0)</f>
        <v>14.764100000000001</v>
      </c>
      <c r="J66" s="44">
        <f>104.0135</f>
        <v>104.01349999999999</v>
      </c>
    </row>
    <row r="67" spans="1:10" ht="15" x14ac:dyDescent="0.2">
      <c r="A67" s="16">
        <v>42583</v>
      </c>
      <c r="B67" s="17">
        <f>15.8633 * CHOOSE(CONTROL!$C$15, $E$9, 100%, $G$9) + CHOOSE(CONTROL!$C$38, 0.0355, 0)</f>
        <v>15.898800000000001</v>
      </c>
      <c r="C67" s="17">
        <f>14.8734 * CHOOSE(CONTROL!$C$15, $E$9, 100%, $G$9) + CHOOSE(CONTROL!$C$38, 0.0356, 0)</f>
        <v>14.909000000000001</v>
      </c>
      <c r="D67" s="17">
        <f>14.8656 * CHOOSE(CONTROL!$C$15, $E$9, 100%, $G$9) + CHOOSE(CONTROL!$C$38, 0.0356, 0)</f>
        <v>14.901200000000001</v>
      </c>
      <c r="E67" s="17">
        <f>14.8656 * CHOOSE(CONTROL!$C$15, $E$9, 100%, $G$9) + CHOOSE(CONTROL!$C$38, 0.0356, 0)</f>
        <v>14.901200000000001</v>
      </c>
      <c r="F67" s="45">
        <f>15.8633 * CHOOSE(CONTROL!$C$15, $E$9, 100%, $G$9) + CHOOSE(CONTROL!$C$38, 0.0355, 0)</f>
        <v>15.898800000000001</v>
      </c>
      <c r="G67" s="17">
        <f>14.8718 * CHOOSE(CONTROL!$C$15, $E$9, 100%, $G$9) + CHOOSE(CONTROL!$C$38, 0.0356, 0)</f>
        <v>14.907400000000001</v>
      </c>
      <c r="H67" s="17">
        <f>14.8718 * CHOOSE(CONTROL!$C$15, $E$9, 100%, $G$9) + CHOOSE(CONTROL!$C$38, 0.0356, 0)</f>
        <v>14.907400000000001</v>
      </c>
      <c r="I67" s="17">
        <f>14.8734 * CHOOSE(CONTROL!$C$15, $E$9, 100%, $G$9) + CHOOSE(CONTROL!$C$38, 0.0356, 0)</f>
        <v>14.909000000000001</v>
      </c>
      <c r="J67" s="44">
        <f>101.8013</f>
        <v>101.8013</v>
      </c>
    </row>
    <row r="68" spans="1:10" ht="15" x14ac:dyDescent="0.2">
      <c r="A68" s="16">
        <v>42614</v>
      </c>
      <c r="B68" s="17">
        <f>16.2091 * CHOOSE(CONTROL!$C$15, $E$9, 100%, $G$9) + CHOOSE(CONTROL!$C$38, 0.0355, 0)</f>
        <v>16.244599999999998</v>
      </c>
      <c r="C68" s="17">
        <f>15.2176 * CHOOSE(CONTROL!$C$15, $E$9, 100%, $G$9) + CHOOSE(CONTROL!$C$38, 0.0356, 0)</f>
        <v>15.2532</v>
      </c>
      <c r="D68" s="17">
        <f>15.2097 * CHOOSE(CONTROL!$C$15, $E$9, 100%, $G$9) + CHOOSE(CONTROL!$C$38, 0.0356, 0)</f>
        <v>15.2453</v>
      </c>
      <c r="E68" s="17">
        <f>15.2097 * CHOOSE(CONTROL!$C$15, $E$9, 100%, $G$9) + CHOOSE(CONTROL!$C$38, 0.0356, 0)</f>
        <v>15.2453</v>
      </c>
      <c r="F68" s="45">
        <f>16.2091 * CHOOSE(CONTROL!$C$15, $E$9, 100%, $G$9) + CHOOSE(CONTROL!$C$38, 0.0355, 0)</f>
        <v>16.244599999999998</v>
      </c>
      <c r="G68" s="17">
        <f>15.216 * CHOOSE(CONTROL!$C$15, $E$9, 100%, $G$9) + CHOOSE(CONTROL!$C$38, 0.0356, 0)</f>
        <v>15.2516</v>
      </c>
      <c r="H68" s="17">
        <f>15.216 * CHOOSE(CONTROL!$C$15, $E$9, 100%, $G$9) + CHOOSE(CONTROL!$C$38, 0.0356, 0)</f>
        <v>15.2516</v>
      </c>
      <c r="I68" s="17">
        <f>15.2176 * CHOOSE(CONTROL!$C$15, $E$9, 100%, $G$9) + CHOOSE(CONTROL!$C$38, 0.0356, 0)</f>
        <v>15.2532</v>
      </c>
      <c r="J68" s="44">
        <f>98.6204</f>
        <v>98.620400000000004</v>
      </c>
    </row>
    <row r="69" spans="1:10" ht="15" x14ac:dyDescent="0.2">
      <c r="A69" s="16">
        <v>42644</v>
      </c>
      <c r="B69" s="17">
        <f>16.5052 * CHOOSE(CONTROL!$C$15, $E$9, 100%, $G$9) + CHOOSE(CONTROL!$C$38, 0.0339, 0)</f>
        <v>16.539099999999998</v>
      </c>
      <c r="C69" s="17">
        <f>15.5119 * CHOOSE(CONTROL!$C$15, $E$9, 100%, $G$9) + CHOOSE(CONTROL!$C$38, 0.034, 0)</f>
        <v>15.545900000000001</v>
      </c>
      <c r="D69" s="17">
        <f>15.5041 * CHOOSE(CONTROL!$C$15, $E$9, 100%, $G$9) + CHOOSE(CONTROL!$C$38, 0.034, 0)</f>
        <v>15.5381</v>
      </c>
      <c r="E69" s="17">
        <f>15.5041 * CHOOSE(CONTROL!$C$15, $E$9, 100%, $G$9) + CHOOSE(CONTROL!$C$38, 0.034, 0)</f>
        <v>15.5381</v>
      </c>
      <c r="F69" s="45">
        <f>16.5052 * CHOOSE(CONTROL!$C$15, $E$9, 100%, $G$9) + CHOOSE(CONTROL!$C$38, 0.0339, 0)</f>
        <v>16.539099999999998</v>
      </c>
      <c r="G69" s="17">
        <f>15.5103 * CHOOSE(CONTROL!$C$15, $E$9, 100%, $G$9) + CHOOSE(CONTROL!$C$38, 0.034, 0)</f>
        <v>15.544300000000002</v>
      </c>
      <c r="H69" s="17">
        <f>15.5103 * CHOOSE(CONTROL!$C$15, $E$9, 100%, $G$9) + CHOOSE(CONTROL!$C$38, 0.034, 0)</f>
        <v>15.544300000000002</v>
      </c>
      <c r="I69" s="17">
        <f>15.5119 * CHOOSE(CONTROL!$C$15, $E$9, 100%, $G$9) + CHOOSE(CONTROL!$C$38, 0.034, 0)</f>
        <v>15.545900000000001</v>
      </c>
      <c r="J69" s="44">
        <f>95.4061</f>
        <v>95.406099999999995</v>
      </c>
    </row>
    <row r="70" spans="1:10" ht="15" x14ac:dyDescent="0.2">
      <c r="A70" s="16">
        <v>42675</v>
      </c>
      <c r="B70" s="17">
        <f>16.7586 * CHOOSE(CONTROL!$C$15, $E$9, 100%, $G$9) + CHOOSE(CONTROL!$C$38, 0.0339, 0)</f>
        <v>16.7925</v>
      </c>
      <c r="C70" s="17">
        <f>15.7635 * CHOOSE(CONTROL!$C$15, $E$9, 100%, $G$9) + CHOOSE(CONTROL!$C$38, 0.034, 0)</f>
        <v>15.797500000000001</v>
      </c>
      <c r="D70" s="17">
        <f>15.7557 * CHOOSE(CONTROL!$C$15, $E$9, 100%, $G$9) + CHOOSE(CONTROL!$C$38, 0.034, 0)</f>
        <v>15.7897</v>
      </c>
      <c r="E70" s="17">
        <f>15.7557 * CHOOSE(CONTROL!$C$15, $E$9, 100%, $G$9) + CHOOSE(CONTROL!$C$38, 0.034, 0)</f>
        <v>15.7897</v>
      </c>
      <c r="F70" s="45">
        <f>16.7586 * CHOOSE(CONTROL!$C$15, $E$9, 100%, $G$9) + CHOOSE(CONTROL!$C$38, 0.0339, 0)</f>
        <v>16.7925</v>
      </c>
      <c r="G70" s="17">
        <f>15.762 * CHOOSE(CONTROL!$C$15, $E$9, 100%, $G$9) + CHOOSE(CONTROL!$C$38, 0.034, 0)</f>
        <v>15.796000000000001</v>
      </c>
      <c r="H70" s="17">
        <f>15.762 * CHOOSE(CONTROL!$C$15, $E$9, 100%, $G$9) + CHOOSE(CONTROL!$C$38, 0.034, 0)</f>
        <v>15.796000000000001</v>
      </c>
      <c r="I70" s="17">
        <f>15.7635 * CHOOSE(CONTROL!$C$15, $E$9, 100%, $G$9) + CHOOSE(CONTROL!$C$38, 0.034, 0)</f>
        <v>15.797500000000001</v>
      </c>
      <c r="J70" s="44">
        <f>94.9214</f>
        <v>94.921400000000006</v>
      </c>
    </row>
    <row r="71" spans="1:10" ht="15" x14ac:dyDescent="0.2">
      <c r="A71" s="16">
        <v>42705</v>
      </c>
      <c r="B71" s="17">
        <f>17.4732 * CHOOSE(CONTROL!$C$15, $E$9, 100%, $G$9) + CHOOSE(CONTROL!$C$38, 0.0339, 0)</f>
        <v>17.507099999999998</v>
      </c>
      <c r="C71" s="17">
        <f>16.4764 * CHOOSE(CONTROL!$C$15, $E$9, 100%, $G$9) + CHOOSE(CONTROL!$C$38, 0.034, 0)</f>
        <v>16.510400000000001</v>
      </c>
      <c r="D71" s="17">
        <f>16.4686 * CHOOSE(CONTROL!$C$15, $E$9, 100%, $G$9) + CHOOSE(CONTROL!$C$38, 0.034, 0)</f>
        <v>16.502599999999997</v>
      </c>
      <c r="E71" s="17">
        <f>16.4686 * CHOOSE(CONTROL!$C$15, $E$9, 100%, $G$9) + CHOOSE(CONTROL!$C$38, 0.034, 0)</f>
        <v>16.502599999999997</v>
      </c>
      <c r="F71" s="45">
        <f>17.4732 * CHOOSE(CONTROL!$C$15, $E$9, 100%, $G$9) + CHOOSE(CONTROL!$C$38, 0.0339, 0)</f>
        <v>17.507099999999998</v>
      </c>
      <c r="G71" s="17">
        <f>16.4749 * CHOOSE(CONTROL!$C$15, $E$9, 100%, $G$9) + CHOOSE(CONTROL!$C$38, 0.034, 0)</f>
        <v>16.508900000000001</v>
      </c>
      <c r="H71" s="17">
        <f>16.4749 * CHOOSE(CONTROL!$C$15, $E$9, 100%, $G$9) + CHOOSE(CONTROL!$C$38, 0.034, 0)</f>
        <v>16.508900000000001</v>
      </c>
      <c r="I71" s="17">
        <f>16.4764 * CHOOSE(CONTROL!$C$15, $E$9, 100%, $G$9) + CHOOSE(CONTROL!$C$38, 0.034, 0)</f>
        <v>16.510400000000001</v>
      </c>
      <c r="J71" s="44">
        <f>92.2943</f>
        <v>92.294300000000007</v>
      </c>
    </row>
    <row r="72" spans="1:10" ht="15" x14ac:dyDescent="0.2">
      <c r="A72" s="16">
        <v>42736</v>
      </c>
      <c r="B72" s="17">
        <f>18.4922 * CHOOSE(CONTROL!$C$15, $E$9, 100%, $G$9) + CHOOSE(CONTROL!$C$38, 0.0339, 0)</f>
        <v>18.5261</v>
      </c>
      <c r="C72" s="17">
        <f>17.5272 * CHOOSE(CONTROL!$C$15, $E$9, 100%, $G$9) + CHOOSE(CONTROL!$C$38, 0.034, 0)</f>
        <v>17.561199999999999</v>
      </c>
      <c r="D72" s="17">
        <f>17.5193 * CHOOSE(CONTROL!$C$15, $E$9, 100%, $G$9) + CHOOSE(CONTROL!$C$38, 0.034, 0)</f>
        <v>17.5533</v>
      </c>
      <c r="E72" s="17">
        <f>17.5193 * CHOOSE(CONTROL!$C$15, $E$9, 100%, $G$9) + CHOOSE(CONTROL!$C$38, 0.034, 0)</f>
        <v>17.5533</v>
      </c>
      <c r="F72" s="45">
        <f>18.4922 * CHOOSE(CONTROL!$C$15, $E$9, 100%, $G$9) + CHOOSE(CONTROL!$C$38, 0.0339, 0)</f>
        <v>18.5261</v>
      </c>
      <c r="G72" s="17">
        <f>17.5256 * CHOOSE(CONTROL!$C$15, $E$9, 100%, $G$9) + CHOOSE(CONTROL!$C$38, 0.034, 0)</f>
        <v>17.5596</v>
      </c>
      <c r="H72" s="17">
        <f>17.5256 * CHOOSE(CONTROL!$C$15, $E$9, 100%, $G$9) + CHOOSE(CONTROL!$C$38, 0.034, 0)</f>
        <v>17.5596</v>
      </c>
      <c r="I72" s="17">
        <f>17.5272 * CHOOSE(CONTROL!$C$15, $E$9, 100%, $G$9) + CHOOSE(CONTROL!$C$38, 0.034, 0)</f>
        <v>17.561199999999999</v>
      </c>
      <c r="J72" s="44">
        <f>98.7069</f>
        <v>98.706900000000005</v>
      </c>
    </row>
    <row r="73" spans="1:10" ht="15" x14ac:dyDescent="0.2">
      <c r="A73" s="16">
        <v>42767</v>
      </c>
      <c r="B73" s="17">
        <f>18.7824 * CHOOSE(CONTROL!$C$15, $E$9, 100%, $G$9) + CHOOSE(CONTROL!$C$38, 0.0339, 0)</f>
        <v>18.816299999999998</v>
      </c>
      <c r="C73" s="17">
        <f>17.8157 * CHOOSE(CONTROL!$C$15, $E$9, 100%, $G$9) + CHOOSE(CONTROL!$C$38, 0.034, 0)</f>
        <v>17.849699999999999</v>
      </c>
      <c r="D73" s="17">
        <f>17.8079 * CHOOSE(CONTROL!$C$15, $E$9, 100%, $G$9) + CHOOSE(CONTROL!$C$38, 0.034, 0)</f>
        <v>17.841899999999999</v>
      </c>
      <c r="E73" s="17">
        <f>17.8079 * CHOOSE(CONTROL!$C$15, $E$9, 100%, $G$9) + CHOOSE(CONTROL!$C$38, 0.034, 0)</f>
        <v>17.841899999999999</v>
      </c>
      <c r="F73" s="45">
        <f>18.7824 * CHOOSE(CONTROL!$C$15, $E$9, 100%, $G$9) + CHOOSE(CONTROL!$C$38, 0.0339, 0)</f>
        <v>18.816299999999998</v>
      </c>
      <c r="G73" s="17">
        <f>17.8141 * CHOOSE(CONTROL!$C$15, $E$9, 100%, $G$9) + CHOOSE(CONTROL!$C$38, 0.034, 0)</f>
        <v>17.848099999999999</v>
      </c>
      <c r="H73" s="17">
        <f>17.8141 * CHOOSE(CONTROL!$C$15, $E$9, 100%, $G$9) + CHOOSE(CONTROL!$C$38, 0.034, 0)</f>
        <v>17.848099999999999</v>
      </c>
      <c r="I73" s="17">
        <f>17.8157 * CHOOSE(CONTROL!$C$15, $E$9, 100%, $G$9) + CHOOSE(CONTROL!$C$38, 0.034, 0)</f>
        <v>17.849699999999999</v>
      </c>
      <c r="J73" s="44">
        <f>98.6352</f>
        <v>98.635199999999998</v>
      </c>
    </row>
    <row r="74" spans="1:10" ht="15" x14ac:dyDescent="0.2">
      <c r="A74" s="16">
        <v>42795</v>
      </c>
      <c r="B74" s="17">
        <f>18.232 * CHOOSE(CONTROL!$C$15, $E$9, 100%, $G$9) + CHOOSE(CONTROL!$C$38, 0.0339, 0)</f>
        <v>18.265899999999998</v>
      </c>
      <c r="C74" s="17">
        <f>17.2637 * CHOOSE(CONTROL!$C$15, $E$9, 100%, $G$9) + CHOOSE(CONTROL!$C$38, 0.034, 0)</f>
        <v>17.297699999999999</v>
      </c>
      <c r="D74" s="17">
        <f>17.2559 * CHOOSE(CONTROL!$C$15, $E$9, 100%, $G$9) + CHOOSE(CONTROL!$C$38, 0.034, 0)</f>
        <v>17.289899999999999</v>
      </c>
      <c r="E74" s="17">
        <f>17.2559 * CHOOSE(CONTROL!$C$15, $E$9, 100%, $G$9) + CHOOSE(CONTROL!$C$38, 0.034, 0)</f>
        <v>17.289899999999999</v>
      </c>
      <c r="F74" s="45">
        <f>18.232 * CHOOSE(CONTROL!$C$15, $E$9, 100%, $G$9) + CHOOSE(CONTROL!$C$38, 0.0339, 0)</f>
        <v>18.265899999999998</v>
      </c>
      <c r="G74" s="17">
        <f>17.2621 * CHOOSE(CONTROL!$C$15, $E$9, 100%, $G$9) + CHOOSE(CONTROL!$C$38, 0.034, 0)</f>
        <v>17.296099999999999</v>
      </c>
      <c r="H74" s="17">
        <f>17.2621 * CHOOSE(CONTROL!$C$15, $E$9, 100%, $G$9) + CHOOSE(CONTROL!$C$38, 0.034, 0)</f>
        <v>17.296099999999999</v>
      </c>
      <c r="I74" s="17">
        <f>17.2637 * CHOOSE(CONTROL!$C$15, $E$9, 100%, $G$9) + CHOOSE(CONTROL!$C$38, 0.034, 0)</f>
        <v>17.297699999999999</v>
      </c>
      <c r="J74" s="44">
        <f>104.0478</f>
        <v>104.0478</v>
      </c>
    </row>
    <row r="75" spans="1:10" ht="15" x14ac:dyDescent="0.2">
      <c r="A75" s="16">
        <v>42826</v>
      </c>
      <c r="B75" s="17">
        <f>17.6976 * CHOOSE(CONTROL!$C$15, $E$9, 100%, $G$9) + CHOOSE(CONTROL!$C$38, 0.0339, 0)</f>
        <v>17.7315</v>
      </c>
      <c r="C75" s="17">
        <f>16.7276 * CHOOSE(CONTROL!$C$15, $E$9, 100%, $G$9) + CHOOSE(CONTROL!$C$38, 0.034, 0)</f>
        <v>16.761599999999998</v>
      </c>
      <c r="D75" s="17">
        <f>16.7198 * CHOOSE(CONTROL!$C$15, $E$9, 100%, $G$9) + CHOOSE(CONTROL!$C$38, 0.034, 0)</f>
        <v>16.753799999999998</v>
      </c>
      <c r="E75" s="17">
        <f>16.7198 * CHOOSE(CONTROL!$C$15, $E$9, 100%, $G$9) + CHOOSE(CONTROL!$C$38, 0.034, 0)</f>
        <v>16.753799999999998</v>
      </c>
      <c r="F75" s="45">
        <f>17.6976 * CHOOSE(CONTROL!$C$15, $E$9, 100%, $G$9) + CHOOSE(CONTROL!$C$38, 0.0339, 0)</f>
        <v>17.7315</v>
      </c>
      <c r="G75" s="17">
        <f>16.726 * CHOOSE(CONTROL!$C$15, $E$9, 100%, $G$9) + CHOOSE(CONTROL!$C$38, 0.034, 0)</f>
        <v>16.759999999999998</v>
      </c>
      <c r="H75" s="17">
        <f>16.726 * CHOOSE(CONTROL!$C$15, $E$9, 100%, $G$9) + CHOOSE(CONTROL!$C$38, 0.034, 0)</f>
        <v>16.759999999999998</v>
      </c>
      <c r="I75" s="17">
        <f>16.7276 * CHOOSE(CONTROL!$C$15, $E$9, 100%, $G$9) + CHOOSE(CONTROL!$C$38, 0.034, 0)</f>
        <v>16.761599999999998</v>
      </c>
      <c r="J75" s="44">
        <f>111.0313</f>
        <v>111.0313</v>
      </c>
    </row>
    <row r="76" spans="1:10" ht="15" x14ac:dyDescent="0.2">
      <c r="A76" s="16">
        <v>42856</v>
      </c>
      <c r="B76" s="17">
        <f>17.1367 * CHOOSE(CONTROL!$C$15, $E$9, 100%, $G$9) + CHOOSE(CONTROL!$C$38, 0.0355, 0)</f>
        <v>17.1722</v>
      </c>
      <c r="C76" s="17">
        <f>16.165 * CHOOSE(CONTROL!$C$15, $E$9, 100%, $G$9) + CHOOSE(CONTROL!$C$38, 0.0356, 0)</f>
        <v>16.200599999999998</v>
      </c>
      <c r="D76" s="17">
        <f>16.1572 * CHOOSE(CONTROL!$C$15, $E$9, 100%, $G$9) + CHOOSE(CONTROL!$C$38, 0.0356, 0)</f>
        <v>16.192799999999998</v>
      </c>
      <c r="E76" s="17">
        <f>16.1572 * CHOOSE(CONTROL!$C$15, $E$9, 100%, $G$9) + CHOOSE(CONTROL!$C$38, 0.0356, 0)</f>
        <v>16.192799999999998</v>
      </c>
      <c r="F76" s="45">
        <f>17.1367 * CHOOSE(CONTROL!$C$15, $E$9, 100%, $G$9) + CHOOSE(CONTROL!$C$38, 0.0355, 0)</f>
        <v>17.1722</v>
      </c>
      <c r="G76" s="17">
        <f>16.1634 * CHOOSE(CONTROL!$C$15, $E$9, 100%, $G$9) + CHOOSE(CONTROL!$C$38, 0.0356, 0)</f>
        <v>16.198999999999998</v>
      </c>
      <c r="H76" s="17">
        <f>16.1634 * CHOOSE(CONTROL!$C$15, $E$9, 100%, $G$9) + CHOOSE(CONTROL!$C$38, 0.0356, 0)</f>
        <v>16.198999999999998</v>
      </c>
      <c r="I76" s="17">
        <f>16.165 * CHOOSE(CONTROL!$C$15, $E$9, 100%, $G$9) + CHOOSE(CONTROL!$C$38, 0.0356, 0)</f>
        <v>16.200599999999998</v>
      </c>
      <c r="J76" s="44">
        <f>114.9937</f>
        <v>114.9937</v>
      </c>
    </row>
    <row r="77" spans="1:10" ht="15" x14ac:dyDescent="0.2">
      <c r="A77" s="16">
        <v>42887</v>
      </c>
      <c r="B77" s="17">
        <f>16.752 * CHOOSE(CONTROL!$C$15, $E$9, 100%, $G$9) + CHOOSE(CONTROL!$C$38, 0.0355, 0)</f>
        <v>16.787499999999998</v>
      </c>
      <c r="C77" s="17">
        <f>15.7786 * CHOOSE(CONTROL!$C$15, $E$9, 100%, $G$9) + CHOOSE(CONTROL!$C$38, 0.0356, 0)</f>
        <v>15.814200000000001</v>
      </c>
      <c r="D77" s="17">
        <f>15.7708 * CHOOSE(CONTROL!$C$15, $E$9, 100%, $G$9) + CHOOSE(CONTROL!$C$38, 0.0356, 0)</f>
        <v>15.8064</v>
      </c>
      <c r="E77" s="17">
        <f>15.7708 * CHOOSE(CONTROL!$C$15, $E$9, 100%, $G$9) + CHOOSE(CONTROL!$C$38, 0.0356, 0)</f>
        <v>15.8064</v>
      </c>
      <c r="F77" s="45">
        <f>16.752 * CHOOSE(CONTROL!$C$15, $E$9, 100%, $G$9) + CHOOSE(CONTROL!$C$38, 0.0355, 0)</f>
        <v>16.787499999999998</v>
      </c>
      <c r="G77" s="17">
        <f>15.777 * CHOOSE(CONTROL!$C$15, $E$9, 100%, $G$9) + CHOOSE(CONTROL!$C$38, 0.0356, 0)</f>
        <v>15.8126</v>
      </c>
      <c r="H77" s="17">
        <f>15.777 * CHOOSE(CONTROL!$C$15, $E$9, 100%, $G$9) + CHOOSE(CONTROL!$C$38, 0.0356, 0)</f>
        <v>15.8126</v>
      </c>
      <c r="I77" s="17">
        <f>15.7786 * CHOOSE(CONTROL!$C$15, $E$9, 100%, $G$9) + CHOOSE(CONTROL!$C$38, 0.0356, 0)</f>
        <v>15.814200000000001</v>
      </c>
      <c r="J77" s="44">
        <f>116.8909</f>
        <v>116.8909</v>
      </c>
    </row>
    <row r="78" spans="1:10" ht="15" x14ac:dyDescent="0.2">
      <c r="A78" s="16">
        <v>42917</v>
      </c>
      <c r="B78" s="17">
        <f>16.5457 * CHOOSE(CONTROL!$C$15, $E$9, 100%, $G$9) + CHOOSE(CONTROL!$C$38, 0.0355, 0)</f>
        <v>16.581199999999999</v>
      </c>
      <c r="C78" s="17">
        <f>15.5707 * CHOOSE(CONTROL!$C$15, $E$9, 100%, $G$9) + CHOOSE(CONTROL!$C$38, 0.0356, 0)</f>
        <v>15.606300000000001</v>
      </c>
      <c r="D78" s="17">
        <f>15.5629 * CHOOSE(CONTROL!$C$15, $E$9, 100%, $G$9) + CHOOSE(CONTROL!$C$38, 0.0356, 0)</f>
        <v>15.598500000000001</v>
      </c>
      <c r="E78" s="17">
        <f>15.5629 * CHOOSE(CONTROL!$C$15, $E$9, 100%, $G$9) + CHOOSE(CONTROL!$C$38, 0.0356, 0)</f>
        <v>15.598500000000001</v>
      </c>
      <c r="F78" s="45">
        <f>16.5457 * CHOOSE(CONTROL!$C$15, $E$9, 100%, $G$9) + CHOOSE(CONTROL!$C$38, 0.0355, 0)</f>
        <v>16.581199999999999</v>
      </c>
      <c r="G78" s="17">
        <f>15.5691 * CHOOSE(CONTROL!$C$15, $E$9, 100%, $G$9) + CHOOSE(CONTROL!$C$38, 0.0356, 0)</f>
        <v>15.604700000000001</v>
      </c>
      <c r="H78" s="17">
        <f>15.5691 * CHOOSE(CONTROL!$C$15, $E$9, 100%, $G$9) + CHOOSE(CONTROL!$C$38, 0.0356, 0)</f>
        <v>15.604700000000001</v>
      </c>
      <c r="I78" s="17">
        <f>15.5707 * CHOOSE(CONTROL!$C$15, $E$9, 100%, $G$9) + CHOOSE(CONTROL!$C$38, 0.0356, 0)</f>
        <v>15.606300000000001</v>
      </c>
      <c r="J78" s="44">
        <f>116.5839</f>
        <v>116.5839</v>
      </c>
    </row>
    <row r="79" spans="1:10" ht="15" x14ac:dyDescent="0.2">
      <c r="A79" s="16">
        <v>42948</v>
      </c>
      <c r="B79" s="17">
        <f>16.697 * CHOOSE(CONTROL!$C$15, $E$9, 100%, $G$9) + CHOOSE(CONTROL!$C$38, 0.0355, 0)</f>
        <v>16.732499999999998</v>
      </c>
      <c r="C79" s="17">
        <f>15.7202 * CHOOSE(CONTROL!$C$15, $E$9, 100%, $G$9) + CHOOSE(CONTROL!$C$38, 0.0356, 0)</f>
        <v>15.755800000000001</v>
      </c>
      <c r="D79" s="17">
        <f>15.7124 * CHOOSE(CONTROL!$C$15, $E$9, 100%, $G$9) + CHOOSE(CONTROL!$C$38, 0.0356, 0)</f>
        <v>15.748000000000001</v>
      </c>
      <c r="E79" s="17">
        <f>15.7124 * CHOOSE(CONTROL!$C$15, $E$9, 100%, $G$9) + CHOOSE(CONTROL!$C$38, 0.0356, 0)</f>
        <v>15.748000000000001</v>
      </c>
      <c r="F79" s="45">
        <f>16.697 * CHOOSE(CONTROL!$C$15, $E$9, 100%, $G$9) + CHOOSE(CONTROL!$C$38, 0.0355, 0)</f>
        <v>16.732499999999998</v>
      </c>
      <c r="G79" s="17">
        <f>15.7187 * CHOOSE(CONTROL!$C$15, $E$9, 100%, $G$9) + CHOOSE(CONTROL!$C$38, 0.0356, 0)</f>
        <v>15.754300000000001</v>
      </c>
      <c r="H79" s="17">
        <f>15.7187 * CHOOSE(CONTROL!$C$15, $E$9, 100%, $G$9) + CHOOSE(CONTROL!$C$38, 0.0356, 0)</f>
        <v>15.754300000000001</v>
      </c>
      <c r="I79" s="17">
        <f>15.7202 * CHOOSE(CONTROL!$C$15, $E$9, 100%, $G$9) + CHOOSE(CONTROL!$C$38, 0.0356, 0)</f>
        <v>15.755800000000001</v>
      </c>
      <c r="J79" s="44">
        <f>114.1044</f>
        <v>114.1044</v>
      </c>
    </row>
    <row r="80" spans="1:10" ht="15" x14ac:dyDescent="0.2">
      <c r="A80" s="16">
        <v>42979</v>
      </c>
      <c r="B80" s="17">
        <f>17.0524 * CHOOSE(CONTROL!$C$15, $E$9, 100%, $G$9) + CHOOSE(CONTROL!$C$38, 0.0355, 0)</f>
        <v>17.087899999999998</v>
      </c>
      <c r="C80" s="17">
        <f>16.074 * CHOOSE(CONTROL!$C$15, $E$9, 100%, $G$9) + CHOOSE(CONTROL!$C$38, 0.0356, 0)</f>
        <v>16.1096</v>
      </c>
      <c r="D80" s="17">
        <f>16.0662 * CHOOSE(CONTROL!$C$15, $E$9, 100%, $G$9) + CHOOSE(CONTROL!$C$38, 0.0356, 0)</f>
        <v>16.101799999999997</v>
      </c>
      <c r="E80" s="17">
        <f>16.0662 * CHOOSE(CONTROL!$C$15, $E$9, 100%, $G$9) + CHOOSE(CONTROL!$C$38, 0.0356, 0)</f>
        <v>16.101799999999997</v>
      </c>
      <c r="F80" s="45">
        <f>17.0524 * CHOOSE(CONTROL!$C$15, $E$9, 100%, $G$9) + CHOOSE(CONTROL!$C$38, 0.0355, 0)</f>
        <v>17.087899999999998</v>
      </c>
      <c r="G80" s="17">
        <f>16.0724 * CHOOSE(CONTROL!$C$15, $E$9, 100%, $G$9) + CHOOSE(CONTROL!$C$38, 0.0356, 0)</f>
        <v>16.107999999999997</v>
      </c>
      <c r="H80" s="17">
        <f>16.0724 * CHOOSE(CONTROL!$C$15, $E$9, 100%, $G$9) + CHOOSE(CONTROL!$C$38, 0.0356, 0)</f>
        <v>16.107999999999997</v>
      </c>
      <c r="I80" s="17">
        <f>16.074 * CHOOSE(CONTROL!$C$15, $E$9, 100%, $G$9) + CHOOSE(CONTROL!$C$38, 0.0356, 0)</f>
        <v>16.1096</v>
      </c>
      <c r="J80" s="44">
        <f>110.539</f>
        <v>110.539</v>
      </c>
    </row>
    <row r="81" spans="1:10" ht="15" x14ac:dyDescent="0.2">
      <c r="A81" s="16">
        <v>43009</v>
      </c>
      <c r="B81" s="17">
        <f>17.3568 * CHOOSE(CONTROL!$C$15, $E$9, 100%, $G$9) + CHOOSE(CONTROL!$C$38, 0.0339, 0)</f>
        <v>17.390699999999999</v>
      </c>
      <c r="C81" s="17">
        <f>16.3766 * CHOOSE(CONTROL!$C$15, $E$9, 100%, $G$9) + CHOOSE(CONTROL!$C$38, 0.034, 0)</f>
        <v>16.410599999999999</v>
      </c>
      <c r="D81" s="17">
        <f>16.3688 * CHOOSE(CONTROL!$C$15, $E$9, 100%, $G$9) + CHOOSE(CONTROL!$C$38, 0.034, 0)</f>
        <v>16.402799999999999</v>
      </c>
      <c r="E81" s="17">
        <f>16.3688 * CHOOSE(CONTROL!$C$15, $E$9, 100%, $G$9) + CHOOSE(CONTROL!$C$38, 0.034, 0)</f>
        <v>16.402799999999999</v>
      </c>
      <c r="F81" s="45">
        <f>17.3568 * CHOOSE(CONTROL!$C$15, $E$9, 100%, $G$9) + CHOOSE(CONTROL!$C$38, 0.0339, 0)</f>
        <v>17.390699999999999</v>
      </c>
      <c r="G81" s="17">
        <f>16.3751 * CHOOSE(CONTROL!$C$15, $E$9, 100%, $G$9) + CHOOSE(CONTROL!$C$38, 0.034, 0)</f>
        <v>16.409099999999999</v>
      </c>
      <c r="H81" s="17">
        <f>16.3751 * CHOOSE(CONTROL!$C$15, $E$9, 100%, $G$9) + CHOOSE(CONTROL!$C$38, 0.034, 0)</f>
        <v>16.409099999999999</v>
      </c>
      <c r="I81" s="17">
        <f>16.3766 * CHOOSE(CONTROL!$C$15, $E$9, 100%, $G$9) + CHOOSE(CONTROL!$C$38, 0.034, 0)</f>
        <v>16.410599999999999</v>
      </c>
      <c r="J81" s="44">
        <f>106.9363</f>
        <v>106.9363</v>
      </c>
    </row>
    <row r="82" spans="1:10" ht="15" x14ac:dyDescent="0.2">
      <c r="A82" s="16">
        <v>43040</v>
      </c>
      <c r="B82" s="17">
        <f>17.6174 * CHOOSE(CONTROL!$C$15, $E$9, 100%, $G$9) + CHOOSE(CONTROL!$C$38, 0.0339, 0)</f>
        <v>17.651299999999999</v>
      </c>
      <c r="C82" s="17">
        <f>16.6356 * CHOOSE(CONTROL!$C$15, $E$9, 100%, $G$9) + CHOOSE(CONTROL!$C$38, 0.034, 0)</f>
        <v>16.669599999999999</v>
      </c>
      <c r="D82" s="17">
        <f>16.6278 * CHOOSE(CONTROL!$C$15, $E$9, 100%, $G$9) + CHOOSE(CONTROL!$C$38, 0.034, 0)</f>
        <v>16.661799999999999</v>
      </c>
      <c r="E82" s="17">
        <f>16.6278 * CHOOSE(CONTROL!$C$15, $E$9, 100%, $G$9) + CHOOSE(CONTROL!$C$38, 0.034, 0)</f>
        <v>16.661799999999999</v>
      </c>
      <c r="F82" s="45">
        <f>17.6174 * CHOOSE(CONTROL!$C$15, $E$9, 100%, $G$9) + CHOOSE(CONTROL!$C$38, 0.0339, 0)</f>
        <v>17.651299999999999</v>
      </c>
      <c r="G82" s="17">
        <f>16.6341 * CHOOSE(CONTROL!$C$15, $E$9, 100%, $G$9) + CHOOSE(CONTROL!$C$38, 0.034, 0)</f>
        <v>16.668099999999999</v>
      </c>
      <c r="H82" s="17">
        <f>16.6341 * CHOOSE(CONTROL!$C$15, $E$9, 100%, $G$9) + CHOOSE(CONTROL!$C$38, 0.034, 0)</f>
        <v>16.668099999999999</v>
      </c>
      <c r="I82" s="17">
        <f>16.6356 * CHOOSE(CONTROL!$C$15, $E$9, 100%, $G$9) + CHOOSE(CONTROL!$C$38, 0.034, 0)</f>
        <v>16.669599999999999</v>
      </c>
      <c r="J82" s="44">
        <f>106.393</f>
        <v>106.393</v>
      </c>
    </row>
    <row r="83" spans="1:10" ht="15" x14ac:dyDescent="0.2">
      <c r="A83" s="16">
        <v>43070</v>
      </c>
      <c r="B83" s="17">
        <f>18.3509 * CHOOSE(CONTROL!$C$15, $E$9, 100%, $G$9) + CHOOSE(CONTROL!$C$38, 0.0339, 0)</f>
        <v>18.384799999999998</v>
      </c>
      <c r="C83" s="17">
        <f>17.3673 * CHOOSE(CONTROL!$C$15, $E$9, 100%, $G$9) + CHOOSE(CONTROL!$C$38, 0.034, 0)</f>
        <v>17.401299999999999</v>
      </c>
      <c r="D83" s="17">
        <f>17.3595 * CHOOSE(CONTROL!$C$15, $E$9, 100%, $G$9) + CHOOSE(CONTROL!$C$38, 0.034, 0)</f>
        <v>17.3935</v>
      </c>
      <c r="E83" s="17">
        <f>17.3595 * CHOOSE(CONTROL!$C$15, $E$9, 100%, $G$9) + CHOOSE(CONTROL!$C$38, 0.034, 0)</f>
        <v>17.3935</v>
      </c>
      <c r="F83" s="45">
        <f>18.3509 * CHOOSE(CONTROL!$C$15, $E$9, 100%, $G$9) + CHOOSE(CONTROL!$C$38, 0.0339, 0)</f>
        <v>18.384799999999998</v>
      </c>
      <c r="G83" s="17">
        <f>17.3658 * CHOOSE(CONTROL!$C$15, $E$9, 100%, $G$9) + CHOOSE(CONTROL!$C$38, 0.034, 0)</f>
        <v>17.399799999999999</v>
      </c>
      <c r="H83" s="17">
        <f>17.3658 * CHOOSE(CONTROL!$C$15, $E$9, 100%, $G$9) + CHOOSE(CONTROL!$C$38, 0.034, 0)</f>
        <v>17.399799999999999</v>
      </c>
      <c r="I83" s="17">
        <f>17.3673 * CHOOSE(CONTROL!$C$15, $E$9, 100%, $G$9) + CHOOSE(CONTROL!$C$38, 0.034, 0)</f>
        <v>17.401299999999999</v>
      </c>
      <c r="J83" s="44">
        <f>103.4484</f>
        <v>103.44840000000001</v>
      </c>
    </row>
    <row r="84" spans="1:10" ht="15" x14ac:dyDescent="0.2">
      <c r="A84" s="16">
        <v>43101</v>
      </c>
      <c r="B84" s="17">
        <f>18.8823 * CHOOSE(CONTROL!$C$15, $E$9, 100%, $G$9) + CHOOSE(CONTROL!$C$38, 0.0339, 0)</f>
        <v>18.9162</v>
      </c>
      <c r="C84" s="17">
        <f>17.9184 * CHOOSE(CONTROL!$C$15, $E$9, 100%, $G$9) + CHOOSE(CONTROL!$C$38, 0.034, 0)</f>
        <v>17.952399999999997</v>
      </c>
      <c r="D84" s="17">
        <f>17.9106 * CHOOSE(CONTROL!$C$15, $E$9, 100%, $G$9) + CHOOSE(CONTROL!$C$38, 0.034, 0)</f>
        <v>17.944599999999998</v>
      </c>
      <c r="E84" s="17">
        <f>17.9106 * CHOOSE(CONTROL!$C$15, $E$9, 100%, $G$9) + CHOOSE(CONTROL!$C$38, 0.034, 0)</f>
        <v>17.944599999999998</v>
      </c>
      <c r="F84" s="45">
        <f>18.8823 * CHOOSE(CONTROL!$C$15, $E$9, 100%, $G$9) + CHOOSE(CONTROL!$C$38, 0.0339, 0)</f>
        <v>18.9162</v>
      </c>
      <c r="G84" s="17">
        <f>17.9168 * CHOOSE(CONTROL!$C$15, $E$9, 100%, $G$9) + CHOOSE(CONTROL!$C$38, 0.034, 0)</f>
        <v>17.950799999999997</v>
      </c>
      <c r="H84" s="17">
        <f>17.9168 * CHOOSE(CONTROL!$C$15, $E$9, 100%, $G$9) + CHOOSE(CONTROL!$C$38, 0.034, 0)</f>
        <v>17.950799999999997</v>
      </c>
      <c r="I84" s="17">
        <f>17.9184 * CHOOSE(CONTROL!$C$15, $E$9, 100%, $G$9) + CHOOSE(CONTROL!$C$38, 0.034, 0)</f>
        <v>17.952399999999997</v>
      </c>
      <c r="J84" s="44">
        <f>100.9369</f>
        <v>100.93689999999999</v>
      </c>
    </row>
    <row r="85" spans="1:10" ht="15" x14ac:dyDescent="0.2">
      <c r="A85" s="16">
        <v>43132</v>
      </c>
      <c r="B85" s="17">
        <f>19.1797 * CHOOSE(CONTROL!$C$15, $E$9, 100%, $G$9) + CHOOSE(CONTROL!$C$38, 0.0339, 0)</f>
        <v>19.2136</v>
      </c>
      <c r="C85" s="17">
        <f>18.2141 * CHOOSE(CONTROL!$C$15, $E$9, 100%, $G$9) + CHOOSE(CONTROL!$C$38, 0.034, 0)</f>
        <v>18.248099999999997</v>
      </c>
      <c r="D85" s="17">
        <f>18.2063 * CHOOSE(CONTROL!$C$15, $E$9, 100%, $G$9) + CHOOSE(CONTROL!$C$38, 0.034, 0)</f>
        <v>18.240299999999998</v>
      </c>
      <c r="E85" s="17">
        <f>18.2063 * CHOOSE(CONTROL!$C$15, $E$9, 100%, $G$9) + CHOOSE(CONTROL!$C$38, 0.034, 0)</f>
        <v>18.240299999999998</v>
      </c>
      <c r="F85" s="45">
        <f>19.1797 * CHOOSE(CONTROL!$C$15, $E$9, 100%, $G$9) + CHOOSE(CONTROL!$C$38, 0.0339, 0)</f>
        <v>19.2136</v>
      </c>
      <c r="G85" s="17">
        <f>18.2125 * CHOOSE(CONTROL!$C$15, $E$9, 100%, $G$9) + CHOOSE(CONTROL!$C$38, 0.034, 0)</f>
        <v>18.246499999999997</v>
      </c>
      <c r="H85" s="17">
        <f>18.2125 * CHOOSE(CONTROL!$C$15, $E$9, 100%, $G$9) + CHOOSE(CONTROL!$C$38, 0.034, 0)</f>
        <v>18.246499999999997</v>
      </c>
      <c r="I85" s="17">
        <f>18.2141 * CHOOSE(CONTROL!$C$15, $E$9, 100%, $G$9) + CHOOSE(CONTROL!$C$38, 0.034, 0)</f>
        <v>18.248099999999997</v>
      </c>
      <c r="J85" s="44">
        <f>100.8637</f>
        <v>100.86369999999999</v>
      </c>
    </row>
    <row r="86" spans="1:10" ht="15" x14ac:dyDescent="0.2">
      <c r="A86" s="16">
        <v>43160</v>
      </c>
      <c r="B86" s="17">
        <f>18.6154 * CHOOSE(CONTROL!$C$15, $E$9, 100%, $G$9) + CHOOSE(CONTROL!$C$38, 0.0339, 0)</f>
        <v>18.6493</v>
      </c>
      <c r="C86" s="17">
        <f>17.6482 * CHOOSE(CONTROL!$C$15, $E$9, 100%, $G$9) + CHOOSE(CONTROL!$C$38, 0.034, 0)</f>
        <v>17.682199999999998</v>
      </c>
      <c r="D86" s="17">
        <f>17.6403 * CHOOSE(CONTROL!$C$15, $E$9, 100%, $G$9) + CHOOSE(CONTROL!$C$38, 0.034, 0)</f>
        <v>17.674299999999999</v>
      </c>
      <c r="E86" s="17">
        <f>17.6403 * CHOOSE(CONTROL!$C$15, $E$9, 100%, $G$9) + CHOOSE(CONTROL!$C$38, 0.034, 0)</f>
        <v>17.674299999999999</v>
      </c>
      <c r="F86" s="45">
        <f>18.6154 * CHOOSE(CONTROL!$C$15, $E$9, 100%, $G$9) + CHOOSE(CONTROL!$C$38, 0.0339, 0)</f>
        <v>18.6493</v>
      </c>
      <c r="G86" s="17">
        <f>17.6466 * CHOOSE(CONTROL!$C$15, $E$9, 100%, $G$9) + CHOOSE(CONTROL!$C$38, 0.034, 0)</f>
        <v>17.680599999999998</v>
      </c>
      <c r="H86" s="17">
        <f>17.6466 * CHOOSE(CONTROL!$C$15, $E$9, 100%, $G$9) + CHOOSE(CONTROL!$C$38, 0.034, 0)</f>
        <v>17.680599999999998</v>
      </c>
      <c r="I86" s="17">
        <f>17.6482 * CHOOSE(CONTROL!$C$15, $E$9, 100%, $G$9) + CHOOSE(CONTROL!$C$38, 0.034, 0)</f>
        <v>17.682199999999998</v>
      </c>
      <c r="J86" s="44">
        <f>106.3985</f>
        <v>106.3985</v>
      </c>
    </row>
    <row r="87" spans="1:10" ht="15" x14ac:dyDescent="0.2">
      <c r="A87" s="16">
        <v>43191</v>
      </c>
      <c r="B87" s="17">
        <f>18.0675 * CHOOSE(CONTROL!$C$15, $E$9, 100%, $G$9) + CHOOSE(CONTROL!$C$38, 0.0339, 0)</f>
        <v>18.101399999999998</v>
      </c>
      <c r="C87" s="17">
        <f>17.0986 * CHOOSE(CONTROL!$C$15, $E$9, 100%, $G$9) + CHOOSE(CONTROL!$C$38, 0.034, 0)</f>
        <v>17.1326</v>
      </c>
      <c r="D87" s="17">
        <f>17.0908 * CHOOSE(CONTROL!$C$15, $E$9, 100%, $G$9) + CHOOSE(CONTROL!$C$38, 0.034, 0)</f>
        <v>17.1248</v>
      </c>
      <c r="E87" s="17">
        <f>17.0908 * CHOOSE(CONTROL!$C$15, $E$9, 100%, $G$9) + CHOOSE(CONTROL!$C$38, 0.034, 0)</f>
        <v>17.1248</v>
      </c>
      <c r="F87" s="45">
        <f>18.0675 * CHOOSE(CONTROL!$C$15, $E$9, 100%, $G$9) + CHOOSE(CONTROL!$C$38, 0.0339, 0)</f>
        <v>18.101399999999998</v>
      </c>
      <c r="G87" s="17">
        <f>17.097 * CHOOSE(CONTROL!$C$15, $E$9, 100%, $G$9) + CHOOSE(CONTROL!$C$38, 0.034, 0)</f>
        <v>17.131</v>
      </c>
      <c r="H87" s="17">
        <f>17.097 * CHOOSE(CONTROL!$C$15, $E$9, 100%, $G$9) + CHOOSE(CONTROL!$C$38, 0.034, 0)</f>
        <v>17.131</v>
      </c>
      <c r="I87" s="17">
        <f>17.0986 * CHOOSE(CONTROL!$C$15, $E$9, 100%, $G$9) + CHOOSE(CONTROL!$C$38, 0.034, 0)</f>
        <v>17.1326</v>
      </c>
      <c r="J87" s="44">
        <f>113.5398</f>
        <v>113.5398</v>
      </c>
    </row>
    <row r="88" spans="1:10" ht="15" x14ac:dyDescent="0.2">
      <c r="A88" s="16">
        <v>43221</v>
      </c>
      <c r="B88" s="17">
        <f>17.4925 * CHOOSE(CONTROL!$C$15, $E$9, 100%, $G$9) + CHOOSE(CONTROL!$C$38, 0.0355, 0)</f>
        <v>17.527999999999999</v>
      </c>
      <c r="C88" s="17">
        <f>16.5219 * CHOOSE(CONTROL!$C$15, $E$9, 100%, $G$9) + CHOOSE(CONTROL!$C$38, 0.0356, 0)</f>
        <v>16.557499999999997</v>
      </c>
      <c r="D88" s="17">
        <f>16.5141 * CHOOSE(CONTROL!$C$15, $E$9, 100%, $G$9) + CHOOSE(CONTROL!$C$38, 0.0356, 0)</f>
        <v>16.549699999999998</v>
      </c>
      <c r="E88" s="17">
        <f>16.5141 * CHOOSE(CONTROL!$C$15, $E$9, 100%, $G$9) + CHOOSE(CONTROL!$C$38, 0.0356, 0)</f>
        <v>16.549699999999998</v>
      </c>
      <c r="F88" s="45">
        <f>17.4925 * CHOOSE(CONTROL!$C$15, $E$9, 100%, $G$9) + CHOOSE(CONTROL!$C$38, 0.0355, 0)</f>
        <v>17.527999999999999</v>
      </c>
      <c r="G88" s="17">
        <f>16.5203 * CHOOSE(CONTROL!$C$15, $E$9, 100%, $G$9) + CHOOSE(CONTROL!$C$38, 0.0356, 0)</f>
        <v>16.555899999999998</v>
      </c>
      <c r="H88" s="17">
        <f>16.5203 * CHOOSE(CONTROL!$C$15, $E$9, 100%, $G$9) + CHOOSE(CONTROL!$C$38, 0.0356, 0)</f>
        <v>16.555899999999998</v>
      </c>
      <c r="I88" s="17">
        <f>16.5219 * CHOOSE(CONTROL!$C$15, $E$9, 100%, $G$9) + CHOOSE(CONTROL!$C$38, 0.0356, 0)</f>
        <v>16.557499999999997</v>
      </c>
      <c r="J88" s="44">
        <f>117.5917</f>
        <v>117.5917</v>
      </c>
    </row>
    <row r="89" spans="1:10" ht="15" x14ac:dyDescent="0.2">
      <c r="A89" s="16">
        <v>43252</v>
      </c>
      <c r="B89" s="17">
        <f>17.098 * CHOOSE(CONTROL!$C$15, $E$9, 100%, $G$9) + CHOOSE(CONTROL!$C$38, 0.0355, 0)</f>
        <v>17.133499999999998</v>
      </c>
      <c r="C89" s="17">
        <f>16.1257 * CHOOSE(CONTROL!$C$15, $E$9, 100%, $G$9) + CHOOSE(CONTROL!$C$38, 0.0356, 0)</f>
        <v>16.161299999999997</v>
      </c>
      <c r="D89" s="17">
        <f>16.1179 * CHOOSE(CONTROL!$C$15, $E$9, 100%, $G$9) + CHOOSE(CONTROL!$C$38, 0.0356, 0)</f>
        <v>16.153499999999998</v>
      </c>
      <c r="E89" s="17">
        <f>16.1179 * CHOOSE(CONTROL!$C$15, $E$9, 100%, $G$9) + CHOOSE(CONTROL!$C$38, 0.0356, 0)</f>
        <v>16.153499999999998</v>
      </c>
      <c r="F89" s="45">
        <f>17.098 * CHOOSE(CONTROL!$C$15, $E$9, 100%, $G$9) + CHOOSE(CONTROL!$C$38, 0.0355, 0)</f>
        <v>17.133499999999998</v>
      </c>
      <c r="G89" s="17">
        <f>16.1242 * CHOOSE(CONTROL!$C$15, $E$9, 100%, $G$9) + CHOOSE(CONTROL!$C$38, 0.0356, 0)</f>
        <v>16.159799999999997</v>
      </c>
      <c r="H89" s="17">
        <f>16.1242 * CHOOSE(CONTROL!$C$15, $E$9, 100%, $G$9) + CHOOSE(CONTROL!$C$38, 0.0356, 0)</f>
        <v>16.159799999999997</v>
      </c>
      <c r="I89" s="17">
        <f>16.1257 * CHOOSE(CONTROL!$C$15, $E$9, 100%, $G$9) + CHOOSE(CONTROL!$C$38, 0.0356, 0)</f>
        <v>16.161299999999997</v>
      </c>
      <c r="J89" s="44">
        <f>119.5318</f>
        <v>119.5318</v>
      </c>
    </row>
    <row r="90" spans="1:10" ht="15" x14ac:dyDescent="0.2">
      <c r="A90" s="16">
        <v>43282</v>
      </c>
      <c r="B90" s="17">
        <f>16.8865 * CHOOSE(CONTROL!$C$15, $E$9, 100%, $G$9) + CHOOSE(CONTROL!$C$38, 0.0355, 0)</f>
        <v>16.922000000000001</v>
      </c>
      <c r="C90" s="17">
        <f>15.9125 * CHOOSE(CONTROL!$C$15, $E$9, 100%, $G$9) + CHOOSE(CONTROL!$C$38, 0.0356, 0)</f>
        <v>15.9481</v>
      </c>
      <c r="D90" s="17">
        <f>15.9047 * CHOOSE(CONTROL!$C$15, $E$9, 100%, $G$9) + CHOOSE(CONTROL!$C$38, 0.0356, 0)</f>
        <v>15.940300000000001</v>
      </c>
      <c r="E90" s="17">
        <f>15.9047 * CHOOSE(CONTROL!$C$15, $E$9, 100%, $G$9) + CHOOSE(CONTROL!$C$38, 0.0356, 0)</f>
        <v>15.940300000000001</v>
      </c>
      <c r="F90" s="45">
        <f>16.8865 * CHOOSE(CONTROL!$C$15, $E$9, 100%, $G$9) + CHOOSE(CONTROL!$C$38, 0.0355, 0)</f>
        <v>16.922000000000001</v>
      </c>
      <c r="G90" s="17">
        <f>15.911 * CHOOSE(CONTROL!$C$15, $E$9, 100%, $G$9) + CHOOSE(CONTROL!$C$38, 0.0356, 0)</f>
        <v>15.9466</v>
      </c>
      <c r="H90" s="17">
        <f>15.911 * CHOOSE(CONTROL!$C$15, $E$9, 100%, $G$9) + CHOOSE(CONTROL!$C$38, 0.0356, 0)</f>
        <v>15.9466</v>
      </c>
      <c r="I90" s="17">
        <f>15.9125 * CHOOSE(CONTROL!$C$15, $E$9, 100%, $G$9) + CHOOSE(CONTROL!$C$38, 0.0356, 0)</f>
        <v>15.9481</v>
      </c>
      <c r="J90" s="44">
        <f>119.2178</f>
        <v>119.2178</v>
      </c>
    </row>
    <row r="91" spans="1:10" ht="15" x14ac:dyDescent="0.2">
      <c r="A91" s="16">
        <v>43313</v>
      </c>
      <c r="B91" s="17">
        <f>17.0414 * CHOOSE(CONTROL!$C$15, $E$9, 100%, $G$9) + CHOOSE(CONTROL!$C$38, 0.0355, 0)</f>
        <v>17.076899999999998</v>
      </c>
      <c r="C91" s="17">
        <f>16.0658 * CHOOSE(CONTROL!$C$15, $E$9, 100%, $G$9) + CHOOSE(CONTROL!$C$38, 0.0356, 0)</f>
        <v>16.101399999999998</v>
      </c>
      <c r="D91" s="17">
        <f>16.0579 * CHOOSE(CONTROL!$C$15, $E$9, 100%, $G$9) + CHOOSE(CONTROL!$C$38, 0.0356, 0)</f>
        <v>16.093499999999999</v>
      </c>
      <c r="E91" s="17">
        <f>16.0579 * CHOOSE(CONTROL!$C$15, $E$9, 100%, $G$9) + CHOOSE(CONTROL!$C$38, 0.0356, 0)</f>
        <v>16.093499999999999</v>
      </c>
      <c r="F91" s="45">
        <f>17.0414 * CHOOSE(CONTROL!$C$15, $E$9, 100%, $G$9) + CHOOSE(CONTROL!$C$38, 0.0355, 0)</f>
        <v>17.076899999999998</v>
      </c>
      <c r="G91" s="17">
        <f>16.0642 * CHOOSE(CONTROL!$C$15, $E$9, 100%, $G$9) + CHOOSE(CONTROL!$C$38, 0.0356, 0)</f>
        <v>16.099799999999998</v>
      </c>
      <c r="H91" s="17">
        <f>16.0642 * CHOOSE(CONTROL!$C$15, $E$9, 100%, $G$9) + CHOOSE(CONTROL!$C$38, 0.0356, 0)</f>
        <v>16.099799999999998</v>
      </c>
      <c r="I91" s="17">
        <f>16.0658 * CHOOSE(CONTROL!$C$15, $E$9, 100%, $G$9) + CHOOSE(CONTROL!$C$38, 0.0356, 0)</f>
        <v>16.101399999999998</v>
      </c>
      <c r="J91" s="44">
        <f>116.6823</f>
        <v>116.6823</v>
      </c>
    </row>
    <row r="92" spans="1:10" ht="15" x14ac:dyDescent="0.2">
      <c r="A92" s="16">
        <v>43344</v>
      </c>
      <c r="B92" s="17">
        <f>17.4056 * CHOOSE(CONTROL!$C$15, $E$9, 100%, $G$9) + CHOOSE(CONTROL!$C$38, 0.0355, 0)</f>
        <v>17.441099999999999</v>
      </c>
      <c r="C92" s="17">
        <f>16.4283 * CHOOSE(CONTROL!$C$15, $E$9, 100%, $G$9) + CHOOSE(CONTROL!$C$38, 0.0356, 0)</f>
        <v>16.463899999999999</v>
      </c>
      <c r="D92" s="17">
        <f>16.4205 * CHOOSE(CONTROL!$C$15, $E$9, 100%, $G$9) + CHOOSE(CONTROL!$C$38, 0.0356, 0)</f>
        <v>16.456099999999999</v>
      </c>
      <c r="E92" s="17">
        <f>16.4205 * CHOOSE(CONTROL!$C$15, $E$9, 100%, $G$9) + CHOOSE(CONTROL!$C$38, 0.0356, 0)</f>
        <v>16.456099999999999</v>
      </c>
      <c r="F92" s="45">
        <f>17.4056 * CHOOSE(CONTROL!$C$15, $E$9, 100%, $G$9) + CHOOSE(CONTROL!$C$38, 0.0355, 0)</f>
        <v>17.441099999999999</v>
      </c>
      <c r="G92" s="17">
        <f>16.4267 * CHOOSE(CONTROL!$C$15, $E$9, 100%, $G$9) + CHOOSE(CONTROL!$C$38, 0.0356, 0)</f>
        <v>16.462299999999999</v>
      </c>
      <c r="H92" s="17">
        <f>16.4267 * CHOOSE(CONTROL!$C$15, $E$9, 100%, $G$9) + CHOOSE(CONTROL!$C$38, 0.0356, 0)</f>
        <v>16.462299999999999</v>
      </c>
      <c r="I92" s="17">
        <f>16.4283 * CHOOSE(CONTROL!$C$15, $E$9, 100%, $G$9) + CHOOSE(CONTROL!$C$38, 0.0356, 0)</f>
        <v>16.463899999999999</v>
      </c>
      <c r="J92" s="44">
        <f>113.0364</f>
        <v>113.0364</v>
      </c>
    </row>
    <row r="93" spans="1:10" ht="15" x14ac:dyDescent="0.2">
      <c r="A93" s="16">
        <v>43374</v>
      </c>
      <c r="B93" s="17">
        <f>17.7175 * CHOOSE(CONTROL!$C$15, $E$9, 100%, $G$9) + CHOOSE(CONTROL!$C$38, 0.0339, 0)</f>
        <v>17.7514</v>
      </c>
      <c r="C93" s="17">
        <f>16.7384 * CHOOSE(CONTROL!$C$15, $E$9, 100%, $G$9) + CHOOSE(CONTROL!$C$38, 0.034, 0)</f>
        <v>16.772399999999998</v>
      </c>
      <c r="D93" s="17">
        <f>16.7306 * CHOOSE(CONTROL!$C$15, $E$9, 100%, $G$9) + CHOOSE(CONTROL!$C$38, 0.034, 0)</f>
        <v>16.764599999999998</v>
      </c>
      <c r="E93" s="17">
        <f>16.7306 * CHOOSE(CONTROL!$C$15, $E$9, 100%, $G$9) + CHOOSE(CONTROL!$C$38, 0.034, 0)</f>
        <v>16.764599999999998</v>
      </c>
      <c r="F93" s="45">
        <f>17.7175 * CHOOSE(CONTROL!$C$15, $E$9, 100%, $G$9) + CHOOSE(CONTROL!$C$38, 0.0339, 0)</f>
        <v>17.7514</v>
      </c>
      <c r="G93" s="17">
        <f>16.7369 * CHOOSE(CONTROL!$C$15, $E$9, 100%, $G$9) + CHOOSE(CONTROL!$C$38, 0.034, 0)</f>
        <v>16.770899999999997</v>
      </c>
      <c r="H93" s="17">
        <f>16.7369 * CHOOSE(CONTROL!$C$15, $E$9, 100%, $G$9) + CHOOSE(CONTROL!$C$38, 0.034, 0)</f>
        <v>16.770899999999997</v>
      </c>
      <c r="I93" s="17">
        <f>16.7384 * CHOOSE(CONTROL!$C$15, $E$9, 100%, $G$9) + CHOOSE(CONTROL!$C$38, 0.034, 0)</f>
        <v>16.772399999999998</v>
      </c>
      <c r="J93" s="44">
        <f>109.3522</f>
        <v>109.3522</v>
      </c>
    </row>
    <row r="94" spans="1:10" ht="15" x14ac:dyDescent="0.2">
      <c r="A94" s="16">
        <v>43405</v>
      </c>
      <c r="B94" s="17">
        <f>17.9845 * CHOOSE(CONTROL!$C$15, $E$9, 100%, $G$9) + CHOOSE(CONTROL!$C$38, 0.0339, 0)</f>
        <v>18.0184</v>
      </c>
      <c r="C94" s="17">
        <f>17.0038 * CHOOSE(CONTROL!$C$15, $E$9, 100%, $G$9) + CHOOSE(CONTROL!$C$38, 0.034, 0)</f>
        <v>17.037799999999997</v>
      </c>
      <c r="D94" s="17">
        <f>16.996 * CHOOSE(CONTROL!$C$15, $E$9, 100%, $G$9) + CHOOSE(CONTROL!$C$38, 0.034, 0)</f>
        <v>17.029999999999998</v>
      </c>
      <c r="E94" s="17">
        <f>16.996 * CHOOSE(CONTROL!$C$15, $E$9, 100%, $G$9) + CHOOSE(CONTROL!$C$38, 0.034, 0)</f>
        <v>17.029999999999998</v>
      </c>
      <c r="F94" s="45">
        <f>17.9845 * CHOOSE(CONTROL!$C$15, $E$9, 100%, $G$9) + CHOOSE(CONTROL!$C$38, 0.0339, 0)</f>
        <v>18.0184</v>
      </c>
      <c r="G94" s="17">
        <f>17.0023 * CHOOSE(CONTROL!$C$15, $E$9, 100%, $G$9) + CHOOSE(CONTROL!$C$38, 0.034, 0)</f>
        <v>17.036300000000001</v>
      </c>
      <c r="H94" s="17">
        <f>17.0023 * CHOOSE(CONTROL!$C$15, $E$9, 100%, $G$9) + CHOOSE(CONTROL!$C$38, 0.034, 0)</f>
        <v>17.036300000000001</v>
      </c>
      <c r="I94" s="17">
        <f>17.0038 * CHOOSE(CONTROL!$C$15, $E$9, 100%, $G$9) + CHOOSE(CONTROL!$C$38, 0.034, 0)</f>
        <v>17.037799999999997</v>
      </c>
      <c r="J94" s="44">
        <f>108.7967</f>
        <v>108.7967</v>
      </c>
    </row>
    <row r="95" spans="1:10" ht="15" x14ac:dyDescent="0.2">
      <c r="A95" s="16">
        <v>43435</v>
      </c>
      <c r="B95" s="17">
        <f>18.7362 * CHOOSE(CONTROL!$C$15, $E$9, 100%, $G$9) + CHOOSE(CONTROL!$C$38, 0.0339, 0)</f>
        <v>18.770099999999999</v>
      </c>
      <c r="C95" s="17">
        <f>17.7538 * CHOOSE(CONTROL!$C$15, $E$9, 100%, $G$9) + CHOOSE(CONTROL!$C$38, 0.034, 0)</f>
        <v>17.787799999999997</v>
      </c>
      <c r="D95" s="17">
        <f>17.7459 * CHOOSE(CONTROL!$C$15, $E$9, 100%, $G$9) + CHOOSE(CONTROL!$C$38, 0.034, 0)</f>
        <v>17.779899999999998</v>
      </c>
      <c r="E95" s="17">
        <f>17.7459 * CHOOSE(CONTROL!$C$15, $E$9, 100%, $G$9) + CHOOSE(CONTROL!$C$38, 0.034, 0)</f>
        <v>17.779899999999998</v>
      </c>
      <c r="F95" s="45">
        <f>18.7362 * CHOOSE(CONTROL!$C$15, $E$9, 100%, $G$9) + CHOOSE(CONTROL!$C$38, 0.0339, 0)</f>
        <v>18.770099999999999</v>
      </c>
      <c r="G95" s="17">
        <f>17.7522 * CHOOSE(CONTROL!$C$15, $E$9, 100%, $G$9) + CHOOSE(CONTROL!$C$38, 0.034, 0)</f>
        <v>17.786199999999997</v>
      </c>
      <c r="H95" s="17">
        <f>17.7522 * CHOOSE(CONTROL!$C$15, $E$9, 100%, $G$9) + CHOOSE(CONTROL!$C$38, 0.034, 0)</f>
        <v>17.786199999999997</v>
      </c>
      <c r="I95" s="17">
        <f>17.7538 * CHOOSE(CONTROL!$C$15, $E$9, 100%, $G$9) + CHOOSE(CONTROL!$C$38, 0.034, 0)</f>
        <v>17.787799999999997</v>
      </c>
      <c r="J95" s="44">
        <f>105.7856</f>
        <v>105.7856</v>
      </c>
    </row>
    <row r="96" spans="1:10" ht="15" x14ac:dyDescent="0.2">
      <c r="A96" s="16">
        <v>43466</v>
      </c>
      <c r="B96" s="17">
        <f>19.3077 * CHOOSE(CONTROL!$C$15, $E$9, 100%, $G$9) + CHOOSE(CONTROL!$C$38, 0.0339, 0)</f>
        <v>19.3416</v>
      </c>
      <c r="C96" s="17">
        <f>18.3089 * CHOOSE(CONTROL!$C$15, $E$9, 100%, $G$9) + CHOOSE(CONTROL!$C$38, 0.034, 0)</f>
        <v>18.3429</v>
      </c>
      <c r="D96" s="17">
        <f>18.3011 * CHOOSE(CONTROL!$C$15, $E$9, 100%, $G$9) + CHOOSE(CONTROL!$C$38, 0.034, 0)</f>
        <v>18.335100000000001</v>
      </c>
      <c r="E96" s="17">
        <f>18.3011 * CHOOSE(CONTROL!$C$15, $E$9, 100%, $G$9) + CHOOSE(CONTROL!$C$38, 0.034, 0)</f>
        <v>18.335100000000001</v>
      </c>
      <c r="F96" s="45">
        <f>19.3077 * CHOOSE(CONTROL!$C$15, $E$9, 100%, $G$9) + CHOOSE(CONTROL!$C$38, 0.0339, 0)</f>
        <v>19.3416</v>
      </c>
      <c r="G96" s="17">
        <f>18.3074 * CHOOSE(CONTROL!$C$15, $E$9, 100%, $G$9) + CHOOSE(CONTROL!$C$38, 0.034, 0)</f>
        <v>18.3414</v>
      </c>
      <c r="H96" s="17">
        <f>18.3074 * CHOOSE(CONTROL!$C$15, $E$9, 100%, $G$9) + CHOOSE(CONTROL!$C$38, 0.034, 0)</f>
        <v>18.3414</v>
      </c>
      <c r="I96" s="17">
        <f>18.3089 * CHOOSE(CONTROL!$C$15, $E$9, 100%, $G$9) + CHOOSE(CONTROL!$C$38, 0.034, 0)</f>
        <v>18.3429</v>
      </c>
      <c r="J96" s="44">
        <f>103.2721</f>
        <v>103.27209999999999</v>
      </c>
    </row>
    <row r="97" spans="1:10" ht="15" x14ac:dyDescent="0.2">
      <c r="A97" s="16">
        <v>43497</v>
      </c>
      <c r="B97" s="17">
        <f>19.6125 * CHOOSE(CONTROL!$C$15, $E$9, 100%, $G$9) + CHOOSE(CONTROL!$C$38, 0.0339, 0)</f>
        <v>19.6464</v>
      </c>
      <c r="C97" s="17">
        <f>18.6119 * CHOOSE(CONTROL!$C$15, $E$9, 100%, $G$9) + CHOOSE(CONTROL!$C$38, 0.034, 0)</f>
        <v>18.645899999999997</v>
      </c>
      <c r="D97" s="17">
        <f>18.6041 * CHOOSE(CONTROL!$C$15, $E$9, 100%, $G$9) + CHOOSE(CONTROL!$C$38, 0.034, 0)</f>
        <v>18.638099999999998</v>
      </c>
      <c r="E97" s="17">
        <f>18.6041 * CHOOSE(CONTROL!$C$15, $E$9, 100%, $G$9) + CHOOSE(CONTROL!$C$38, 0.034, 0)</f>
        <v>18.638099999999998</v>
      </c>
      <c r="F97" s="45">
        <f>19.6125 * CHOOSE(CONTROL!$C$15, $E$9, 100%, $G$9) + CHOOSE(CONTROL!$C$38, 0.0339, 0)</f>
        <v>19.6464</v>
      </c>
      <c r="G97" s="17">
        <f>18.6103 * CHOOSE(CONTROL!$C$15, $E$9, 100%, $G$9) + CHOOSE(CONTROL!$C$38, 0.034, 0)</f>
        <v>18.644299999999998</v>
      </c>
      <c r="H97" s="17">
        <f>18.6103 * CHOOSE(CONTROL!$C$15, $E$9, 100%, $G$9) + CHOOSE(CONTROL!$C$38, 0.034, 0)</f>
        <v>18.644299999999998</v>
      </c>
      <c r="I97" s="17">
        <f>18.6119 * CHOOSE(CONTROL!$C$15, $E$9, 100%, $G$9) + CHOOSE(CONTROL!$C$38, 0.034, 0)</f>
        <v>18.645899999999997</v>
      </c>
      <c r="J97" s="44">
        <f>103.1972</f>
        <v>103.1972</v>
      </c>
    </row>
    <row r="98" spans="1:10" ht="15" x14ac:dyDescent="0.2">
      <c r="A98" s="16">
        <v>43525</v>
      </c>
      <c r="B98" s="17">
        <f>19.0341 * CHOOSE(CONTROL!$C$15, $E$9, 100%, $G$9) + CHOOSE(CONTROL!$C$38, 0.0339, 0)</f>
        <v>19.067999999999998</v>
      </c>
      <c r="C98" s="17">
        <f>18.0318 * CHOOSE(CONTROL!$C$15, $E$9, 100%, $G$9) + CHOOSE(CONTROL!$C$38, 0.034, 0)</f>
        <v>18.065799999999999</v>
      </c>
      <c r="D98" s="17">
        <f>18.0239 * CHOOSE(CONTROL!$C$15, $E$9, 100%, $G$9) + CHOOSE(CONTROL!$C$38, 0.034, 0)</f>
        <v>18.0579</v>
      </c>
      <c r="E98" s="17">
        <f>18.0239 * CHOOSE(CONTROL!$C$15, $E$9, 100%, $G$9) + CHOOSE(CONTROL!$C$38, 0.034, 0)</f>
        <v>18.0579</v>
      </c>
      <c r="F98" s="45">
        <f>19.0341 * CHOOSE(CONTROL!$C$15, $E$9, 100%, $G$9) + CHOOSE(CONTROL!$C$38, 0.0339, 0)</f>
        <v>19.067999999999998</v>
      </c>
      <c r="G98" s="17">
        <f>18.0302 * CHOOSE(CONTROL!$C$15, $E$9, 100%, $G$9) + CHOOSE(CONTROL!$C$38, 0.034, 0)</f>
        <v>18.0642</v>
      </c>
      <c r="H98" s="17">
        <f>18.0302 * CHOOSE(CONTROL!$C$15, $E$9, 100%, $G$9) + CHOOSE(CONTROL!$C$38, 0.034, 0)</f>
        <v>18.0642</v>
      </c>
      <c r="I98" s="17">
        <f>18.0318 * CHOOSE(CONTROL!$C$15, $E$9, 100%, $G$9) + CHOOSE(CONTROL!$C$38, 0.034, 0)</f>
        <v>18.065799999999999</v>
      </c>
      <c r="J98" s="44">
        <f>108.86</f>
        <v>108.86</v>
      </c>
    </row>
    <row r="99" spans="1:10" ht="15" x14ac:dyDescent="0.2">
      <c r="A99" s="16">
        <v>43556</v>
      </c>
      <c r="B99" s="17">
        <f>18.4724 * CHOOSE(CONTROL!$C$15, $E$9, 100%, $G$9) + CHOOSE(CONTROL!$C$38, 0.0339, 0)</f>
        <v>18.5063</v>
      </c>
      <c r="C99" s="17">
        <f>17.4683 * CHOOSE(CONTROL!$C$15, $E$9, 100%, $G$9) + CHOOSE(CONTROL!$C$38, 0.034, 0)</f>
        <v>17.502299999999998</v>
      </c>
      <c r="D99" s="17">
        <f>17.4605 * CHOOSE(CONTROL!$C$15, $E$9, 100%, $G$9) + CHOOSE(CONTROL!$C$38, 0.034, 0)</f>
        <v>17.494499999999999</v>
      </c>
      <c r="E99" s="17">
        <f>17.4605 * CHOOSE(CONTROL!$C$15, $E$9, 100%, $G$9) + CHOOSE(CONTROL!$C$38, 0.034, 0)</f>
        <v>17.494499999999999</v>
      </c>
      <c r="F99" s="45">
        <f>18.4724 * CHOOSE(CONTROL!$C$15, $E$9, 100%, $G$9) + CHOOSE(CONTROL!$C$38, 0.0339, 0)</f>
        <v>18.5063</v>
      </c>
      <c r="G99" s="17">
        <f>17.4668 * CHOOSE(CONTROL!$C$15, $E$9, 100%, $G$9) + CHOOSE(CONTROL!$C$38, 0.034, 0)</f>
        <v>17.500799999999998</v>
      </c>
      <c r="H99" s="17">
        <f>17.4668 * CHOOSE(CONTROL!$C$15, $E$9, 100%, $G$9) + CHOOSE(CONTROL!$C$38, 0.034, 0)</f>
        <v>17.500799999999998</v>
      </c>
      <c r="I99" s="17">
        <f>17.4683 * CHOOSE(CONTROL!$C$15, $E$9, 100%, $G$9) + CHOOSE(CONTROL!$C$38, 0.034, 0)</f>
        <v>17.502299999999998</v>
      </c>
      <c r="J99" s="44">
        <f>116.1666</f>
        <v>116.1666</v>
      </c>
    </row>
    <row r="100" spans="1:10" ht="15" x14ac:dyDescent="0.2">
      <c r="A100" s="16">
        <v>43586</v>
      </c>
      <c r="B100" s="17">
        <f>17.8829 * CHOOSE(CONTROL!$C$15, $E$9, 100%, $G$9) + CHOOSE(CONTROL!$C$38, 0.0355, 0)</f>
        <v>17.918399999999998</v>
      </c>
      <c r="C100" s="17">
        <f>16.8771 * CHOOSE(CONTROL!$C$15, $E$9, 100%, $G$9) + CHOOSE(CONTROL!$C$38, 0.0356, 0)</f>
        <v>16.912699999999997</v>
      </c>
      <c r="D100" s="17">
        <f>16.8693 * CHOOSE(CONTROL!$C$15, $E$9, 100%, $G$9) + CHOOSE(CONTROL!$C$38, 0.0356, 0)</f>
        <v>16.904899999999998</v>
      </c>
      <c r="E100" s="17">
        <f>16.8693 * CHOOSE(CONTROL!$C$15, $E$9, 100%, $G$9) + CHOOSE(CONTROL!$C$38, 0.0356, 0)</f>
        <v>16.904899999999998</v>
      </c>
      <c r="F100" s="45">
        <f>17.8829 * CHOOSE(CONTROL!$C$15, $E$9, 100%, $G$9) + CHOOSE(CONTROL!$C$38, 0.0355, 0)</f>
        <v>17.918399999999998</v>
      </c>
      <c r="G100" s="17">
        <f>16.8756 * CHOOSE(CONTROL!$C$15, $E$9, 100%, $G$9) + CHOOSE(CONTROL!$C$38, 0.0356, 0)</f>
        <v>16.911199999999997</v>
      </c>
      <c r="H100" s="17">
        <f>16.8756 * CHOOSE(CONTROL!$C$15, $E$9, 100%, $G$9) + CHOOSE(CONTROL!$C$38, 0.0356, 0)</f>
        <v>16.911199999999997</v>
      </c>
      <c r="I100" s="17">
        <f>16.8771 * CHOOSE(CONTROL!$C$15, $E$9, 100%, $G$9) + CHOOSE(CONTROL!$C$38, 0.0356, 0)</f>
        <v>16.912699999999997</v>
      </c>
      <c r="J100" s="44">
        <f>120.3122</f>
        <v>120.3122</v>
      </c>
    </row>
    <row r="101" spans="1:10" ht="15" x14ac:dyDescent="0.2">
      <c r="A101" s="16">
        <v>43617</v>
      </c>
      <c r="B101" s="17">
        <f>17.4785 * CHOOSE(CONTROL!$C$15, $E$9, 100%, $G$9) + CHOOSE(CONTROL!$C$38, 0.0355, 0)</f>
        <v>17.513999999999999</v>
      </c>
      <c r="C101" s="17">
        <f>16.471 * CHOOSE(CONTROL!$C$15, $E$9, 100%, $G$9) + CHOOSE(CONTROL!$C$38, 0.0356, 0)</f>
        <v>16.506599999999999</v>
      </c>
      <c r="D101" s="17">
        <f>16.4632 * CHOOSE(CONTROL!$C$15, $E$9, 100%, $G$9) + CHOOSE(CONTROL!$C$38, 0.0356, 0)</f>
        <v>16.498799999999999</v>
      </c>
      <c r="E101" s="17">
        <f>16.4632 * CHOOSE(CONTROL!$C$15, $E$9, 100%, $G$9) + CHOOSE(CONTROL!$C$38, 0.0356, 0)</f>
        <v>16.498799999999999</v>
      </c>
      <c r="F101" s="45">
        <f>17.4785 * CHOOSE(CONTROL!$C$15, $E$9, 100%, $G$9) + CHOOSE(CONTROL!$C$38, 0.0355, 0)</f>
        <v>17.513999999999999</v>
      </c>
      <c r="G101" s="17">
        <f>16.4694 * CHOOSE(CONTROL!$C$15, $E$9, 100%, $G$9) + CHOOSE(CONTROL!$C$38, 0.0356, 0)</f>
        <v>16.504999999999999</v>
      </c>
      <c r="H101" s="17">
        <f>16.4694 * CHOOSE(CONTROL!$C$15, $E$9, 100%, $G$9) + CHOOSE(CONTROL!$C$38, 0.0356, 0)</f>
        <v>16.504999999999999</v>
      </c>
      <c r="I101" s="17">
        <f>16.471 * CHOOSE(CONTROL!$C$15, $E$9, 100%, $G$9) + CHOOSE(CONTROL!$C$38, 0.0356, 0)</f>
        <v>16.506599999999999</v>
      </c>
      <c r="J101" s="44">
        <f>122.2972</f>
        <v>122.2972</v>
      </c>
    </row>
    <row r="102" spans="1:10" ht="15" x14ac:dyDescent="0.2">
      <c r="A102" s="16">
        <v>43647</v>
      </c>
      <c r="B102" s="17">
        <f>17.2617 * CHOOSE(CONTROL!$C$15, $E$9, 100%, $G$9) + CHOOSE(CONTROL!$C$38, 0.0355, 0)</f>
        <v>17.2972</v>
      </c>
      <c r="C102" s="17">
        <f>16.2524 * CHOOSE(CONTROL!$C$15, $E$9, 100%, $G$9) + CHOOSE(CONTROL!$C$38, 0.0356, 0)</f>
        <v>16.288</v>
      </c>
      <c r="D102" s="17">
        <f>16.2446 * CHOOSE(CONTROL!$C$15, $E$9, 100%, $G$9) + CHOOSE(CONTROL!$C$38, 0.0356, 0)</f>
        <v>16.280199999999997</v>
      </c>
      <c r="E102" s="17">
        <f>16.2446 * CHOOSE(CONTROL!$C$15, $E$9, 100%, $G$9) + CHOOSE(CONTROL!$C$38, 0.0356, 0)</f>
        <v>16.280199999999997</v>
      </c>
      <c r="F102" s="45">
        <f>17.2617 * CHOOSE(CONTROL!$C$15, $E$9, 100%, $G$9) + CHOOSE(CONTROL!$C$38, 0.0355, 0)</f>
        <v>17.2972</v>
      </c>
      <c r="G102" s="17">
        <f>16.2508 * CHOOSE(CONTROL!$C$15, $E$9, 100%, $G$9) + CHOOSE(CONTROL!$C$38, 0.0356, 0)</f>
        <v>16.2864</v>
      </c>
      <c r="H102" s="17">
        <f>16.2508 * CHOOSE(CONTROL!$C$15, $E$9, 100%, $G$9) + CHOOSE(CONTROL!$C$38, 0.0356, 0)</f>
        <v>16.2864</v>
      </c>
      <c r="I102" s="17">
        <f>16.2524 * CHOOSE(CONTROL!$C$15, $E$9, 100%, $G$9) + CHOOSE(CONTROL!$C$38, 0.0356, 0)</f>
        <v>16.288</v>
      </c>
      <c r="J102" s="44">
        <f>121.976</f>
        <v>121.976</v>
      </c>
    </row>
    <row r="103" spans="1:10" ht="15" x14ac:dyDescent="0.2">
      <c r="A103" s="16">
        <v>43678</v>
      </c>
      <c r="B103" s="17">
        <f>17.4204 * CHOOSE(CONTROL!$C$15, $E$9, 100%, $G$9) + CHOOSE(CONTROL!$C$38, 0.0355, 0)</f>
        <v>17.4559</v>
      </c>
      <c r="C103" s="17">
        <f>16.4093 * CHOOSE(CONTROL!$C$15, $E$9, 100%, $G$9) + CHOOSE(CONTROL!$C$38, 0.0356, 0)</f>
        <v>16.444900000000001</v>
      </c>
      <c r="D103" s="17">
        <f>16.4015 * CHOOSE(CONTROL!$C$15, $E$9, 100%, $G$9) + CHOOSE(CONTROL!$C$38, 0.0356, 0)</f>
        <v>16.437099999999997</v>
      </c>
      <c r="E103" s="17">
        <f>16.4015 * CHOOSE(CONTROL!$C$15, $E$9, 100%, $G$9) + CHOOSE(CONTROL!$C$38, 0.0356, 0)</f>
        <v>16.437099999999997</v>
      </c>
      <c r="F103" s="45">
        <f>17.4204 * CHOOSE(CONTROL!$C$15, $E$9, 100%, $G$9) + CHOOSE(CONTROL!$C$38, 0.0355, 0)</f>
        <v>17.4559</v>
      </c>
      <c r="G103" s="17">
        <f>16.4078 * CHOOSE(CONTROL!$C$15, $E$9, 100%, $G$9) + CHOOSE(CONTROL!$C$38, 0.0356, 0)</f>
        <v>16.4434</v>
      </c>
      <c r="H103" s="17">
        <f>16.4078 * CHOOSE(CONTROL!$C$15, $E$9, 100%, $G$9) + CHOOSE(CONTROL!$C$38, 0.0356, 0)</f>
        <v>16.4434</v>
      </c>
      <c r="I103" s="17">
        <f>16.4093 * CHOOSE(CONTROL!$C$15, $E$9, 100%, $G$9) + CHOOSE(CONTROL!$C$38, 0.0356, 0)</f>
        <v>16.444900000000001</v>
      </c>
      <c r="J103" s="44">
        <f>119.3818</f>
        <v>119.3818</v>
      </c>
    </row>
    <row r="104" spans="1:10" ht="15" x14ac:dyDescent="0.2">
      <c r="A104" s="16">
        <v>43709</v>
      </c>
      <c r="B104" s="17">
        <f>17.7936 * CHOOSE(CONTROL!$C$15, $E$9, 100%, $G$9) + CHOOSE(CONTROL!$C$38, 0.0355, 0)</f>
        <v>17.8291</v>
      </c>
      <c r="C104" s="17">
        <f>16.7808 * CHOOSE(CONTROL!$C$15, $E$9, 100%, $G$9) + CHOOSE(CONTROL!$C$38, 0.0356, 0)</f>
        <v>16.816399999999998</v>
      </c>
      <c r="D104" s="17">
        <f>16.773 * CHOOSE(CONTROL!$C$15, $E$9, 100%, $G$9) + CHOOSE(CONTROL!$C$38, 0.0356, 0)</f>
        <v>16.808599999999998</v>
      </c>
      <c r="E104" s="17">
        <f>16.773 * CHOOSE(CONTROL!$C$15, $E$9, 100%, $G$9) + CHOOSE(CONTROL!$C$38, 0.0356, 0)</f>
        <v>16.808599999999998</v>
      </c>
      <c r="F104" s="45">
        <f>17.7936 * CHOOSE(CONTROL!$C$15, $E$9, 100%, $G$9) + CHOOSE(CONTROL!$C$38, 0.0355, 0)</f>
        <v>17.8291</v>
      </c>
      <c r="G104" s="17">
        <f>16.7792 * CHOOSE(CONTROL!$C$15, $E$9, 100%, $G$9) + CHOOSE(CONTROL!$C$38, 0.0356, 0)</f>
        <v>16.814799999999998</v>
      </c>
      <c r="H104" s="17">
        <f>16.7792 * CHOOSE(CONTROL!$C$15, $E$9, 100%, $G$9) + CHOOSE(CONTROL!$C$38, 0.0356, 0)</f>
        <v>16.814799999999998</v>
      </c>
      <c r="I104" s="17">
        <f>16.7808 * CHOOSE(CONTROL!$C$15, $E$9, 100%, $G$9) + CHOOSE(CONTROL!$C$38, 0.0356, 0)</f>
        <v>16.816399999999998</v>
      </c>
      <c r="J104" s="44">
        <f>115.6515</f>
        <v>115.6515</v>
      </c>
    </row>
    <row r="105" spans="1:10" ht="15" x14ac:dyDescent="0.2">
      <c r="A105" s="16">
        <v>43739</v>
      </c>
      <c r="B105" s="17">
        <f>18.1132 * CHOOSE(CONTROL!$C$15, $E$9, 100%, $G$9) + CHOOSE(CONTROL!$C$38, 0.0339, 0)</f>
        <v>18.147099999999998</v>
      </c>
      <c r="C105" s="17">
        <f>17.0986 * CHOOSE(CONTROL!$C$15, $E$9, 100%, $G$9) + CHOOSE(CONTROL!$C$38, 0.034, 0)</f>
        <v>17.1326</v>
      </c>
      <c r="D105" s="17">
        <f>17.0908 * CHOOSE(CONTROL!$C$15, $E$9, 100%, $G$9) + CHOOSE(CONTROL!$C$38, 0.034, 0)</f>
        <v>17.1248</v>
      </c>
      <c r="E105" s="17">
        <f>17.0908 * CHOOSE(CONTROL!$C$15, $E$9, 100%, $G$9) + CHOOSE(CONTROL!$C$38, 0.034, 0)</f>
        <v>17.1248</v>
      </c>
      <c r="F105" s="45">
        <f>18.1132 * CHOOSE(CONTROL!$C$15, $E$9, 100%, $G$9) + CHOOSE(CONTROL!$C$38, 0.0339, 0)</f>
        <v>18.147099999999998</v>
      </c>
      <c r="G105" s="17">
        <f>17.0971 * CHOOSE(CONTROL!$C$15, $E$9, 100%, $G$9) + CHOOSE(CONTROL!$C$38, 0.034, 0)</f>
        <v>17.1311</v>
      </c>
      <c r="H105" s="17">
        <f>17.0971 * CHOOSE(CONTROL!$C$15, $E$9, 100%, $G$9) + CHOOSE(CONTROL!$C$38, 0.034, 0)</f>
        <v>17.1311</v>
      </c>
      <c r="I105" s="17">
        <f>17.0986 * CHOOSE(CONTROL!$C$15, $E$9, 100%, $G$9) + CHOOSE(CONTROL!$C$38, 0.034, 0)</f>
        <v>17.1326</v>
      </c>
      <c r="J105" s="44">
        <f>111.8821</f>
        <v>111.88209999999999</v>
      </c>
    </row>
    <row r="106" spans="1:10" ht="15" x14ac:dyDescent="0.2">
      <c r="A106" s="16">
        <v>43770</v>
      </c>
      <c r="B106" s="17">
        <f>18.3869 * CHOOSE(CONTROL!$C$15, $E$9, 100%, $G$9) + CHOOSE(CONTROL!$C$38, 0.0339, 0)</f>
        <v>18.4208</v>
      </c>
      <c r="C106" s="17">
        <f>17.3705 * CHOOSE(CONTROL!$C$15, $E$9, 100%, $G$9) + CHOOSE(CONTROL!$C$38, 0.034, 0)</f>
        <v>17.404499999999999</v>
      </c>
      <c r="D106" s="17">
        <f>17.3627 * CHOOSE(CONTROL!$C$15, $E$9, 100%, $G$9) + CHOOSE(CONTROL!$C$38, 0.034, 0)</f>
        <v>17.396699999999999</v>
      </c>
      <c r="E106" s="17">
        <f>17.3627 * CHOOSE(CONTROL!$C$15, $E$9, 100%, $G$9) + CHOOSE(CONTROL!$C$38, 0.034, 0)</f>
        <v>17.396699999999999</v>
      </c>
      <c r="F106" s="45">
        <f>18.3869 * CHOOSE(CONTROL!$C$15, $E$9, 100%, $G$9) + CHOOSE(CONTROL!$C$38, 0.0339, 0)</f>
        <v>18.4208</v>
      </c>
      <c r="G106" s="17">
        <f>17.369 * CHOOSE(CONTROL!$C$15, $E$9, 100%, $G$9) + CHOOSE(CONTROL!$C$38, 0.034, 0)</f>
        <v>17.402999999999999</v>
      </c>
      <c r="H106" s="17">
        <f>17.369 * CHOOSE(CONTROL!$C$15, $E$9, 100%, $G$9) + CHOOSE(CONTROL!$C$38, 0.034, 0)</f>
        <v>17.402999999999999</v>
      </c>
      <c r="I106" s="17">
        <f>17.3705 * CHOOSE(CONTROL!$C$15, $E$9, 100%, $G$9) + CHOOSE(CONTROL!$C$38, 0.034, 0)</f>
        <v>17.404499999999999</v>
      </c>
      <c r="J106" s="44">
        <f>111.3138</f>
        <v>111.3138</v>
      </c>
    </row>
    <row r="107" spans="1:10" ht="15" x14ac:dyDescent="0.2">
      <c r="A107" s="16">
        <v>43800</v>
      </c>
      <c r="B107" s="17">
        <f>19.1572 * CHOOSE(CONTROL!$C$15, $E$9, 100%, $G$9) + CHOOSE(CONTROL!$C$38, 0.0339, 0)</f>
        <v>19.191099999999999</v>
      </c>
      <c r="C107" s="17">
        <f>18.1391 * CHOOSE(CONTROL!$C$15, $E$9, 100%, $G$9) + CHOOSE(CONTROL!$C$38, 0.034, 0)</f>
        <v>18.173099999999998</v>
      </c>
      <c r="D107" s="17">
        <f>18.1313 * CHOOSE(CONTROL!$C$15, $E$9, 100%, $G$9) + CHOOSE(CONTROL!$C$38, 0.034, 0)</f>
        <v>18.165299999999998</v>
      </c>
      <c r="E107" s="17">
        <f>18.1313 * CHOOSE(CONTROL!$C$15, $E$9, 100%, $G$9) + CHOOSE(CONTROL!$C$38, 0.034, 0)</f>
        <v>18.165299999999998</v>
      </c>
      <c r="F107" s="45">
        <f>19.1572 * CHOOSE(CONTROL!$C$15, $E$9, 100%, $G$9) + CHOOSE(CONTROL!$C$38, 0.0339, 0)</f>
        <v>19.191099999999999</v>
      </c>
      <c r="G107" s="17">
        <f>18.1376 * CHOOSE(CONTROL!$C$15, $E$9, 100%, $G$9) + CHOOSE(CONTROL!$C$38, 0.034, 0)</f>
        <v>18.171599999999998</v>
      </c>
      <c r="H107" s="17">
        <f>18.1376 * CHOOSE(CONTROL!$C$15, $E$9, 100%, $G$9) + CHOOSE(CONTROL!$C$38, 0.034, 0)</f>
        <v>18.171599999999998</v>
      </c>
      <c r="I107" s="17">
        <f>18.1391 * CHOOSE(CONTROL!$C$15, $E$9, 100%, $G$9) + CHOOSE(CONTROL!$C$38, 0.034, 0)</f>
        <v>18.173099999999998</v>
      </c>
      <c r="J107" s="44">
        <f>108.233</f>
        <v>108.233</v>
      </c>
    </row>
    <row r="108" spans="1:10" ht="15" x14ac:dyDescent="0.2">
      <c r="A108" s="16">
        <v>43831</v>
      </c>
      <c r="B108" s="17">
        <f>19.8472 * CHOOSE(CONTROL!$C$15, $E$9, 100%, $G$9) + CHOOSE(CONTROL!$C$38, 0.0339, 0)</f>
        <v>19.8811</v>
      </c>
      <c r="C108" s="17">
        <f>18.6499 * CHOOSE(CONTROL!$C$15, $E$9, 100%, $G$9) + CHOOSE(CONTROL!$C$38, 0.034, 0)</f>
        <v>18.683899999999998</v>
      </c>
      <c r="D108" s="17">
        <f>18.6421 * CHOOSE(CONTROL!$C$15, $E$9, 100%, $G$9) + CHOOSE(CONTROL!$C$38, 0.034, 0)</f>
        <v>18.676099999999998</v>
      </c>
      <c r="E108" s="17">
        <f>18.6421 * CHOOSE(CONTROL!$C$15, $E$9, 100%, $G$9) + CHOOSE(CONTROL!$C$38, 0.034, 0)</f>
        <v>18.676099999999998</v>
      </c>
      <c r="F108" s="45">
        <f>19.8472 * CHOOSE(CONTROL!$C$15, $E$9, 100%, $G$9) + CHOOSE(CONTROL!$C$38, 0.0339, 0)</f>
        <v>19.8811</v>
      </c>
      <c r="G108" s="17">
        <f>18.6484 * CHOOSE(CONTROL!$C$15, $E$9, 100%, $G$9) + CHOOSE(CONTROL!$C$38, 0.034, 0)</f>
        <v>18.682399999999998</v>
      </c>
      <c r="H108" s="17">
        <f>18.6484 * CHOOSE(CONTROL!$C$15, $E$9, 100%, $G$9) + CHOOSE(CONTROL!$C$38, 0.034, 0)</f>
        <v>18.682399999999998</v>
      </c>
      <c r="I108" s="17">
        <f>18.6499 * CHOOSE(CONTROL!$C$15, $E$9, 100%, $G$9) + CHOOSE(CONTROL!$C$38, 0.034, 0)</f>
        <v>18.683899999999998</v>
      </c>
      <c r="J108" s="44">
        <f>105.5929</f>
        <v>105.5929</v>
      </c>
    </row>
    <row r="109" spans="1:10" ht="15" x14ac:dyDescent="0.2">
      <c r="A109" s="16">
        <v>43862</v>
      </c>
      <c r="B109" s="17">
        <f>20.1597 * CHOOSE(CONTROL!$C$15, $E$9, 100%, $G$9) + CHOOSE(CONTROL!$C$38, 0.0339, 0)</f>
        <v>20.1936</v>
      </c>
      <c r="C109" s="17">
        <f>18.9603 * CHOOSE(CONTROL!$C$15, $E$9, 100%, $G$9) + CHOOSE(CONTROL!$C$38, 0.034, 0)</f>
        <v>18.994299999999999</v>
      </c>
      <c r="D109" s="17">
        <f>18.9525 * CHOOSE(CONTROL!$C$15, $E$9, 100%, $G$9) + CHOOSE(CONTROL!$C$38, 0.034, 0)</f>
        <v>18.986499999999999</v>
      </c>
      <c r="E109" s="17">
        <f>18.9525 * CHOOSE(CONTROL!$C$15, $E$9, 100%, $G$9) + CHOOSE(CONTROL!$C$38, 0.034, 0)</f>
        <v>18.986499999999999</v>
      </c>
      <c r="F109" s="45">
        <f>20.1597 * CHOOSE(CONTROL!$C$15, $E$9, 100%, $G$9) + CHOOSE(CONTROL!$C$38, 0.0339, 0)</f>
        <v>20.1936</v>
      </c>
      <c r="G109" s="17">
        <f>18.9587 * CHOOSE(CONTROL!$C$15, $E$9, 100%, $G$9) + CHOOSE(CONTROL!$C$38, 0.034, 0)</f>
        <v>18.992699999999999</v>
      </c>
      <c r="H109" s="17">
        <f>18.9587 * CHOOSE(CONTROL!$C$15, $E$9, 100%, $G$9) + CHOOSE(CONTROL!$C$38, 0.034, 0)</f>
        <v>18.992699999999999</v>
      </c>
      <c r="I109" s="17">
        <f>18.9603 * CHOOSE(CONTROL!$C$15, $E$9, 100%, $G$9) + CHOOSE(CONTROL!$C$38, 0.034, 0)</f>
        <v>18.994299999999999</v>
      </c>
      <c r="J109" s="44">
        <f>105.5163</f>
        <v>105.5163</v>
      </c>
    </row>
    <row r="110" spans="1:10" ht="15" x14ac:dyDescent="0.2">
      <c r="A110" s="16">
        <v>43891</v>
      </c>
      <c r="B110" s="17">
        <f>19.5669 * CHOOSE(CONTROL!$C$15, $E$9, 100%, $G$9) + CHOOSE(CONTROL!$C$38, 0.0339, 0)</f>
        <v>19.6008</v>
      </c>
      <c r="C110" s="17">
        <f>18.3654 * CHOOSE(CONTROL!$C$15, $E$9, 100%, $G$9) + CHOOSE(CONTROL!$C$38, 0.034, 0)</f>
        <v>18.3994</v>
      </c>
      <c r="D110" s="17">
        <f>18.3576 * CHOOSE(CONTROL!$C$15, $E$9, 100%, $G$9) + CHOOSE(CONTROL!$C$38, 0.034, 0)</f>
        <v>18.3916</v>
      </c>
      <c r="E110" s="17">
        <f>18.3576 * CHOOSE(CONTROL!$C$15, $E$9, 100%, $G$9) + CHOOSE(CONTROL!$C$38, 0.034, 0)</f>
        <v>18.3916</v>
      </c>
      <c r="F110" s="45">
        <f>19.5669 * CHOOSE(CONTROL!$C$15, $E$9, 100%, $G$9) + CHOOSE(CONTROL!$C$38, 0.0339, 0)</f>
        <v>19.6008</v>
      </c>
      <c r="G110" s="17">
        <f>18.3639 * CHOOSE(CONTROL!$C$15, $E$9, 100%, $G$9) + CHOOSE(CONTROL!$C$38, 0.034, 0)</f>
        <v>18.3979</v>
      </c>
      <c r="H110" s="17">
        <f>18.3639 * CHOOSE(CONTROL!$C$15, $E$9, 100%, $G$9) + CHOOSE(CONTROL!$C$38, 0.034, 0)</f>
        <v>18.3979</v>
      </c>
      <c r="I110" s="17">
        <f>18.3654 * CHOOSE(CONTROL!$C$15, $E$9, 100%, $G$9) + CHOOSE(CONTROL!$C$38, 0.034, 0)</f>
        <v>18.3994</v>
      </c>
      <c r="J110" s="44">
        <f>111.3064</f>
        <v>111.3064</v>
      </c>
    </row>
    <row r="111" spans="1:10" ht="15" x14ac:dyDescent="0.2">
      <c r="A111" s="16">
        <v>43922</v>
      </c>
      <c r="B111" s="17">
        <f>18.9914 * CHOOSE(CONTROL!$C$15, $E$9, 100%, $G$9) + CHOOSE(CONTROL!$C$38, 0.0339, 0)</f>
        <v>19.025299999999998</v>
      </c>
      <c r="C111" s="17">
        <f>17.7877 * CHOOSE(CONTROL!$C$15, $E$9, 100%, $G$9) + CHOOSE(CONTROL!$C$38, 0.034, 0)</f>
        <v>17.8217</v>
      </c>
      <c r="D111" s="17">
        <f>17.7799 * CHOOSE(CONTROL!$C$15, $E$9, 100%, $G$9) + CHOOSE(CONTROL!$C$38, 0.034, 0)</f>
        <v>17.8139</v>
      </c>
      <c r="E111" s="17">
        <f>17.7799 * CHOOSE(CONTROL!$C$15, $E$9, 100%, $G$9) + CHOOSE(CONTROL!$C$38, 0.034, 0)</f>
        <v>17.8139</v>
      </c>
      <c r="F111" s="45">
        <f>18.9914 * CHOOSE(CONTROL!$C$15, $E$9, 100%, $G$9) + CHOOSE(CONTROL!$C$38, 0.0339, 0)</f>
        <v>19.025299999999998</v>
      </c>
      <c r="G111" s="17">
        <f>17.7861 * CHOOSE(CONTROL!$C$15, $E$9, 100%, $G$9) + CHOOSE(CONTROL!$C$38, 0.034, 0)</f>
        <v>17.8201</v>
      </c>
      <c r="H111" s="17">
        <f>17.7861 * CHOOSE(CONTROL!$C$15, $E$9, 100%, $G$9) + CHOOSE(CONTROL!$C$38, 0.034, 0)</f>
        <v>17.8201</v>
      </c>
      <c r="I111" s="17">
        <f>17.7877 * CHOOSE(CONTROL!$C$15, $E$9, 100%, $G$9) + CHOOSE(CONTROL!$C$38, 0.034, 0)</f>
        <v>17.8217</v>
      </c>
      <c r="J111" s="44">
        <f>118.7771</f>
        <v>118.7771</v>
      </c>
    </row>
    <row r="112" spans="1:10" ht="15" x14ac:dyDescent="0.2">
      <c r="A112" s="16">
        <v>43952</v>
      </c>
      <c r="B112" s="17">
        <f>18.3873 * CHOOSE(CONTROL!$C$15, $E$9, 100%, $G$9) + CHOOSE(CONTROL!$C$38, 0.0355, 0)</f>
        <v>18.422799999999999</v>
      </c>
      <c r="C112" s="17">
        <f>17.1815 * CHOOSE(CONTROL!$C$15, $E$9, 100%, $G$9) + CHOOSE(CONTROL!$C$38, 0.0356, 0)</f>
        <v>17.217099999999999</v>
      </c>
      <c r="D112" s="17">
        <f>17.1737 * CHOOSE(CONTROL!$C$15, $E$9, 100%, $G$9) + CHOOSE(CONTROL!$C$38, 0.0356, 0)</f>
        <v>17.209299999999999</v>
      </c>
      <c r="E112" s="17">
        <f>17.1737 * CHOOSE(CONTROL!$C$15, $E$9, 100%, $G$9) + CHOOSE(CONTROL!$C$38, 0.0356, 0)</f>
        <v>17.209299999999999</v>
      </c>
      <c r="F112" s="45">
        <f>18.3873 * CHOOSE(CONTROL!$C$15, $E$9, 100%, $G$9) + CHOOSE(CONTROL!$C$38, 0.0355, 0)</f>
        <v>18.422799999999999</v>
      </c>
      <c r="G112" s="17">
        <f>17.1799 * CHOOSE(CONTROL!$C$15, $E$9, 100%, $G$9) + CHOOSE(CONTROL!$C$38, 0.0356, 0)</f>
        <v>17.215499999999999</v>
      </c>
      <c r="H112" s="17">
        <f>17.1799 * CHOOSE(CONTROL!$C$15, $E$9, 100%, $G$9) + CHOOSE(CONTROL!$C$38, 0.0356, 0)</f>
        <v>17.215499999999999</v>
      </c>
      <c r="I112" s="17">
        <f>17.1815 * CHOOSE(CONTROL!$C$15, $E$9, 100%, $G$9) + CHOOSE(CONTROL!$C$38, 0.0356, 0)</f>
        <v>17.217099999999999</v>
      </c>
      <c r="J112" s="44">
        <f>123.0159</f>
        <v>123.0159</v>
      </c>
    </row>
    <row r="113" spans="1:10" ht="15" x14ac:dyDescent="0.2">
      <c r="A113" s="16">
        <v>43983</v>
      </c>
      <c r="B113" s="17">
        <f>17.973 * CHOOSE(CONTROL!$C$15, $E$9, 100%, $G$9) + CHOOSE(CONTROL!$C$38, 0.0355, 0)</f>
        <v>18.008499999999998</v>
      </c>
      <c r="C113" s="17">
        <f>16.765 * CHOOSE(CONTROL!$C$15, $E$9, 100%, $G$9) + CHOOSE(CONTROL!$C$38, 0.0356, 0)</f>
        <v>16.800599999999999</v>
      </c>
      <c r="D113" s="17">
        <f>16.7572 * CHOOSE(CONTROL!$C$15, $E$9, 100%, $G$9) + CHOOSE(CONTROL!$C$38, 0.0356, 0)</f>
        <v>16.7928</v>
      </c>
      <c r="E113" s="17">
        <f>16.7572 * CHOOSE(CONTROL!$C$15, $E$9, 100%, $G$9) + CHOOSE(CONTROL!$C$38, 0.0356, 0)</f>
        <v>16.7928</v>
      </c>
      <c r="F113" s="45">
        <f>17.973 * CHOOSE(CONTROL!$C$15, $E$9, 100%, $G$9) + CHOOSE(CONTROL!$C$38, 0.0355, 0)</f>
        <v>18.008499999999998</v>
      </c>
      <c r="G113" s="17">
        <f>16.7634 * CHOOSE(CONTROL!$C$15, $E$9, 100%, $G$9) + CHOOSE(CONTROL!$C$38, 0.0356, 0)</f>
        <v>16.798999999999999</v>
      </c>
      <c r="H113" s="17">
        <f>16.7634 * CHOOSE(CONTROL!$C$15, $E$9, 100%, $G$9) + CHOOSE(CONTROL!$C$38, 0.0356, 0)</f>
        <v>16.798999999999999</v>
      </c>
      <c r="I113" s="17">
        <f>16.765 * CHOOSE(CONTROL!$C$15, $E$9, 100%, $G$9) + CHOOSE(CONTROL!$C$38, 0.0356, 0)</f>
        <v>16.800599999999999</v>
      </c>
      <c r="J113" s="44">
        <f>125.0455</f>
        <v>125.0455</v>
      </c>
    </row>
    <row r="114" spans="1:10" ht="15" x14ac:dyDescent="0.2">
      <c r="A114" s="16">
        <v>44013</v>
      </c>
      <c r="B114" s="17">
        <f>17.7508 * CHOOSE(CONTROL!$C$15, $E$9, 100%, $G$9) + CHOOSE(CONTROL!$C$38, 0.0355, 0)</f>
        <v>17.786300000000001</v>
      </c>
      <c r="C114" s="17">
        <f>16.5407 * CHOOSE(CONTROL!$C$15, $E$9, 100%, $G$9) + CHOOSE(CONTROL!$C$38, 0.0356, 0)</f>
        <v>16.5763</v>
      </c>
      <c r="D114" s="17">
        <f>16.5329 * CHOOSE(CONTROL!$C$15, $E$9, 100%, $G$9) + CHOOSE(CONTROL!$C$38, 0.0356, 0)</f>
        <v>16.5685</v>
      </c>
      <c r="E114" s="17">
        <f>16.5329 * CHOOSE(CONTROL!$C$15, $E$9, 100%, $G$9) + CHOOSE(CONTROL!$C$38, 0.0356, 0)</f>
        <v>16.5685</v>
      </c>
      <c r="F114" s="45">
        <f>17.7508 * CHOOSE(CONTROL!$C$15, $E$9, 100%, $G$9) + CHOOSE(CONTROL!$C$38, 0.0355, 0)</f>
        <v>17.786300000000001</v>
      </c>
      <c r="G114" s="17">
        <f>16.5391 * CHOOSE(CONTROL!$C$15, $E$9, 100%, $G$9) + CHOOSE(CONTROL!$C$38, 0.0356, 0)</f>
        <v>16.5747</v>
      </c>
      <c r="H114" s="17">
        <f>16.5391 * CHOOSE(CONTROL!$C$15, $E$9, 100%, $G$9) + CHOOSE(CONTROL!$C$38, 0.0356, 0)</f>
        <v>16.5747</v>
      </c>
      <c r="I114" s="17">
        <f>16.5407 * CHOOSE(CONTROL!$C$15, $E$9, 100%, $G$9) + CHOOSE(CONTROL!$C$38, 0.0356, 0)</f>
        <v>16.5763</v>
      </c>
      <c r="J114" s="44">
        <f>124.7171</f>
        <v>124.7171</v>
      </c>
    </row>
    <row r="115" spans="1:10" ht="15" x14ac:dyDescent="0.2">
      <c r="A115" s="16">
        <v>44044</v>
      </c>
      <c r="B115" s="17">
        <f>17.9137 * CHOOSE(CONTROL!$C$15, $E$9, 100%, $G$9) + CHOOSE(CONTROL!$C$38, 0.0355, 0)</f>
        <v>17.949199999999998</v>
      </c>
      <c r="C115" s="17">
        <f>16.7013 * CHOOSE(CONTROL!$C$15, $E$9, 100%, $G$9) + CHOOSE(CONTROL!$C$38, 0.0356, 0)</f>
        <v>16.736899999999999</v>
      </c>
      <c r="D115" s="17">
        <f>16.6935 * CHOOSE(CONTROL!$C$15, $E$9, 100%, $G$9) + CHOOSE(CONTROL!$C$38, 0.0356, 0)</f>
        <v>16.729099999999999</v>
      </c>
      <c r="E115" s="17">
        <f>16.6935 * CHOOSE(CONTROL!$C$15, $E$9, 100%, $G$9) + CHOOSE(CONTROL!$C$38, 0.0356, 0)</f>
        <v>16.729099999999999</v>
      </c>
      <c r="F115" s="45">
        <f>17.9137 * CHOOSE(CONTROL!$C$15, $E$9, 100%, $G$9) + CHOOSE(CONTROL!$C$38, 0.0355, 0)</f>
        <v>17.949199999999998</v>
      </c>
      <c r="G115" s="17">
        <f>16.6998 * CHOOSE(CONTROL!$C$15, $E$9, 100%, $G$9) + CHOOSE(CONTROL!$C$38, 0.0356, 0)</f>
        <v>16.735399999999998</v>
      </c>
      <c r="H115" s="17">
        <f>16.6998 * CHOOSE(CONTROL!$C$15, $E$9, 100%, $G$9) + CHOOSE(CONTROL!$C$38, 0.0356, 0)</f>
        <v>16.735399999999998</v>
      </c>
      <c r="I115" s="17">
        <f>16.7013 * CHOOSE(CONTROL!$C$15, $E$9, 100%, $G$9) + CHOOSE(CONTROL!$C$38, 0.0356, 0)</f>
        <v>16.736899999999999</v>
      </c>
      <c r="J115" s="44">
        <f>122.0646</f>
        <v>122.0646</v>
      </c>
    </row>
    <row r="116" spans="1:10" ht="15" x14ac:dyDescent="0.2">
      <c r="A116" s="16">
        <v>44075</v>
      </c>
      <c r="B116" s="17">
        <f>18.2964 * CHOOSE(CONTROL!$C$15, $E$9, 100%, $G$9) + CHOOSE(CONTROL!$C$38, 0.0355, 0)</f>
        <v>18.331899999999997</v>
      </c>
      <c r="C116" s="17">
        <f>17.0819 * CHOOSE(CONTROL!$C$15, $E$9, 100%, $G$9) + CHOOSE(CONTROL!$C$38, 0.0356, 0)</f>
        <v>17.1175</v>
      </c>
      <c r="D116" s="17">
        <f>17.0741 * CHOOSE(CONTROL!$C$15, $E$9, 100%, $G$9) + CHOOSE(CONTROL!$C$38, 0.0356, 0)</f>
        <v>17.1097</v>
      </c>
      <c r="E116" s="17">
        <f>17.0741 * CHOOSE(CONTROL!$C$15, $E$9, 100%, $G$9) + CHOOSE(CONTROL!$C$38, 0.0356, 0)</f>
        <v>17.1097</v>
      </c>
      <c r="F116" s="45">
        <f>18.2964 * CHOOSE(CONTROL!$C$15, $E$9, 100%, $G$9) + CHOOSE(CONTROL!$C$38, 0.0355, 0)</f>
        <v>18.331899999999997</v>
      </c>
      <c r="G116" s="17">
        <f>17.0803 * CHOOSE(CONTROL!$C$15, $E$9, 100%, $G$9) + CHOOSE(CONTROL!$C$38, 0.0356, 0)</f>
        <v>17.1159</v>
      </c>
      <c r="H116" s="17">
        <f>17.0803 * CHOOSE(CONTROL!$C$15, $E$9, 100%, $G$9) + CHOOSE(CONTROL!$C$38, 0.0356, 0)</f>
        <v>17.1159</v>
      </c>
      <c r="I116" s="17">
        <f>17.0819 * CHOOSE(CONTROL!$C$15, $E$9, 100%, $G$9) + CHOOSE(CONTROL!$C$38, 0.0356, 0)</f>
        <v>17.1175</v>
      </c>
      <c r="J116" s="44">
        <f>118.2505</f>
        <v>118.2505</v>
      </c>
    </row>
    <row r="117" spans="1:10" ht="15" x14ac:dyDescent="0.2">
      <c r="A117" s="16">
        <v>44105</v>
      </c>
      <c r="B117" s="17">
        <f>18.6241 * CHOOSE(CONTROL!$C$15, $E$9, 100%, $G$9) + CHOOSE(CONTROL!$C$38, 0.0339, 0)</f>
        <v>18.657999999999998</v>
      </c>
      <c r="C117" s="17">
        <f>17.4074 * CHOOSE(CONTROL!$C$15, $E$9, 100%, $G$9) + CHOOSE(CONTROL!$C$38, 0.034, 0)</f>
        <v>17.441399999999998</v>
      </c>
      <c r="D117" s="17">
        <f>17.3996 * CHOOSE(CONTROL!$C$15, $E$9, 100%, $G$9) + CHOOSE(CONTROL!$C$38, 0.034, 0)</f>
        <v>17.433599999999998</v>
      </c>
      <c r="E117" s="17">
        <f>17.3996 * CHOOSE(CONTROL!$C$15, $E$9, 100%, $G$9) + CHOOSE(CONTROL!$C$38, 0.034, 0)</f>
        <v>17.433599999999998</v>
      </c>
      <c r="F117" s="45">
        <f>18.6241 * CHOOSE(CONTROL!$C$15, $E$9, 100%, $G$9) + CHOOSE(CONTROL!$C$38, 0.0339, 0)</f>
        <v>18.657999999999998</v>
      </c>
      <c r="G117" s="17">
        <f>17.4059 * CHOOSE(CONTROL!$C$15, $E$9, 100%, $G$9) + CHOOSE(CONTROL!$C$38, 0.034, 0)</f>
        <v>17.439899999999998</v>
      </c>
      <c r="H117" s="17">
        <f>17.4059 * CHOOSE(CONTROL!$C$15, $E$9, 100%, $G$9) + CHOOSE(CONTROL!$C$38, 0.034, 0)</f>
        <v>17.439899999999998</v>
      </c>
      <c r="I117" s="17">
        <f>17.4074 * CHOOSE(CONTROL!$C$15, $E$9, 100%, $G$9) + CHOOSE(CONTROL!$C$38, 0.034, 0)</f>
        <v>17.441399999999998</v>
      </c>
      <c r="J117" s="44">
        <f>114.3964</f>
        <v>114.3964</v>
      </c>
    </row>
    <row r="118" spans="1:10" ht="15" x14ac:dyDescent="0.2">
      <c r="A118" s="16">
        <v>44136</v>
      </c>
      <c r="B118" s="17">
        <f>18.9048 * CHOOSE(CONTROL!$C$15, $E$9, 100%, $G$9) + CHOOSE(CONTROL!$C$38, 0.0339, 0)</f>
        <v>18.938700000000001</v>
      </c>
      <c r="C118" s="17">
        <f>17.6859 * CHOOSE(CONTROL!$C$15, $E$9, 100%, $G$9) + CHOOSE(CONTROL!$C$38, 0.034, 0)</f>
        <v>17.719899999999999</v>
      </c>
      <c r="D118" s="17">
        <f>17.6781 * CHOOSE(CONTROL!$C$15, $E$9, 100%, $G$9) + CHOOSE(CONTROL!$C$38, 0.034, 0)</f>
        <v>17.7121</v>
      </c>
      <c r="E118" s="17">
        <f>17.6781 * CHOOSE(CONTROL!$C$15, $E$9, 100%, $G$9) + CHOOSE(CONTROL!$C$38, 0.034, 0)</f>
        <v>17.7121</v>
      </c>
      <c r="F118" s="45">
        <f>18.9048 * CHOOSE(CONTROL!$C$15, $E$9, 100%, $G$9) + CHOOSE(CONTROL!$C$38, 0.0339, 0)</f>
        <v>18.938700000000001</v>
      </c>
      <c r="G118" s="17">
        <f>17.6844 * CHOOSE(CONTROL!$C$15, $E$9, 100%, $G$9) + CHOOSE(CONTROL!$C$38, 0.034, 0)</f>
        <v>17.718399999999999</v>
      </c>
      <c r="H118" s="17">
        <f>17.6844 * CHOOSE(CONTROL!$C$15, $E$9, 100%, $G$9) + CHOOSE(CONTROL!$C$38, 0.034, 0)</f>
        <v>17.718399999999999</v>
      </c>
      <c r="I118" s="17">
        <f>17.6859 * CHOOSE(CONTROL!$C$15, $E$9, 100%, $G$9) + CHOOSE(CONTROL!$C$38, 0.034, 0)</f>
        <v>17.719899999999999</v>
      </c>
      <c r="J118" s="44">
        <f>113.8153</f>
        <v>113.81529999999999</v>
      </c>
    </row>
    <row r="119" spans="1:10" ht="15" x14ac:dyDescent="0.2">
      <c r="A119" s="16">
        <v>44166</v>
      </c>
      <c r="B119" s="17">
        <f>19.6946 * CHOOSE(CONTROL!$C$15, $E$9, 100%, $G$9) + CHOOSE(CONTROL!$C$38, 0.0339, 0)</f>
        <v>19.7285</v>
      </c>
      <c r="C119" s="17">
        <f>18.4735 * CHOOSE(CONTROL!$C$15, $E$9, 100%, $G$9) + CHOOSE(CONTROL!$C$38, 0.034, 0)</f>
        <v>18.5075</v>
      </c>
      <c r="D119" s="17">
        <f>18.4657 * CHOOSE(CONTROL!$C$15, $E$9, 100%, $G$9) + CHOOSE(CONTROL!$C$38, 0.034, 0)</f>
        <v>18.499699999999997</v>
      </c>
      <c r="E119" s="17">
        <f>18.4657 * CHOOSE(CONTROL!$C$15, $E$9, 100%, $G$9) + CHOOSE(CONTROL!$C$38, 0.034, 0)</f>
        <v>18.499699999999997</v>
      </c>
      <c r="F119" s="45">
        <f>19.6946 * CHOOSE(CONTROL!$C$15, $E$9, 100%, $G$9) + CHOOSE(CONTROL!$C$38, 0.0339, 0)</f>
        <v>19.7285</v>
      </c>
      <c r="G119" s="17">
        <f>18.4719 * CHOOSE(CONTROL!$C$15, $E$9, 100%, $G$9) + CHOOSE(CONTROL!$C$38, 0.034, 0)</f>
        <v>18.5059</v>
      </c>
      <c r="H119" s="17">
        <f>18.4719 * CHOOSE(CONTROL!$C$15, $E$9, 100%, $G$9) + CHOOSE(CONTROL!$C$38, 0.034, 0)</f>
        <v>18.5059</v>
      </c>
      <c r="I119" s="17">
        <f>18.4735 * CHOOSE(CONTROL!$C$15, $E$9, 100%, $G$9) + CHOOSE(CONTROL!$C$38, 0.034, 0)</f>
        <v>18.5075</v>
      </c>
      <c r="J119" s="44">
        <f>110.6653</f>
        <v>110.6653</v>
      </c>
    </row>
    <row r="120" spans="1:10" ht="15" x14ac:dyDescent="0.2">
      <c r="A120" s="16">
        <v>44197</v>
      </c>
      <c r="B120" s="17">
        <f>20.9145 * CHOOSE(CONTROL!$C$15, $E$9, 100%, $G$9) + CHOOSE(CONTROL!$C$38, 0.0339, 0)</f>
        <v>20.948399999999999</v>
      </c>
      <c r="C120" s="17">
        <f>19.3672 * CHOOSE(CONTROL!$C$15, $E$9, 100%, $G$9) + CHOOSE(CONTROL!$C$38, 0.034, 0)</f>
        <v>19.401199999999999</v>
      </c>
      <c r="D120" s="17">
        <f>19.3594 * CHOOSE(CONTROL!$C$15, $E$9, 100%, $G$9) + CHOOSE(CONTROL!$C$38, 0.034, 0)</f>
        <v>19.3934</v>
      </c>
      <c r="E120" s="17">
        <f>19.3594 * CHOOSE(CONTROL!$C$15, $E$9, 100%, $G$9) + CHOOSE(CONTROL!$C$38, 0.034, 0)</f>
        <v>19.3934</v>
      </c>
      <c r="F120" s="45">
        <f>20.9145 * CHOOSE(CONTROL!$C$15, $E$9, 100%, $G$9) + CHOOSE(CONTROL!$C$38, 0.0339, 0)</f>
        <v>20.948399999999999</v>
      </c>
      <c r="G120" s="17">
        <f>19.3657 * CHOOSE(CONTROL!$C$15, $E$9, 100%, $G$9) + CHOOSE(CONTROL!$C$38, 0.034, 0)</f>
        <v>19.399699999999999</v>
      </c>
      <c r="H120" s="17">
        <f>19.3657 * CHOOSE(CONTROL!$C$15, $E$9, 100%, $G$9) + CHOOSE(CONTROL!$C$38, 0.034, 0)</f>
        <v>19.399699999999999</v>
      </c>
      <c r="I120" s="17">
        <f>19.3672 * CHOOSE(CONTROL!$C$15, $E$9, 100%, $G$9) + CHOOSE(CONTROL!$C$38, 0.034, 0)</f>
        <v>19.401199999999999</v>
      </c>
      <c r="J120" s="44">
        <f>111.0011</f>
        <v>111.00109999999999</v>
      </c>
    </row>
    <row r="121" spans="1:10" ht="15" x14ac:dyDescent="0.2">
      <c r="A121" s="16">
        <v>44228</v>
      </c>
      <c r="B121" s="17">
        <f>21.236 * CHOOSE(CONTROL!$C$15, $E$9, 100%, $G$9) + CHOOSE(CONTROL!$C$38, 0.0339, 0)</f>
        <v>21.2699</v>
      </c>
      <c r="C121" s="17">
        <f>19.6859 * CHOOSE(CONTROL!$C$15, $E$9, 100%, $G$9) + CHOOSE(CONTROL!$C$38, 0.034, 0)</f>
        <v>19.719899999999999</v>
      </c>
      <c r="D121" s="17">
        <f>19.6781 * CHOOSE(CONTROL!$C$15, $E$9, 100%, $G$9) + CHOOSE(CONTROL!$C$38, 0.034, 0)</f>
        <v>19.7121</v>
      </c>
      <c r="E121" s="17">
        <f>19.6781 * CHOOSE(CONTROL!$C$15, $E$9, 100%, $G$9) + CHOOSE(CONTROL!$C$38, 0.034, 0)</f>
        <v>19.7121</v>
      </c>
      <c r="F121" s="45">
        <f>21.236 * CHOOSE(CONTROL!$C$15, $E$9, 100%, $G$9) + CHOOSE(CONTROL!$C$38, 0.0339, 0)</f>
        <v>21.2699</v>
      </c>
      <c r="G121" s="17">
        <f>19.6843 * CHOOSE(CONTROL!$C$15, $E$9, 100%, $G$9) + CHOOSE(CONTROL!$C$38, 0.034, 0)</f>
        <v>19.718299999999999</v>
      </c>
      <c r="H121" s="17">
        <f>19.6843 * CHOOSE(CONTROL!$C$15, $E$9, 100%, $G$9) + CHOOSE(CONTROL!$C$38, 0.034, 0)</f>
        <v>19.718299999999999</v>
      </c>
      <c r="I121" s="17">
        <f>19.6859 * CHOOSE(CONTROL!$C$15, $E$9, 100%, $G$9) + CHOOSE(CONTROL!$C$38, 0.034, 0)</f>
        <v>19.719899999999999</v>
      </c>
      <c r="J121" s="44">
        <f>110.9205</f>
        <v>110.9205</v>
      </c>
    </row>
    <row r="122" spans="1:10" ht="15" x14ac:dyDescent="0.2">
      <c r="A122" s="16">
        <v>44256</v>
      </c>
      <c r="B122" s="17">
        <f>20.6297 * CHOOSE(CONTROL!$C$15, $E$9, 100%, $G$9) + CHOOSE(CONTROL!$C$38, 0.0339, 0)</f>
        <v>20.663599999999999</v>
      </c>
      <c r="C122" s="17">
        <f>19.0767 * CHOOSE(CONTROL!$C$15, $E$9, 100%, $G$9) + CHOOSE(CONTROL!$C$38, 0.034, 0)</f>
        <v>19.110699999999998</v>
      </c>
      <c r="D122" s="17">
        <f>19.0689 * CHOOSE(CONTROL!$C$15, $E$9, 100%, $G$9) + CHOOSE(CONTROL!$C$38, 0.034, 0)</f>
        <v>19.102899999999998</v>
      </c>
      <c r="E122" s="17">
        <f>19.0689 * CHOOSE(CONTROL!$C$15, $E$9, 100%, $G$9) + CHOOSE(CONTROL!$C$38, 0.034, 0)</f>
        <v>19.102899999999998</v>
      </c>
      <c r="F122" s="45">
        <f>20.6297 * CHOOSE(CONTROL!$C$15, $E$9, 100%, $G$9) + CHOOSE(CONTROL!$C$38, 0.0339, 0)</f>
        <v>20.663599999999999</v>
      </c>
      <c r="G122" s="17">
        <f>19.0751 * CHOOSE(CONTROL!$C$15, $E$9, 100%, $G$9) + CHOOSE(CONTROL!$C$38, 0.034, 0)</f>
        <v>19.109099999999998</v>
      </c>
      <c r="H122" s="17">
        <f>19.0751 * CHOOSE(CONTROL!$C$15, $E$9, 100%, $G$9) + CHOOSE(CONTROL!$C$38, 0.034, 0)</f>
        <v>19.109099999999998</v>
      </c>
      <c r="I122" s="17">
        <f>19.0767 * CHOOSE(CONTROL!$C$15, $E$9, 100%, $G$9) + CHOOSE(CONTROL!$C$38, 0.034, 0)</f>
        <v>19.110699999999998</v>
      </c>
      <c r="J122" s="44">
        <f>117.0072</f>
        <v>117.0072</v>
      </c>
    </row>
    <row r="123" spans="1:10" ht="15" x14ac:dyDescent="0.2">
      <c r="A123" s="16">
        <v>44287</v>
      </c>
      <c r="B123" s="17">
        <f>20.0409 * CHOOSE(CONTROL!$C$15, $E$9, 100%, $G$9) + CHOOSE(CONTROL!$C$38, 0.0339, 0)</f>
        <v>20.0748</v>
      </c>
      <c r="C123" s="17">
        <f>18.4851 * CHOOSE(CONTROL!$C$15, $E$9, 100%, $G$9) + CHOOSE(CONTROL!$C$38, 0.034, 0)</f>
        <v>18.519099999999998</v>
      </c>
      <c r="D123" s="17">
        <f>18.4772 * CHOOSE(CONTROL!$C$15, $E$9, 100%, $G$9) + CHOOSE(CONTROL!$C$38, 0.034, 0)</f>
        <v>18.511199999999999</v>
      </c>
      <c r="E123" s="17">
        <f>18.4772 * CHOOSE(CONTROL!$C$15, $E$9, 100%, $G$9) + CHOOSE(CONTROL!$C$38, 0.034, 0)</f>
        <v>18.511199999999999</v>
      </c>
      <c r="F123" s="45">
        <f>20.0409 * CHOOSE(CONTROL!$C$15, $E$9, 100%, $G$9) + CHOOSE(CONTROL!$C$38, 0.0339, 0)</f>
        <v>20.0748</v>
      </c>
      <c r="G123" s="17">
        <f>18.4835 * CHOOSE(CONTROL!$C$15, $E$9, 100%, $G$9) + CHOOSE(CONTROL!$C$38, 0.034, 0)</f>
        <v>18.517499999999998</v>
      </c>
      <c r="H123" s="17">
        <f>18.4835 * CHOOSE(CONTROL!$C$15, $E$9, 100%, $G$9) + CHOOSE(CONTROL!$C$38, 0.034, 0)</f>
        <v>18.517499999999998</v>
      </c>
      <c r="I123" s="17">
        <f>18.4851 * CHOOSE(CONTROL!$C$15, $E$9, 100%, $G$9) + CHOOSE(CONTROL!$C$38, 0.034, 0)</f>
        <v>18.519099999999998</v>
      </c>
      <c r="J123" s="44">
        <f>124.8606</f>
        <v>124.86060000000001</v>
      </c>
    </row>
    <row r="124" spans="1:10" ht="15" x14ac:dyDescent="0.2">
      <c r="A124" s="16">
        <v>44317</v>
      </c>
      <c r="B124" s="17">
        <f>19.423 * CHOOSE(CONTROL!$C$15, $E$9, 100%, $G$9) + CHOOSE(CONTROL!$C$38, 0.0355, 0)</f>
        <v>19.458499999999997</v>
      </c>
      <c r="C124" s="17">
        <f>17.8642 * CHOOSE(CONTROL!$C$15, $E$9, 100%, $G$9) + CHOOSE(CONTROL!$C$38, 0.0356, 0)</f>
        <v>17.899799999999999</v>
      </c>
      <c r="D124" s="17">
        <f>17.8564 * CHOOSE(CONTROL!$C$15, $E$9, 100%, $G$9) + CHOOSE(CONTROL!$C$38, 0.0356, 0)</f>
        <v>17.891999999999999</v>
      </c>
      <c r="E124" s="17">
        <f>17.8564 * CHOOSE(CONTROL!$C$15, $E$9, 100%, $G$9) + CHOOSE(CONTROL!$C$38, 0.0356, 0)</f>
        <v>17.891999999999999</v>
      </c>
      <c r="F124" s="45">
        <f>19.423 * CHOOSE(CONTROL!$C$15, $E$9, 100%, $G$9) + CHOOSE(CONTROL!$C$38, 0.0355, 0)</f>
        <v>19.458499999999997</v>
      </c>
      <c r="G124" s="17">
        <f>17.8627 * CHOOSE(CONTROL!$C$15, $E$9, 100%, $G$9) + CHOOSE(CONTROL!$C$38, 0.0356, 0)</f>
        <v>17.898299999999999</v>
      </c>
      <c r="H124" s="17">
        <f>17.8627 * CHOOSE(CONTROL!$C$15, $E$9, 100%, $G$9) + CHOOSE(CONTROL!$C$38, 0.0356, 0)</f>
        <v>17.898299999999999</v>
      </c>
      <c r="I124" s="17">
        <f>17.8642 * CHOOSE(CONTROL!$C$15, $E$9, 100%, $G$9) + CHOOSE(CONTROL!$C$38, 0.0356, 0)</f>
        <v>17.899799999999999</v>
      </c>
      <c r="J124" s="44">
        <f>129.3165</f>
        <v>129.31649999999999</v>
      </c>
    </row>
    <row r="125" spans="1:10" ht="15" x14ac:dyDescent="0.2">
      <c r="A125" s="16">
        <v>44348</v>
      </c>
      <c r="B125" s="17">
        <f>18.9995 * CHOOSE(CONTROL!$C$15, $E$9, 100%, $G$9) + CHOOSE(CONTROL!$C$38, 0.0355, 0)</f>
        <v>19.035</v>
      </c>
      <c r="C125" s="17">
        <f>17.4378 * CHOOSE(CONTROL!$C$15, $E$9, 100%, $G$9) + CHOOSE(CONTROL!$C$38, 0.0356, 0)</f>
        <v>17.473399999999998</v>
      </c>
      <c r="D125" s="17">
        <f>17.43 * CHOOSE(CONTROL!$C$15, $E$9, 100%, $G$9) + CHOOSE(CONTROL!$C$38, 0.0356, 0)</f>
        <v>17.465599999999998</v>
      </c>
      <c r="E125" s="17">
        <f>17.43 * CHOOSE(CONTROL!$C$15, $E$9, 100%, $G$9) + CHOOSE(CONTROL!$C$38, 0.0356, 0)</f>
        <v>17.465599999999998</v>
      </c>
      <c r="F125" s="45">
        <f>18.9995 * CHOOSE(CONTROL!$C$15, $E$9, 100%, $G$9) + CHOOSE(CONTROL!$C$38, 0.0355, 0)</f>
        <v>19.035</v>
      </c>
      <c r="G125" s="17">
        <f>17.4363 * CHOOSE(CONTROL!$C$15, $E$9, 100%, $G$9) + CHOOSE(CONTROL!$C$38, 0.0356, 0)</f>
        <v>17.471899999999998</v>
      </c>
      <c r="H125" s="17">
        <f>17.4363 * CHOOSE(CONTROL!$C$15, $E$9, 100%, $G$9) + CHOOSE(CONTROL!$C$38, 0.0356, 0)</f>
        <v>17.471899999999998</v>
      </c>
      <c r="I125" s="17">
        <f>17.4378 * CHOOSE(CONTROL!$C$15, $E$9, 100%, $G$9) + CHOOSE(CONTROL!$C$38, 0.0356, 0)</f>
        <v>17.473399999999998</v>
      </c>
      <c r="J125" s="44">
        <f>131.45</f>
        <v>131.44999999999999</v>
      </c>
    </row>
    <row r="126" spans="1:10" ht="15" x14ac:dyDescent="0.2">
      <c r="A126" s="16">
        <v>44378</v>
      </c>
      <c r="B126" s="17">
        <f>18.773 * CHOOSE(CONTROL!$C$15, $E$9, 100%, $G$9) + CHOOSE(CONTROL!$C$38, 0.0355, 0)</f>
        <v>18.808499999999999</v>
      </c>
      <c r="C126" s="17">
        <f>17.2085 * CHOOSE(CONTROL!$C$15, $E$9, 100%, $G$9) + CHOOSE(CONTROL!$C$38, 0.0356, 0)</f>
        <v>17.2441</v>
      </c>
      <c r="D126" s="17">
        <f>17.2007 * CHOOSE(CONTROL!$C$15, $E$9, 100%, $G$9) + CHOOSE(CONTROL!$C$38, 0.0356, 0)</f>
        <v>17.2363</v>
      </c>
      <c r="E126" s="17">
        <f>17.2007 * CHOOSE(CONTROL!$C$15, $E$9, 100%, $G$9) + CHOOSE(CONTROL!$C$38, 0.0356, 0)</f>
        <v>17.2363</v>
      </c>
      <c r="F126" s="45">
        <f>18.773 * CHOOSE(CONTROL!$C$15, $E$9, 100%, $G$9) + CHOOSE(CONTROL!$C$38, 0.0355, 0)</f>
        <v>18.808499999999999</v>
      </c>
      <c r="G126" s="17">
        <f>17.2069 * CHOOSE(CONTROL!$C$15, $E$9, 100%, $G$9) + CHOOSE(CONTROL!$C$38, 0.0356, 0)</f>
        <v>17.2425</v>
      </c>
      <c r="H126" s="17">
        <f>17.2069 * CHOOSE(CONTROL!$C$15, $E$9, 100%, $G$9) + CHOOSE(CONTROL!$C$38, 0.0356, 0)</f>
        <v>17.2425</v>
      </c>
      <c r="I126" s="17">
        <f>17.2085 * CHOOSE(CONTROL!$C$15, $E$9, 100%, $G$9) + CHOOSE(CONTROL!$C$38, 0.0356, 0)</f>
        <v>17.2441</v>
      </c>
      <c r="J126" s="44">
        <f>131.1047</f>
        <v>131.10470000000001</v>
      </c>
    </row>
    <row r="127" spans="1:10" ht="15" x14ac:dyDescent="0.2">
      <c r="A127" s="16">
        <v>44409</v>
      </c>
      <c r="B127" s="17">
        <f>18.9411 * CHOOSE(CONTROL!$C$15, $E$9, 100%, $G$9) + CHOOSE(CONTROL!$C$38, 0.0355, 0)</f>
        <v>18.976599999999998</v>
      </c>
      <c r="C127" s="17">
        <f>17.3737 * CHOOSE(CONTROL!$C$15, $E$9, 100%, $G$9) + CHOOSE(CONTROL!$C$38, 0.0356, 0)</f>
        <v>17.409299999999998</v>
      </c>
      <c r="D127" s="17">
        <f>17.3659 * CHOOSE(CONTROL!$C$15, $E$9, 100%, $G$9) + CHOOSE(CONTROL!$C$38, 0.0356, 0)</f>
        <v>17.401499999999999</v>
      </c>
      <c r="E127" s="17">
        <f>17.3659 * CHOOSE(CONTROL!$C$15, $E$9, 100%, $G$9) + CHOOSE(CONTROL!$C$38, 0.0356, 0)</f>
        <v>17.401499999999999</v>
      </c>
      <c r="F127" s="45">
        <f>18.9411 * CHOOSE(CONTROL!$C$15, $E$9, 100%, $G$9) + CHOOSE(CONTROL!$C$38, 0.0355, 0)</f>
        <v>18.976599999999998</v>
      </c>
      <c r="G127" s="17">
        <f>17.3721 * CHOOSE(CONTROL!$C$15, $E$9, 100%, $G$9) + CHOOSE(CONTROL!$C$38, 0.0356, 0)</f>
        <v>17.407699999999998</v>
      </c>
      <c r="H127" s="17">
        <f>17.3721 * CHOOSE(CONTROL!$C$15, $E$9, 100%, $G$9) + CHOOSE(CONTROL!$C$38, 0.0356, 0)</f>
        <v>17.407699999999998</v>
      </c>
      <c r="I127" s="17">
        <f>17.3737 * CHOOSE(CONTROL!$C$15, $E$9, 100%, $G$9) + CHOOSE(CONTROL!$C$38, 0.0356, 0)</f>
        <v>17.409299999999998</v>
      </c>
      <c r="J127" s="44">
        <f>128.3164</f>
        <v>128.31639999999999</v>
      </c>
    </row>
    <row r="128" spans="1:10" ht="15" x14ac:dyDescent="0.2">
      <c r="A128" s="16">
        <v>44440</v>
      </c>
      <c r="B128" s="17">
        <f>19.3347 * CHOOSE(CONTROL!$C$15, $E$9, 100%, $G$9) + CHOOSE(CONTROL!$C$38, 0.0355, 0)</f>
        <v>19.370200000000001</v>
      </c>
      <c r="C128" s="17">
        <f>17.7643 * CHOOSE(CONTROL!$C$15, $E$9, 100%, $G$9) + CHOOSE(CONTROL!$C$38, 0.0356, 0)</f>
        <v>17.799899999999997</v>
      </c>
      <c r="D128" s="17">
        <f>17.7565 * CHOOSE(CONTROL!$C$15, $E$9, 100%, $G$9) + CHOOSE(CONTROL!$C$38, 0.0356, 0)</f>
        <v>17.792099999999998</v>
      </c>
      <c r="E128" s="17">
        <f>17.7565 * CHOOSE(CONTROL!$C$15, $E$9, 100%, $G$9) + CHOOSE(CONTROL!$C$38, 0.0356, 0)</f>
        <v>17.792099999999998</v>
      </c>
      <c r="F128" s="45">
        <f>19.3347 * CHOOSE(CONTROL!$C$15, $E$9, 100%, $G$9) + CHOOSE(CONTROL!$C$38, 0.0355, 0)</f>
        <v>19.370200000000001</v>
      </c>
      <c r="G128" s="17">
        <f>17.7628 * CHOOSE(CONTROL!$C$15, $E$9, 100%, $G$9) + CHOOSE(CONTROL!$C$38, 0.0356, 0)</f>
        <v>17.798399999999997</v>
      </c>
      <c r="H128" s="17">
        <f>17.7628 * CHOOSE(CONTROL!$C$15, $E$9, 100%, $G$9) + CHOOSE(CONTROL!$C$38, 0.0356, 0)</f>
        <v>17.798399999999997</v>
      </c>
      <c r="I128" s="17">
        <f>17.7643 * CHOOSE(CONTROL!$C$15, $E$9, 100%, $G$9) + CHOOSE(CONTROL!$C$38, 0.0356, 0)</f>
        <v>17.799899999999997</v>
      </c>
      <c r="J128" s="44">
        <f>124.3069</f>
        <v>124.3069</v>
      </c>
    </row>
    <row r="129" spans="1:10" ht="15" x14ac:dyDescent="0.2">
      <c r="A129" s="16">
        <v>44470</v>
      </c>
      <c r="B129" s="17">
        <f>19.6718 * CHOOSE(CONTROL!$C$15, $E$9, 100%, $G$9) + CHOOSE(CONTROL!$C$38, 0.0339, 0)</f>
        <v>19.7057</v>
      </c>
      <c r="C129" s="17">
        <f>18.0986 * CHOOSE(CONTROL!$C$15, $E$9, 100%, $G$9) + CHOOSE(CONTROL!$C$38, 0.034, 0)</f>
        <v>18.1326</v>
      </c>
      <c r="D129" s="17">
        <f>18.0908 * CHOOSE(CONTROL!$C$15, $E$9, 100%, $G$9) + CHOOSE(CONTROL!$C$38, 0.034, 0)</f>
        <v>18.1248</v>
      </c>
      <c r="E129" s="17">
        <f>18.0908 * CHOOSE(CONTROL!$C$15, $E$9, 100%, $G$9) + CHOOSE(CONTROL!$C$38, 0.034, 0)</f>
        <v>18.1248</v>
      </c>
      <c r="F129" s="45">
        <f>19.6718 * CHOOSE(CONTROL!$C$15, $E$9, 100%, $G$9) + CHOOSE(CONTROL!$C$38, 0.0339, 0)</f>
        <v>19.7057</v>
      </c>
      <c r="G129" s="17">
        <f>18.097 * CHOOSE(CONTROL!$C$15, $E$9, 100%, $G$9) + CHOOSE(CONTROL!$C$38, 0.034, 0)</f>
        <v>18.131</v>
      </c>
      <c r="H129" s="17">
        <f>18.097 * CHOOSE(CONTROL!$C$15, $E$9, 100%, $G$9) + CHOOSE(CONTROL!$C$38, 0.034, 0)</f>
        <v>18.131</v>
      </c>
      <c r="I129" s="17">
        <f>18.0986 * CHOOSE(CONTROL!$C$15, $E$9, 100%, $G$9) + CHOOSE(CONTROL!$C$38, 0.034, 0)</f>
        <v>18.1326</v>
      </c>
      <c r="J129" s="44">
        <f>120.2555</f>
        <v>120.2555</v>
      </c>
    </row>
    <row r="130" spans="1:10" ht="15" x14ac:dyDescent="0.2">
      <c r="A130" s="16">
        <v>44501</v>
      </c>
      <c r="B130" s="17">
        <f>19.9607 * CHOOSE(CONTROL!$C$15, $E$9, 100%, $G$9) + CHOOSE(CONTROL!$C$38, 0.0339, 0)</f>
        <v>19.994599999999998</v>
      </c>
      <c r="C130" s="17">
        <f>18.3846 * CHOOSE(CONTROL!$C$15, $E$9, 100%, $G$9) + CHOOSE(CONTROL!$C$38, 0.034, 0)</f>
        <v>18.418599999999998</v>
      </c>
      <c r="D130" s="17">
        <f>18.3768 * CHOOSE(CONTROL!$C$15, $E$9, 100%, $G$9) + CHOOSE(CONTROL!$C$38, 0.034, 0)</f>
        <v>18.410799999999998</v>
      </c>
      <c r="E130" s="17">
        <f>18.3768 * CHOOSE(CONTROL!$C$15, $E$9, 100%, $G$9) + CHOOSE(CONTROL!$C$38, 0.034, 0)</f>
        <v>18.410799999999998</v>
      </c>
      <c r="F130" s="45">
        <f>19.9607 * CHOOSE(CONTROL!$C$15, $E$9, 100%, $G$9) + CHOOSE(CONTROL!$C$38, 0.0339, 0)</f>
        <v>19.994599999999998</v>
      </c>
      <c r="G130" s="17">
        <f>18.383 * CHOOSE(CONTROL!$C$15, $E$9, 100%, $G$9) + CHOOSE(CONTROL!$C$38, 0.034, 0)</f>
        <v>18.416999999999998</v>
      </c>
      <c r="H130" s="17">
        <f>18.383 * CHOOSE(CONTROL!$C$15, $E$9, 100%, $G$9) + CHOOSE(CONTROL!$C$38, 0.034, 0)</f>
        <v>18.416999999999998</v>
      </c>
      <c r="I130" s="17">
        <f>18.3846 * CHOOSE(CONTROL!$C$15, $E$9, 100%, $G$9) + CHOOSE(CONTROL!$C$38, 0.034, 0)</f>
        <v>18.418599999999998</v>
      </c>
      <c r="J130" s="44">
        <f>119.6446</f>
        <v>119.6446</v>
      </c>
    </row>
    <row r="131" spans="1:10" ht="15" x14ac:dyDescent="0.2">
      <c r="A131" s="16">
        <v>44531</v>
      </c>
      <c r="B131" s="17">
        <f>20.7715 * CHOOSE(CONTROL!$C$15, $E$9, 100%, $G$9) + CHOOSE(CONTROL!$C$38, 0.0339, 0)</f>
        <v>20.805399999999999</v>
      </c>
      <c r="C131" s="17">
        <f>19.1924 * CHOOSE(CONTROL!$C$15, $E$9, 100%, $G$9) + CHOOSE(CONTROL!$C$38, 0.034, 0)</f>
        <v>19.226399999999998</v>
      </c>
      <c r="D131" s="17">
        <f>19.1846 * CHOOSE(CONTROL!$C$15, $E$9, 100%, $G$9) + CHOOSE(CONTROL!$C$38, 0.034, 0)</f>
        <v>19.218599999999999</v>
      </c>
      <c r="E131" s="17">
        <f>19.1846 * CHOOSE(CONTROL!$C$15, $E$9, 100%, $G$9) + CHOOSE(CONTROL!$C$38, 0.034, 0)</f>
        <v>19.218599999999999</v>
      </c>
      <c r="F131" s="45">
        <f>20.7715 * CHOOSE(CONTROL!$C$15, $E$9, 100%, $G$9) + CHOOSE(CONTROL!$C$38, 0.0339, 0)</f>
        <v>20.805399999999999</v>
      </c>
      <c r="G131" s="17">
        <f>19.1908 * CHOOSE(CONTROL!$C$15, $E$9, 100%, $G$9) + CHOOSE(CONTROL!$C$38, 0.034, 0)</f>
        <v>19.224799999999998</v>
      </c>
      <c r="H131" s="17">
        <f>19.1908 * CHOOSE(CONTROL!$C$15, $E$9, 100%, $G$9) + CHOOSE(CONTROL!$C$38, 0.034, 0)</f>
        <v>19.224799999999998</v>
      </c>
      <c r="I131" s="17">
        <f>19.1924 * CHOOSE(CONTROL!$C$15, $E$9, 100%, $G$9) + CHOOSE(CONTROL!$C$38, 0.034, 0)</f>
        <v>19.226399999999998</v>
      </c>
      <c r="J131" s="44">
        <f>116.3332</f>
        <v>116.33320000000001</v>
      </c>
    </row>
    <row r="132" spans="1:10" ht="15" x14ac:dyDescent="0.2">
      <c r="A132" s="16">
        <v>44562</v>
      </c>
      <c r="B132" s="17">
        <f>21.802 * CHOOSE(CONTROL!$C$15, $E$9, 100%, $G$9) + CHOOSE(CONTROL!$C$38, 0.0339, 0)</f>
        <v>21.835899999999999</v>
      </c>
      <c r="C132" s="17">
        <f>20.2196 * CHOOSE(CONTROL!$C$15, $E$9, 100%, $G$9) + CHOOSE(CONTROL!$C$38, 0.034, 0)</f>
        <v>20.253599999999999</v>
      </c>
      <c r="D132" s="17">
        <f>20.2118 * CHOOSE(CONTROL!$C$15, $E$9, 100%, $G$9) + CHOOSE(CONTROL!$C$38, 0.034, 0)</f>
        <v>20.245799999999999</v>
      </c>
      <c r="E132" s="17">
        <f>20.2118 * CHOOSE(CONTROL!$C$15, $E$9, 100%, $G$9) + CHOOSE(CONTROL!$C$38, 0.034, 0)</f>
        <v>20.245799999999999</v>
      </c>
      <c r="F132" s="45">
        <f>21.802 * CHOOSE(CONTROL!$C$15, $E$9, 100%, $G$9) + CHOOSE(CONTROL!$C$38, 0.0339, 0)</f>
        <v>21.835899999999999</v>
      </c>
      <c r="G132" s="17">
        <f>20.218 * CHOOSE(CONTROL!$C$15, $E$9, 100%, $G$9) + CHOOSE(CONTROL!$C$38, 0.034, 0)</f>
        <v>20.251999999999999</v>
      </c>
      <c r="H132" s="17">
        <f>20.218 * CHOOSE(CONTROL!$C$15, $E$9, 100%, $G$9) + CHOOSE(CONTROL!$C$38, 0.034, 0)</f>
        <v>20.251999999999999</v>
      </c>
      <c r="I132" s="17">
        <f>20.2196 * CHOOSE(CONTROL!$C$15, $E$9, 100%, $G$9) + CHOOSE(CONTROL!$C$38, 0.034, 0)</f>
        <v>20.253599999999999</v>
      </c>
      <c r="J132" s="44">
        <f>116.6613</f>
        <v>116.6613</v>
      </c>
    </row>
    <row r="133" spans="1:10" ht="15" x14ac:dyDescent="0.2">
      <c r="A133" s="16">
        <v>44593</v>
      </c>
      <c r="B133" s="17">
        <f>22.1323 * CHOOSE(CONTROL!$C$15, $E$9, 100%, $G$9) + CHOOSE(CONTROL!$C$38, 0.0339, 0)</f>
        <v>22.1662</v>
      </c>
      <c r="C133" s="17">
        <f>20.547 * CHOOSE(CONTROL!$C$15, $E$9, 100%, $G$9) + CHOOSE(CONTROL!$C$38, 0.034, 0)</f>
        <v>20.581</v>
      </c>
      <c r="D133" s="17">
        <f>20.5392 * CHOOSE(CONTROL!$C$15, $E$9, 100%, $G$9) + CHOOSE(CONTROL!$C$38, 0.034, 0)</f>
        <v>20.5732</v>
      </c>
      <c r="E133" s="17">
        <f>20.5392 * CHOOSE(CONTROL!$C$15, $E$9, 100%, $G$9) + CHOOSE(CONTROL!$C$38, 0.034, 0)</f>
        <v>20.5732</v>
      </c>
      <c r="F133" s="45">
        <f>22.1323 * CHOOSE(CONTROL!$C$15, $E$9, 100%, $G$9) + CHOOSE(CONTROL!$C$38, 0.0339, 0)</f>
        <v>22.1662</v>
      </c>
      <c r="G133" s="17">
        <f>20.5454 * CHOOSE(CONTROL!$C$15, $E$9, 100%, $G$9) + CHOOSE(CONTROL!$C$38, 0.034, 0)</f>
        <v>20.5794</v>
      </c>
      <c r="H133" s="17">
        <f>20.5454 * CHOOSE(CONTROL!$C$15, $E$9, 100%, $G$9) + CHOOSE(CONTROL!$C$38, 0.034, 0)</f>
        <v>20.5794</v>
      </c>
      <c r="I133" s="17">
        <f>20.547 * CHOOSE(CONTROL!$C$15, $E$9, 100%, $G$9) + CHOOSE(CONTROL!$C$38, 0.034, 0)</f>
        <v>20.581</v>
      </c>
      <c r="J133" s="44">
        <f>116.5767</f>
        <v>116.5767</v>
      </c>
    </row>
    <row r="134" spans="1:10" ht="15" x14ac:dyDescent="0.2">
      <c r="A134" s="16">
        <v>44621</v>
      </c>
      <c r="B134" s="17">
        <f>21.5116 * CHOOSE(CONTROL!$C$15, $E$9, 100%, $G$9) + CHOOSE(CONTROL!$C$38, 0.0339, 0)</f>
        <v>21.545500000000001</v>
      </c>
      <c r="C134" s="17">
        <f>19.9233 * CHOOSE(CONTROL!$C$15, $E$9, 100%, $G$9) + CHOOSE(CONTROL!$C$38, 0.034, 0)</f>
        <v>19.9573</v>
      </c>
      <c r="D134" s="17">
        <f>19.9155 * CHOOSE(CONTROL!$C$15, $E$9, 100%, $G$9) + CHOOSE(CONTROL!$C$38, 0.034, 0)</f>
        <v>19.9495</v>
      </c>
      <c r="E134" s="17">
        <f>19.9155 * CHOOSE(CONTROL!$C$15, $E$9, 100%, $G$9) + CHOOSE(CONTROL!$C$38, 0.034, 0)</f>
        <v>19.9495</v>
      </c>
      <c r="F134" s="45">
        <f>21.5116 * CHOOSE(CONTROL!$C$15, $E$9, 100%, $G$9) + CHOOSE(CONTROL!$C$38, 0.0339, 0)</f>
        <v>21.545500000000001</v>
      </c>
      <c r="G134" s="17">
        <f>19.9218 * CHOOSE(CONTROL!$C$15, $E$9, 100%, $G$9) + CHOOSE(CONTROL!$C$38, 0.034, 0)</f>
        <v>19.9558</v>
      </c>
      <c r="H134" s="17">
        <f>19.9218 * CHOOSE(CONTROL!$C$15, $E$9, 100%, $G$9) + CHOOSE(CONTROL!$C$38, 0.034, 0)</f>
        <v>19.9558</v>
      </c>
      <c r="I134" s="17">
        <f>19.9233 * CHOOSE(CONTROL!$C$15, $E$9, 100%, $G$9) + CHOOSE(CONTROL!$C$38, 0.034, 0)</f>
        <v>19.9573</v>
      </c>
      <c r="J134" s="44">
        <f>122.9737</f>
        <v>122.97369999999999</v>
      </c>
    </row>
    <row r="135" spans="1:10" ht="15" x14ac:dyDescent="0.2">
      <c r="A135" s="16">
        <v>44652</v>
      </c>
      <c r="B135" s="17">
        <f>20.909 * CHOOSE(CONTROL!$C$15, $E$9, 100%, $G$9) + CHOOSE(CONTROL!$C$38, 0.0339, 0)</f>
        <v>20.942899999999998</v>
      </c>
      <c r="C135" s="17">
        <f>19.3177 * CHOOSE(CONTROL!$C$15, $E$9, 100%, $G$9) + CHOOSE(CONTROL!$C$38, 0.034, 0)</f>
        <v>19.351699999999997</v>
      </c>
      <c r="D135" s="17">
        <f>19.3099 * CHOOSE(CONTROL!$C$15, $E$9, 100%, $G$9) + CHOOSE(CONTROL!$C$38, 0.034, 0)</f>
        <v>19.343899999999998</v>
      </c>
      <c r="E135" s="17">
        <f>19.3099 * CHOOSE(CONTROL!$C$15, $E$9, 100%, $G$9) + CHOOSE(CONTROL!$C$38, 0.034, 0)</f>
        <v>19.343899999999998</v>
      </c>
      <c r="F135" s="45">
        <f>20.909 * CHOOSE(CONTROL!$C$15, $E$9, 100%, $G$9) + CHOOSE(CONTROL!$C$38, 0.0339, 0)</f>
        <v>20.942899999999998</v>
      </c>
      <c r="G135" s="17">
        <f>19.3161 * CHOOSE(CONTROL!$C$15, $E$9, 100%, $G$9) + CHOOSE(CONTROL!$C$38, 0.034, 0)</f>
        <v>19.350099999999998</v>
      </c>
      <c r="H135" s="17">
        <f>19.3161 * CHOOSE(CONTROL!$C$15, $E$9, 100%, $G$9) + CHOOSE(CONTROL!$C$38, 0.034, 0)</f>
        <v>19.350099999999998</v>
      </c>
      <c r="I135" s="17">
        <f>19.3177 * CHOOSE(CONTROL!$C$15, $E$9, 100%, $G$9) + CHOOSE(CONTROL!$C$38, 0.034, 0)</f>
        <v>19.351699999999997</v>
      </c>
      <c r="J135" s="44">
        <f>131.2276</f>
        <v>131.2276</v>
      </c>
    </row>
    <row r="136" spans="1:10" ht="15" x14ac:dyDescent="0.2">
      <c r="A136" s="16">
        <v>44682</v>
      </c>
      <c r="B136" s="17">
        <f>20.2764 * CHOOSE(CONTROL!$C$15, $E$9, 100%, $G$9) + CHOOSE(CONTROL!$C$38, 0.0355, 0)</f>
        <v>20.311899999999998</v>
      </c>
      <c r="C136" s="17">
        <f>18.6821 * CHOOSE(CONTROL!$C$15, $E$9, 100%, $G$9) + CHOOSE(CONTROL!$C$38, 0.0356, 0)</f>
        <v>18.717699999999997</v>
      </c>
      <c r="D136" s="17">
        <f>18.6743 * CHOOSE(CONTROL!$C$15, $E$9, 100%, $G$9) + CHOOSE(CONTROL!$C$38, 0.0356, 0)</f>
        <v>18.709899999999998</v>
      </c>
      <c r="E136" s="17">
        <f>18.6743 * CHOOSE(CONTROL!$C$15, $E$9, 100%, $G$9) + CHOOSE(CONTROL!$C$38, 0.0356, 0)</f>
        <v>18.709899999999998</v>
      </c>
      <c r="F136" s="45">
        <f>20.2764 * CHOOSE(CONTROL!$C$15, $E$9, 100%, $G$9) + CHOOSE(CONTROL!$C$38, 0.0355, 0)</f>
        <v>20.311899999999998</v>
      </c>
      <c r="G136" s="17">
        <f>18.6806 * CHOOSE(CONTROL!$C$15, $E$9, 100%, $G$9) + CHOOSE(CONTROL!$C$38, 0.0356, 0)</f>
        <v>18.716199999999997</v>
      </c>
      <c r="H136" s="17">
        <f>18.6806 * CHOOSE(CONTROL!$C$15, $E$9, 100%, $G$9) + CHOOSE(CONTROL!$C$38, 0.0356, 0)</f>
        <v>18.716199999999997</v>
      </c>
      <c r="I136" s="17">
        <f>18.6821 * CHOOSE(CONTROL!$C$15, $E$9, 100%, $G$9) + CHOOSE(CONTROL!$C$38, 0.0356, 0)</f>
        <v>18.717699999999997</v>
      </c>
      <c r="J136" s="44">
        <f>135.9107</f>
        <v>135.91069999999999</v>
      </c>
    </row>
    <row r="137" spans="1:10" ht="15" x14ac:dyDescent="0.2">
      <c r="A137" s="16">
        <v>44713</v>
      </c>
      <c r="B137" s="17">
        <f>19.8431 * CHOOSE(CONTROL!$C$15, $E$9, 100%, $G$9) + CHOOSE(CONTROL!$C$38, 0.0355, 0)</f>
        <v>19.878599999999999</v>
      </c>
      <c r="C137" s="17">
        <f>18.2459 * CHOOSE(CONTROL!$C$15, $E$9, 100%, $G$9) + CHOOSE(CONTROL!$C$38, 0.0356, 0)</f>
        <v>18.281499999999998</v>
      </c>
      <c r="D137" s="17">
        <f>18.2381 * CHOOSE(CONTROL!$C$15, $E$9, 100%, $G$9) + CHOOSE(CONTROL!$C$38, 0.0356, 0)</f>
        <v>18.273699999999998</v>
      </c>
      <c r="E137" s="17">
        <f>18.2381 * CHOOSE(CONTROL!$C$15, $E$9, 100%, $G$9) + CHOOSE(CONTROL!$C$38, 0.0356, 0)</f>
        <v>18.273699999999998</v>
      </c>
      <c r="F137" s="45">
        <f>19.8431 * CHOOSE(CONTROL!$C$15, $E$9, 100%, $G$9) + CHOOSE(CONTROL!$C$38, 0.0355, 0)</f>
        <v>19.878599999999999</v>
      </c>
      <c r="G137" s="17">
        <f>18.2443 * CHOOSE(CONTROL!$C$15, $E$9, 100%, $G$9) + CHOOSE(CONTROL!$C$38, 0.0356, 0)</f>
        <v>18.279899999999998</v>
      </c>
      <c r="H137" s="17">
        <f>18.2443 * CHOOSE(CONTROL!$C$15, $E$9, 100%, $G$9) + CHOOSE(CONTROL!$C$38, 0.0356, 0)</f>
        <v>18.279899999999998</v>
      </c>
      <c r="I137" s="17">
        <f>18.2459 * CHOOSE(CONTROL!$C$15, $E$9, 100%, $G$9) + CHOOSE(CONTROL!$C$38, 0.0356, 0)</f>
        <v>18.281499999999998</v>
      </c>
      <c r="J137" s="44">
        <f>138.153</f>
        <v>138.15299999999999</v>
      </c>
    </row>
    <row r="138" spans="1:10" ht="15" x14ac:dyDescent="0.2">
      <c r="A138" s="16">
        <v>44743</v>
      </c>
      <c r="B138" s="17">
        <f>19.6117 * CHOOSE(CONTROL!$C$15, $E$9, 100%, $G$9) + CHOOSE(CONTROL!$C$38, 0.0355, 0)</f>
        <v>19.647199999999998</v>
      </c>
      <c r="C138" s="17">
        <f>18.0116 * CHOOSE(CONTROL!$C$15, $E$9, 100%, $G$9) + CHOOSE(CONTROL!$C$38, 0.0356, 0)</f>
        <v>18.0472</v>
      </c>
      <c r="D138" s="17">
        <f>18.0038 * CHOOSE(CONTROL!$C$15, $E$9, 100%, $G$9) + CHOOSE(CONTROL!$C$38, 0.0356, 0)</f>
        <v>18.039399999999997</v>
      </c>
      <c r="E138" s="17">
        <f>18.0038 * CHOOSE(CONTROL!$C$15, $E$9, 100%, $G$9) + CHOOSE(CONTROL!$C$38, 0.0356, 0)</f>
        <v>18.039399999999997</v>
      </c>
      <c r="F138" s="45">
        <f>19.6117 * CHOOSE(CONTROL!$C$15, $E$9, 100%, $G$9) + CHOOSE(CONTROL!$C$38, 0.0355, 0)</f>
        <v>19.647199999999998</v>
      </c>
      <c r="G138" s="17">
        <f>18.01 * CHOOSE(CONTROL!$C$15, $E$9, 100%, $G$9) + CHOOSE(CONTROL!$C$38, 0.0356, 0)</f>
        <v>18.0456</v>
      </c>
      <c r="H138" s="17">
        <f>18.01 * CHOOSE(CONTROL!$C$15, $E$9, 100%, $G$9) + CHOOSE(CONTROL!$C$38, 0.0356, 0)</f>
        <v>18.0456</v>
      </c>
      <c r="I138" s="17">
        <f>18.0116 * CHOOSE(CONTROL!$C$15, $E$9, 100%, $G$9) + CHOOSE(CONTROL!$C$38, 0.0356, 0)</f>
        <v>18.0472</v>
      </c>
      <c r="J138" s="44">
        <f>137.7901</f>
        <v>137.7901</v>
      </c>
    </row>
    <row r="139" spans="1:10" ht="15" x14ac:dyDescent="0.2">
      <c r="A139" s="16">
        <v>44774</v>
      </c>
      <c r="B139" s="17">
        <f>19.7849 * CHOOSE(CONTROL!$C$15, $E$9, 100%, $G$9) + CHOOSE(CONTROL!$C$38, 0.0355, 0)</f>
        <v>19.820399999999999</v>
      </c>
      <c r="C139" s="17">
        <f>18.1817 * CHOOSE(CONTROL!$C$15, $E$9, 100%, $G$9) + CHOOSE(CONTROL!$C$38, 0.0356, 0)</f>
        <v>18.217299999999998</v>
      </c>
      <c r="D139" s="17">
        <f>18.1739 * CHOOSE(CONTROL!$C$15, $E$9, 100%, $G$9) + CHOOSE(CONTROL!$C$38, 0.0356, 0)</f>
        <v>18.209499999999998</v>
      </c>
      <c r="E139" s="17">
        <f>18.1739 * CHOOSE(CONTROL!$C$15, $E$9, 100%, $G$9) + CHOOSE(CONTROL!$C$38, 0.0356, 0)</f>
        <v>18.209499999999998</v>
      </c>
      <c r="F139" s="45">
        <f>19.7849 * CHOOSE(CONTROL!$C$15, $E$9, 100%, $G$9) + CHOOSE(CONTROL!$C$38, 0.0355, 0)</f>
        <v>19.820399999999999</v>
      </c>
      <c r="G139" s="17">
        <f>18.1802 * CHOOSE(CONTROL!$C$15, $E$9, 100%, $G$9) + CHOOSE(CONTROL!$C$38, 0.0356, 0)</f>
        <v>18.215799999999998</v>
      </c>
      <c r="H139" s="17">
        <f>18.1802 * CHOOSE(CONTROL!$C$15, $E$9, 100%, $G$9) + CHOOSE(CONTROL!$C$38, 0.0356, 0)</f>
        <v>18.215799999999998</v>
      </c>
      <c r="I139" s="17">
        <f>18.1817 * CHOOSE(CONTROL!$C$15, $E$9, 100%, $G$9) + CHOOSE(CONTROL!$C$38, 0.0356, 0)</f>
        <v>18.217299999999998</v>
      </c>
      <c r="J139" s="44">
        <f>134.8596</f>
        <v>134.8596</v>
      </c>
    </row>
    <row r="140" spans="1:10" ht="15" x14ac:dyDescent="0.2">
      <c r="A140" s="16">
        <v>44805</v>
      </c>
      <c r="B140" s="17">
        <f>20.189 * CHOOSE(CONTROL!$C$15, $E$9, 100%, $G$9) + CHOOSE(CONTROL!$C$38, 0.0355, 0)</f>
        <v>20.224499999999999</v>
      </c>
      <c r="C140" s="17">
        <f>18.5829 * CHOOSE(CONTROL!$C$15, $E$9, 100%, $G$9) + CHOOSE(CONTROL!$C$38, 0.0356, 0)</f>
        <v>18.618499999999997</v>
      </c>
      <c r="D140" s="17">
        <f>18.5751 * CHOOSE(CONTROL!$C$15, $E$9, 100%, $G$9) + CHOOSE(CONTROL!$C$38, 0.0356, 0)</f>
        <v>18.610699999999998</v>
      </c>
      <c r="E140" s="17">
        <f>18.5751 * CHOOSE(CONTROL!$C$15, $E$9, 100%, $G$9) + CHOOSE(CONTROL!$C$38, 0.0356, 0)</f>
        <v>18.610699999999998</v>
      </c>
      <c r="F140" s="45">
        <f>20.189 * CHOOSE(CONTROL!$C$15, $E$9, 100%, $G$9) + CHOOSE(CONTROL!$C$38, 0.0355, 0)</f>
        <v>20.224499999999999</v>
      </c>
      <c r="G140" s="17">
        <f>18.5813 * CHOOSE(CONTROL!$C$15, $E$9, 100%, $G$9) + CHOOSE(CONTROL!$C$38, 0.0356, 0)</f>
        <v>18.616899999999998</v>
      </c>
      <c r="H140" s="17">
        <f>18.5813 * CHOOSE(CONTROL!$C$15, $E$9, 100%, $G$9) + CHOOSE(CONTROL!$C$38, 0.0356, 0)</f>
        <v>18.616899999999998</v>
      </c>
      <c r="I140" s="17">
        <f>18.5829 * CHOOSE(CONTROL!$C$15, $E$9, 100%, $G$9) + CHOOSE(CONTROL!$C$38, 0.0356, 0)</f>
        <v>18.618499999999997</v>
      </c>
      <c r="J140" s="44">
        <f>130.6457</f>
        <v>130.64570000000001</v>
      </c>
    </row>
    <row r="141" spans="1:10" ht="15" x14ac:dyDescent="0.2">
      <c r="A141" s="16">
        <v>44835</v>
      </c>
      <c r="B141" s="17">
        <f>20.5354 * CHOOSE(CONTROL!$C$15, $E$9, 100%, $G$9) + CHOOSE(CONTROL!$C$38, 0.0339, 0)</f>
        <v>20.569299999999998</v>
      </c>
      <c r="C141" s="17">
        <f>18.9263 * CHOOSE(CONTROL!$C$15, $E$9, 100%, $G$9) + CHOOSE(CONTROL!$C$38, 0.034, 0)</f>
        <v>18.9603</v>
      </c>
      <c r="D141" s="17">
        <f>18.9185 * CHOOSE(CONTROL!$C$15, $E$9, 100%, $G$9) + CHOOSE(CONTROL!$C$38, 0.034, 0)</f>
        <v>18.952500000000001</v>
      </c>
      <c r="E141" s="17">
        <f>18.9185 * CHOOSE(CONTROL!$C$15, $E$9, 100%, $G$9) + CHOOSE(CONTROL!$C$38, 0.034, 0)</f>
        <v>18.952500000000001</v>
      </c>
      <c r="F141" s="45">
        <f>20.5354 * CHOOSE(CONTROL!$C$15, $E$9, 100%, $G$9) + CHOOSE(CONTROL!$C$38, 0.0339, 0)</f>
        <v>20.569299999999998</v>
      </c>
      <c r="G141" s="17">
        <f>18.9247 * CHOOSE(CONTROL!$C$15, $E$9, 100%, $G$9) + CHOOSE(CONTROL!$C$38, 0.034, 0)</f>
        <v>18.9587</v>
      </c>
      <c r="H141" s="17">
        <f>18.9247 * CHOOSE(CONTROL!$C$15, $E$9, 100%, $G$9) + CHOOSE(CONTROL!$C$38, 0.034, 0)</f>
        <v>18.9587</v>
      </c>
      <c r="I141" s="17">
        <f>18.9263 * CHOOSE(CONTROL!$C$15, $E$9, 100%, $G$9) + CHOOSE(CONTROL!$C$38, 0.034, 0)</f>
        <v>18.9603</v>
      </c>
      <c r="J141" s="44">
        <f>126.3876</f>
        <v>126.38760000000001</v>
      </c>
    </row>
    <row r="142" spans="1:10" ht="15" x14ac:dyDescent="0.2">
      <c r="A142" s="16">
        <v>44866</v>
      </c>
      <c r="B142" s="17">
        <f>20.8323 * CHOOSE(CONTROL!$C$15, $E$9, 100%, $G$9) + CHOOSE(CONTROL!$C$38, 0.0339, 0)</f>
        <v>20.866199999999999</v>
      </c>
      <c r="C142" s="17">
        <f>19.2202 * CHOOSE(CONTROL!$C$15, $E$9, 100%, $G$9) + CHOOSE(CONTROL!$C$38, 0.034, 0)</f>
        <v>19.254199999999997</v>
      </c>
      <c r="D142" s="17">
        <f>19.2124 * CHOOSE(CONTROL!$C$15, $E$9, 100%, $G$9) + CHOOSE(CONTROL!$C$38, 0.034, 0)</f>
        <v>19.246399999999998</v>
      </c>
      <c r="E142" s="17">
        <f>19.2124 * CHOOSE(CONTROL!$C$15, $E$9, 100%, $G$9) + CHOOSE(CONTROL!$C$38, 0.034, 0)</f>
        <v>19.246399999999998</v>
      </c>
      <c r="F142" s="45">
        <f>20.8323 * CHOOSE(CONTROL!$C$15, $E$9, 100%, $G$9) + CHOOSE(CONTROL!$C$38, 0.0339, 0)</f>
        <v>20.866199999999999</v>
      </c>
      <c r="G142" s="17">
        <f>19.2187 * CHOOSE(CONTROL!$C$15, $E$9, 100%, $G$9) + CHOOSE(CONTROL!$C$38, 0.034, 0)</f>
        <v>19.252699999999997</v>
      </c>
      <c r="H142" s="17">
        <f>19.2187 * CHOOSE(CONTROL!$C$15, $E$9, 100%, $G$9) + CHOOSE(CONTROL!$C$38, 0.034, 0)</f>
        <v>19.252699999999997</v>
      </c>
      <c r="I142" s="17">
        <f>19.2202 * CHOOSE(CONTROL!$C$15, $E$9, 100%, $G$9) + CHOOSE(CONTROL!$C$38, 0.034, 0)</f>
        <v>19.254199999999997</v>
      </c>
      <c r="J142" s="44">
        <f>125.7456</f>
        <v>125.7456</v>
      </c>
    </row>
    <row r="143" spans="1:10" ht="15" x14ac:dyDescent="0.2">
      <c r="A143" s="16">
        <v>44896</v>
      </c>
      <c r="B143" s="17">
        <f>21.6641 * CHOOSE(CONTROL!$C$15, $E$9, 100%, $G$9) + CHOOSE(CONTROL!$C$38, 0.0339, 0)</f>
        <v>21.698</v>
      </c>
      <c r="C143" s="17">
        <f>20.0491 * CHOOSE(CONTROL!$C$15, $E$9, 100%, $G$9) + CHOOSE(CONTROL!$C$38, 0.034, 0)</f>
        <v>20.083099999999998</v>
      </c>
      <c r="D143" s="17">
        <f>20.0413 * CHOOSE(CONTROL!$C$15, $E$9, 100%, $G$9) + CHOOSE(CONTROL!$C$38, 0.034, 0)</f>
        <v>20.075299999999999</v>
      </c>
      <c r="E143" s="17">
        <f>20.0413 * CHOOSE(CONTROL!$C$15, $E$9, 100%, $G$9) + CHOOSE(CONTROL!$C$38, 0.034, 0)</f>
        <v>20.075299999999999</v>
      </c>
      <c r="F143" s="45">
        <f>21.6641 * CHOOSE(CONTROL!$C$15, $E$9, 100%, $G$9) + CHOOSE(CONTROL!$C$38, 0.0339, 0)</f>
        <v>21.698</v>
      </c>
      <c r="G143" s="17">
        <f>20.0475 * CHOOSE(CONTROL!$C$15, $E$9, 100%, $G$9) + CHOOSE(CONTROL!$C$38, 0.034, 0)</f>
        <v>20.081499999999998</v>
      </c>
      <c r="H143" s="17">
        <f>20.0475 * CHOOSE(CONTROL!$C$15, $E$9, 100%, $G$9) + CHOOSE(CONTROL!$C$38, 0.034, 0)</f>
        <v>20.081499999999998</v>
      </c>
      <c r="I143" s="17">
        <f>20.0491 * CHOOSE(CONTROL!$C$15, $E$9, 100%, $G$9) + CHOOSE(CONTROL!$C$38, 0.034, 0)</f>
        <v>20.083099999999998</v>
      </c>
      <c r="J143" s="44">
        <f>122.2654</f>
        <v>122.2654</v>
      </c>
    </row>
    <row r="144" spans="1:10" ht="15" x14ac:dyDescent="0.2">
      <c r="A144" s="16">
        <v>44927</v>
      </c>
      <c r="B144" s="17">
        <f>22.9543 * CHOOSE(CONTROL!$C$15, $E$9, 100%, $G$9) + CHOOSE(CONTROL!$C$38, 0.0339, 0)</f>
        <v>22.988199999999999</v>
      </c>
      <c r="C144" s="17">
        <f>21.1928 * CHOOSE(CONTROL!$C$15, $E$9, 100%, $G$9) + CHOOSE(CONTROL!$C$38, 0.034, 0)</f>
        <v>21.226799999999997</v>
      </c>
      <c r="D144" s="17">
        <f>21.185 * CHOOSE(CONTROL!$C$15, $E$9, 100%, $G$9) + CHOOSE(CONTROL!$C$38, 0.034, 0)</f>
        <v>21.218999999999998</v>
      </c>
      <c r="E144" s="17">
        <f>21.185 * CHOOSE(CONTROL!$C$15, $E$9, 100%, $G$9) + CHOOSE(CONTROL!$C$38, 0.034, 0)</f>
        <v>21.218999999999998</v>
      </c>
      <c r="F144" s="45">
        <f>22.9543 * CHOOSE(CONTROL!$C$15, $E$9, 100%, $G$9) + CHOOSE(CONTROL!$C$38, 0.0339, 0)</f>
        <v>22.988199999999999</v>
      </c>
      <c r="G144" s="17">
        <f>21.1913 * CHOOSE(CONTROL!$C$15, $E$9, 100%, $G$9) + CHOOSE(CONTROL!$C$38, 0.034, 0)</f>
        <v>21.225299999999997</v>
      </c>
      <c r="H144" s="17">
        <f>21.1913 * CHOOSE(CONTROL!$C$15, $E$9, 100%, $G$9) + CHOOSE(CONTROL!$C$38, 0.034, 0)</f>
        <v>21.225299999999997</v>
      </c>
      <c r="I144" s="17">
        <f>21.1928 * CHOOSE(CONTROL!$C$15, $E$9, 100%, $G$9) + CHOOSE(CONTROL!$C$38, 0.034, 0)</f>
        <v>21.226799999999997</v>
      </c>
      <c r="J144" s="44">
        <f>122.6208</f>
        <v>122.6208</v>
      </c>
    </row>
    <row r="145" spans="1:10" ht="15" x14ac:dyDescent="0.2">
      <c r="A145" s="16">
        <v>44958</v>
      </c>
      <c r="B145" s="17">
        <f>23.2941 * CHOOSE(CONTROL!$C$15, $E$9, 100%, $G$9) + CHOOSE(CONTROL!$C$38, 0.0339, 0)</f>
        <v>23.327999999999999</v>
      </c>
      <c r="C145" s="17">
        <f>21.5294 * CHOOSE(CONTROL!$C$15, $E$9, 100%, $G$9) + CHOOSE(CONTROL!$C$38, 0.034, 0)</f>
        <v>21.563399999999998</v>
      </c>
      <c r="D145" s="17">
        <f>21.5216 * CHOOSE(CONTROL!$C$15, $E$9, 100%, $G$9) + CHOOSE(CONTROL!$C$38, 0.034, 0)</f>
        <v>21.555599999999998</v>
      </c>
      <c r="E145" s="17">
        <f>21.5216 * CHOOSE(CONTROL!$C$15, $E$9, 100%, $G$9) + CHOOSE(CONTROL!$C$38, 0.034, 0)</f>
        <v>21.555599999999998</v>
      </c>
      <c r="F145" s="45">
        <f>23.2941 * CHOOSE(CONTROL!$C$15, $E$9, 100%, $G$9) + CHOOSE(CONTROL!$C$38, 0.0339, 0)</f>
        <v>23.327999999999999</v>
      </c>
      <c r="G145" s="17">
        <f>21.5278 * CHOOSE(CONTROL!$C$15, $E$9, 100%, $G$9) + CHOOSE(CONTROL!$C$38, 0.034, 0)</f>
        <v>21.561799999999998</v>
      </c>
      <c r="H145" s="17">
        <f>21.5278 * CHOOSE(CONTROL!$C$15, $E$9, 100%, $G$9) + CHOOSE(CONTROL!$C$38, 0.034, 0)</f>
        <v>21.561799999999998</v>
      </c>
      <c r="I145" s="17">
        <f>21.5294 * CHOOSE(CONTROL!$C$15, $E$9, 100%, $G$9) + CHOOSE(CONTROL!$C$38, 0.034, 0)</f>
        <v>21.563399999999998</v>
      </c>
      <c r="J145" s="44">
        <f>122.5318</f>
        <v>122.5318</v>
      </c>
    </row>
    <row r="146" spans="1:10" ht="15" x14ac:dyDescent="0.2">
      <c r="A146" s="16">
        <v>44986</v>
      </c>
      <c r="B146" s="17">
        <f>22.6592 * CHOOSE(CONTROL!$C$15, $E$9, 100%, $G$9) + CHOOSE(CONTROL!$C$38, 0.0339, 0)</f>
        <v>22.693099999999998</v>
      </c>
      <c r="C146" s="17">
        <f>20.8911 * CHOOSE(CONTROL!$C$15, $E$9, 100%, $G$9) + CHOOSE(CONTROL!$C$38, 0.034, 0)</f>
        <v>20.9251</v>
      </c>
      <c r="D146" s="17">
        <f>20.8833 * CHOOSE(CONTROL!$C$15, $E$9, 100%, $G$9) + CHOOSE(CONTROL!$C$38, 0.034, 0)</f>
        <v>20.917299999999997</v>
      </c>
      <c r="E146" s="17">
        <f>20.8833 * CHOOSE(CONTROL!$C$15, $E$9, 100%, $G$9) + CHOOSE(CONTROL!$C$38, 0.034, 0)</f>
        <v>20.917299999999997</v>
      </c>
      <c r="F146" s="45">
        <f>22.6592 * CHOOSE(CONTROL!$C$15, $E$9, 100%, $G$9) + CHOOSE(CONTROL!$C$38, 0.0339, 0)</f>
        <v>22.693099999999998</v>
      </c>
      <c r="G146" s="17">
        <f>20.8896 * CHOOSE(CONTROL!$C$15, $E$9, 100%, $G$9) + CHOOSE(CONTROL!$C$38, 0.034, 0)</f>
        <v>20.9236</v>
      </c>
      <c r="H146" s="17">
        <f>20.8896 * CHOOSE(CONTROL!$C$15, $E$9, 100%, $G$9) + CHOOSE(CONTROL!$C$38, 0.034, 0)</f>
        <v>20.9236</v>
      </c>
      <c r="I146" s="17">
        <f>20.8911 * CHOOSE(CONTROL!$C$15, $E$9, 100%, $G$9) + CHOOSE(CONTROL!$C$38, 0.034, 0)</f>
        <v>20.9251</v>
      </c>
      <c r="J146" s="44">
        <f>129.2557</f>
        <v>129.25569999999999</v>
      </c>
    </row>
    <row r="147" spans="1:10" ht="15" x14ac:dyDescent="0.2">
      <c r="A147" s="16">
        <v>45017</v>
      </c>
      <c r="B147" s="17">
        <f>22.0427 * CHOOSE(CONTROL!$C$15, $E$9, 100%, $G$9) + CHOOSE(CONTROL!$C$38, 0.0339, 0)</f>
        <v>22.076599999999999</v>
      </c>
      <c r="C147" s="17">
        <f>20.2713 * CHOOSE(CONTROL!$C$15, $E$9, 100%, $G$9) + CHOOSE(CONTROL!$C$38, 0.034, 0)</f>
        <v>20.305299999999999</v>
      </c>
      <c r="D147" s="17">
        <f>20.2635 * CHOOSE(CONTROL!$C$15, $E$9, 100%, $G$9) + CHOOSE(CONTROL!$C$38, 0.034, 0)</f>
        <v>20.297499999999999</v>
      </c>
      <c r="E147" s="17">
        <f>20.2635 * CHOOSE(CONTROL!$C$15, $E$9, 100%, $G$9) + CHOOSE(CONTROL!$C$38, 0.034, 0)</f>
        <v>20.297499999999999</v>
      </c>
      <c r="F147" s="45">
        <f>22.0427 * CHOOSE(CONTROL!$C$15, $E$9, 100%, $G$9) + CHOOSE(CONTROL!$C$38, 0.0339, 0)</f>
        <v>22.076599999999999</v>
      </c>
      <c r="G147" s="17">
        <f>20.2698 * CHOOSE(CONTROL!$C$15, $E$9, 100%, $G$9) + CHOOSE(CONTROL!$C$38, 0.034, 0)</f>
        <v>20.303799999999999</v>
      </c>
      <c r="H147" s="17">
        <f>20.2698 * CHOOSE(CONTROL!$C$15, $E$9, 100%, $G$9) + CHOOSE(CONTROL!$C$38, 0.034, 0)</f>
        <v>20.303799999999999</v>
      </c>
      <c r="I147" s="17">
        <f>20.2713 * CHOOSE(CONTROL!$C$15, $E$9, 100%, $G$9) + CHOOSE(CONTROL!$C$38, 0.034, 0)</f>
        <v>20.305299999999999</v>
      </c>
      <c r="J147" s="44">
        <f>137.9311</f>
        <v>137.93109999999999</v>
      </c>
    </row>
    <row r="148" spans="1:10" ht="15" x14ac:dyDescent="0.2">
      <c r="A148" s="16">
        <v>45047</v>
      </c>
      <c r="B148" s="17">
        <f>21.3956 * CHOOSE(CONTROL!$C$15, $E$9, 100%, $G$9) + CHOOSE(CONTROL!$C$38, 0.0355, 0)</f>
        <v>21.431100000000001</v>
      </c>
      <c r="C148" s="17">
        <f>19.6209 * CHOOSE(CONTROL!$C$15, $E$9, 100%, $G$9) + CHOOSE(CONTROL!$C$38, 0.0356, 0)</f>
        <v>19.656499999999998</v>
      </c>
      <c r="D148" s="17">
        <f>19.6131 * CHOOSE(CONTROL!$C$15, $E$9, 100%, $G$9) + CHOOSE(CONTROL!$C$38, 0.0356, 0)</f>
        <v>19.648699999999998</v>
      </c>
      <c r="E148" s="17">
        <f>19.6131 * CHOOSE(CONTROL!$C$15, $E$9, 100%, $G$9) + CHOOSE(CONTROL!$C$38, 0.0356, 0)</f>
        <v>19.648699999999998</v>
      </c>
      <c r="F148" s="45">
        <f>21.3956 * CHOOSE(CONTROL!$C$15, $E$9, 100%, $G$9) + CHOOSE(CONTROL!$C$38, 0.0355, 0)</f>
        <v>21.431100000000001</v>
      </c>
      <c r="G148" s="17">
        <f>19.6193 * CHOOSE(CONTROL!$C$15, $E$9, 100%, $G$9) + CHOOSE(CONTROL!$C$38, 0.0356, 0)</f>
        <v>19.654899999999998</v>
      </c>
      <c r="H148" s="17">
        <f>19.6193 * CHOOSE(CONTROL!$C$15, $E$9, 100%, $G$9) + CHOOSE(CONTROL!$C$38, 0.0356, 0)</f>
        <v>19.654899999999998</v>
      </c>
      <c r="I148" s="17">
        <f>19.6209 * CHOOSE(CONTROL!$C$15, $E$9, 100%, $G$9) + CHOOSE(CONTROL!$C$38, 0.0356, 0)</f>
        <v>19.656499999999998</v>
      </c>
      <c r="J148" s="44">
        <f>142.8534</f>
        <v>142.85339999999999</v>
      </c>
    </row>
    <row r="149" spans="1:10" ht="15" x14ac:dyDescent="0.2">
      <c r="A149" s="16">
        <v>45078</v>
      </c>
      <c r="B149" s="17">
        <f>20.9528 * CHOOSE(CONTROL!$C$15, $E$9, 100%, $G$9) + CHOOSE(CONTROL!$C$38, 0.0355, 0)</f>
        <v>20.988299999999999</v>
      </c>
      <c r="C149" s="17">
        <f>19.1747 * CHOOSE(CONTROL!$C$15, $E$9, 100%, $G$9) + CHOOSE(CONTROL!$C$38, 0.0356, 0)</f>
        <v>19.2103</v>
      </c>
      <c r="D149" s="17">
        <f>19.1669 * CHOOSE(CONTROL!$C$15, $E$9, 100%, $G$9) + CHOOSE(CONTROL!$C$38, 0.0356, 0)</f>
        <v>19.202499999999997</v>
      </c>
      <c r="E149" s="17">
        <f>19.1669 * CHOOSE(CONTROL!$C$15, $E$9, 100%, $G$9) + CHOOSE(CONTROL!$C$38, 0.0356, 0)</f>
        <v>19.202499999999997</v>
      </c>
      <c r="F149" s="45">
        <f>20.9528 * CHOOSE(CONTROL!$C$15, $E$9, 100%, $G$9) + CHOOSE(CONTROL!$C$38, 0.0355, 0)</f>
        <v>20.988299999999999</v>
      </c>
      <c r="G149" s="17">
        <f>19.1732 * CHOOSE(CONTROL!$C$15, $E$9, 100%, $G$9) + CHOOSE(CONTROL!$C$38, 0.0356, 0)</f>
        <v>19.2088</v>
      </c>
      <c r="H149" s="17">
        <f>19.1732 * CHOOSE(CONTROL!$C$15, $E$9, 100%, $G$9) + CHOOSE(CONTROL!$C$38, 0.0356, 0)</f>
        <v>19.2088</v>
      </c>
      <c r="I149" s="17">
        <f>19.1747 * CHOOSE(CONTROL!$C$15, $E$9, 100%, $G$9) + CHOOSE(CONTROL!$C$38, 0.0356, 0)</f>
        <v>19.2103</v>
      </c>
      <c r="J149" s="44">
        <f>145.2103</f>
        <v>145.21029999999999</v>
      </c>
    </row>
    <row r="150" spans="1:10" ht="15" x14ac:dyDescent="0.2">
      <c r="A150" s="16">
        <v>45108</v>
      </c>
      <c r="B150" s="17">
        <f>20.717 * CHOOSE(CONTROL!$C$15, $E$9, 100%, $G$9) + CHOOSE(CONTROL!$C$38, 0.0355, 0)</f>
        <v>20.752499999999998</v>
      </c>
      <c r="C150" s="17">
        <f>18.9356 * CHOOSE(CONTROL!$C$15, $E$9, 100%, $G$9) + CHOOSE(CONTROL!$C$38, 0.0356, 0)</f>
        <v>18.9712</v>
      </c>
      <c r="D150" s="17">
        <f>18.9278 * CHOOSE(CONTROL!$C$15, $E$9, 100%, $G$9) + CHOOSE(CONTROL!$C$38, 0.0356, 0)</f>
        <v>18.9634</v>
      </c>
      <c r="E150" s="17">
        <f>18.9278 * CHOOSE(CONTROL!$C$15, $E$9, 100%, $G$9) + CHOOSE(CONTROL!$C$38, 0.0356, 0)</f>
        <v>18.9634</v>
      </c>
      <c r="F150" s="45">
        <f>20.717 * CHOOSE(CONTROL!$C$15, $E$9, 100%, $G$9) + CHOOSE(CONTROL!$C$38, 0.0355, 0)</f>
        <v>20.752499999999998</v>
      </c>
      <c r="G150" s="17">
        <f>18.934 * CHOOSE(CONTROL!$C$15, $E$9, 100%, $G$9) + CHOOSE(CONTROL!$C$38, 0.0356, 0)</f>
        <v>18.9696</v>
      </c>
      <c r="H150" s="17">
        <f>18.934 * CHOOSE(CONTROL!$C$15, $E$9, 100%, $G$9) + CHOOSE(CONTROL!$C$38, 0.0356, 0)</f>
        <v>18.9696</v>
      </c>
      <c r="I150" s="17">
        <f>18.9356 * CHOOSE(CONTROL!$C$15, $E$9, 100%, $G$9) + CHOOSE(CONTROL!$C$38, 0.0356, 0)</f>
        <v>18.9712</v>
      </c>
      <c r="J150" s="44">
        <f>144.8289</f>
        <v>144.8289</v>
      </c>
    </row>
    <row r="151" spans="1:10" ht="15" x14ac:dyDescent="0.2">
      <c r="A151" s="16">
        <v>45139</v>
      </c>
      <c r="B151" s="17">
        <f>20.8957 * CHOOSE(CONTROL!$C$15, $E$9, 100%, $G$9) + CHOOSE(CONTROL!$C$38, 0.0355, 0)</f>
        <v>20.9312</v>
      </c>
      <c r="C151" s="17">
        <f>19.111 * CHOOSE(CONTROL!$C$15, $E$9, 100%, $G$9) + CHOOSE(CONTROL!$C$38, 0.0356, 0)</f>
        <v>19.146599999999999</v>
      </c>
      <c r="D151" s="17">
        <f>19.1032 * CHOOSE(CONTROL!$C$15, $E$9, 100%, $G$9) + CHOOSE(CONTROL!$C$38, 0.0356, 0)</f>
        <v>19.1388</v>
      </c>
      <c r="E151" s="17">
        <f>19.1032 * CHOOSE(CONTROL!$C$15, $E$9, 100%, $G$9) + CHOOSE(CONTROL!$C$38, 0.0356, 0)</f>
        <v>19.1388</v>
      </c>
      <c r="F151" s="45">
        <f>20.8957 * CHOOSE(CONTROL!$C$15, $E$9, 100%, $G$9) + CHOOSE(CONTROL!$C$38, 0.0355, 0)</f>
        <v>20.9312</v>
      </c>
      <c r="G151" s="17">
        <f>19.1094 * CHOOSE(CONTROL!$C$15, $E$9, 100%, $G$9) + CHOOSE(CONTROL!$C$38, 0.0356, 0)</f>
        <v>19.145</v>
      </c>
      <c r="H151" s="17">
        <f>19.1094 * CHOOSE(CONTROL!$C$15, $E$9, 100%, $G$9) + CHOOSE(CONTROL!$C$38, 0.0356, 0)</f>
        <v>19.145</v>
      </c>
      <c r="I151" s="17">
        <f>19.111 * CHOOSE(CONTROL!$C$15, $E$9, 100%, $G$9) + CHOOSE(CONTROL!$C$38, 0.0356, 0)</f>
        <v>19.146599999999999</v>
      </c>
      <c r="J151" s="44">
        <f>141.7487</f>
        <v>141.74870000000001</v>
      </c>
    </row>
    <row r="152" spans="1:10" ht="15" x14ac:dyDescent="0.2">
      <c r="A152" s="16">
        <v>45170</v>
      </c>
      <c r="B152" s="17">
        <f>21.3113 * CHOOSE(CONTROL!$C$15, $E$9, 100%, $G$9) + CHOOSE(CONTROL!$C$38, 0.0355, 0)</f>
        <v>21.346799999999998</v>
      </c>
      <c r="C152" s="17">
        <f>19.5232 * CHOOSE(CONTROL!$C$15, $E$9, 100%, $G$9) + CHOOSE(CONTROL!$C$38, 0.0356, 0)</f>
        <v>19.558799999999998</v>
      </c>
      <c r="D152" s="17">
        <f>19.5154 * CHOOSE(CONTROL!$C$15, $E$9, 100%, $G$9) + CHOOSE(CONTROL!$C$38, 0.0356, 0)</f>
        <v>19.550999999999998</v>
      </c>
      <c r="E152" s="17">
        <f>19.5154 * CHOOSE(CONTROL!$C$15, $E$9, 100%, $G$9) + CHOOSE(CONTROL!$C$38, 0.0356, 0)</f>
        <v>19.550999999999998</v>
      </c>
      <c r="F152" s="45">
        <f>21.3113 * CHOOSE(CONTROL!$C$15, $E$9, 100%, $G$9) + CHOOSE(CONTROL!$C$38, 0.0355, 0)</f>
        <v>21.346799999999998</v>
      </c>
      <c r="G152" s="17">
        <f>19.5216 * CHOOSE(CONTROL!$C$15, $E$9, 100%, $G$9) + CHOOSE(CONTROL!$C$38, 0.0356, 0)</f>
        <v>19.557199999999998</v>
      </c>
      <c r="H152" s="17">
        <f>19.5216 * CHOOSE(CONTROL!$C$15, $E$9, 100%, $G$9) + CHOOSE(CONTROL!$C$38, 0.0356, 0)</f>
        <v>19.557199999999998</v>
      </c>
      <c r="I152" s="17">
        <f>19.5232 * CHOOSE(CONTROL!$C$15, $E$9, 100%, $G$9) + CHOOSE(CONTROL!$C$38, 0.0356, 0)</f>
        <v>19.558799999999998</v>
      </c>
      <c r="J152" s="44">
        <f>137.3195</f>
        <v>137.31950000000001</v>
      </c>
    </row>
    <row r="153" spans="1:10" ht="15" x14ac:dyDescent="0.2">
      <c r="A153" s="16">
        <v>45200</v>
      </c>
      <c r="B153" s="17">
        <f>21.6676 * CHOOSE(CONTROL!$C$15, $E$9, 100%, $G$9) + CHOOSE(CONTROL!$C$38, 0.0339, 0)</f>
        <v>21.701499999999999</v>
      </c>
      <c r="C153" s="17">
        <f>19.8762 * CHOOSE(CONTROL!$C$15, $E$9, 100%, $G$9) + CHOOSE(CONTROL!$C$38, 0.034, 0)</f>
        <v>19.9102</v>
      </c>
      <c r="D153" s="17">
        <f>19.8683 * CHOOSE(CONTROL!$C$15, $E$9, 100%, $G$9) + CHOOSE(CONTROL!$C$38, 0.034, 0)</f>
        <v>19.9023</v>
      </c>
      <c r="E153" s="17">
        <f>19.8683 * CHOOSE(CONTROL!$C$15, $E$9, 100%, $G$9) + CHOOSE(CONTROL!$C$38, 0.034, 0)</f>
        <v>19.9023</v>
      </c>
      <c r="F153" s="45">
        <f>21.6676 * CHOOSE(CONTROL!$C$15, $E$9, 100%, $G$9) + CHOOSE(CONTROL!$C$38, 0.0339, 0)</f>
        <v>21.701499999999999</v>
      </c>
      <c r="G153" s="17">
        <f>19.8746 * CHOOSE(CONTROL!$C$15, $E$9, 100%, $G$9) + CHOOSE(CONTROL!$C$38, 0.034, 0)</f>
        <v>19.9086</v>
      </c>
      <c r="H153" s="17">
        <f>19.8746 * CHOOSE(CONTROL!$C$15, $E$9, 100%, $G$9) + CHOOSE(CONTROL!$C$38, 0.034, 0)</f>
        <v>19.9086</v>
      </c>
      <c r="I153" s="17">
        <f>19.8762 * CHOOSE(CONTROL!$C$15, $E$9, 100%, $G$9) + CHOOSE(CONTROL!$C$38, 0.034, 0)</f>
        <v>19.9102</v>
      </c>
      <c r="J153" s="44">
        <f>132.8439</f>
        <v>132.84389999999999</v>
      </c>
    </row>
    <row r="154" spans="1:10" ht="15" x14ac:dyDescent="0.2">
      <c r="A154" s="16">
        <v>45231</v>
      </c>
      <c r="B154" s="17">
        <f>21.9733 * CHOOSE(CONTROL!$C$15, $E$9, 100%, $G$9) + CHOOSE(CONTROL!$C$38, 0.0339, 0)</f>
        <v>22.007199999999997</v>
      </c>
      <c r="C154" s="17">
        <f>20.1785 * CHOOSE(CONTROL!$C$15, $E$9, 100%, $G$9) + CHOOSE(CONTROL!$C$38, 0.034, 0)</f>
        <v>20.212499999999999</v>
      </c>
      <c r="D154" s="17">
        <f>20.1706 * CHOOSE(CONTROL!$C$15, $E$9, 100%, $G$9) + CHOOSE(CONTROL!$C$38, 0.034, 0)</f>
        <v>20.204599999999999</v>
      </c>
      <c r="E154" s="17">
        <f>20.1706 * CHOOSE(CONTROL!$C$15, $E$9, 100%, $G$9) + CHOOSE(CONTROL!$C$38, 0.034, 0)</f>
        <v>20.204599999999999</v>
      </c>
      <c r="F154" s="45">
        <f>21.9733 * CHOOSE(CONTROL!$C$15, $E$9, 100%, $G$9) + CHOOSE(CONTROL!$C$38, 0.0339, 0)</f>
        <v>22.007199999999997</v>
      </c>
      <c r="G154" s="17">
        <f>20.1769 * CHOOSE(CONTROL!$C$15, $E$9, 100%, $G$9) + CHOOSE(CONTROL!$C$38, 0.034, 0)</f>
        <v>20.210899999999999</v>
      </c>
      <c r="H154" s="17">
        <f>20.1769 * CHOOSE(CONTROL!$C$15, $E$9, 100%, $G$9) + CHOOSE(CONTROL!$C$38, 0.034, 0)</f>
        <v>20.210899999999999</v>
      </c>
      <c r="I154" s="17">
        <f>20.1785 * CHOOSE(CONTROL!$C$15, $E$9, 100%, $G$9) + CHOOSE(CONTROL!$C$38, 0.034, 0)</f>
        <v>20.212499999999999</v>
      </c>
      <c r="J154" s="44">
        <f>132.1691</f>
        <v>132.16909999999999</v>
      </c>
    </row>
    <row r="155" spans="1:10" ht="15" x14ac:dyDescent="0.2">
      <c r="A155" s="16">
        <v>45261</v>
      </c>
      <c r="B155" s="17">
        <f>22.8272 * CHOOSE(CONTROL!$C$15, $E$9, 100%, $G$9) + CHOOSE(CONTROL!$C$38, 0.0339, 0)</f>
        <v>22.8611</v>
      </c>
      <c r="C155" s="17">
        <f>21.029 * CHOOSE(CONTROL!$C$15, $E$9, 100%, $G$9) + CHOOSE(CONTROL!$C$38, 0.034, 0)</f>
        <v>21.062999999999999</v>
      </c>
      <c r="D155" s="17">
        <f>21.0212 * CHOOSE(CONTROL!$C$15, $E$9, 100%, $G$9) + CHOOSE(CONTROL!$C$38, 0.034, 0)</f>
        <v>21.055199999999999</v>
      </c>
      <c r="E155" s="17">
        <f>21.0212 * CHOOSE(CONTROL!$C$15, $E$9, 100%, $G$9) + CHOOSE(CONTROL!$C$38, 0.034, 0)</f>
        <v>21.055199999999999</v>
      </c>
      <c r="F155" s="45">
        <f>22.8272 * CHOOSE(CONTROL!$C$15, $E$9, 100%, $G$9) + CHOOSE(CONTROL!$C$38, 0.0339, 0)</f>
        <v>22.8611</v>
      </c>
      <c r="G155" s="17">
        <f>21.0274 * CHOOSE(CONTROL!$C$15, $E$9, 100%, $G$9) + CHOOSE(CONTROL!$C$38, 0.034, 0)</f>
        <v>21.061399999999999</v>
      </c>
      <c r="H155" s="17">
        <f>21.0274 * CHOOSE(CONTROL!$C$15, $E$9, 100%, $G$9) + CHOOSE(CONTROL!$C$38, 0.034, 0)</f>
        <v>21.061399999999999</v>
      </c>
      <c r="I155" s="17">
        <f>21.029 * CHOOSE(CONTROL!$C$15, $E$9, 100%, $G$9) + CHOOSE(CONTROL!$C$38, 0.034, 0)</f>
        <v>21.062999999999999</v>
      </c>
      <c r="J155" s="44">
        <f>128.5111</f>
        <v>128.5111</v>
      </c>
    </row>
    <row r="156" spans="1:10" ht="15" x14ac:dyDescent="0.2">
      <c r="A156" s="16">
        <v>45292</v>
      </c>
      <c r="B156" s="17">
        <f>24.1448 * CHOOSE(CONTROL!$C$15, $E$9, 100%, $G$9) + CHOOSE(CONTROL!$C$38, 0.0339, 0)</f>
        <v>24.178699999999999</v>
      </c>
      <c r="C156" s="17">
        <f>22.1772 * CHOOSE(CONTROL!$C$15, $E$9, 100%, $G$9) + CHOOSE(CONTROL!$C$38, 0.034, 0)</f>
        <v>22.211199999999998</v>
      </c>
      <c r="D156" s="17">
        <f>22.1694 * CHOOSE(CONTROL!$C$15, $E$9, 100%, $G$9) + CHOOSE(CONTROL!$C$38, 0.034, 0)</f>
        <v>22.203399999999998</v>
      </c>
      <c r="E156" s="17">
        <f>22.1694 * CHOOSE(CONTROL!$C$15, $E$9, 100%, $G$9) + CHOOSE(CONTROL!$C$38, 0.034, 0)</f>
        <v>22.203399999999998</v>
      </c>
      <c r="F156" s="45">
        <f>24.1448 * CHOOSE(CONTROL!$C$15, $E$9, 100%, $G$9) + CHOOSE(CONTROL!$C$38, 0.0339, 0)</f>
        <v>24.178699999999999</v>
      </c>
      <c r="G156" s="17">
        <f>22.1756 * CHOOSE(CONTROL!$C$15, $E$9, 100%, $G$9) + CHOOSE(CONTROL!$C$38, 0.034, 0)</f>
        <v>22.209599999999998</v>
      </c>
      <c r="H156" s="17">
        <f>22.1756 * CHOOSE(CONTROL!$C$15, $E$9, 100%, $G$9) + CHOOSE(CONTROL!$C$38, 0.034, 0)</f>
        <v>22.209599999999998</v>
      </c>
      <c r="I156" s="17">
        <f>22.1772 * CHOOSE(CONTROL!$C$15, $E$9, 100%, $G$9) + CHOOSE(CONTROL!$C$38, 0.034, 0)</f>
        <v>22.211199999999998</v>
      </c>
      <c r="J156" s="44">
        <f>128.8679</f>
        <v>128.86789999999999</v>
      </c>
    </row>
    <row r="157" spans="1:10" ht="15" x14ac:dyDescent="0.2">
      <c r="A157" s="16">
        <v>45323</v>
      </c>
      <c r="B157" s="17">
        <f>24.4945 * CHOOSE(CONTROL!$C$15, $E$9, 100%, $G$9) + CHOOSE(CONTROL!$C$38, 0.0339, 0)</f>
        <v>24.528399999999998</v>
      </c>
      <c r="C157" s="17">
        <f>22.5231 * CHOOSE(CONTROL!$C$15, $E$9, 100%, $G$9) + CHOOSE(CONTROL!$C$38, 0.034, 0)</f>
        <v>22.557099999999998</v>
      </c>
      <c r="D157" s="17">
        <f>22.5153 * CHOOSE(CONTROL!$C$15, $E$9, 100%, $G$9) + CHOOSE(CONTROL!$C$38, 0.034, 0)</f>
        <v>22.549299999999999</v>
      </c>
      <c r="E157" s="17">
        <f>22.5153 * CHOOSE(CONTROL!$C$15, $E$9, 100%, $G$9) + CHOOSE(CONTROL!$C$38, 0.034, 0)</f>
        <v>22.549299999999999</v>
      </c>
      <c r="F157" s="45">
        <f>24.4945 * CHOOSE(CONTROL!$C$15, $E$9, 100%, $G$9) + CHOOSE(CONTROL!$C$38, 0.0339, 0)</f>
        <v>24.528399999999998</v>
      </c>
      <c r="G157" s="17">
        <f>22.5216 * CHOOSE(CONTROL!$C$15, $E$9, 100%, $G$9) + CHOOSE(CONTROL!$C$38, 0.034, 0)</f>
        <v>22.555599999999998</v>
      </c>
      <c r="H157" s="17">
        <f>22.5216 * CHOOSE(CONTROL!$C$15, $E$9, 100%, $G$9) + CHOOSE(CONTROL!$C$38, 0.034, 0)</f>
        <v>22.555599999999998</v>
      </c>
      <c r="I157" s="17">
        <f>22.5231 * CHOOSE(CONTROL!$C$15, $E$9, 100%, $G$9) + CHOOSE(CONTROL!$C$38, 0.034, 0)</f>
        <v>22.557099999999998</v>
      </c>
      <c r="J157" s="44">
        <f>128.7744</f>
        <v>128.77440000000001</v>
      </c>
    </row>
    <row r="158" spans="1:10" ht="15" x14ac:dyDescent="0.2">
      <c r="A158" s="16">
        <v>45352</v>
      </c>
      <c r="B158" s="17">
        <f>23.845 * CHOOSE(CONTROL!$C$15, $E$9, 100%, $G$9) + CHOOSE(CONTROL!$C$38, 0.0339, 0)</f>
        <v>23.878899999999998</v>
      </c>
      <c r="C158" s="17">
        <f>21.8699 * CHOOSE(CONTROL!$C$15, $E$9, 100%, $G$9) + CHOOSE(CONTROL!$C$38, 0.034, 0)</f>
        <v>21.9039</v>
      </c>
      <c r="D158" s="17">
        <f>21.8621 * CHOOSE(CONTROL!$C$15, $E$9, 100%, $G$9) + CHOOSE(CONTROL!$C$38, 0.034, 0)</f>
        <v>21.896100000000001</v>
      </c>
      <c r="E158" s="17">
        <f>21.8621 * CHOOSE(CONTROL!$C$15, $E$9, 100%, $G$9) + CHOOSE(CONTROL!$C$38, 0.034, 0)</f>
        <v>21.896100000000001</v>
      </c>
      <c r="F158" s="45">
        <f>23.845 * CHOOSE(CONTROL!$C$15, $E$9, 100%, $G$9) + CHOOSE(CONTROL!$C$38, 0.0339, 0)</f>
        <v>23.878899999999998</v>
      </c>
      <c r="G158" s="17">
        <f>21.8683 * CHOOSE(CONTROL!$C$15, $E$9, 100%, $G$9) + CHOOSE(CONTROL!$C$38, 0.034, 0)</f>
        <v>21.9023</v>
      </c>
      <c r="H158" s="17">
        <f>21.8683 * CHOOSE(CONTROL!$C$15, $E$9, 100%, $G$9) + CHOOSE(CONTROL!$C$38, 0.034, 0)</f>
        <v>21.9023</v>
      </c>
      <c r="I158" s="17">
        <f>21.8699 * CHOOSE(CONTROL!$C$15, $E$9, 100%, $G$9) + CHOOSE(CONTROL!$C$38, 0.034, 0)</f>
        <v>21.9039</v>
      </c>
      <c r="J158" s="44">
        <f>135.8408</f>
        <v>135.8408</v>
      </c>
    </row>
    <row r="159" spans="1:10" ht="15" x14ac:dyDescent="0.2">
      <c r="A159" s="16">
        <v>45383</v>
      </c>
      <c r="B159" s="17">
        <f>23.2144 * CHOOSE(CONTROL!$C$15, $E$9, 100%, $G$9) + CHOOSE(CONTROL!$C$38, 0.0339, 0)</f>
        <v>23.2483</v>
      </c>
      <c r="C159" s="17">
        <f>21.2356 * CHOOSE(CONTROL!$C$15, $E$9, 100%, $G$9) + CHOOSE(CONTROL!$C$38, 0.034, 0)</f>
        <v>21.269600000000001</v>
      </c>
      <c r="D159" s="17">
        <f>21.2278 * CHOOSE(CONTROL!$C$15, $E$9, 100%, $G$9) + CHOOSE(CONTROL!$C$38, 0.034, 0)</f>
        <v>21.261799999999997</v>
      </c>
      <c r="E159" s="17">
        <f>21.2278 * CHOOSE(CONTROL!$C$15, $E$9, 100%, $G$9) + CHOOSE(CONTROL!$C$38, 0.034, 0)</f>
        <v>21.261799999999997</v>
      </c>
      <c r="F159" s="45">
        <f>23.2144 * CHOOSE(CONTROL!$C$15, $E$9, 100%, $G$9) + CHOOSE(CONTROL!$C$38, 0.0339, 0)</f>
        <v>23.2483</v>
      </c>
      <c r="G159" s="17">
        <f>21.234 * CHOOSE(CONTROL!$C$15, $E$9, 100%, $G$9) + CHOOSE(CONTROL!$C$38, 0.034, 0)</f>
        <v>21.268000000000001</v>
      </c>
      <c r="H159" s="17">
        <f>21.234 * CHOOSE(CONTROL!$C$15, $E$9, 100%, $G$9) + CHOOSE(CONTROL!$C$38, 0.034, 0)</f>
        <v>21.268000000000001</v>
      </c>
      <c r="I159" s="17">
        <f>21.2356 * CHOOSE(CONTROL!$C$15, $E$9, 100%, $G$9) + CHOOSE(CONTROL!$C$38, 0.034, 0)</f>
        <v>21.269600000000001</v>
      </c>
      <c r="J159" s="44">
        <f>144.9582</f>
        <v>144.95820000000001</v>
      </c>
    </row>
    <row r="160" spans="1:10" ht="15" x14ac:dyDescent="0.2">
      <c r="A160" s="16">
        <v>45413</v>
      </c>
      <c r="B160" s="17">
        <f>22.5524 * CHOOSE(CONTROL!$C$15, $E$9, 100%, $G$9) + CHOOSE(CONTROL!$C$38, 0.0355, 0)</f>
        <v>22.587899999999998</v>
      </c>
      <c r="C160" s="17">
        <f>20.5698 * CHOOSE(CONTROL!$C$15, $E$9, 100%, $G$9) + CHOOSE(CONTROL!$C$38, 0.0356, 0)</f>
        <v>20.605399999999999</v>
      </c>
      <c r="D160" s="17">
        <f>20.562 * CHOOSE(CONTROL!$C$15, $E$9, 100%, $G$9) + CHOOSE(CONTROL!$C$38, 0.0356, 0)</f>
        <v>20.5976</v>
      </c>
      <c r="E160" s="17">
        <f>20.562 * CHOOSE(CONTROL!$C$15, $E$9, 100%, $G$9) + CHOOSE(CONTROL!$C$38, 0.0356, 0)</f>
        <v>20.5976</v>
      </c>
      <c r="F160" s="45">
        <f>22.5524 * CHOOSE(CONTROL!$C$15, $E$9, 100%, $G$9) + CHOOSE(CONTROL!$C$38, 0.0355, 0)</f>
        <v>22.587899999999998</v>
      </c>
      <c r="G160" s="17">
        <f>20.5683 * CHOOSE(CONTROL!$C$15, $E$9, 100%, $G$9) + CHOOSE(CONTROL!$C$38, 0.0356, 0)</f>
        <v>20.603899999999999</v>
      </c>
      <c r="H160" s="17">
        <f>20.5683 * CHOOSE(CONTROL!$C$15, $E$9, 100%, $G$9) + CHOOSE(CONTROL!$C$38, 0.0356, 0)</f>
        <v>20.603899999999999</v>
      </c>
      <c r="I160" s="17">
        <f>20.5698 * CHOOSE(CONTROL!$C$15, $E$9, 100%, $G$9) + CHOOSE(CONTROL!$C$38, 0.0356, 0)</f>
        <v>20.605399999999999</v>
      </c>
      <c r="J160" s="44">
        <f>150.1314</f>
        <v>150.13140000000001</v>
      </c>
    </row>
    <row r="161" spans="1:10" ht="15" x14ac:dyDescent="0.2">
      <c r="A161" s="16">
        <v>45444</v>
      </c>
      <c r="B161" s="17">
        <f>22.0998 * CHOOSE(CONTROL!$C$15, $E$9, 100%, $G$9) + CHOOSE(CONTROL!$C$38, 0.0355, 0)</f>
        <v>22.135299999999997</v>
      </c>
      <c r="C161" s="17">
        <f>20.1135 * CHOOSE(CONTROL!$C$15, $E$9, 100%, $G$9) + CHOOSE(CONTROL!$C$38, 0.0356, 0)</f>
        <v>20.149099999999997</v>
      </c>
      <c r="D161" s="17">
        <f>20.1057 * CHOOSE(CONTROL!$C$15, $E$9, 100%, $G$9) + CHOOSE(CONTROL!$C$38, 0.0356, 0)</f>
        <v>20.141299999999998</v>
      </c>
      <c r="E161" s="17">
        <f>20.1057 * CHOOSE(CONTROL!$C$15, $E$9, 100%, $G$9) + CHOOSE(CONTROL!$C$38, 0.0356, 0)</f>
        <v>20.141299999999998</v>
      </c>
      <c r="F161" s="45">
        <f>22.0998 * CHOOSE(CONTROL!$C$15, $E$9, 100%, $G$9) + CHOOSE(CONTROL!$C$38, 0.0355, 0)</f>
        <v>22.135299999999997</v>
      </c>
      <c r="G161" s="17">
        <f>20.1119 * CHOOSE(CONTROL!$C$15, $E$9, 100%, $G$9) + CHOOSE(CONTROL!$C$38, 0.0356, 0)</f>
        <v>20.147499999999997</v>
      </c>
      <c r="H161" s="17">
        <f>20.1119 * CHOOSE(CONTROL!$C$15, $E$9, 100%, $G$9) + CHOOSE(CONTROL!$C$38, 0.0356, 0)</f>
        <v>20.147499999999997</v>
      </c>
      <c r="I161" s="17">
        <f>20.1135 * CHOOSE(CONTROL!$C$15, $E$9, 100%, $G$9) + CHOOSE(CONTROL!$C$38, 0.0356, 0)</f>
        <v>20.149099999999997</v>
      </c>
      <c r="J161" s="44">
        <f>152.6083</f>
        <v>152.60830000000001</v>
      </c>
    </row>
    <row r="162" spans="1:10" ht="15" x14ac:dyDescent="0.2">
      <c r="A162" s="16">
        <v>45474</v>
      </c>
      <c r="B162" s="17">
        <f>21.8594 * CHOOSE(CONTROL!$C$15, $E$9, 100%, $G$9) + CHOOSE(CONTROL!$C$38, 0.0355, 0)</f>
        <v>21.8949</v>
      </c>
      <c r="C162" s="17">
        <f>19.8693 * CHOOSE(CONTROL!$C$15, $E$9, 100%, $G$9) + CHOOSE(CONTROL!$C$38, 0.0356, 0)</f>
        <v>19.904899999999998</v>
      </c>
      <c r="D162" s="17">
        <f>19.8615 * CHOOSE(CONTROL!$C$15, $E$9, 100%, $G$9) + CHOOSE(CONTROL!$C$38, 0.0356, 0)</f>
        <v>19.897099999999998</v>
      </c>
      <c r="E162" s="17">
        <f>19.8615 * CHOOSE(CONTROL!$C$15, $E$9, 100%, $G$9) + CHOOSE(CONTROL!$C$38, 0.0356, 0)</f>
        <v>19.897099999999998</v>
      </c>
      <c r="F162" s="45">
        <f>21.8594 * CHOOSE(CONTROL!$C$15, $E$9, 100%, $G$9) + CHOOSE(CONTROL!$C$38, 0.0355, 0)</f>
        <v>21.8949</v>
      </c>
      <c r="G162" s="17">
        <f>19.8678 * CHOOSE(CONTROL!$C$15, $E$9, 100%, $G$9) + CHOOSE(CONTROL!$C$38, 0.0356, 0)</f>
        <v>19.903399999999998</v>
      </c>
      <c r="H162" s="17">
        <f>19.8678 * CHOOSE(CONTROL!$C$15, $E$9, 100%, $G$9) + CHOOSE(CONTROL!$C$38, 0.0356, 0)</f>
        <v>19.903399999999998</v>
      </c>
      <c r="I162" s="17">
        <f>19.8693 * CHOOSE(CONTROL!$C$15, $E$9, 100%, $G$9) + CHOOSE(CONTROL!$C$38, 0.0356, 0)</f>
        <v>19.904899999999998</v>
      </c>
      <c r="J162" s="44">
        <f>152.2075</f>
        <v>152.20750000000001</v>
      </c>
    </row>
    <row r="163" spans="1:10" ht="15" x14ac:dyDescent="0.2">
      <c r="A163" s="16">
        <v>45505</v>
      </c>
      <c r="B163" s="17">
        <f>22.0439 * CHOOSE(CONTROL!$C$15, $E$9, 100%, $G$9) + CHOOSE(CONTROL!$C$38, 0.0355, 0)</f>
        <v>22.0794</v>
      </c>
      <c r="C163" s="17">
        <f>20.0501 * CHOOSE(CONTROL!$C$15, $E$9, 100%, $G$9) + CHOOSE(CONTROL!$C$38, 0.0356, 0)</f>
        <v>20.085699999999999</v>
      </c>
      <c r="D163" s="17">
        <f>20.0423 * CHOOSE(CONTROL!$C$15, $E$9, 100%, $G$9) + CHOOSE(CONTROL!$C$38, 0.0356, 0)</f>
        <v>20.0779</v>
      </c>
      <c r="E163" s="17">
        <f>20.0423 * CHOOSE(CONTROL!$C$15, $E$9, 100%, $G$9) + CHOOSE(CONTROL!$C$38, 0.0356, 0)</f>
        <v>20.0779</v>
      </c>
      <c r="F163" s="45">
        <f>22.0439 * CHOOSE(CONTROL!$C$15, $E$9, 100%, $G$9) + CHOOSE(CONTROL!$C$38, 0.0355, 0)</f>
        <v>22.0794</v>
      </c>
      <c r="G163" s="17">
        <f>20.0485 * CHOOSE(CONTROL!$C$15, $E$9, 100%, $G$9) + CHOOSE(CONTROL!$C$38, 0.0356, 0)</f>
        <v>20.084099999999999</v>
      </c>
      <c r="H163" s="17">
        <f>20.0485 * CHOOSE(CONTROL!$C$15, $E$9, 100%, $G$9) + CHOOSE(CONTROL!$C$38, 0.0356, 0)</f>
        <v>20.084099999999999</v>
      </c>
      <c r="I163" s="17">
        <f>20.0501 * CHOOSE(CONTROL!$C$15, $E$9, 100%, $G$9) + CHOOSE(CONTROL!$C$38, 0.0356, 0)</f>
        <v>20.085699999999999</v>
      </c>
      <c r="J163" s="44">
        <f>148.9704</f>
        <v>148.97040000000001</v>
      </c>
    </row>
    <row r="164" spans="1:10" ht="15" x14ac:dyDescent="0.2">
      <c r="A164" s="16">
        <v>45536</v>
      </c>
      <c r="B164" s="17">
        <f>22.4712 * CHOOSE(CONTROL!$C$15, $E$9, 100%, $G$9) + CHOOSE(CONTROL!$C$38, 0.0355, 0)</f>
        <v>22.506699999999999</v>
      </c>
      <c r="C164" s="17">
        <f>20.4736 * CHOOSE(CONTROL!$C$15, $E$9, 100%, $G$9) + CHOOSE(CONTROL!$C$38, 0.0356, 0)</f>
        <v>20.5092</v>
      </c>
      <c r="D164" s="17">
        <f>20.4657 * CHOOSE(CONTROL!$C$15, $E$9, 100%, $G$9) + CHOOSE(CONTROL!$C$38, 0.0356, 0)</f>
        <v>20.501299999999997</v>
      </c>
      <c r="E164" s="17">
        <f>20.4657 * CHOOSE(CONTROL!$C$15, $E$9, 100%, $G$9) + CHOOSE(CONTROL!$C$38, 0.0356, 0)</f>
        <v>20.501299999999997</v>
      </c>
      <c r="F164" s="45">
        <f>22.4712 * CHOOSE(CONTROL!$C$15, $E$9, 100%, $G$9) + CHOOSE(CONTROL!$C$38, 0.0355, 0)</f>
        <v>22.506699999999999</v>
      </c>
      <c r="G164" s="17">
        <f>20.472 * CHOOSE(CONTROL!$C$15, $E$9, 100%, $G$9) + CHOOSE(CONTROL!$C$38, 0.0356, 0)</f>
        <v>20.5076</v>
      </c>
      <c r="H164" s="17">
        <f>20.472 * CHOOSE(CONTROL!$C$15, $E$9, 100%, $G$9) + CHOOSE(CONTROL!$C$38, 0.0356, 0)</f>
        <v>20.5076</v>
      </c>
      <c r="I164" s="17">
        <f>20.4736 * CHOOSE(CONTROL!$C$15, $E$9, 100%, $G$9) + CHOOSE(CONTROL!$C$38, 0.0356, 0)</f>
        <v>20.5092</v>
      </c>
      <c r="J164" s="44">
        <f>144.3155</f>
        <v>144.31549999999999</v>
      </c>
    </row>
    <row r="165" spans="1:10" ht="15" x14ac:dyDescent="0.2">
      <c r="A165" s="16">
        <v>45566</v>
      </c>
      <c r="B165" s="17">
        <f>22.8378 * CHOOSE(CONTROL!$C$15, $E$9, 100%, $G$9) + CHOOSE(CONTROL!$C$38, 0.0339, 0)</f>
        <v>22.871700000000001</v>
      </c>
      <c r="C165" s="17">
        <f>20.8363 * CHOOSE(CONTROL!$C$15, $E$9, 100%, $G$9) + CHOOSE(CONTROL!$C$38, 0.034, 0)</f>
        <v>20.8703</v>
      </c>
      <c r="D165" s="17">
        <f>20.8285 * CHOOSE(CONTROL!$C$15, $E$9, 100%, $G$9) + CHOOSE(CONTROL!$C$38, 0.034, 0)</f>
        <v>20.862499999999997</v>
      </c>
      <c r="E165" s="17">
        <f>20.8285 * CHOOSE(CONTROL!$C$15, $E$9, 100%, $G$9) + CHOOSE(CONTROL!$C$38, 0.034, 0)</f>
        <v>20.862499999999997</v>
      </c>
      <c r="F165" s="45">
        <f>22.8378 * CHOOSE(CONTROL!$C$15, $E$9, 100%, $G$9) + CHOOSE(CONTROL!$C$38, 0.0339, 0)</f>
        <v>22.871700000000001</v>
      </c>
      <c r="G165" s="17">
        <f>20.8348 * CHOOSE(CONTROL!$C$15, $E$9, 100%, $G$9) + CHOOSE(CONTROL!$C$38, 0.034, 0)</f>
        <v>20.8688</v>
      </c>
      <c r="H165" s="17">
        <f>20.8348 * CHOOSE(CONTROL!$C$15, $E$9, 100%, $G$9) + CHOOSE(CONTROL!$C$38, 0.034, 0)</f>
        <v>20.8688</v>
      </c>
      <c r="I165" s="17">
        <f>20.8363 * CHOOSE(CONTROL!$C$15, $E$9, 100%, $G$9) + CHOOSE(CONTROL!$C$38, 0.034, 0)</f>
        <v>20.8703</v>
      </c>
      <c r="J165" s="44">
        <f>139.6119</f>
        <v>139.61189999999999</v>
      </c>
    </row>
    <row r="166" spans="1:10" ht="15" x14ac:dyDescent="0.2">
      <c r="A166" s="16">
        <v>45597</v>
      </c>
      <c r="B166" s="17">
        <f>23.1524 * CHOOSE(CONTROL!$C$15, $E$9, 100%, $G$9) + CHOOSE(CONTROL!$C$38, 0.0339, 0)</f>
        <v>23.186299999999999</v>
      </c>
      <c r="C166" s="17">
        <f>21.1472 * CHOOSE(CONTROL!$C$15, $E$9, 100%, $G$9) + CHOOSE(CONTROL!$C$38, 0.034, 0)</f>
        <v>21.1812</v>
      </c>
      <c r="D166" s="17">
        <f>21.1394 * CHOOSE(CONTROL!$C$15, $E$9, 100%, $G$9) + CHOOSE(CONTROL!$C$38, 0.034, 0)</f>
        <v>21.173399999999997</v>
      </c>
      <c r="E166" s="17">
        <f>21.1394 * CHOOSE(CONTROL!$C$15, $E$9, 100%, $G$9) + CHOOSE(CONTROL!$C$38, 0.034, 0)</f>
        <v>21.173399999999997</v>
      </c>
      <c r="F166" s="45">
        <f>23.1524 * CHOOSE(CONTROL!$C$15, $E$9, 100%, $G$9) + CHOOSE(CONTROL!$C$38, 0.0339, 0)</f>
        <v>23.186299999999999</v>
      </c>
      <c r="G166" s="17">
        <f>21.1456 * CHOOSE(CONTROL!$C$15, $E$9, 100%, $G$9) + CHOOSE(CONTROL!$C$38, 0.034, 0)</f>
        <v>21.179600000000001</v>
      </c>
      <c r="H166" s="17">
        <f>21.1456 * CHOOSE(CONTROL!$C$15, $E$9, 100%, $G$9) + CHOOSE(CONTROL!$C$38, 0.034, 0)</f>
        <v>21.179600000000001</v>
      </c>
      <c r="I166" s="17">
        <f>21.1472 * CHOOSE(CONTROL!$C$15, $E$9, 100%, $G$9) + CHOOSE(CONTROL!$C$38, 0.034, 0)</f>
        <v>21.1812</v>
      </c>
      <c r="J166" s="44">
        <f>138.9027</f>
        <v>138.90270000000001</v>
      </c>
    </row>
    <row r="167" spans="1:10" ht="15" x14ac:dyDescent="0.2">
      <c r="A167" s="16">
        <v>45627</v>
      </c>
      <c r="B167" s="17">
        <f>24.029 * CHOOSE(CONTROL!$C$15, $E$9, 100%, $G$9) + CHOOSE(CONTROL!$C$38, 0.0339, 0)</f>
        <v>24.062899999999999</v>
      </c>
      <c r="C167" s="17">
        <f>22.02 * CHOOSE(CONTROL!$C$15, $E$9, 100%, $G$9) + CHOOSE(CONTROL!$C$38, 0.034, 0)</f>
        <v>22.053999999999998</v>
      </c>
      <c r="D167" s="17">
        <f>22.0121 * CHOOSE(CONTROL!$C$15, $E$9, 100%, $G$9) + CHOOSE(CONTROL!$C$38, 0.034, 0)</f>
        <v>22.046099999999999</v>
      </c>
      <c r="E167" s="17">
        <f>22.0121 * CHOOSE(CONTROL!$C$15, $E$9, 100%, $G$9) + CHOOSE(CONTROL!$C$38, 0.034, 0)</f>
        <v>22.046099999999999</v>
      </c>
      <c r="F167" s="45">
        <f>24.029 * CHOOSE(CONTROL!$C$15, $E$9, 100%, $G$9) + CHOOSE(CONTROL!$C$38, 0.0339, 0)</f>
        <v>24.062899999999999</v>
      </c>
      <c r="G167" s="17">
        <f>22.0184 * CHOOSE(CONTROL!$C$15, $E$9, 100%, $G$9) + CHOOSE(CONTROL!$C$38, 0.034, 0)</f>
        <v>22.052399999999999</v>
      </c>
      <c r="H167" s="17">
        <f>22.0184 * CHOOSE(CONTROL!$C$15, $E$9, 100%, $G$9) + CHOOSE(CONTROL!$C$38, 0.034, 0)</f>
        <v>22.052399999999999</v>
      </c>
      <c r="I167" s="17">
        <f>22.02 * CHOOSE(CONTROL!$C$15, $E$9, 100%, $G$9) + CHOOSE(CONTROL!$C$38, 0.034, 0)</f>
        <v>22.053999999999998</v>
      </c>
      <c r="J167" s="44">
        <f>135.0583</f>
        <v>135.0583</v>
      </c>
    </row>
    <row r="168" spans="1:10" ht="15" x14ac:dyDescent="0.2">
      <c r="A168" s="16">
        <v>45658</v>
      </c>
      <c r="B168" s="17">
        <f>25.3427 * CHOOSE(CONTROL!$C$15, $E$9, 100%, $G$9) + CHOOSE(CONTROL!$C$38, 0.0339, 0)</f>
        <v>25.3766</v>
      </c>
      <c r="C168" s="17">
        <f>23.1747 * CHOOSE(CONTROL!$C$15, $E$9, 100%, $G$9) + CHOOSE(CONTROL!$C$38, 0.034, 0)</f>
        <v>23.2087</v>
      </c>
      <c r="D168" s="17">
        <f>23.1669 * CHOOSE(CONTROL!$C$15, $E$9, 100%, $G$9) + CHOOSE(CONTROL!$C$38, 0.034, 0)</f>
        <v>23.200899999999997</v>
      </c>
      <c r="E168" s="17">
        <f>23.1669 * CHOOSE(CONTROL!$C$15, $E$9, 100%, $G$9) + CHOOSE(CONTROL!$C$38, 0.034, 0)</f>
        <v>23.200899999999997</v>
      </c>
      <c r="F168" s="45">
        <f>25.3427 * CHOOSE(CONTROL!$C$15, $E$9, 100%, $G$9) + CHOOSE(CONTROL!$C$38, 0.0339, 0)</f>
        <v>25.3766</v>
      </c>
      <c r="G168" s="17">
        <f>23.1732 * CHOOSE(CONTROL!$C$15, $E$9, 100%, $G$9) + CHOOSE(CONTROL!$C$38, 0.034, 0)</f>
        <v>23.2072</v>
      </c>
      <c r="H168" s="17">
        <f>23.1732 * CHOOSE(CONTROL!$C$15, $E$9, 100%, $G$9) + CHOOSE(CONTROL!$C$38, 0.034, 0)</f>
        <v>23.2072</v>
      </c>
      <c r="I168" s="17">
        <f>23.1747 * CHOOSE(CONTROL!$C$15, $E$9, 100%, $G$9) + CHOOSE(CONTROL!$C$38, 0.034, 0)</f>
        <v>23.2087</v>
      </c>
      <c r="J168" s="44">
        <f>135.4278</f>
        <v>135.42779999999999</v>
      </c>
    </row>
    <row r="169" spans="1:10" ht="15" x14ac:dyDescent="0.2">
      <c r="A169" s="16">
        <v>45689</v>
      </c>
      <c r="B169" s="17">
        <f>25.7023 * CHOOSE(CONTROL!$C$15, $E$9, 100%, $G$9) + CHOOSE(CONTROL!$C$38, 0.0339, 0)</f>
        <v>25.7362</v>
      </c>
      <c r="C169" s="17">
        <f>23.5303 * CHOOSE(CONTROL!$C$15, $E$9, 100%, $G$9) + CHOOSE(CONTROL!$C$38, 0.034, 0)</f>
        <v>23.564299999999999</v>
      </c>
      <c r="D169" s="17">
        <f>23.5224 * CHOOSE(CONTROL!$C$15, $E$9, 100%, $G$9) + CHOOSE(CONTROL!$C$38, 0.034, 0)</f>
        <v>23.5564</v>
      </c>
      <c r="E169" s="17">
        <f>23.5224 * CHOOSE(CONTROL!$C$15, $E$9, 100%, $G$9) + CHOOSE(CONTROL!$C$38, 0.034, 0)</f>
        <v>23.5564</v>
      </c>
      <c r="F169" s="45">
        <f>25.7023 * CHOOSE(CONTROL!$C$15, $E$9, 100%, $G$9) + CHOOSE(CONTROL!$C$38, 0.0339, 0)</f>
        <v>25.7362</v>
      </c>
      <c r="G169" s="17">
        <f>23.5287 * CHOOSE(CONTROL!$C$15, $E$9, 100%, $G$9) + CHOOSE(CONTROL!$C$38, 0.034, 0)</f>
        <v>23.5627</v>
      </c>
      <c r="H169" s="17">
        <f>23.5287 * CHOOSE(CONTROL!$C$15, $E$9, 100%, $G$9) + CHOOSE(CONTROL!$C$38, 0.034, 0)</f>
        <v>23.5627</v>
      </c>
      <c r="I169" s="17">
        <f>23.5303 * CHOOSE(CONTROL!$C$15, $E$9, 100%, $G$9) + CHOOSE(CONTROL!$C$38, 0.034, 0)</f>
        <v>23.564299999999999</v>
      </c>
      <c r="J169" s="44">
        <f>135.3295</f>
        <v>135.3295</v>
      </c>
    </row>
    <row r="170" spans="1:10" ht="15" x14ac:dyDescent="0.2">
      <c r="A170" s="16">
        <v>45717</v>
      </c>
      <c r="B170" s="17">
        <f>25.0379 * CHOOSE(CONTROL!$C$15, $E$9, 100%, $G$9) + CHOOSE(CONTROL!$C$38, 0.0339, 0)</f>
        <v>25.0718</v>
      </c>
      <c r="C170" s="17">
        <f>22.8616 * CHOOSE(CONTROL!$C$15, $E$9, 100%, $G$9) + CHOOSE(CONTROL!$C$38, 0.034, 0)</f>
        <v>22.895599999999998</v>
      </c>
      <c r="D170" s="17">
        <f>22.8538 * CHOOSE(CONTROL!$C$15, $E$9, 100%, $G$9) + CHOOSE(CONTROL!$C$38, 0.034, 0)</f>
        <v>22.887799999999999</v>
      </c>
      <c r="E170" s="17">
        <f>22.8538 * CHOOSE(CONTROL!$C$15, $E$9, 100%, $G$9) + CHOOSE(CONTROL!$C$38, 0.034, 0)</f>
        <v>22.887799999999999</v>
      </c>
      <c r="F170" s="45">
        <f>25.0379 * CHOOSE(CONTROL!$C$15, $E$9, 100%, $G$9) + CHOOSE(CONTROL!$C$38, 0.0339, 0)</f>
        <v>25.0718</v>
      </c>
      <c r="G170" s="17">
        <f>22.8601 * CHOOSE(CONTROL!$C$15, $E$9, 100%, $G$9) + CHOOSE(CONTROL!$C$38, 0.034, 0)</f>
        <v>22.894099999999998</v>
      </c>
      <c r="H170" s="17">
        <f>22.8601 * CHOOSE(CONTROL!$C$15, $E$9, 100%, $G$9) + CHOOSE(CONTROL!$C$38, 0.034, 0)</f>
        <v>22.894099999999998</v>
      </c>
      <c r="I170" s="17">
        <f>22.8616 * CHOOSE(CONTROL!$C$15, $E$9, 100%, $G$9) + CHOOSE(CONTROL!$C$38, 0.034, 0)</f>
        <v>22.895599999999998</v>
      </c>
      <c r="J170" s="44">
        <f>142.7556</f>
        <v>142.75559999999999</v>
      </c>
    </row>
    <row r="171" spans="1:10" ht="15" x14ac:dyDescent="0.2">
      <c r="A171" s="16">
        <v>45748</v>
      </c>
      <c r="B171" s="17">
        <f>24.3928 * CHOOSE(CONTROL!$C$15, $E$9, 100%, $G$9) + CHOOSE(CONTROL!$C$38, 0.0339, 0)</f>
        <v>24.4267</v>
      </c>
      <c r="C171" s="17">
        <f>22.2124 * CHOOSE(CONTROL!$C$15, $E$9, 100%, $G$9) + CHOOSE(CONTROL!$C$38, 0.034, 0)</f>
        <v>22.246399999999998</v>
      </c>
      <c r="D171" s="17">
        <f>22.2046 * CHOOSE(CONTROL!$C$15, $E$9, 100%, $G$9) + CHOOSE(CONTROL!$C$38, 0.034, 0)</f>
        <v>22.238599999999998</v>
      </c>
      <c r="E171" s="17">
        <f>22.2046 * CHOOSE(CONTROL!$C$15, $E$9, 100%, $G$9) + CHOOSE(CONTROL!$C$38, 0.034, 0)</f>
        <v>22.238599999999998</v>
      </c>
      <c r="F171" s="45">
        <f>24.3928 * CHOOSE(CONTROL!$C$15, $E$9, 100%, $G$9) + CHOOSE(CONTROL!$C$38, 0.0339, 0)</f>
        <v>24.4267</v>
      </c>
      <c r="G171" s="17">
        <f>22.2108 * CHOOSE(CONTROL!$C$15, $E$9, 100%, $G$9) + CHOOSE(CONTROL!$C$38, 0.034, 0)</f>
        <v>22.244799999999998</v>
      </c>
      <c r="H171" s="17">
        <f>22.2108 * CHOOSE(CONTROL!$C$15, $E$9, 100%, $G$9) + CHOOSE(CONTROL!$C$38, 0.034, 0)</f>
        <v>22.244799999999998</v>
      </c>
      <c r="I171" s="17">
        <f>22.2124 * CHOOSE(CONTROL!$C$15, $E$9, 100%, $G$9) + CHOOSE(CONTROL!$C$38, 0.034, 0)</f>
        <v>22.246399999999998</v>
      </c>
      <c r="J171" s="44">
        <f>152.3372</f>
        <v>152.3372</v>
      </c>
    </row>
    <row r="172" spans="1:10" ht="15" x14ac:dyDescent="0.2">
      <c r="A172" s="16">
        <v>45778</v>
      </c>
      <c r="B172" s="17">
        <f>23.7155 * CHOOSE(CONTROL!$C$15, $E$9, 100%, $G$9) + CHOOSE(CONTROL!$C$38, 0.0355, 0)</f>
        <v>23.750999999999998</v>
      </c>
      <c r="C172" s="17">
        <f>21.5309 * CHOOSE(CONTROL!$C$15, $E$9, 100%, $G$9) + CHOOSE(CONTROL!$C$38, 0.0356, 0)</f>
        <v>21.566499999999998</v>
      </c>
      <c r="D172" s="17">
        <f>21.5231 * CHOOSE(CONTROL!$C$15, $E$9, 100%, $G$9) + CHOOSE(CONTROL!$C$38, 0.0356, 0)</f>
        <v>21.558699999999998</v>
      </c>
      <c r="E172" s="17">
        <f>21.5231 * CHOOSE(CONTROL!$C$15, $E$9, 100%, $G$9) + CHOOSE(CONTROL!$C$38, 0.0356, 0)</f>
        <v>21.558699999999998</v>
      </c>
      <c r="F172" s="45">
        <f>23.7155 * CHOOSE(CONTROL!$C$15, $E$9, 100%, $G$9) + CHOOSE(CONTROL!$C$38, 0.0355, 0)</f>
        <v>23.750999999999998</v>
      </c>
      <c r="G172" s="17">
        <f>21.5294 * CHOOSE(CONTROL!$C$15, $E$9, 100%, $G$9) + CHOOSE(CONTROL!$C$38, 0.0356, 0)</f>
        <v>21.564999999999998</v>
      </c>
      <c r="H172" s="17">
        <f>21.5294 * CHOOSE(CONTROL!$C$15, $E$9, 100%, $G$9) + CHOOSE(CONTROL!$C$38, 0.0356, 0)</f>
        <v>21.564999999999998</v>
      </c>
      <c r="I172" s="17">
        <f>21.5309 * CHOOSE(CONTROL!$C$15, $E$9, 100%, $G$9) + CHOOSE(CONTROL!$C$38, 0.0356, 0)</f>
        <v>21.566499999999998</v>
      </c>
      <c r="J172" s="44">
        <f>157.7736</f>
        <v>157.77359999999999</v>
      </c>
    </row>
    <row r="173" spans="1:10" ht="15" x14ac:dyDescent="0.2">
      <c r="A173" s="16">
        <v>45809</v>
      </c>
      <c r="B173" s="17">
        <f>23.2529 * CHOOSE(CONTROL!$C$15, $E$9, 100%, $G$9) + CHOOSE(CONTROL!$C$38, 0.0355, 0)</f>
        <v>23.288399999999999</v>
      </c>
      <c r="C173" s="17">
        <f>21.0641 * CHOOSE(CONTROL!$C$15, $E$9, 100%, $G$9) + CHOOSE(CONTROL!$C$38, 0.0356, 0)</f>
        <v>21.099699999999999</v>
      </c>
      <c r="D173" s="17">
        <f>21.0563 * CHOOSE(CONTROL!$C$15, $E$9, 100%, $G$9) + CHOOSE(CONTROL!$C$38, 0.0356, 0)</f>
        <v>21.091899999999999</v>
      </c>
      <c r="E173" s="17">
        <f>21.0563 * CHOOSE(CONTROL!$C$15, $E$9, 100%, $G$9) + CHOOSE(CONTROL!$C$38, 0.0356, 0)</f>
        <v>21.091899999999999</v>
      </c>
      <c r="F173" s="45">
        <f>23.2529 * CHOOSE(CONTROL!$C$15, $E$9, 100%, $G$9) + CHOOSE(CONTROL!$C$38, 0.0355, 0)</f>
        <v>23.288399999999999</v>
      </c>
      <c r="G173" s="17">
        <f>21.0626 * CHOOSE(CONTROL!$C$15, $E$9, 100%, $G$9) + CHOOSE(CONTROL!$C$38, 0.0356, 0)</f>
        <v>21.098199999999999</v>
      </c>
      <c r="H173" s="17">
        <f>21.0626 * CHOOSE(CONTROL!$C$15, $E$9, 100%, $G$9) + CHOOSE(CONTROL!$C$38, 0.0356, 0)</f>
        <v>21.098199999999999</v>
      </c>
      <c r="I173" s="17">
        <f>21.0641 * CHOOSE(CONTROL!$C$15, $E$9, 100%, $G$9) + CHOOSE(CONTROL!$C$38, 0.0356, 0)</f>
        <v>21.099699999999999</v>
      </c>
      <c r="J173" s="44">
        <f>160.3767</f>
        <v>160.3767</v>
      </c>
    </row>
    <row r="174" spans="1:10" ht="15" x14ac:dyDescent="0.2">
      <c r="A174" s="16">
        <v>45839</v>
      </c>
      <c r="B174" s="17">
        <f>23.0077 * CHOOSE(CONTROL!$C$15, $E$9, 100%, $G$9) + CHOOSE(CONTROL!$C$38, 0.0355, 0)</f>
        <v>23.043199999999999</v>
      </c>
      <c r="C174" s="17">
        <f>20.8148 * CHOOSE(CONTROL!$C$15, $E$9, 100%, $G$9) + CHOOSE(CONTROL!$C$38, 0.0356, 0)</f>
        <v>20.8504</v>
      </c>
      <c r="D174" s="17">
        <f>20.807 * CHOOSE(CONTROL!$C$15, $E$9, 100%, $G$9) + CHOOSE(CONTROL!$C$38, 0.0356, 0)</f>
        <v>20.842599999999997</v>
      </c>
      <c r="E174" s="17">
        <f>20.807 * CHOOSE(CONTROL!$C$15, $E$9, 100%, $G$9) + CHOOSE(CONTROL!$C$38, 0.0356, 0)</f>
        <v>20.842599999999997</v>
      </c>
      <c r="F174" s="45">
        <f>23.0077 * CHOOSE(CONTROL!$C$15, $E$9, 100%, $G$9) + CHOOSE(CONTROL!$C$38, 0.0355, 0)</f>
        <v>23.043199999999999</v>
      </c>
      <c r="G174" s="17">
        <f>20.8132 * CHOOSE(CONTROL!$C$15, $E$9, 100%, $G$9) + CHOOSE(CONTROL!$C$38, 0.0356, 0)</f>
        <v>20.848799999999997</v>
      </c>
      <c r="H174" s="17">
        <f>20.8132 * CHOOSE(CONTROL!$C$15, $E$9, 100%, $G$9) + CHOOSE(CONTROL!$C$38, 0.0356, 0)</f>
        <v>20.848799999999997</v>
      </c>
      <c r="I174" s="17">
        <f>20.8148 * CHOOSE(CONTROL!$C$15, $E$9, 100%, $G$9) + CHOOSE(CONTROL!$C$38, 0.0356, 0)</f>
        <v>20.8504</v>
      </c>
      <c r="J174" s="44">
        <f>159.9554</f>
        <v>159.9554</v>
      </c>
    </row>
    <row r="175" spans="1:10" ht="15" x14ac:dyDescent="0.2">
      <c r="A175" s="16">
        <v>45870</v>
      </c>
      <c r="B175" s="17">
        <f>23.1982 * CHOOSE(CONTROL!$C$15, $E$9, 100%, $G$9) + CHOOSE(CONTROL!$C$38, 0.0355, 0)</f>
        <v>23.233699999999999</v>
      </c>
      <c r="C175" s="17">
        <f>21.001 * CHOOSE(CONTROL!$C$15, $E$9, 100%, $G$9) + CHOOSE(CONTROL!$C$38, 0.0356, 0)</f>
        <v>21.0366</v>
      </c>
      <c r="D175" s="17">
        <f>20.9932 * CHOOSE(CONTROL!$C$15, $E$9, 100%, $G$9) + CHOOSE(CONTROL!$C$38, 0.0356, 0)</f>
        <v>21.0288</v>
      </c>
      <c r="E175" s="17">
        <f>20.9932 * CHOOSE(CONTROL!$C$15, $E$9, 100%, $G$9) + CHOOSE(CONTROL!$C$38, 0.0356, 0)</f>
        <v>21.0288</v>
      </c>
      <c r="F175" s="45">
        <f>23.1982 * CHOOSE(CONTROL!$C$15, $E$9, 100%, $G$9) + CHOOSE(CONTROL!$C$38, 0.0355, 0)</f>
        <v>23.233699999999999</v>
      </c>
      <c r="G175" s="17">
        <f>20.9994 * CHOOSE(CONTROL!$C$15, $E$9, 100%, $G$9) + CHOOSE(CONTROL!$C$38, 0.0356, 0)</f>
        <v>21.035</v>
      </c>
      <c r="H175" s="17">
        <f>20.9994 * CHOOSE(CONTROL!$C$15, $E$9, 100%, $G$9) + CHOOSE(CONTROL!$C$38, 0.0356, 0)</f>
        <v>21.035</v>
      </c>
      <c r="I175" s="17">
        <f>21.001 * CHOOSE(CONTROL!$C$15, $E$9, 100%, $G$9) + CHOOSE(CONTROL!$C$38, 0.0356, 0)</f>
        <v>21.0366</v>
      </c>
      <c r="J175" s="44">
        <f>156.5535</f>
        <v>156.55350000000001</v>
      </c>
    </row>
    <row r="176" spans="1:10" ht="15" x14ac:dyDescent="0.2">
      <c r="A176" s="16">
        <v>45901</v>
      </c>
      <c r="B176" s="17">
        <f>23.6374 * CHOOSE(CONTROL!$C$15, $E$9, 100%, $G$9) + CHOOSE(CONTROL!$C$38, 0.0355, 0)</f>
        <v>23.672899999999998</v>
      </c>
      <c r="C176" s="17">
        <f>21.436 * CHOOSE(CONTROL!$C$15, $E$9, 100%, $G$9) + CHOOSE(CONTROL!$C$38, 0.0356, 0)</f>
        <v>21.471599999999999</v>
      </c>
      <c r="D176" s="17">
        <f>21.4282 * CHOOSE(CONTROL!$C$15, $E$9, 100%, $G$9) + CHOOSE(CONTROL!$C$38, 0.0356, 0)</f>
        <v>21.463799999999999</v>
      </c>
      <c r="E176" s="17">
        <f>21.4282 * CHOOSE(CONTROL!$C$15, $E$9, 100%, $G$9) + CHOOSE(CONTROL!$C$38, 0.0356, 0)</f>
        <v>21.463799999999999</v>
      </c>
      <c r="F176" s="45">
        <f>23.6374 * CHOOSE(CONTROL!$C$15, $E$9, 100%, $G$9) + CHOOSE(CONTROL!$C$38, 0.0355, 0)</f>
        <v>23.672899999999998</v>
      </c>
      <c r="G176" s="17">
        <f>21.4345 * CHOOSE(CONTROL!$C$15, $E$9, 100%, $G$9) + CHOOSE(CONTROL!$C$38, 0.0356, 0)</f>
        <v>21.470099999999999</v>
      </c>
      <c r="H176" s="17">
        <f>21.4345 * CHOOSE(CONTROL!$C$15, $E$9, 100%, $G$9) + CHOOSE(CONTROL!$C$38, 0.0356, 0)</f>
        <v>21.470099999999999</v>
      </c>
      <c r="I176" s="17">
        <f>21.436 * CHOOSE(CONTROL!$C$15, $E$9, 100%, $G$9) + CHOOSE(CONTROL!$C$38, 0.0356, 0)</f>
        <v>21.471599999999999</v>
      </c>
      <c r="J176" s="44">
        <f>151.6617</f>
        <v>151.6617</v>
      </c>
    </row>
    <row r="177" spans="1:10" ht="15" x14ac:dyDescent="0.2">
      <c r="A177" s="16">
        <v>45931</v>
      </c>
      <c r="B177" s="17">
        <f>24.0144 * CHOOSE(CONTROL!$C$15, $E$9, 100%, $G$9) + CHOOSE(CONTROL!$C$38, 0.0339, 0)</f>
        <v>24.048299999999998</v>
      </c>
      <c r="C177" s="17">
        <f>21.8088 * CHOOSE(CONTROL!$C$15, $E$9, 100%, $G$9) + CHOOSE(CONTROL!$C$38, 0.034, 0)</f>
        <v>21.8428</v>
      </c>
      <c r="D177" s="17">
        <f>21.801 * CHOOSE(CONTROL!$C$15, $E$9, 100%, $G$9) + CHOOSE(CONTROL!$C$38, 0.034, 0)</f>
        <v>21.834999999999997</v>
      </c>
      <c r="E177" s="17">
        <f>21.801 * CHOOSE(CONTROL!$C$15, $E$9, 100%, $G$9) + CHOOSE(CONTROL!$C$38, 0.034, 0)</f>
        <v>21.834999999999997</v>
      </c>
      <c r="F177" s="45">
        <f>24.0144 * CHOOSE(CONTROL!$C$15, $E$9, 100%, $G$9) + CHOOSE(CONTROL!$C$38, 0.0339, 0)</f>
        <v>24.048299999999998</v>
      </c>
      <c r="G177" s="17">
        <f>21.8073 * CHOOSE(CONTROL!$C$15, $E$9, 100%, $G$9) + CHOOSE(CONTROL!$C$38, 0.034, 0)</f>
        <v>21.8413</v>
      </c>
      <c r="H177" s="17">
        <f>21.8073 * CHOOSE(CONTROL!$C$15, $E$9, 100%, $G$9) + CHOOSE(CONTROL!$C$38, 0.034, 0)</f>
        <v>21.8413</v>
      </c>
      <c r="I177" s="17">
        <f>21.8088 * CHOOSE(CONTROL!$C$15, $E$9, 100%, $G$9) + CHOOSE(CONTROL!$C$38, 0.034, 0)</f>
        <v>21.8428</v>
      </c>
      <c r="J177" s="44">
        <f>146.7187</f>
        <v>146.71870000000001</v>
      </c>
    </row>
    <row r="178" spans="1:10" ht="15" x14ac:dyDescent="0.2">
      <c r="A178" s="16">
        <v>45962</v>
      </c>
      <c r="B178" s="17">
        <f>24.3382 * CHOOSE(CONTROL!$C$15, $E$9, 100%, $G$9) + CHOOSE(CONTROL!$C$38, 0.0339, 0)</f>
        <v>24.3721</v>
      </c>
      <c r="C178" s="17">
        <f>22.1284 * CHOOSE(CONTROL!$C$15, $E$9, 100%, $G$9) + CHOOSE(CONTROL!$C$38, 0.034, 0)</f>
        <v>22.162399999999998</v>
      </c>
      <c r="D178" s="17">
        <f>22.1206 * CHOOSE(CONTROL!$C$15, $E$9, 100%, $G$9) + CHOOSE(CONTROL!$C$38, 0.034, 0)</f>
        <v>22.154599999999999</v>
      </c>
      <c r="E178" s="17">
        <f>22.1206 * CHOOSE(CONTROL!$C$15, $E$9, 100%, $G$9) + CHOOSE(CONTROL!$C$38, 0.034, 0)</f>
        <v>22.154599999999999</v>
      </c>
      <c r="F178" s="45">
        <f>24.3382 * CHOOSE(CONTROL!$C$15, $E$9, 100%, $G$9) + CHOOSE(CONTROL!$C$38, 0.0339, 0)</f>
        <v>24.3721</v>
      </c>
      <c r="G178" s="17">
        <f>22.1268 * CHOOSE(CONTROL!$C$15, $E$9, 100%, $G$9) + CHOOSE(CONTROL!$C$38, 0.034, 0)</f>
        <v>22.160799999999998</v>
      </c>
      <c r="H178" s="17">
        <f>22.1268 * CHOOSE(CONTROL!$C$15, $E$9, 100%, $G$9) + CHOOSE(CONTROL!$C$38, 0.034, 0)</f>
        <v>22.160799999999998</v>
      </c>
      <c r="I178" s="17">
        <f>22.1284 * CHOOSE(CONTROL!$C$15, $E$9, 100%, $G$9) + CHOOSE(CONTROL!$C$38, 0.034, 0)</f>
        <v>22.162399999999998</v>
      </c>
      <c r="J178" s="44">
        <f>145.9734</f>
        <v>145.9734</v>
      </c>
    </row>
    <row r="179" spans="1:10" ht="15" x14ac:dyDescent="0.2">
      <c r="A179" s="16">
        <v>45992</v>
      </c>
      <c r="B179" s="17">
        <f>25.238 * CHOOSE(CONTROL!$C$15, $E$9, 100%, $G$9) + CHOOSE(CONTROL!$C$38, 0.0339, 0)</f>
        <v>25.271899999999999</v>
      </c>
      <c r="C179" s="17">
        <f>23.024 * CHOOSE(CONTROL!$C$15, $E$9, 100%, $G$9) + CHOOSE(CONTROL!$C$38, 0.034, 0)</f>
        <v>23.058</v>
      </c>
      <c r="D179" s="17">
        <f>23.0162 * CHOOSE(CONTROL!$C$15, $E$9, 100%, $G$9) + CHOOSE(CONTROL!$C$38, 0.034, 0)</f>
        <v>23.0502</v>
      </c>
      <c r="E179" s="17">
        <f>23.0162 * CHOOSE(CONTROL!$C$15, $E$9, 100%, $G$9) + CHOOSE(CONTROL!$C$38, 0.034, 0)</f>
        <v>23.0502</v>
      </c>
      <c r="F179" s="45">
        <f>25.238 * CHOOSE(CONTROL!$C$15, $E$9, 100%, $G$9) + CHOOSE(CONTROL!$C$38, 0.0339, 0)</f>
        <v>25.271899999999999</v>
      </c>
      <c r="G179" s="17">
        <f>23.0224 * CHOOSE(CONTROL!$C$15, $E$9, 100%, $G$9) + CHOOSE(CONTROL!$C$38, 0.034, 0)</f>
        <v>23.0564</v>
      </c>
      <c r="H179" s="17">
        <f>23.0224 * CHOOSE(CONTROL!$C$15, $E$9, 100%, $G$9) + CHOOSE(CONTROL!$C$38, 0.034, 0)</f>
        <v>23.0564</v>
      </c>
      <c r="I179" s="17">
        <f>23.024 * CHOOSE(CONTROL!$C$15, $E$9, 100%, $G$9) + CHOOSE(CONTROL!$C$38, 0.034, 0)</f>
        <v>23.058</v>
      </c>
      <c r="J179" s="44">
        <f>141.9334</f>
        <v>141.93340000000001</v>
      </c>
    </row>
    <row r="180" spans="1:10" ht="15" x14ac:dyDescent="0.2">
      <c r="A180" s="16">
        <v>46023</v>
      </c>
      <c r="B180" s="17">
        <f>25.9329 * CHOOSE(CONTROL!$C$15, $E$9, 100%, $G$9) + CHOOSE(CONTROL!$C$38, 0.0339, 0)</f>
        <v>25.966799999999999</v>
      </c>
      <c r="C180" s="17">
        <f>23.7325 * CHOOSE(CONTROL!$C$15, $E$9, 100%, $G$9) + CHOOSE(CONTROL!$C$38, 0.034, 0)</f>
        <v>23.766500000000001</v>
      </c>
      <c r="D180" s="17">
        <f>23.7247 * CHOOSE(CONTROL!$C$15, $E$9, 100%, $G$9) + CHOOSE(CONTROL!$C$38, 0.034, 0)</f>
        <v>23.758699999999997</v>
      </c>
      <c r="E180" s="17">
        <f>23.7247 * CHOOSE(CONTROL!$C$15, $E$9, 100%, $G$9) + CHOOSE(CONTROL!$C$38, 0.034, 0)</f>
        <v>23.758699999999997</v>
      </c>
      <c r="F180" s="45">
        <f>25.9329 * CHOOSE(CONTROL!$C$15, $E$9, 100%, $G$9) + CHOOSE(CONTROL!$C$38, 0.0339, 0)</f>
        <v>25.966799999999999</v>
      </c>
      <c r="G180" s="17">
        <f>23.7309 * CHOOSE(CONTROL!$C$15, $E$9, 100%, $G$9) + CHOOSE(CONTROL!$C$38, 0.034, 0)</f>
        <v>23.764899999999997</v>
      </c>
      <c r="H180" s="17">
        <f>23.7309 * CHOOSE(CONTROL!$C$15, $E$9, 100%, $G$9) + CHOOSE(CONTROL!$C$38, 0.034, 0)</f>
        <v>23.764899999999997</v>
      </c>
      <c r="I180" s="17">
        <f>23.7325 * CHOOSE(CONTROL!$C$15, $E$9, 100%, $G$9) + CHOOSE(CONTROL!$C$38, 0.034, 0)</f>
        <v>23.766500000000001</v>
      </c>
      <c r="J180" s="44">
        <f>138.8398</f>
        <v>138.8398</v>
      </c>
    </row>
    <row r="181" spans="1:10" ht="15" x14ac:dyDescent="0.2">
      <c r="A181" s="16">
        <v>46054</v>
      </c>
      <c r="B181" s="17">
        <f>26.3015 * CHOOSE(CONTROL!$C$15, $E$9, 100%, $G$9) + CHOOSE(CONTROL!$C$38, 0.0339, 0)</f>
        <v>26.3354</v>
      </c>
      <c r="C181" s="17">
        <f>24.0969 * CHOOSE(CONTROL!$C$15, $E$9, 100%, $G$9) + CHOOSE(CONTROL!$C$38, 0.034, 0)</f>
        <v>24.1309</v>
      </c>
      <c r="D181" s="17">
        <f>24.0891 * CHOOSE(CONTROL!$C$15, $E$9, 100%, $G$9) + CHOOSE(CONTROL!$C$38, 0.034, 0)</f>
        <v>24.123099999999997</v>
      </c>
      <c r="E181" s="17">
        <f>24.0891 * CHOOSE(CONTROL!$C$15, $E$9, 100%, $G$9) + CHOOSE(CONTROL!$C$38, 0.034, 0)</f>
        <v>24.123099999999997</v>
      </c>
      <c r="F181" s="45">
        <f>26.3015 * CHOOSE(CONTROL!$C$15, $E$9, 100%, $G$9) + CHOOSE(CONTROL!$C$38, 0.0339, 0)</f>
        <v>26.3354</v>
      </c>
      <c r="G181" s="17">
        <f>24.0953 * CHOOSE(CONTROL!$C$15, $E$9, 100%, $G$9) + CHOOSE(CONTROL!$C$38, 0.034, 0)</f>
        <v>24.129300000000001</v>
      </c>
      <c r="H181" s="17">
        <f>24.0953 * CHOOSE(CONTROL!$C$15, $E$9, 100%, $G$9) + CHOOSE(CONTROL!$C$38, 0.034, 0)</f>
        <v>24.129300000000001</v>
      </c>
      <c r="I181" s="17">
        <f>24.0969 * CHOOSE(CONTROL!$C$15, $E$9, 100%, $G$9) + CHOOSE(CONTROL!$C$38, 0.034, 0)</f>
        <v>24.1309</v>
      </c>
      <c r="J181" s="44">
        <f>138.7391</f>
        <v>138.73910000000001</v>
      </c>
    </row>
    <row r="182" spans="1:10" ht="15" x14ac:dyDescent="0.2">
      <c r="A182" s="16">
        <v>46082</v>
      </c>
      <c r="B182" s="17">
        <f>25.6204 * CHOOSE(CONTROL!$C$15, $E$9, 100%, $G$9) + CHOOSE(CONTROL!$C$38, 0.0339, 0)</f>
        <v>25.654299999999999</v>
      </c>
      <c r="C182" s="17">
        <f>23.4115 * CHOOSE(CONTROL!$C$15, $E$9, 100%, $G$9) + CHOOSE(CONTROL!$C$38, 0.034, 0)</f>
        <v>23.445499999999999</v>
      </c>
      <c r="D182" s="17">
        <f>23.4037 * CHOOSE(CONTROL!$C$15, $E$9, 100%, $G$9) + CHOOSE(CONTROL!$C$38, 0.034, 0)</f>
        <v>23.4377</v>
      </c>
      <c r="E182" s="17">
        <f>23.4037 * CHOOSE(CONTROL!$C$15, $E$9, 100%, $G$9) + CHOOSE(CONTROL!$C$38, 0.034, 0)</f>
        <v>23.4377</v>
      </c>
      <c r="F182" s="45">
        <f>25.6204 * CHOOSE(CONTROL!$C$15, $E$9, 100%, $G$9) + CHOOSE(CONTROL!$C$38, 0.0339, 0)</f>
        <v>25.654299999999999</v>
      </c>
      <c r="G182" s="17">
        <f>23.41 * CHOOSE(CONTROL!$C$15, $E$9, 100%, $G$9) + CHOOSE(CONTROL!$C$38, 0.034, 0)</f>
        <v>23.443999999999999</v>
      </c>
      <c r="H182" s="17">
        <f>23.41 * CHOOSE(CONTROL!$C$15, $E$9, 100%, $G$9) + CHOOSE(CONTROL!$C$38, 0.034, 0)</f>
        <v>23.443999999999999</v>
      </c>
      <c r="I182" s="17">
        <f>23.4115 * CHOOSE(CONTROL!$C$15, $E$9, 100%, $G$9) + CHOOSE(CONTROL!$C$38, 0.034, 0)</f>
        <v>23.445499999999999</v>
      </c>
      <c r="J182" s="44">
        <f>146.3523</f>
        <v>146.35230000000001</v>
      </c>
    </row>
    <row r="183" spans="1:10" ht="15" x14ac:dyDescent="0.2">
      <c r="A183" s="16">
        <v>46113</v>
      </c>
      <c r="B183" s="17">
        <f>24.9591 * CHOOSE(CONTROL!$C$15, $E$9, 100%, $G$9) + CHOOSE(CONTROL!$C$38, 0.0339, 0)</f>
        <v>24.992999999999999</v>
      </c>
      <c r="C183" s="17">
        <f>22.746 * CHOOSE(CONTROL!$C$15, $E$9, 100%, $G$9) + CHOOSE(CONTROL!$C$38, 0.034, 0)</f>
        <v>22.779999999999998</v>
      </c>
      <c r="D183" s="17">
        <f>22.7382 * CHOOSE(CONTROL!$C$15, $E$9, 100%, $G$9) + CHOOSE(CONTROL!$C$38, 0.034, 0)</f>
        <v>22.772199999999998</v>
      </c>
      <c r="E183" s="17">
        <f>22.7382 * CHOOSE(CONTROL!$C$15, $E$9, 100%, $G$9) + CHOOSE(CONTROL!$C$38, 0.034, 0)</f>
        <v>22.772199999999998</v>
      </c>
      <c r="F183" s="45">
        <f>24.9591 * CHOOSE(CONTROL!$C$15, $E$9, 100%, $G$9) + CHOOSE(CONTROL!$C$38, 0.0339, 0)</f>
        <v>24.992999999999999</v>
      </c>
      <c r="G183" s="17">
        <f>22.7445 * CHOOSE(CONTROL!$C$15, $E$9, 100%, $G$9) + CHOOSE(CONTROL!$C$38, 0.034, 0)</f>
        <v>22.778499999999998</v>
      </c>
      <c r="H183" s="17">
        <f>22.7445 * CHOOSE(CONTROL!$C$15, $E$9, 100%, $G$9) + CHOOSE(CONTROL!$C$38, 0.034, 0)</f>
        <v>22.778499999999998</v>
      </c>
      <c r="I183" s="17">
        <f>22.746 * CHOOSE(CONTROL!$C$15, $E$9, 100%, $G$9) + CHOOSE(CONTROL!$C$38, 0.034, 0)</f>
        <v>22.779999999999998</v>
      </c>
      <c r="J183" s="44">
        <f>156.1752</f>
        <v>156.17519999999999</v>
      </c>
    </row>
    <row r="184" spans="1:10" ht="15" x14ac:dyDescent="0.2">
      <c r="A184" s="16">
        <v>46143</v>
      </c>
      <c r="B184" s="17">
        <f>24.2649 * CHOOSE(CONTROL!$C$15, $E$9, 100%, $G$9) + CHOOSE(CONTROL!$C$38, 0.0355, 0)</f>
        <v>24.3004</v>
      </c>
      <c r="C184" s="17">
        <f>22.0475 * CHOOSE(CONTROL!$C$15, $E$9, 100%, $G$9) + CHOOSE(CONTROL!$C$38, 0.0356, 0)</f>
        <v>22.083099999999998</v>
      </c>
      <c r="D184" s="17">
        <f>22.0397 * CHOOSE(CONTROL!$C$15, $E$9, 100%, $G$9) + CHOOSE(CONTROL!$C$38, 0.0356, 0)</f>
        <v>22.075299999999999</v>
      </c>
      <c r="E184" s="17">
        <f>22.0397 * CHOOSE(CONTROL!$C$15, $E$9, 100%, $G$9) + CHOOSE(CONTROL!$C$38, 0.0356, 0)</f>
        <v>22.075299999999999</v>
      </c>
      <c r="F184" s="45">
        <f>24.2649 * CHOOSE(CONTROL!$C$15, $E$9, 100%, $G$9) + CHOOSE(CONTROL!$C$38, 0.0355, 0)</f>
        <v>24.3004</v>
      </c>
      <c r="G184" s="17">
        <f>22.046 * CHOOSE(CONTROL!$C$15, $E$9, 100%, $G$9) + CHOOSE(CONTROL!$C$38, 0.0356, 0)</f>
        <v>22.081599999999998</v>
      </c>
      <c r="H184" s="17">
        <f>22.046 * CHOOSE(CONTROL!$C$15, $E$9, 100%, $G$9) + CHOOSE(CONTROL!$C$38, 0.0356, 0)</f>
        <v>22.081599999999998</v>
      </c>
      <c r="I184" s="17">
        <f>22.0475 * CHOOSE(CONTROL!$C$15, $E$9, 100%, $G$9) + CHOOSE(CONTROL!$C$38, 0.0356, 0)</f>
        <v>22.083099999999998</v>
      </c>
      <c r="J184" s="44">
        <f>161.7486</f>
        <v>161.74860000000001</v>
      </c>
    </row>
    <row r="185" spans="1:10" ht="15" x14ac:dyDescent="0.2">
      <c r="A185" s="16">
        <v>46174</v>
      </c>
      <c r="B185" s="17">
        <f>23.7906 * CHOOSE(CONTROL!$C$15, $E$9, 100%, $G$9) + CHOOSE(CONTROL!$C$38, 0.0355, 0)</f>
        <v>23.8261</v>
      </c>
      <c r="C185" s="17">
        <f>21.569 * CHOOSE(CONTROL!$C$15, $E$9, 100%, $G$9) + CHOOSE(CONTROL!$C$38, 0.0356, 0)</f>
        <v>21.604599999999998</v>
      </c>
      <c r="D185" s="17">
        <f>21.5612 * CHOOSE(CONTROL!$C$15, $E$9, 100%, $G$9) + CHOOSE(CONTROL!$C$38, 0.0356, 0)</f>
        <v>21.596799999999998</v>
      </c>
      <c r="E185" s="17">
        <f>21.5612 * CHOOSE(CONTROL!$C$15, $E$9, 100%, $G$9) + CHOOSE(CONTROL!$C$38, 0.0356, 0)</f>
        <v>21.596799999999998</v>
      </c>
      <c r="F185" s="45">
        <f>23.7906 * CHOOSE(CONTROL!$C$15, $E$9, 100%, $G$9) + CHOOSE(CONTROL!$C$38, 0.0355, 0)</f>
        <v>23.8261</v>
      </c>
      <c r="G185" s="17">
        <f>21.5675 * CHOOSE(CONTROL!$C$15, $E$9, 100%, $G$9) + CHOOSE(CONTROL!$C$38, 0.0356, 0)</f>
        <v>21.603099999999998</v>
      </c>
      <c r="H185" s="17">
        <f>21.5675 * CHOOSE(CONTROL!$C$15, $E$9, 100%, $G$9) + CHOOSE(CONTROL!$C$38, 0.0356, 0)</f>
        <v>21.603099999999998</v>
      </c>
      <c r="I185" s="17">
        <f>21.569 * CHOOSE(CONTROL!$C$15, $E$9, 100%, $G$9) + CHOOSE(CONTROL!$C$38, 0.0356, 0)</f>
        <v>21.604599999999998</v>
      </c>
      <c r="J185" s="44">
        <f>164.4172</f>
        <v>164.41720000000001</v>
      </c>
    </row>
    <row r="186" spans="1:10" ht="15" x14ac:dyDescent="0.2">
      <c r="A186" s="16">
        <v>46204</v>
      </c>
      <c r="B186" s="17">
        <f>23.5393 * CHOOSE(CONTROL!$C$15, $E$9, 100%, $G$9) + CHOOSE(CONTROL!$C$38, 0.0355, 0)</f>
        <v>23.5748</v>
      </c>
      <c r="C186" s="17">
        <f>21.3135 * CHOOSE(CONTROL!$C$15, $E$9, 100%, $G$9) + CHOOSE(CONTROL!$C$38, 0.0356, 0)</f>
        <v>21.3491</v>
      </c>
      <c r="D186" s="17">
        <f>21.3056 * CHOOSE(CONTROL!$C$15, $E$9, 100%, $G$9) + CHOOSE(CONTROL!$C$38, 0.0356, 0)</f>
        <v>21.341199999999997</v>
      </c>
      <c r="E186" s="17">
        <f>21.3056 * CHOOSE(CONTROL!$C$15, $E$9, 100%, $G$9) + CHOOSE(CONTROL!$C$38, 0.0356, 0)</f>
        <v>21.341199999999997</v>
      </c>
      <c r="F186" s="45">
        <f>23.5393 * CHOOSE(CONTROL!$C$15, $E$9, 100%, $G$9) + CHOOSE(CONTROL!$C$38, 0.0355, 0)</f>
        <v>23.5748</v>
      </c>
      <c r="G186" s="17">
        <f>21.3119 * CHOOSE(CONTROL!$C$15, $E$9, 100%, $G$9) + CHOOSE(CONTROL!$C$38, 0.0356, 0)</f>
        <v>21.3475</v>
      </c>
      <c r="H186" s="17">
        <f>21.3119 * CHOOSE(CONTROL!$C$15, $E$9, 100%, $G$9) + CHOOSE(CONTROL!$C$38, 0.0356, 0)</f>
        <v>21.3475</v>
      </c>
      <c r="I186" s="17">
        <f>21.3135 * CHOOSE(CONTROL!$C$15, $E$9, 100%, $G$9) + CHOOSE(CONTROL!$C$38, 0.0356, 0)</f>
        <v>21.3491</v>
      </c>
      <c r="J186" s="44">
        <f>163.9854</f>
        <v>163.9854</v>
      </c>
    </row>
    <row r="187" spans="1:10" ht="15" x14ac:dyDescent="0.2">
      <c r="A187" s="16">
        <v>46235</v>
      </c>
      <c r="B187" s="17">
        <f>23.7344 * CHOOSE(CONTROL!$C$15, $E$9, 100%, $G$9) + CHOOSE(CONTROL!$C$38, 0.0355, 0)</f>
        <v>23.7699</v>
      </c>
      <c r="C187" s="17">
        <f>21.5043 * CHOOSE(CONTROL!$C$15, $E$9, 100%, $G$9) + CHOOSE(CONTROL!$C$38, 0.0356, 0)</f>
        <v>21.539899999999999</v>
      </c>
      <c r="D187" s="17">
        <f>21.4965 * CHOOSE(CONTROL!$C$15, $E$9, 100%, $G$9) + CHOOSE(CONTROL!$C$38, 0.0356, 0)</f>
        <v>21.5321</v>
      </c>
      <c r="E187" s="17">
        <f>21.4965 * CHOOSE(CONTROL!$C$15, $E$9, 100%, $G$9) + CHOOSE(CONTROL!$C$38, 0.0356, 0)</f>
        <v>21.5321</v>
      </c>
      <c r="F187" s="45">
        <f>23.7344 * CHOOSE(CONTROL!$C$15, $E$9, 100%, $G$9) + CHOOSE(CONTROL!$C$38, 0.0355, 0)</f>
        <v>23.7699</v>
      </c>
      <c r="G187" s="17">
        <f>21.5027 * CHOOSE(CONTROL!$C$15, $E$9, 100%, $G$9) + CHOOSE(CONTROL!$C$38, 0.0356, 0)</f>
        <v>21.5383</v>
      </c>
      <c r="H187" s="17">
        <f>21.5027 * CHOOSE(CONTROL!$C$15, $E$9, 100%, $G$9) + CHOOSE(CONTROL!$C$38, 0.0356, 0)</f>
        <v>21.5383</v>
      </c>
      <c r="I187" s="17">
        <f>21.5043 * CHOOSE(CONTROL!$C$15, $E$9, 100%, $G$9) + CHOOSE(CONTROL!$C$38, 0.0356, 0)</f>
        <v>21.539899999999999</v>
      </c>
      <c r="J187" s="44">
        <f>160.4978</f>
        <v>160.49780000000001</v>
      </c>
    </row>
    <row r="188" spans="1:10" ht="15" x14ac:dyDescent="0.2">
      <c r="A188" s="16">
        <v>46266</v>
      </c>
      <c r="B188" s="17">
        <f>24.1845 * CHOOSE(CONTROL!$C$15, $E$9, 100%, $G$9) + CHOOSE(CONTROL!$C$38, 0.0355, 0)</f>
        <v>24.22</v>
      </c>
      <c r="C188" s="17">
        <f>21.9502 * CHOOSE(CONTROL!$C$15, $E$9, 100%, $G$9) + CHOOSE(CONTROL!$C$38, 0.0356, 0)</f>
        <v>21.985799999999998</v>
      </c>
      <c r="D188" s="17">
        <f>21.9424 * CHOOSE(CONTROL!$C$15, $E$9, 100%, $G$9) + CHOOSE(CONTROL!$C$38, 0.0356, 0)</f>
        <v>21.977999999999998</v>
      </c>
      <c r="E188" s="17">
        <f>21.9424 * CHOOSE(CONTROL!$C$15, $E$9, 100%, $G$9) + CHOOSE(CONTROL!$C$38, 0.0356, 0)</f>
        <v>21.977999999999998</v>
      </c>
      <c r="F188" s="45">
        <f>24.1845 * CHOOSE(CONTROL!$C$15, $E$9, 100%, $G$9) + CHOOSE(CONTROL!$C$38, 0.0355, 0)</f>
        <v>24.22</v>
      </c>
      <c r="G188" s="17">
        <f>21.9486 * CHOOSE(CONTROL!$C$15, $E$9, 100%, $G$9) + CHOOSE(CONTROL!$C$38, 0.0356, 0)</f>
        <v>21.984199999999998</v>
      </c>
      <c r="H188" s="17">
        <f>21.9486 * CHOOSE(CONTROL!$C$15, $E$9, 100%, $G$9) + CHOOSE(CONTROL!$C$38, 0.0356, 0)</f>
        <v>21.984199999999998</v>
      </c>
      <c r="I188" s="17">
        <f>21.9502 * CHOOSE(CONTROL!$C$15, $E$9, 100%, $G$9) + CHOOSE(CONTROL!$C$38, 0.0356, 0)</f>
        <v>21.985799999999998</v>
      </c>
      <c r="J188" s="44">
        <f>155.4828</f>
        <v>155.4828</v>
      </c>
    </row>
    <row r="189" spans="1:10" ht="15" x14ac:dyDescent="0.2">
      <c r="A189" s="16">
        <v>46296</v>
      </c>
      <c r="B189" s="17">
        <f>24.5709 * CHOOSE(CONTROL!$C$15, $E$9, 100%, $G$9) + CHOOSE(CONTROL!$C$38, 0.0339, 0)</f>
        <v>24.604800000000001</v>
      </c>
      <c r="C189" s="17">
        <f>22.3323 * CHOOSE(CONTROL!$C$15, $E$9, 100%, $G$9) + CHOOSE(CONTROL!$C$38, 0.034, 0)</f>
        <v>22.366299999999999</v>
      </c>
      <c r="D189" s="17">
        <f>22.3245 * CHOOSE(CONTROL!$C$15, $E$9, 100%, $G$9) + CHOOSE(CONTROL!$C$38, 0.034, 0)</f>
        <v>22.358499999999999</v>
      </c>
      <c r="E189" s="17">
        <f>22.3245 * CHOOSE(CONTROL!$C$15, $E$9, 100%, $G$9) + CHOOSE(CONTROL!$C$38, 0.034, 0)</f>
        <v>22.358499999999999</v>
      </c>
      <c r="F189" s="45">
        <f>24.5709 * CHOOSE(CONTROL!$C$15, $E$9, 100%, $G$9) + CHOOSE(CONTROL!$C$38, 0.0339, 0)</f>
        <v>24.604800000000001</v>
      </c>
      <c r="G189" s="17">
        <f>22.3307 * CHOOSE(CONTROL!$C$15, $E$9, 100%, $G$9) + CHOOSE(CONTROL!$C$38, 0.034, 0)</f>
        <v>22.364699999999999</v>
      </c>
      <c r="H189" s="17">
        <f>22.3307 * CHOOSE(CONTROL!$C$15, $E$9, 100%, $G$9) + CHOOSE(CONTROL!$C$38, 0.034, 0)</f>
        <v>22.364699999999999</v>
      </c>
      <c r="I189" s="17">
        <f>22.3323 * CHOOSE(CONTROL!$C$15, $E$9, 100%, $G$9) + CHOOSE(CONTROL!$C$38, 0.034, 0)</f>
        <v>22.366299999999999</v>
      </c>
      <c r="J189" s="44">
        <f>150.4152</f>
        <v>150.4152</v>
      </c>
    </row>
    <row r="190" spans="1:10" ht="15" x14ac:dyDescent="0.2">
      <c r="A190" s="16">
        <v>46327</v>
      </c>
      <c r="B190" s="17">
        <f>24.9027 * CHOOSE(CONTROL!$C$15, $E$9, 100%, $G$9) + CHOOSE(CONTROL!$C$38, 0.0339, 0)</f>
        <v>24.936599999999999</v>
      </c>
      <c r="C190" s="17">
        <f>22.6598 * CHOOSE(CONTROL!$C$15, $E$9, 100%, $G$9) + CHOOSE(CONTROL!$C$38, 0.034, 0)</f>
        <v>22.6938</v>
      </c>
      <c r="D190" s="17">
        <f>22.652 * CHOOSE(CONTROL!$C$15, $E$9, 100%, $G$9) + CHOOSE(CONTROL!$C$38, 0.034, 0)</f>
        <v>22.686</v>
      </c>
      <c r="E190" s="17">
        <f>22.652 * CHOOSE(CONTROL!$C$15, $E$9, 100%, $G$9) + CHOOSE(CONTROL!$C$38, 0.034, 0)</f>
        <v>22.686</v>
      </c>
      <c r="F190" s="45">
        <f>24.9027 * CHOOSE(CONTROL!$C$15, $E$9, 100%, $G$9) + CHOOSE(CONTROL!$C$38, 0.0339, 0)</f>
        <v>24.936599999999999</v>
      </c>
      <c r="G190" s="17">
        <f>22.6582 * CHOOSE(CONTROL!$C$15, $E$9, 100%, $G$9) + CHOOSE(CONTROL!$C$38, 0.034, 0)</f>
        <v>22.6922</v>
      </c>
      <c r="H190" s="17">
        <f>22.6582 * CHOOSE(CONTROL!$C$15, $E$9, 100%, $G$9) + CHOOSE(CONTROL!$C$38, 0.034, 0)</f>
        <v>22.6922</v>
      </c>
      <c r="I190" s="17">
        <f>22.6598 * CHOOSE(CONTROL!$C$15, $E$9, 100%, $G$9) + CHOOSE(CONTROL!$C$38, 0.034, 0)</f>
        <v>22.6938</v>
      </c>
      <c r="J190" s="44">
        <f>149.6511</f>
        <v>149.65110000000001</v>
      </c>
    </row>
    <row r="191" spans="1:10" ht="15" x14ac:dyDescent="0.2">
      <c r="A191" s="16">
        <v>46357</v>
      </c>
      <c r="B191" s="17">
        <f>25.825 * CHOOSE(CONTROL!$C$15, $E$9, 100%, $G$9) + CHOOSE(CONTROL!$C$38, 0.0339, 0)</f>
        <v>25.858899999999998</v>
      </c>
      <c r="C191" s="17">
        <f>23.5778 * CHOOSE(CONTROL!$C$15, $E$9, 100%, $G$9) + CHOOSE(CONTROL!$C$38, 0.034, 0)</f>
        <v>23.611799999999999</v>
      </c>
      <c r="D191" s="17">
        <f>23.5699 * CHOOSE(CONTROL!$C$15, $E$9, 100%, $G$9) + CHOOSE(CONTROL!$C$38, 0.034, 0)</f>
        <v>23.603899999999999</v>
      </c>
      <c r="E191" s="17">
        <f>23.5699 * CHOOSE(CONTROL!$C$15, $E$9, 100%, $G$9) + CHOOSE(CONTROL!$C$38, 0.034, 0)</f>
        <v>23.603899999999999</v>
      </c>
      <c r="F191" s="45">
        <f>25.825 * CHOOSE(CONTROL!$C$15, $E$9, 100%, $G$9) + CHOOSE(CONTROL!$C$38, 0.0339, 0)</f>
        <v>25.858899999999998</v>
      </c>
      <c r="G191" s="17">
        <f>23.5762 * CHOOSE(CONTROL!$C$15, $E$9, 100%, $G$9) + CHOOSE(CONTROL!$C$38, 0.034, 0)</f>
        <v>23.610199999999999</v>
      </c>
      <c r="H191" s="17">
        <f>23.5762 * CHOOSE(CONTROL!$C$15, $E$9, 100%, $G$9) + CHOOSE(CONTROL!$C$38, 0.034, 0)</f>
        <v>23.610199999999999</v>
      </c>
      <c r="I191" s="17">
        <f>23.5778 * CHOOSE(CONTROL!$C$15, $E$9, 100%, $G$9) + CHOOSE(CONTROL!$C$38, 0.034, 0)</f>
        <v>23.611799999999999</v>
      </c>
      <c r="J191" s="44">
        <f>145.5093</f>
        <v>145.5093</v>
      </c>
    </row>
    <row r="192" spans="1:10" ht="15" x14ac:dyDescent="0.2">
      <c r="A192" s="16">
        <v>46388</v>
      </c>
      <c r="B192" s="17">
        <f>26.582 * CHOOSE(CONTROL!$C$15, $E$9, 100%, $G$9) + CHOOSE(CONTROL!$C$38, 0.0339, 0)</f>
        <v>26.6159</v>
      </c>
      <c r="C192" s="17">
        <f>24.347 * CHOOSE(CONTROL!$C$15, $E$9, 100%, $G$9) + CHOOSE(CONTROL!$C$38, 0.034, 0)</f>
        <v>24.381</v>
      </c>
      <c r="D192" s="17">
        <f>24.3392 * CHOOSE(CONTROL!$C$15, $E$9, 100%, $G$9) + CHOOSE(CONTROL!$C$38, 0.034, 0)</f>
        <v>24.373200000000001</v>
      </c>
      <c r="E192" s="17">
        <f>24.3392 * CHOOSE(CONTROL!$C$15, $E$9, 100%, $G$9) + CHOOSE(CONTROL!$C$38, 0.034, 0)</f>
        <v>24.373200000000001</v>
      </c>
      <c r="F192" s="45">
        <f>26.582 * CHOOSE(CONTROL!$C$15, $E$9, 100%, $G$9) + CHOOSE(CONTROL!$C$38, 0.0339, 0)</f>
        <v>26.6159</v>
      </c>
      <c r="G192" s="17">
        <f>24.3454 * CHOOSE(CONTROL!$C$15, $E$9, 100%, $G$9) + CHOOSE(CONTROL!$C$38, 0.034, 0)</f>
        <v>24.3794</v>
      </c>
      <c r="H192" s="17">
        <f>24.3454 * CHOOSE(CONTROL!$C$15, $E$9, 100%, $G$9) + CHOOSE(CONTROL!$C$38, 0.034, 0)</f>
        <v>24.3794</v>
      </c>
      <c r="I192" s="17">
        <f>24.347 * CHOOSE(CONTROL!$C$15, $E$9, 100%, $G$9) + CHOOSE(CONTROL!$C$38, 0.034, 0)</f>
        <v>24.381</v>
      </c>
      <c r="J192" s="44">
        <f>142.3378</f>
        <v>142.33779999999999</v>
      </c>
    </row>
    <row r="193" spans="1:10" ht="15" x14ac:dyDescent="0.2">
      <c r="A193" s="16">
        <v>46419</v>
      </c>
      <c r="B193" s="17">
        <f>26.9598 * CHOOSE(CONTROL!$C$15, $E$9, 100%, $G$9) + CHOOSE(CONTROL!$C$38, 0.0339, 0)</f>
        <v>26.9937</v>
      </c>
      <c r="C193" s="17">
        <f>24.7206 * CHOOSE(CONTROL!$C$15, $E$9, 100%, $G$9) + CHOOSE(CONTROL!$C$38, 0.034, 0)</f>
        <v>24.7546</v>
      </c>
      <c r="D193" s="17">
        <f>24.7128 * CHOOSE(CONTROL!$C$15, $E$9, 100%, $G$9) + CHOOSE(CONTROL!$C$38, 0.034, 0)</f>
        <v>24.7468</v>
      </c>
      <c r="E193" s="17">
        <f>24.7128 * CHOOSE(CONTROL!$C$15, $E$9, 100%, $G$9) + CHOOSE(CONTROL!$C$38, 0.034, 0)</f>
        <v>24.7468</v>
      </c>
      <c r="F193" s="45">
        <f>26.9598 * CHOOSE(CONTROL!$C$15, $E$9, 100%, $G$9) + CHOOSE(CONTROL!$C$38, 0.0339, 0)</f>
        <v>26.9937</v>
      </c>
      <c r="G193" s="17">
        <f>24.719 * CHOOSE(CONTROL!$C$15, $E$9, 100%, $G$9) + CHOOSE(CONTROL!$C$38, 0.034, 0)</f>
        <v>24.753</v>
      </c>
      <c r="H193" s="17">
        <f>24.719 * CHOOSE(CONTROL!$C$15, $E$9, 100%, $G$9) + CHOOSE(CONTROL!$C$38, 0.034, 0)</f>
        <v>24.753</v>
      </c>
      <c r="I193" s="17">
        <f>24.7206 * CHOOSE(CONTROL!$C$15, $E$9, 100%, $G$9) + CHOOSE(CONTROL!$C$38, 0.034, 0)</f>
        <v>24.7546</v>
      </c>
      <c r="J193" s="44">
        <f>142.2345</f>
        <v>142.2345</v>
      </c>
    </row>
    <row r="194" spans="1:10" ht="15" x14ac:dyDescent="0.2">
      <c r="A194" s="16">
        <v>46447</v>
      </c>
      <c r="B194" s="17">
        <f>26.2617 * CHOOSE(CONTROL!$C$15, $E$9, 100%, $G$9) + CHOOSE(CONTROL!$C$38, 0.0339, 0)</f>
        <v>26.2956</v>
      </c>
      <c r="C194" s="17">
        <f>24.0181 * CHOOSE(CONTROL!$C$15, $E$9, 100%, $G$9) + CHOOSE(CONTROL!$C$38, 0.034, 0)</f>
        <v>24.052099999999999</v>
      </c>
      <c r="D194" s="17">
        <f>24.0103 * CHOOSE(CONTROL!$C$15, $E$9, 100%, $G$9) + CHOOSE(CONTROL!$C$38, 0.034, 0)</f>
        <v>24.0443</v>
      </c>
      <c r="E194" s="17">
        <f>24.0103 * CHOOSE(CONTROL!$C$15, $E$9, 100%, $G$9) + CHOOSE(CONTROL!$C$38, 0.034, 0)</f>
        <v>24.0443</v>
      </c>
      <c r="F194" s="45">
        <f>26.2617 * CHOOSE(CONTROL!$C$15, $E$9, 100%, $G$9) + CHOOSE(CONTROL!$C$38, 0.0339, 0)</f>
        <v>26.2956</v>
      </c>
      <c r="G194" s="17">
        <f>24.0166 * CHOOSE(CONTROL!$C$15, $E$9, 100%, $G$9) + CHOOSE(CONTROL!$C$38, 0.034, 0)</f>
        <v>24.050599999999999</v>
      </c>
      <c r="H194" s="17">
        <f>24.0166 * CHOOSE(CONTROL!$C$15, $E$9, 100%, $G$9) + CHOOSE(CONTROL!$C$38, 0.034, 0)</f>
        <v>24.050599999999999</v>
      </c>
      <c r="I194" s="17">
        <f>24.0181 * CHOOSE(CONTROL!$C$15, $E$9, 100%, $G$9) + CHOOSE(CONTROL!$C$38, 0.034, 0)</f>
        <v>24.052099999999999</v>
      </c>
      <c r="J194" s="44">
        <f>150.0395</f>
        <v>150.0395</v>
      </c>
    </row>
    <row r="195" spans="1:10" ht="15" x14ac:dyDescent="0.2">
      <c r="A195" s="16">
        <v>46478</v>
      </c>
      <c r="B195" s="17">
        <f>25.5839 * CHOOSE(CONTROL!$C$15, $E$9, 100%, $G$9) + CHOOSE(CONTROL!$C$38, 0.0339, 0)</f>
        <v>25.617799999999999</v>
      </c>
      <c r="C195" s="17">
        <f>23.3361 * CHOOSE(CONTROL!$C$15, $E$9, 100%, $G$9) + CHOOSE(CONTROL!$C$38, 0.034, 0)</f>
        <v>23.370099999999997</v>
      </c>
      <c r="D195" s="17">
        <f>23.3283 * CHOOSE(CONTROL!$C$15, $E$9, 100%, $G$9) + CHOOSE(CONTROL!$C$38, 0.034, 0)</f>
        <v>23.362299999999998</v>
      </c>
      <c r="E195" s="17">
        <f>23.3283 * CHOOSE(CONTROL!$C$15, $E$9, 100%, $G$9) + CHOOSE(CONTROL!$C$38, 0.034, 0)</f>
        <v>23.362299999999998</v>
      </c>
      <c r="F195" s="45">
        <f>25.5839 * CHOOSE(CONTROL!$C$15, $E$9, 100%, $G$9) + CHOOSE(CONTROL!$C$38, 0.0339, 0)</f>
        <v>25.617799999999999</v>
      </c>
      <c r="G195" s="17">
        <f>23.3345 * CHOOSE(CONTROL!$C$15, $E$9, 100%, $G$9) + CHOOSE(CONTROL!$C$38, 0.034, 0)</f>
        <v>23.368499999999997</v>
      </c>
      <c r="H195" s="17">
        <f>23.3345 * CHOOSE(CONTROL!$C$15, $E$9, 100%, $G$9) + CHOOSE(CONTROL!$C$38, 0.034, 0)</f>
        <v>23.368499999999997</v>
      </c>
      <c r="I195" s="17">
        <f>23.3361 * CHOOSE(CONTROL!$C$15, $E$9, 100%, $G$9) + CHOOSE(CONTROL!$C$38, 0.034, 0)</f>
        <v>23.370099999999997</v>
      </c>
      <c r="J195" s="44">
        <f>160.11</f>
        <v>160.11000000000001</v>
      </c>
    </row>
    <row r="196" spans="1:10" ht="15" x14ac:dyDescent="0.2">
      <c r="A196" s="16">
        <v>46508</v>
      </c>
      <c r="B196" s="17">
        <f>24.8723 * CHOOSE(CONTROL!$C$15, $E$9, 100%, $G$9) + CHOOSE(CONTROL!$C$38, 0.0355, 0)</f>
        <v>24.907799999999998</v>
      </c>
      <c r="C196" s="17">
        <f>22.6202 * CHOOSE(CONTROL!$C$15, $E$9, 100%, $G$9) + CHOOSE(CONTROL!$C$38, 0.0356, 0)</f>
        <v>22.655799999999999</v>
      </c>
      <c r="D196" s="17">
        <f>22.6124 * CHOOSE(CONTROL!$C$15, $E$9, 100%, $G$9) + CHOOSE(CONTROL!$C$38, 0.0356, 0)</f>
        <v>22.648</v>
      </c>
      <c r="E196" s="17">
        <f>22.6124 * CHOOSE(CONTROL!$C$15, $E$9, 100%, $G$9) + CHOOSE(CONTROL!$C$38, 0.0356, 0)</f>
        <v>22.648</v>
      </c>
      <c r="F196" s="45">
        <f>24.8723 * CHOOSE(CONTROL!$C$15, $E$9, 100%, $G$9) + CHOOSE(CONTROL!$C$38, 0.0355, 0)</f>
        <v>24.907799999999998</v>
      </c>
      <c r="G196" s="17">
        <f>22.6186 * CHOOSE(CONTROL!$C$15, $E$9, 100%, $G$9) + CHOOSE(CONTROL!$C$38, 0.0356, 0)</f>
        <v>22.654199999999999</v>
      </c>
      <c r="H196" s="17">
        <f>22.6186 * CHOOSE(CONTROL!$C$15, $E$9, 100%, $G$9) + CHOOSE(CONTROL!$C$38, 0.0356, 0)</f>
        <v>22.654199999999999</v>
      </c>
      <c r="I196" s="17">
        <f>22.6202 * CHOOSE(CONTROL!$C$15, $E$9, 100%, $G$9) + CHOOSE(CONTROL!$C$38, 0.0356, 0)</f>
        <v>22.655799999999999</v>
      </c>
      <c r="J196" s="44">
        <f>165.8238</f>
        <v>165.82380000000001</v>
      </c>
    </row>
    <row r="197" spans="1:10" ht="15" x14ac:dyDescent="0.2">
      <c r="A197" s="16">
        <v>46539</v>
      </c>
      <c r="B197" s="17">
        <f>24.3863 * CHOOSE(CONTROL!$C$15, $E$9, 100%, $G$9) + CHOOSE(CONTROL!$C$38, 0.0355, 0)</f>
        <v>24.421799999999998</v>
      </c>
      <c r="C197" s="17">
        <f>22.1298 * CHOOSE(CONTROL!$C$15, $E$9, 100%, $G$9) + CHOOSE(CONTROL!$C$38, 0.0356, 0)</f>
        <v>22.165399999999998</v>
      </c>
      <c r="D197" s="17">
        <f>22.122 * CHOOSE(CONTROL!$C$15, $E$9, 100%, $G$9) + CHOOSE(CONTROL!$C$38, 0.0356, 0)</f>
        <v>22.157599999999999</v>
      </c>
      <c r="E197" s="17">
        <f>22.122 * CHOOSE(CONTROL!$C$15, $E$9, 100%, $G$9) + CHOOSE(CONTROL!$C$38, 0.0356, 0)</f>
        <v>22.157599999999999</v>
      </c>
      <c r="F197" s="45">
        <f>24.3863 * CHOOSE(CONTROL!$C$15, $E$9, 100%, $G$9) + CHOOSE(CONTROL!$C$38, 0.0355, 0)</f>
        <v>24.421799999999998</v>
      </c>
      <c r="G197" s="17">
        <f>22.1282 * CHOOSE(CONTROL!$C$15, $E$9, 100%, $G$9) + CHOOSE(CONTROL!$C$38, 0.0356, 0)</f>
        <v>22.163799999999998</v>
      </c>
      <c r="H197" s="17">
        <f>22.1282 * CHOOSE(CONTROL!$C$15, $E$9, 100%, $G$9) + CHOOSE(CONTROL!$C$38, 0.0356, 0)</f>
        <v>22.163799999999998</v>
      </c>
      <c r="I197" s="17">
        <f>22.1298 * CHOOSE(CONTROL!$C$15, $E$9, 100%, $G$9) + CHOOSE(CONTROL!$C$38, 0.0356, 0)</f>
        <v>22.165399999999998</v>
      </c>
      <c r="J197" s="44">
        <f>168.5596</f>
        <v>168.55959999999999</v>
      </c>
    </row>
    <row r="198" spans="1:10" ht="15" x14ac:dyDescent="0.2">
      <c r="A198" s="16">
        <v>46569</v>
      </c>
      <c r="B198" s="17">
        <f>24.1287 * CHOOSE(CONTROL!$C$15, $E$9, 100%, $G$9) + CHOOSE(CONTROL!$C$38, 0.0355, 0)</f>
        <v>24.164199999999997</v>
      </c>
      <c r="C198" s="17">
        <f>21.8679 * CHOOSE(CONTROL!$C$15, $E$9, 100%, $G$9) + CHOOSE(CONTROL!$C$38, 0.0356, 0)</f>
        <v>21.903499999999998</v>
      </c>
      <c r="D198" s="17">
        <f>21.8601 * CHOOSE(CONTROL!$C$15, $E$9, 100%, $G$9) + CHOOSE(CONTROL!$C$38, 0.0356, 0)</f>
        <v>21.895699999999998</v>
      </c>
      <c r="E198" s="17">
        <f>21.8601 * CHOOSE(CONTROL!$C$15, $E$9, 100%, $G$9) + CHOOSE(CONTROL!$C$38, 0.0356, 0)</f>
        <v>21.895699999999998</v>
      </c>
      <c r="F198" s="45">
        <f>24.1287 * CHOOSE(CONTROL!$C$15, $E$9, 100%, $G$9) + CHOOSE(CONTROL!$C$38, 0.0355, 0)</f>
        <v>24.164199999999997</v>
      </c>
      <c r="G198" s="17">
        <f>21.8663 * CHOOSE(CONTROL!$C$15, $E$9, 100%, $G$9) + CHOOSE(CONTROL!$C$38, 0.0356, 0)</f>
        <v>21.901899999999998</v>
      </c>
      <c r="H198" s="17">
        <f>21.8663 * CHOOSE(CONTROL!$C$15, $E$9, 100%, $G$9) + CHOOSE(CONTROL!$C$38, 0.0356, 0)</f>
        <v>21.901899999999998</v>
      </c>
      <c r="I198" s="17">
        <f>21.8679 * CHOOSE(CONTROL!$C$15, $E$9, 100%, $G$9) + CHOOSE(CONTROL!$C$38, 0.0356, 0)</f>
        <v>21.903499999999998</v>
      </c>
      <c r="J198" s="44">
        <f>168.1169</f>
        <v>168.11689999999999</v>
      </c>
    </row>
    <row r="199" spans="1:10" ht="15" x14ac:dyDescent="0.2">
      <c r="A199" s="16">
        <v>46600</v>
      </c>
      <c r="B199" s="17">
        <f>24.3287 * CHOOSE(CONTROL!$C$15, $E$9, 100%, $G$9) + CHOOSE(CONTROL!$C$38, 0.0355, 0)</f>
        <v>24.3642</v>
      </c>
      <c r="C199" s="17">
        <f>22.0636 * CHOOSE(CONTROL!$C$15, $E$9, 100%, $G$9) + CHOOSE(CONTROL!$C$38, 0.0356, 0)</f>
        <v>22.0992</v>
      </c>
      <c r="D199" s="17">
        <f>22.0558 * CHOOSE(CONTROL!$C$15, $E$9, 100%, $G$9) + CHOOSE(CONTROL!$C$38, 0.0356, 0)</f>
        <v>22.0914</v>
      </c>
      <c r="E199" s="17">
        <f>22.0558 * CHOOSE(CONTROL!$C$15, $E$9, 100%, $G$9) + CHOOSE(CONTROL!$C$38, 0.0356, 0)</f>
        <v>22.0914</v>
      </c>
      <c r="F199" s="45">
        <f>24.3287 * CHOOSE(CONTROL!$C$15, $E$9, 100%, $G$9) + CHOOSE(CONTROL!$C$38, 0.0355, 0)</f>
        <v>24.3642</v>
      </c>
      <c r="G199" s="17">
        <f>22.062 * CHOOSE(CONTROL!$C$15, $E$9, 100%, $G$9) + CHOOSE(CONTROL!$C$38, 0.0356, 0)</f>
        <v>22.0976</v>
      </c>
      <c r="H199" s="17">
        <f>22.062 * CHOOSE(CONTROL!$C$15, $E$9, 100%, $G$9) + CHOOSE(CONTROL!$C$38, 0.0356, 0)</f>
        <v>22.0976</v>
      </c>
      <c r="I199" s="17">
        <f>22.0636 * CHOOSE(CONTROL!$C$15, $E$9, 100%, $G$9) + CHOOSE(CONTROL!$C$38, 0.0356, 0)</f>
        <v>22.0992</v>
      </c>
      <c r="J199" s="44">
        <f>164.5414</f>
        <v>164.54140000000001</v>
      </c>
    </row>
    <row r="200" spans="1:10" ht="15" x14ac:dyDescent="0.2">
      <c r="A200" s="16">
        <v>46631</v>
      </c>
      <c r="B200" s="17">
        <f>24.7902 * CHOOSE(CONTROL!$C$15, $E$9, 100%, $G$9) + CHOOSE(CONTROL!$C$38, 0.0355, 0)</f>
        <v>24.825699999999998</v>
      </c>
      <c r="C200" s="17">
        <f>22.5207 * CHOOSE(CONTROL!$C$15, $E$9, 100%, $G$9) + CHOOSE(CONTROL!$C$38, 0.0356, 0)</f>
        <v>22.5563</v>
      </c>
      <c r="D200" s="17">
        <f>22.5128 * CHOOSE(CONTROL!$C$15, $E$9, 100%, $G$9) + CHOOSE(CONTROL!$C$38, 0.0356, 0)</f>
        <v>22.548399999999997</v>
      </c>
      <c r="E200" s="17">
        <f>22.5128 * CHOOSE(CONTROL!$C$15, $E$9, 100%, $G$9) + CHOOSE(CONTROL!$C$38, 0.0356, 0)</f>
        <v>22.548399999999997</v>
      </c>
      <c r="F200" s="45">
        <f>24.7902 * CHOOSE(CONTROL!$C$15, $E$9, 100%, $G$9) + CHOOSE(CONTROL!$C$38, 0.0355, 0)</f>
        <v>24.825699999999998</v>
      </c>
      <c r="G200" s="17">
        <f>22.5191 * CHOOSE(CONTROL!$C$15, $E$9, 100%, $G$9) + CHOOSE(CONTROL!$C$38, 0.0356, 0)</f>
        <v>22.5547</v>
      </c>
      <c r="H200" s="17">
        <f>22.5191 * CHOOSE(CONTROL!$C$15, $E$9, 100%, $G$9) + CHOOSE(CONTROL!$C$38, 0.0356, 0)</f>
        <v>22.5547</v>
      </c>
      <c r="I200" s="17">
        <f>22.5207 * CHOOSE(CONTROL!$C$15, $E$9, 100%, $G$9) + CHOOSE(CONTROL!$C$38, 0.0356, 0)</f>
        <v>22.5563</v>
      </c>
      <c r="J200" s="44">
        <f>159.4</f>
        <v>159.4</v>
      </c>
    </row>
    <row r="201" spans="1:10" ht="15" x14ac:dyDescent="0.2">
      <c r="A201" s="16">
        <v>46661</v>
      </c>
      <c r="B201" s="17">
        <f>25.1862 * CHOOSE(CONTROL!$C$15, $E$9, 100%, $G$9) + CHOOSE(CONTROL!$C$38, 0.0339, 0)</f>
        <v>25.220099999999999</v>
      </c>
      <c r="C201" s="17">
        <f>22.9124 * CHOOSE(CONTROL!$C$15, $E$9, 100%, $G$9) + CHOOSE(CONTROL!$C$38, 0.034, 0)</f>
        <v>22.946400000000001</v>
      </c>
      <c r="D201" s="17">
        <f>22.9046 * CHOOSE(CONTROL!$C$15, $E$9, 100%, $G$9) + CHOOSE(CONTROL!$C$38, 0.034, 0)</f>
        <v>22.938599999999997</v>
      </c>
      <c r="E201" s="17">
        <f>22.9046 * CHOOSE(CONTROL!$C$15, $E$9, 100%, $G$9) + CHOOSE(CONTROL!$C$38, 0.034, 0)</f>
        <v>22.938599999999997</v>
      </c>
      <c r="F201" s="45">
        <f>25.1862 * CHOOSE(CONTROL!$C$15, $E$9, 100%, $G$9) + CHOOSE(CONTROL!$C$38, 0.0339, 0)</f>
        <v>25.220099999999999</v>
      </c>
      <c r="G201" s="17">
        <f>22.9108 * CHOOSE(CONTROL!$C$15, $E$9, 100%, $G$9) + CHOOSE(CONTROL!$C$38, 0.034, 0)</f>
        <v>22.944799999999997</v>
      </c>
      <c r="H201" s="17">
        <f>22.9108 * CHOOSE(CONTROL!$C$15, $E$9, 100%, $G$9) + CHOOSE(CONTROL!$C$38, 0.034, 0)</f>
        <v>22.944799999999997</v>
      </c>
      <c r="I201" s="17">
        <f>22.9124 * CHOOSE(CONTROL!$C$15, $E$9, 100%, $G$9) + CHOOSE(CONTROL!$C$38, 0.034, 0)</f>
        <v>22.946400000000001</v>
      </c>
      <c r="J201" s="44">
        <f>154.2048</f>
        <v>154.20480000000001</v>
      </c>
    </row>
    <row r="202" spans="1:10" ht="15" x14ac:dyDescent="0.2">
      <c r="A202" s="16">
        <v>46692</v>
      </c>
      <c r="B202" s="17">
        <f>25.5264 * CHOOSE(CONTROL!$C$15, $E$9, 100%, $G$9) + CHOOSE(CONTROL!$C$38, 0.0339, 0)</f>
        <v>25.560299999999998</v>
      </c>
      <c r="C202" s="17">
        <f>23.2482 * CHOOSE(CONTROL!$C$15, $E$9, 100%, $G$9) + CHOOSE(CONTROL!$C$38, 0.034, 0)</f>
        <v>23.2822</v>
      </c>
      <c r="D202" s="17">
        <f>23.2403 * CHOOSE(CONTROL!$C$15, $E$9, 100%, $G$9) + CHOOSE(CONTROL!$C$38, 0.034, 0)</f>
        <v>23.2743</v>
      </c>
      <c r="E202" s="17">
        <f>23.2403 * CHOOSE(CONTROL!$C$15, $E$9, 100%, $G$9) + CHOOSE(CONTROL!$C$38, 0.034, 0)</f>
        <v>23.2743</v>
      </c>
      <c r="F202" s="45">
        <f>25.5264 * CHOOSE(CONTROL!$C$15, $E$9, 100%, $G$9) + CHOOSE(CONTROL!$C$38, 0.0339, 0)</f>
        <v>25.560299999999998</v>
      </c>
      <c r="G202" s="17">
        <f>23.2466 * CHOOSE(CONTROL!$C$15, $E$9, 100%, $G$9) + CHOOSE(CONTROL!$C$38, 0.034, 0)</f>
        <v>23.2806</v>
      </c>
      <c r="H202" s="17">
        <f>23.2466 * CHOOSE(CONTROL!$C$15, $E$9, 100%, $G$9) + CHOOSE(CONTROL!$C$38, 0.034, 0)</f>
        <v>23.2806</v>
      </c>
      <c r="I202" s="17">
        <f>23.2482 * CHOOSE(CONTROL!$C$15, $E$9, 100%, $G$9) + CHOOSE(CONTROL!$C$38, 0.034, 0)</f>
        <v>23.2822</v>
      </c>
      <c r="J202" s="44">
        <f>153.4214</f>
        <v>153.42140000000001</v>
      </c>
    </row>
    <row r="203" spans="1:10" ht="15" x14ac:dyDescent="0.2">
      <c r="A203" s="16">
        <v>46722</v>
      </c>
      <c r="B203" s="17">
        <f>26.4717 * CHOOSE(CONTROL!$C$15, $E$9, 100%, $G$9) + CHOOSE(CONTROL!$C$38, 0.0339, 0)</f>
        <v>26.505599999999998</v>
      </c>
      <c r="C203" s="17">
        <f>24.1891 * CHOOSE(CONTROL!$C$15, $E$9, 100%, $G$9) + CHOOSE(CONTROL!$C$38, 0.034, 0)</f>
        <v>24.223099999999999</v>
      </c>
      <c r="D203" s="17">
        <f>24.1813 * CHOOSE(CONTROL!$C$15, $E$9, 100%, $G$9) + CHOOSE(CONTROL!$C$38, 0.034, 0)</f>
        <v>24.215299999999999</v>
      </c>
      <c r="E203" s="17">
        <f>24.1813 * CHOOSE(CONTROL!$C$15, $E$9, 100%, $G$9) + CHOOSE(CONTROL!$C$38, 0.034, 0)</f>
        <v>24.215299999999999</v>
      </c>
      <c r="F203" s="45">
        <f>26.4717 * CHOOSE(CONTROL!$C$15, $E$9, 100%, $G$9) + CHOOSE(CONTROL!$C$38, 0.0339, 0)</f>
        <v>26.505599999999998</v>
      </c>
      <c r="G203" s="17">
        <f>24.1876 * CHOOSE(CONTROL!$C$15, $E$9, 100%, $G$9) + CHOOSE(CONTROL!$C$38, 0.034, 0)</f>
        <v>24.221599999999999</v>
      </c>
      <c r="H203" s="17">
        <f>24.1876 * CHOOSE(CONTROL!$C$15, $E$9, 100%, $G$9) + CHOOSE(CONTROL!$C$38, 0.034, 0)</f>
        <v>24.221599999999999</v>
      </c>
      <c r="I203" s="17">
        <f>24.1891 * CHOOSE(CONTROL!$C$15, $E$9, 100%, $G$9) + CHOOSE(CONTROL!$C$38, 0.034, 0)</f>
        <v>24.223099999999999</v>
      </c>
      <c r="J203" s="44">
        <f>149.1753</f>
        <v>149.17529999999999</v>
      </c>
    </row>
    <row r="204" spans="1:10" ht="15" x14ac:dyDescent="0.2">
      <c r="A204" s="16">
        <v>46753</v>
      </c>
      <c r="B204" s="17">
        <f>27.181 * CHOOSE(CONTROL!$C$15, $E$9, 100%, $G$9) + CHOOSE(CONTROL!$C$38, 0.0339, 0)</f>
        <v>27.2149</v>
      </c>
      <c r="C204" s="17">
        <f>24.912 * CHOOSE(CONTROL!$C$15, $E$9, 100%, $G$9) + CHOOSE(CONTROL!$C$38, 0.034, 0)</f>
        <v>24.945999999999998</v>
      </c>
      <c r="D204" s="17">
        <f>24.9042 * CHOOSE(CONTROL!$C$15, $E$9, 100%, $G$9) + CHOOSE(CONTROL!$C$38, 0.034, 0)</f>
        <v>24.938199999999998</v>
      </c>
      <c r="E204" s="17">
        <f>24.9042 * CHOOSE(CONTROL!$C$15, $E$9, 100%, $G$9) + CHOOSE(CONTROL!$C$38, 0.034, 0)</f>
        <v>24.938199999999998</v>
      </c>
      <c r="F204" s="45">
        <f>27.181 * CHOOSE(CONTROL!$C$15, $E$9, 100%, $G$9) + CHOOSE(CONTROL!$C$38, 0.0339, 0)</f>
        <v>27.2149</v>
      </c>
      <c r="G204" s="17">
        <f>24.9104 * CHOOSE(CONTROL!$C$15, $E$9, 100%, $G$9) + CHOOSE(CONTROL!$C$38, 0.034, 0)</f>
        <v>24.944399999999998</v>
      </c>
      <c r="H204" s="17">
        <f>24.9104 * CHOOSE(CONTROL!$C$15, $E$9, 100%, $G$9) + CHOOSE(CONTROL!$C$38, 0.034, 0)</f>
        <v>24.944399999999998</v>
      </c>
      <c r="I204" s="17">
        <f>24.912 * CHOOSE(CONTROL!$C$15, $E$9, 100%, $G$9) + CHOOSE(CONTROL!$C$38, 0.034, 0)</f>
        <v>24.945999999999998</v>
      </c>
      <c r="J204" s="44">
        <f>145.9239</f>
        <v>145.9239</v>
      </c>
    </row>
    <row r="205" spans="1:10" ht="15" x14ac:dyDescent="0.2">
      <c r="A205" s="16">
        <v>46784</v>
      </c>
      <c r="B205" s="17">
        <f>27.5682 * CHOOSE(CONTROL!$C$15, $E$9, 100%, $G$9) + CHOOSE(CONTROL!$C$38, 0.0339, 0)</f>
        <v>27.6021</v>
      </c>
      <c r="C205" s="17">
        <f>25.2948 * CHOOSE(CONTROL!$C$15, $E$9, 100%, $G$9) + CHOOSE(CONTROL!$C$38, 0.034, 0)</f>
        <v>25.328799999999998</v>
      </c>
      <c r="D205" s="17">
        <f>25.287 * CHOOSE(CONTROL!$C$15, $E$9, 100%, $G$9) + CHOOSE(CONTROL!$C$38, 0.034, 0)</f>
        <v>25.320999999999998</v>
      </c>
      <c r="E205" s="17">
        <f>25.287 * CHOOSE(CONTROL!$C$15, $E$9, 100%, $G$9) + CHOOSE(CONTROL!$C$38, 0.034, 0)</f>
        <v>25.320999999999998</v>
      </c>
      <c r="F205" s="45">
        <f>27.5682 * CHOOSE(CONTROL!$C$15, $E$9, 100%, $G$9) + CHOOSE(CONTROL!$C$38, 0.0339, 0)</f>
        <v>27.6021</v>
      </c>
      <c r="G205" s="17">
        <f>25.2933 * CHOOSE(CONTROL!$C$15, $E$9, 100%, $G$9) + CHOOSE(CONTROL!$C$38, 0.034, 0)</f>
        <v>25.327299999999997</v>
      </c>
      <c r="H205" s="17">
        <f>25.2933 * CHOOSE(CONTROL!$C$15, $E$9, 100%, $G$9) + CHOOSE(CONTROL!$C$38, 0.034, 0)</f>
        <v>25.327299999999997</v>
      </c>
      <c r="I205" s="17">
        <f>25.2948 * CHOOSE(CONTROL!$C$15, $E$9, 100%, $G$9) + CHOOSE(CONTROL!$C$38, 0.034, 0)</f>
        <v>25.328799999999998</v>
      </c>
      <c r="J205" s="44">
        <f>145.818</f>
        <v>145.81800000000001</v>
      </c>
    </row>
    <row r="206" spans="1:10" ht="15" x14ac:dyDescent="0.2">
      <c r="A206" s="16">
        <v>46813</v>
      </c>
      <c r="B206" s="17">
        <f>26.8525 * CHOOSE(CONTROL!$C$15, $E$9, 100%, $G$9) + CHOOSE(CONTROL!$C$38, 0.0339, 0)</f>
        <v>26.886399999999998</v>
      </c>
      <c r="C206" s="17">
        <f>24.5748 * CHOOSE(CONTROL!$C$15, $E$9, 100%, $G$9) + CHOOSE(CONTROL!$C$38, 0.034, 0)</f>
        <v>24.608799999999999</v>
      </c>
      <c r="D206" s="17">
        <f>24.5669 * CHOOSE(CONTROL!$C$15, $E$9, 100%, $G$9) + CHOOSE(CONTROL!$C$38, 0.034, 0)</f>
        <v>24.600899999999999</v>
      </c>
      <c r="E206" s="17">
        <f>24.5669 * CHOOSE(CONTROL!$C$15, $E$9, 100%, $G$9) + CHOOSE(CONTROL!$C$38, 0.034, 0)</f>
        <v>24.600899999999999</v>
      </c>
      <c r="F206" s="45">
        <f>26.8525 * CHOOSE(CONTROL!$C$15, $E$9, 100%, $G$9) + CHOOSE(CONTROL!$C$38, 0.0339, 0)</f>
        <v>26.886399999999998</v>
      </c>
      <c r="G206" s="17">
        <f>24.5732 * CHOOSE(CONTROL!$C$15, $E$9, 100%, $G$9) + CHOOSE(CONTROL!$C$38, 0.034, 0)</f>
        <v>24.607199999999999</v>
      </c>
      <c r="H206" s="17">
        <f>24.5732 * CHOOSE(CONTROL!$C$15, $E$9, 100%, $G$9) + CHOOSE(CONTROL!$C$38, 0.034, 0)</f>
        <v>24.607199999999999</v>
      </c>
      <c r="I206" s="17">
        <f>24.5748 * CHOOSE(CONTROL!$C$15, $E$9, 100%, $G$9) + CHOOSE(CONTROL!$C$38, 0.034, 0)</f>
        <v>24.608799999999999</v>
      </c>
      <c r="J206" s="44">
        <f>153.8197</f>
        <v>153.81970000000001</v>
      </c>
    </row>
    <row r="207" spans="1:10" ht="15" x14ac:dyDescent="0.2">
      <c r="A207" s="16">
        <v>46844</v>
      </c>
      <c r="B207" s="17">
        <f>26.1577 * CHOOSE(CONTROL!$C$15, $E$9, 100%, $G$9) + CHOOSE(CONTROL!$C$38, 0.0339, 0)</f>
        <v>26.191599999999998</v>
      </c>
      <c r="C207" s="17">
        <f>23.8756 * CHOOSE(CONTROL!$C$15, $E$9, 100%, $G$9) + CHOOSE(CONTROL!$C$38, 0.034, 0)</f>
        <v>23.909599999999998</v>
      </c>
      <c r="D207" s="17">
        <f>23.8678 * CHOOSE(CONTROL!$C$15, $E$9, 100%, $G$9) + CHOOSE(CONTROL!$C$38, 0.034, 0)</f>
        <v>23.901799999999998</v>
      </c>
      <c r="E207" s="17">
        <f>23.8678 * CHOOSE(CONTROL!$C$15, $E$9, 100%, $G$9) + CHOOSE(CONTROL!$C$38, 0.034, 0)</f>
        <v>23.901799999999998</v>
      </c>
      <c r="F207" s="45">
        <f>26.1577 * CHOOSE(CONTROL!$C$15, $E$9, 100%, $G$9) + CHOOSE(CONTROL!$C$38, 0.0339, 0)</f>
        <v>26.191599999999998</v>
      </c>
      <c r="G207" s="17">
        <f>23.874 * CHOOSE(CONTROL!$C$15, $E$9, 100%, $G$9) + CHOOSE(CONTROL!$C$38, 0.034, 0)</f>
        <v>23.907999999999998</v>
      </c>
      <c r="H207" s="17">
        <f>23.874 * CHOOSE(CONTROL!$C$15, $E$9, 100%, $G$9) + CHOOSE(CONTROL!$C$38, 0.034, 0)</f>
        <v>23.907999999999998</v>
      </c>
      <c r="I207" s="17">
        <f>23.8756 * CHOOSE(CONTROL!$C$15, $E$9, 100%, $G$9) + CHOOSE(CONTROL!$C$38, 0.034, 0)</f>
        <v>23.909599999999998</v>
      </c>
      <c r="J207" s="44">
        <f>164.1438</f>
        <v>164.1438</v>
      </c>
    </row>
    <row r="208" spans="1:10" ht="15" x14ac:dyDescent="0.2">
      <c r="A208" s="16">
        <v>46874</v>
      </c>
      <c r="B208" s="17">
        <f>25.4282 * CHOOSE(CONTROL!$C$15, $E$9, 100%, $G$9) + CHOOSE(CONTROL!$C$38, 0.0355, 0)</f>
        <v>25.463699999999999</v>
      </c>
      <c r="C208" s="17">
        <f>23.1417 * CHOOSE(CONTROL!$C$15, $E$9, 100%, $G$9) + CHOOSE(CONTROL!$C$38, 0.0356, 0)</f>
        <v>23.177299999999999</v>
      </c>
      <c r="D208" s="17">
        <f>23.1339 * CHOOSE(CONTROL!$C$15, $E$9, 100%, $G$9) + CHOOSE(CONTROL!$C$38, 0.0356, 0)</f>
        <v>23.169499999999999</v>
      </c>
      <c r="E208" s="17">
        <f>23.1339 * CHOOSE(CONTROL!$C$15, $E$9, 100%, $G$9) + CHOOSE(CONTROL!$C$38, 0.0356, 0)</f>
        <v>23.169499999999999</v>
      </c>
      <c r="F208" s="45">
        <f>25.4282 * CHOOSE(CONTROL!$C$15, $E$9, 100%, $G$9) + CHOOSE(CONTROL!$C$38, 0.0355, 0)</f>
        <v>25.463699999999999</v>
      </c>
      <c r="G208" s="17">
        <f>23.1402 * CHOOSE(CONTROL!$C$15, $E$9, 100%, $G$9) + CHOOSE(CONTROL!$C$38, 0.0356, 0)</f>
        <v>23.175799999999999</v>
      </c>
      <c r="H208" s="17">
        <f>23.1402 * CHOOSE(CONTROL!$C$15, $E$9, 100%, $G$9) + CHOOSE(CONTROL!$C$38, 0.0356, 0)</f>
        <v>23.175799999999999</v>
      </c>
      <c r="I208" s="17">
        <f>23.1417 * CHOOSE(CONTROL!$C$15, $E$9, 100%, $G$9) + CHOOSE(CONTROL!$C$38, 0.0356, 0)</f>
        <v>23.177299999999999</v>
      </c>
      <c r="J208" s="44">
        <f>170.0016</f>
        <v>170.0016</v>
      </c>
    </row>
    <row r="209" spans="1:10" ht="15" x14ac:dyDescent="0.2">
      <c r="A209" s="16">
        <v>46905</v>
      </c>
      <c r="B209" s="17">
        <f>24.9299 * CHOOSE(CONTROL!$C$15, $E$9, 100%, $G$9) + CHOOSE(CONTROL!$C$38, 0.0355, 0)</f>
        <v>24.965399999999999</v>
      </c>
      <c r="C209" s="17">
        <f>22.639 * CHOOSE(CONTROL!$C$15, $E$9, 100%, $G$9) + CHOOSE(CONTROL!$C$38, 0.0356, 0)</f>
        <v>22.674599999999998</v>
      </c>
      <c r="D209" s="17">
        <f>22.6312 * CHOOSE(CONTROL!$C$15, $E$9, 100%, $G$9) + CHOOSE(CONTROL!$C$38, 0.0356, 0)</f>
        <v>22.666799999999999</v>
      </c>
      <c r="E209" s="17">
        <f>22.6312 * CHOOSE(CONTROL!$C$15, $E$9, 100%, $G$9) + CHOOSE(CONTROL!$C$38, 0.0356, 0)</f>
        <v>22.666799999999999</v>
      </c>
      <c r="F209" s="45">
        <f>24.9299 * CHOOSE(CONTROL!$C$15, $E$9, 100%, $G$9) + CHOOSE(CONTROL!$C$38, 0.0355, 0)</f>
        <v>24.965399999999999</v>
      </c>
      <c r="G209" s="17">
        <f>22.6374 * CHOOSE(CONTROL!$C$15, $E$9, 100%, $G$9) + CHOOSE(CONTROL!$C$38, 0.0356, 0)</f>
        <v>22.672999999999998</v>
      </c>
      <c r="H209" s="17">
        <f>22.6374 * CHOOSE(CONTROL!$C$15, $E$9, 100%, $G$9) + CHOOSE(CONTROL!$C$38, 0.0356, 0)</f>
        <v>22.672999999999998</v>
      </c>
      <c r="I209" s="17">
        <f>22.639 * CHOOSE(CONTROL!$C$15, $E$9, 100%, $G$9) + CHOOSE(CONTROL!$C$38, 0.0356, 0)</f>
        <v>22.674599999999998</v>
      </c>
      <c r="J209" s="44">
        <f>172.8064</f>
        <v>172.8064</v>
      </c>
    </row>
    <row r="210" spans="1:10" ht="15" x14ac:dyDescent="0.2">
      <c r="A210" s="16">
        <v>46935</v>
      </c>
      <c r="B210" s="17">
        <f>24.6658 * CHOOSE(CONTROL!$C$15, $E$9, 100%, $G$9) + CHOOSE(CONTROL!$C$38, 0.0355, 0)</f>
        <v>24.7013</v>
      </c>
      <c r="C210" s="17">
        <f>22.3705 * CHOOSE(CONTROL!$C$15, $E$9, 100%, $G$9) + CHOOSE(CONTROL!$C$38, 0.0356, 0)</f>
        <v>22.406099999999999</v>
      </c>
      <c r="D210" s="17">
        <f>22.3627 * CHOOSE(CONTROL!$C$15, $E$9, 100%, $G$9) + CHOOSE(CONTROL!$C$38, 0.0356, 0)</f>
        <v>22.398299999999999</v>
      </c>
      <c r="E210" s="17">
        <f>22.3627 * CHOOSE(CONTROL!$C$15, $E$9, 100%, $G$9) + CHOOSE(CONTROL!$C$38, 0.0356, 0)</f>
        <v>22.398299999999999</v>
      </c>
      <c r="F210" s="45">
        <f>24.6658 * CHOOSE(CONTROL!$C$15, $E$9, 100%, $G$9) + CHOOSE(CONTROL!$C$38, 0.0355, 0)</f>
        <v>24.7013</v>
      </c>
      <c r="G210" s="17">
        <f>22.3689 * CHOOSE(CONTROL!$C$15, $E$9, 100%, $G$9) + CHOOSE(CONTROL!$C$38, 0.0356, 0)</f>
        <v>22.404499999999999</v>
      </c>
      <c r="H210" s="17">
        <f>22.3689 * CHOOSE(CONTROL!$C$15, $E$9, 100%, $G$9) + CHOOSE(CONTROL!$C$38, 0.0356, 0)</f>
        <v>22.404499999999999</v>
      </c>
      <c r="I210" s="17">
        <f>22.3705 * CHOOSE(CONTROL!$C$15, $E$9, 100%, $G$9) + CHOOSE(CONTROL!$C$38, 0.0356, 0)</f>
        <v>22.406099999999999</v>
      </c>
      <c r="J210" s="44">
        <f>172.3525</f>
        <v>172.35249999999999</v>
      </c>
    </row>
    <row r="211" spans="1:10" ht="15" x14ac:dyDescent="0.2">
      <c r="A211" s="16">
        <v>46966</v>
      </c>
      <c r="B211" s="17">
        <f>24.8707 * CHOOSE(CONTROL!$C$15, $E$9, 100%, $G$9) + CHOOSE(CONTROL!$C$38, 0.0355, 0)</f>
        <v>24.906199999999998</v>
      </c>
      <c r="C211" s="17">
        <f>22.571 * CHOOSE(CONTROL!$C$15, $E$9, 100%, $G$9) + CHOOSE(CONTROL!$C$38, 0.0356, 0)</f>
        <v>22.6066</v>
      </c>
      <c r="D211" s="17">
        <f>22.5632 * CHOOSE(CONTROL!$C$15, $E$9, 100%, $G$9) + CHOOSE(CONTROL!$C$38, 0.0356, 0)</f>
        <v>22.598799999999997</v>
      </c>
      <c r="E211" s="17">
        <f>22.5632 * CHOOSE(CONTROL!$C$15, $E$9, 100%, $G$9) + CHOOSE(CONTROL!$C$38, 0.0356, 0)</f>
        <v>22.598799999999997</v>
      </c>
      <c r="F211" s="45">
        <f>24.8707 * CHOOSE(CONTROL!$C$15, $E$9, 100%, $G$9) + CHOOSE(CONTROL!$C$38, 0.0355, 0)</f>
        <v>24.906199999999998</v>
      </c>
      <c r="G211" s="17">
        <f>22.5694 * CHOOSE(CONTROL!$C$15, $E$9, 100%, $G$9) + CHOOSE(CONTROL!$C$38, 0.0356, 0)</f>
        <v>22.605</v>
      </c>
      <c r="H211" s="17">
        <f>22.5694 * CHOOSE(CONTROL!$C$15, $E$9, 100%, $G$9) + CHOOSE(CONTROL!$C$38, 0.0356, 0)</f>
        <v>22.605</v>
      </c>
      <c r="I211" s="17">
        <f>22.571 * CHOOSE(CONTROL!$C$15, $E$9, 100%, $G$9) + CHOOSE(CONTROL!$C$38, 0.0356, 0)</f>
        <v>22.6066</v>
      </c>
      <c r="J211" s="44">
        <f>168.6869</f>
        <v>168.68690000000001</v>
      </c>
    </row>
    <row r="212" spans="1:10" ht="15" x14ac:dyDescent="0.2">
      <c r="A212" s="16">
        <v>46997</v>
      </c>
      <c r="B212" s="17">
        <f>25.3436 * CHOOSE(CONTROL!$C$15, $E$9, 100%, $G$9) + CHOOSE(CONTROL!$C$38, 0.0355, 0)</f>
        <v>25.379099999999998</v>
      </c>
      <c r="C212" s="17">
        <f>23.0395 * CHOOSE(CONTROL!$C$15, $E$9, 100%, $G$9) + CHOOSE(CONTROL!$C$38, 0.0356, 0)</f>
        <v>23.075099999999999</v>
      </c>
      <c r="D212" s="17">
        <f>23.0316 * CHOOSE(CONTROL!$C$15, $E$9, 100%, $G$9) + CHOOSE(CONTROL!$C$38, 0.0356, 0)</f>
        <v>23.0672</v>
      </c>
      <c r="E212" s="17">
        <f>23.0316 * CHOOSE(CONTROL!$C$15, $E$9, 100%, $G$9) + CHOOSE(CONTROL!$C$38, 0.0356, 0)</f>
        <v>23.0672</v>
      </c>
      <c r="F212" s="45">
        <f>25.3436 * CHOOSE(CONTROL!$C$15, $E$9, 100%, $G$9) + CHOOSE(CONTROL!$C$38, 0.0355, 0)</f>
        <v>25.379099999999998</v>
      </c>
      <c r="G212" s="17">
        <f>23.0379 * CHOOSE(CONTROL!$C$15, $E$9, 100%, $G$9) + CHOOSE(CONTROL!$C$38, 0.0356, 0)</f>
        <v>23.073499999999999</v>
      </c>
      <c r="H212" s="17">
        <f>23.0379 * CHOOSE(CONTROL!$C$15, $E$9, 100%, $G$9) + CHOOSE(CONTROL!$C$38, 0.0356, 0)</f>
        <v>23.073499999999999</v>
      </c>
      <c r="I212" s="17">
        <f>23.0395 * CHOOSE(CONTROL!$C$15, $E$9, 100%, $G$9) + CHOOSE(CONTROL!$C$38, 0.0356, 0)</f>
        <v>23.075099999999999</v>
      </c>
      <c r="J212" s="44">
        <f>163.416</f>
        <v>163.416</v>
      </c>
    </row>
    <row r="213" spans="1:10" ht="15" x14ac:dyDescent="0.2">
      <c r="A213" s="16">
        <v>47027</v>
      </c>
      <c r="B213" s="17">
        <f>25.7494 * CHOOSE(CONTROL!$C$15, $E$9, 100%, $G$9) + CHOOSE(CONTROL!$C$38, 0.0339, 0)</f>
        <v>25.783300000000001</v>
      </c>
      <c r="C213" s="17">
        <f>23.4409 * CHOOSE(CONTROL!$C$15, $E$9, 100%, $G$9) + CHOOSE(CONTROL!$C$38, 0.034, 0)</f>
        <v>23.474899999999998</v>
      </c>
      <c r="D213" s="17">
        <f>23.4331 * CHOOSE(CONTROL!$C$15, $E$9, 100%, $G$9) + CHOOSE(CONTROL!$C$38, 0.034, 0)</f>
        <v>23.467099999999999</v>
      </c>
      <c r="E213" s="17">
        <f>23.4331 * CHOOSE(CONTROL!$C$15, $E$9, 100%, $G$9) + CHOOSE(CONTROL!$C$38, 0.034, 0)</f>
        <v>23.467099999999999</v>
      </c>
      <c r="F213" s="45">
        <f>25.7494 * CHOOSE(CONTROL!$C$15, $E$9, 100%, $G$9) + CHOOSE(CONTROL!$C$38, 0.0339, 0)</f>
        <v>25.783300000000001</v>
      </c>
      <c r="G213" s="17">
        <f>23.4393 * CHOOSE(CONTROL!$C$15, $E$9, 100%, $G$9) + CHOOSE(CONTROL!$C$38, 0.034, 0)</f>
        <v>23.473299999999998</v>
      </c>
      <c r="H213" s="17">
        <f>23.4393 * CHOOSE(CONTROL!$C$15, $E$9, 100%, $G$9) + CHOOSE(CONTROL!$C$38, 0.034, 0)</f>
        <v>23.473299999999998</v>
      </c>
      <c r="I213" s="17">
        <f>23.4409 * CHOOSE(CONTROL!$C$15, $E$9, 100%, $G$9) + CHOOSE(CONTROL!$C$38, 0.034, 0)</f>
        <v>23.474899999999998</v>
      </c>
      <c r="J213" s="44">
        <f>158.0899</f>
        <v>158.0899</v>
      </c>
    </row>
    <row r="214" spans="1:10" ht="15" x14ac:dyDescent="0.2">
      <c r="A214" s="16">
        <v>47058</v>
      </c>
      <c r="B214" s="17">
        <f>26.098 * CHOOSE(CONTROL!$C$15, $E$9, 100%, $G$9) + CHOOSE(CONTROL!$C$38, 0.0339, 0)</f>
        <v>26.131899999999998</v>
      </c>
      <c r="C214" s="17">
        <f>23.785 * CHOOSE(CONTROL!$C$15, $E$9, 100%, $G$9) + CHOOSE(CONTROL!$C$38, 0.034, 0)</f>
        <v>23.818999999999999</v>
      </c>
      <c r="D214" s="17">
        <f>23.7772 * CHOOSE(CONTROL!$C$15, $E$9, 100%, $G$9) + CHOOSE(CONTROL!$C$38, 0.034, 0)</f>
        <v>23.811199999999999</v>
      </c>
      <c r="E214" s="17">
        <f>23.7772 * CHOOSE(CONTROL!$C$15, $E$9, 100%, $G$9) + CHOOSE(CONTROL!$C$38, 0.034, 0)</f>
        <v>23.811199999999999</v>
      </c>
      <c r="F214" s="45">
        <f>26.098 * CHOOSE(CONTROL!$C$15, $E$9, 100%, $G$9) + CHOOSE(CONTROL!$C$38, 0.0339, 0)</f>
        <v>26.131899999999998</v>
      </c>
      <c r="G214" s="17">
        <f>23.7834 * CHOOSE(CONTROL!$C$15, $E$9, 100%, $G$9) + CHOOSE(CONTROL!$C$38, 0.034, 0)</f>
        <v>23.817399999999999</v>
      </c>
      <c r="H214" s="17">
        <f>23.7834 * CHOOSE(CONTROL!$C$15, $E$9, 100%, $G$9) + CHOOSE(CONTROL!$C$38, 0.034, 0)</f>
        <v>23.817399999999999</v>
      </c>
      <c r="I214" s="17">
        <f>23.785 * CHOOSE(CONTROL!$C$15, $E$9, 100%, $G$9) + CHOOSE(CONTROL!$C$38, 0.034, 0)</f>
        <v>23.818999999999999</v>
      </c>
      <c r="J214" s="44">
        <f>157.2868</f>
        <v>157.2868</v>
      </c>
    </row>
    <row r="215" spans="1:10" ht="15" x14ac:dyDescent="0.2">
      <c r="A215" s="16">
        <v>47088</v>
      </c>
      <c r="B215" s="17">
        <f>27.0668 * CHOOSE(CONTROL!$C$15, $E$9, 100%, $G$9) + CHOOSE(CONTROL!$C$38, 0.0339, 0)</f>
        <v>27.1007</v>
      </c>
      <c r="C215" s="17">
        <f>24.7494 * CHOOSE(CONTROL!$C$15, $E$9, 100%, $G$9) + CHOOSE(CONTROL!$C$38, 0.034, 0)</f>
        <v>24.7834</v>
      </c>
      <c r="D215" s="17">
        <f>24.7416 * CHOOSE(CONTROL!$C$15, $E$9, 100%, $G$9) + CHOOSE(CONTROL!$C$38, 0.034, 0)</f>
        <v>24.775599999999997</v>
      </c>
      <c r="E215" s="17">
        <f>24.7416 * CHOOSE(CONTROL!$C$15, $E$9, 100%, $G$9) + CHOOSE(CONTROL!$C$38, 0.034, 0)</f>
        <v>24.775599999999997</v>
      </c>
      <c r="F215" s="45">
        <f>27.0668 * CHOOSE(CONTROL!$C$15, $E$9, 100%, $G$9) + CHOOSE(CONTROL!$C$38, 0.0339, 0)</f>
        <v>27.1007</v>
      </c>
      <c r="G215" s="17">
        <f>24.7479 * CHOOSE(CONTROL!$C$15, $E$9, 100%, $G$9) + CHOOSE(CONTROL!$C$38, 0.034, 0)</f>
        <v>24.7819</v>
      </c>
      <c r="H215" s="17">
        <f>24.7479 * CHOOSE(CONTROL!$C$15, $E$9, 100%, $G$9) + CHOOSE(CONTROL!$C$38, 0.034, 0)</f>
        <v>24.7819</v>
      </c>
      <c r="I215" s="17">
        <f>24.7494 * CHOOSE(CONTROL!$C$15, $E$9, 100%, $G$9) + CHOOSE(CONTROL!$C$38, 0.034, 0)</f>
        <v>24.7834</v>
      </c>
      <c r="J215" s="44">
        <f>152.9336</f>
        <v>152.93360000000001</v>
      </c>
    </row>
    <row r="216" spans="1:10" ht="15" x14ac:dyDescent="0.2">
      <c r="A216" s="16">
        <v>47119</v>
      </c>
      <c r="B216" s="17">
        <f>27.8654 * CHOOSE(CONTROL!$C$15, $E$9, 100%, $G$9) + CHOOSE(CONTROL!$C$38, 0.0339, 0)</f>
        <v>27.8993</v>
      </c>
      <c r="C216" s="17">
        <f>25.5596 * CHOOSE(CONTROL!$C$15, $E$9, 100%, $G$9) + CHOOSE(CONTROL!$C$38, 0.034, 0)</f>
        <v>25.593599999999999</v>
      </c>
      <c r="D216" s="17">
        <f>25.5517 * CHOOSE(CONTROL!$C$15, $E$9, 100%, $G$9) + CHOOSE(CONTROL!$C$38, 0.034, 0)</f>
        <v>25.585699999999999</v>
      </c>
      <c r="E216" s="17">
        <f>25.5517 * CHOOSE(CONTROL!$C$15, $E$9, 100%, $G$9) + CHOOSE(CONTROL!$C$38, 0.034, 0)</f>
        <v>25.585699999999999</v>
      </c>
      <c r="F216" s="45">
        <f>27.8654 * CHOOSE(CONTROL!$C$15, $E$9, 100%, $G$9) + CHOOSE(CONTROL!$C$38, 0.0339, 0)</f>
        <v>27.8993</v>
      </c>
      <c r="G216" s="17">
        <f>25.558 * CHOOSE(CONTROL!$C$15, $E$9, 100%, $G$9) + CHOOSE(CONTROL!$C$38, 0.034, 0)</f>
        <v>25.591999999999999</v>
      </c>
      <c r="H216" s="17">
        <f>25.558 * CHOOSE(CONTROL!$C$15, $E$9, 100%, $G$9) + CHOOSE(CONTROL!$C$38, 0.034, 0)</f>
        <v>25.591999999999999</v>
      </c>
      <c r="I216" s="17">
        <f>25.5596 * CHOOSE(CONTROL!$C$15, $E$9, 100%, $G$9) + CHOOSE(CONTROL!$C$38, 0.034, 0)</f>
        <v>25.593599999999999</v>
      </c>
      <c r="J216" s="44">
        <f>149.6003</f>
        <v>149.6003</v>
      </c>
    </row>
    <row r="217" spans="1:10" ht="15" x14ac:dyDescent="0.2">
      <c r="A217" s="16">
        <v>47150</v>
      </c>
      <c r="B217" s="17">
        <f>28.2624 * CHOOSE(CONTROL!$C$15, $E$9, 100%, $G$9) + CHOOSE(CONTROL!$C$38, 0.0339, 0)</f>
        <v>28.296299999999999</v>
      </c>
      <c r="C217" s="17">
        <f>25.952 * CHOOSE(CONTROL!$C$15, $E$9, 100%, $G$9) + CHOOSE(CONTROL!$C$38, 0.034, 0)</f>
        <v>25.986000000000001</v>
      </c>
      <c r="D217" s="17">
        <f>25.9442 * CHOOSE(CONTROL!$C$15, $E$9, 100%, $G$9) + CHOOSE(CONTROL!$C$38, 0.034, 0)</f>
        <v>25.978199999999998</v>
      </c>
      <c r="E217" s="17">
        <f>25.9442 * CHOOSE(CONTROL!$C$15, $E$9, 100%, $G$9) + CHOOSE(CONTROL!$C$38, 0.034, 0)</f>
        <v>25.978199999999998</v>
      </c>
      <c r="F217" s="45">
        <f>28.2624 * CHOOSE(CONTROL!$C$15, $E$9, 100%, $G$9) + CHOOSE(CONTROL!$C$38, 0.0339, 0)</f>
        <v>28.296299999999999</v>
      </c>
      <c r="G217" s="17">
        <f>25.9505 * CHOOSE(CONTROL!$C$15, $E$9, 100%, $G$9) + CHOOSE(CONTROL!$C$38, 0.034, 0)</f>
        <v>25.984500000000001</v>
      </c>
      <c r="H217" s="17">
        <f>25.9505 * CHOOSE(CONTROL!$C$15, $E$9, 100%, $G$9) + CHOOSE(CONTROL!$C$38, 0.034, 0)</f>
        <v>25.984500000000001</v>
      </c>
      <c r="I217" s="17">
        <f>25.952 * CHOOSE(CONTROL!$C$15, $E$9, 100%, $G$9) + CHOOSE(CONTROL!$C$38, 0.034, 0)</f>
        <v>25.986000000000001</v>
      </c>
      <c r="J217" s="44">
        <f>149.4918</f>
        <v>149.49180000000001</v>
      </c>
    </row>
    <row r="218" spans="1:10" ht="15" x14ac:dyDescent="0.2">
      <c r="A218" s="16">
        <v>47178</v>
      </c>
      <c r="B218" s="17">
        <f>27.5288 * CHOOSE(CONTROL!$C$15, $E$9, 100%, $G$9) + CHOOSE(CONTROL!$C$38, 0.0339, 0)</f>
        <v>27.5627</v>
      </c>
      <c r="C218" s="17">
        <f>25.2141 * CHOOSE(CONTROL!$C$15, $E$9, 100%, $G$9) + CHOOSE(CONTROL!$C$38, 0.034, 0)</f>
        <v>25.248099999999997</v>
      </c>
      <c r="D218" s="17">
        <f>25.2062 * CHOOSE(CONTROL!$C$15, $E$9, 100%, $G$9) + CHOOSE(CONTROL!$C$38, 0.034, 0)</f>
        <v>25.240199999999998</v>
      </c>
      <c r="E218" s="17">
        <f>25.2062 * CHOOSE(CONTROL!$C$15, $E$9, 100%, $G$9) + CHOOSE(CONTROL!$C$38, 0.034, 0)</f>
        <v>25.240199999999998</v>
      </c>
      <c r="F218" s="45">
        <f>27.5288 * CHOOSE(CONTROL!$C$15, $E$9, 100%, $G$9) + CHOOSE(CONTROL!$C$38, 0.0339, 0)</f>
        <v>27.5627</v>
      </c>
      <c r="G218" s="17">
        <f>25.2125 * CHOOSE(CONTROL!$C$15, $E$9, 100%, $G$9) + CHOOSE(CONTROL!$C$38, 0.034, 0)</f>
        <v>25.246499999999997</v>
      </c>
      <c r="H218" s="17">
        <f>25.2125 * CHOOSE(CONTROL!$C$15, $E$9, 100%, $G$9) + CHOOSE(CONTROL!$C$38, 0.034, 0)</f>
        <v>25.246499999999997</v>
      </c>
      <c r="I218" s="17">
        <f>25.2141 * CHOOSE(CONTROL!$C$15, $E$9, 100%, $G$9) + CHOOSE(CONTROL!$C$38, 0.034, 0)</f>
        <v>25.248099999999997</v>
      </c>
      <c r="J218" s="44">
        <f>157.695</f>
        <v>157.69499999999999</v>
      </c>
    </row>
    <row r="219" spans="1:10" ht="15" x14ac:dyDescent="0.2">
      <c r="A219" s="16">
        <v>47209</v>
      </c>
      <c r="B219" s="17">
        <f>26.8167 * CHOOSE(CONTROL!$C$15, $E$9, 100%, $G$9) + CHOOSE(CONTROL!$C$38, 0.0339, 0)</f>
        <v>26.8506</v>
      </c>
      <c r="C219" s="17">
        <f>24.4975 * CHOOSE(CONTROL!$C$15, $E$9, 100%, $G$9) + CHOOSE(CONTROL!$C$38, 0.034, 0)</f>
        <v>24.531499999999998</v>
      </c>
      <c r="D219" s="17">
        <f>24.4897 * CHOOSE(CONTROL!$C$15, $E$9, 100%, $G$9) + CHOOSE(CONTROL!$C$38, 0.034, 0)</f>
        <v>24.523699999999998</v>
      </c>
      <c r="E219" s="17">
        <f>24.4897 * CHOOSE(CONTROL!$C$15, $E$9, 100%, $G$9) + CHOOSE(CONTROL!$C$38, 0.034, 0)</f>
        <v>24.523699999999998</v>
      </c>
      <c r="F219" s="45">
        <f>26.8167 * CHOOSE(CONTROL!$C$15, $E$9, 100%, $G$9) + CHOOSE(CONTROL!$C$38, 0.0339, 0)</f>
        <v>26.8506</v>
      </c>
      <c r="G219" s="17">
        <f>24.4959 * CHOOSE(CONTROL!$C$15, $E$9, 100%, $G$9) + CHOOSE(CONTROL!$C$38, 0.034, 0)</f>
        <v>24.529899999999998</v>
      </c>
      <c r="H219" s="17">
        <f>24.4959 * CHOOSE(CONTROL!$C$15, $E$9, 100%, $G$9) + CHOOSE(CONTROL!$C$38, 0.034, 0)</f>
        <v>24.529899999999998</v>
      </c>
      <c r="I219" s="17">
        <f>24.4975 * CHOOSE(CONTROL!$C$15, $E$9, 100%, $G$9) + CHOOSE(CONTROL!$C$38, 0.034, 0)</f>
        <v>24.531499999999998</v>
      </c>
      <c r="J219" s="44">
        <f>168.2793</f>
        <v>168.27930000000001</v>
      </c>
    </row>
    <row r="220" spans="1:10" ht="15" x14ac:dyDescent="0.2">
      <c r="A220" s="16">
        <v>47239</v>
      </c>
      <c r="B220" s="17">
        <f>26.069 * CHOOSE(CONTROL!$C$15, $E$9, 100%, $G$9) + CHOOSE(CONTROL!$C$38, 0.0355, 0)</f>
        <v>26.104499999999998</v>
      </c>
      <c r="C220" s="17">
        <f>23.7453 * CHOOSE(CONTROL!$C$15, $E$9, 100%, $G$9) + CHOOSE(CONTROL!$C$38, 0.0356, 0)</f>
        <v>23.780899999999999</v>
      </c>
      <c r="D220" s="17">
        <f>23.7375 * CHOOSE(CONTROL!$C$15, $E$9, 100%, $G$9) + CHOOSE(CONTROL!$C$38, 0.0356, 0)</f>
        <v>23.773099999999999</v>
      </c>
      <c r="E220" s="17">
        <f>23.7375 * CHOOSE(CONTROL!$C$15, $E$9, 100%, $G$9) + CHOOSE(CONTROL!$C$38, 0.0356, 0)</f>
        <v>23.773099999999999</v>
      </c>
      <c r="F220" s="45">
        <f>26.069 * CHOOSE(CONTROL!$C$15, $E$9, 100%, $G$9) + CHOOSE(CONTROL!$C$38, 0.0355, 0)</f>
        <v>26.104499999999998</v>
      </c>
      <c r="G220" s="17">
        <f>23.7438 * CHOOSE(CONTROL!$C$15, $E$9, 100%, $G$9) + CHOOSE(CONTROL!$C$38, 0.0356, 0)</f>
        <v>23.779399999999999</v>
      </c>
      <c r="H220" s="17">
        <f>23.7438 * CHOOSE(CONTROL!$C$15, $E$9, 100%, $G$9) + CHOOSE(CONTROL!$C$38, 0.0356, 0)</f>
        <v>23.779399999999999</v>
      </c>
      <c r="I220" s="17">
        <f>23.7453 * CHOOSE(CONTROL!$C$15, $E$9, 100%, $G$9) + CHOOSE(CONTROL!$C$38, 0.0356, 0)</f>
        <v>23.780899999999999</v>
      </c>
      <c r="J220" s="44">
        <f>174.2847</f>
        <v>174.28469999999999</v>
      </c>
    </row>
    <row r="221" spans="1:10" ht="15" x14ac:dyDescent="0.2">
      <c r="A221" s="16">
        <v>47270</v>
      </c>
      <c r="B221" s="17">
        <f>25.5582 * CHOOSE(CONTROL!$C$15, $E$9, 100%, $G$9) + CHOOSE(CONTROL!$C$38, 0.0355, 0)</f>
        <v>25.593699999999998</v>
      </c>
      <c r="C221" s="17">
        <f>23.2301 * CHOOSE(CONTROL!$C$15, $E$9, 100%, $G$9) + CHOOSE(CONTROL!$C$38, 0.0356, 0)</f>
        <v>23.265699999999999</v>
      </c>
      <c r="D221" s="17">
        <f>23.2223 * CHOOSE(CONTROL!$C$15, $E$9, 100%, $G$9) + CHOOSE(CONTROL!$C$38, 0.0356, 0)</f>
        <v>23.257899999999999</v>
      </c>
      <c r="E221" s="17">
        <f>23.2223 * CHOOSE(CONTROL!$C$15, $E$9, 100%, $G$9) + CHOOSE(CONTROL!$C$38, 0.0356, 0)</f>
        <v>23.257899999999999</v>
      </c>
      <c r="F221" s="45">
        <f>25.5582 * CHOOSE(CONTROL!$C$15, $E$9, 100%, $G$9) + CHOOSE(CONTROL!$C$38, 0.0355, 0)</f>
        <v>25.593699999999998</v>
      </c>
      <c r="G221" s="17">
        <f>23.2286 * CHOOSE(CONTROL!$C$15, $E$9, 100%, $G$9) + CHOOSE(CONTROL!$C$38, 0.0356, 0)</f>
        <v>23.264199999999999</v>
      </c>
      <c r="H221" s="17">
        <f>23.2286 * CHOOSE(CONTROL!$C$15, $E$9, 100%, $G$9) + CHOOSE(CONTROL!$C$38, 0.0356, 0)</f>
        <v>23.264199999999999</v>
      </c>
      <c r="I221" s="17">
        <f>23.2301 * CHOOSE(CONTROL!$C$15, $E$9, 100%, $G$9) + CHOOSE(CONTROL!$C$38, 0.0356, 0)</f>
        <v>23.265699999999999</v>
      </c>
      <c r="J221" s="44">
        <f>177.1601</f>
        <v>177.1601</v>
      </c>
    </row>
    <row r="222" spans="1:10" ht="15" x14ac:dyDescent="0.2">
      <c r="A222" s="16">
        <v>47300</v>
      </c>
      <c r="B222" s="17">
        <f>25.2876 * CHOOSE(CONTROL!$C$15, $E$9, 100%, $G$9) + CHOOSE(CONTROL!$C$38, 0.0355, 0)</f>
        <v>25.3231</v>
      </c>
      <c r="C222" s="17">
        <f>22.955 * CHOOSE(CONTROL!$C$15, $E$9, 100%, $G$9) + CHOOSE(CONTROL!$C$38, 0.0356, 0)</f>
        <v>22.990599999999997</v>
      </c>
      <c r="D222" s="17">
        <f>22.9472 * CHOOSE(CONTROL!$C$15, $E$9, 100%, $G$9) + CHOOSE(CONTROL!$C$38, 0.0356, 0)</f>
        <v>22.982799999999997</v>
      </c>
      <c r="E222" s="17">
        <f>22.9472 * CHOOSE(CONTROL!$C$15, $E$9, 100%, $G$9) + CHOOSE(CONTROL!$C$38, 0.0356, 0)</f>
        <v>22.982799999999997</v>
      </c>
      <c r="F222" s="45">
        <f>25.2876 * CHOOSE(CONTROL!$C$15, $E$9, 100%, $G$9) + CHOOSE(CONTROL!$C$38, 0.0355, 0)</f>
        <v>25.3231</v>
      </c>
      <c r="G222" s="17">
        <f>22.9534 * CHOOSE(CONTROL!$C$15, $E$9, 100%, $G$9) + CHOOSE(CONTROL!$C$38, 0.0356, 0)</f>
        <v>22.988999999999997</v>
      </c>
      <c r="H222" s="17">
        <f>22.9534 * CHOOSE(CONTROL!$C$15, $E$9, 100%, $G$9) + CHOOSE(CONTROL!$C$38, 0.0356, 0)</f>
        <v>22.988999999999997</v>
      </c>
      <c r="I222" s="17">
        <f>22.955 * CHOOSE(CONTROL!$C$15, $E$9, 100%, $G$9) + CHOOSE(CONTROL!$C$38, 0.0356, 0)</f>
        <v>22.990599999999997</v>
      </c>
      <c r="J222" s="44">
        <f>176.6948</f>
        <v>176.69479999999999</v>
      </c>
    </row>
    <row r="223" spans="1:10" ht="15" x14ac:dyDescent="0.2">
      <c r="A223" s="16">
        <v>47331</v>
      </c>
      <c r="B223" s="17">
        <f>25.4977 * CHOOSE(CONTROL!$C$15, $E$9, 100%, $G$9) + CHOOSE(CONTROL!$C$38, 0.0355, 0)</f>
        <v>25.533199999999997</v>
      </c>
      <c r="C223" s="17">
        <f>23.1606 * CHOOSE(CONTROL!$C$15, $E$9, 100%, $G$9) + CHOOSE(CONTROL!$C$38, 0.0356, 0)</f>
        <v>23.196199999999997</v>
      </c>
      <c r="D223" s="17">
        <f>23.1528 * CHOOSE(CONTROL!$C$15, $E$9, 100%, $G$9) + CHOOSE(CONTROL!$C$38, 0.0356, 0)</f>
        <v>23.188399999999998</v>
      </c>
      <c r="E223" s="17">
        <f>23.1528 * CHOOSE(CONTROL!$C$15, $E$9, 100%, $G$9) + CHOOSE(CONTROL!$C$38, 0.0356, 0)</f>
        <v>23.188399999999998</v>
      </c>
      <c r="F223" s="45">
        <f>25.4977 * CHOOSE(CONTROL!$C$15, $E$9, 100%, $G$9) + CHOOSE(CONTROL!$C$38, 0.0355, 0)</f>
        <v>25.533199999999997</v>
      </c>
      <c r="G223" s="17">
        <f>23.159 * CHOOSE(CONTROL!$C$15, $E$9, 100%, $G$9) + CHOOSE(CONTROL!$C$38, 0.0356, 0)</f>
        <v>23.194599999999998</v>
      </c>
      <c r="H223" s="17">
        <f>23.159 * CHOOSE(CONTROL!$C$15, $E$9, 100%, $G$9) + CHOOSE(CONTROL!$C$38, 0.0356, 0)</f>
        <v>23.194599999999998</v>
      </c>
      <c r="I223" s="17">
        <f>23.1606 * CHOOSE(CONTROL!$C$15, $E$9, 100%, $G$9) + CHOOSE(CONTROL!$C$38, 0.0356, 0)</f>
        <v>23.196199999999997</v>
      </c>
      <c r="J223" s="44">
        <f>172.9369</f>
        <v>172.93690000000001</v>
      </c>
    </row>
    <row r="224" spans="1:10" ht="15" x14ac:dyDescent="0.2">
      <c r="A224" s="16">
        <v>47362</v>
      </c>
      <c r="B224" s="17">
        <f>25.9824 * CHOOSE(CONTROL!$C$15, $E$9, 100%, $G$9) + CHOOSE(CONTROL!$C$38, 0.0355, 0)</f>
        <v>26.017899999999997</v>
      </c>
      <c r="C224" s="17">
        <f>23.6408 * CHOOSE(CONTROL!$C$15, $E$9, 100%, $G$9) + CHOOSE(CONTROL!$C$38, 0.0356, 0)</f>
        <v>23.676399999999997</v>
      </c>
      <c r="D224" s="17">
        <f>23.633 * CHOOSE(CONTROL!$C$15, $E$9, 100%, $G$9) + CHOOSE(CONTROL!$C$38, 0.0356, 0)</f>
        <v>23.668599999999998</v>
      </c>
      <c r="E224" s="17">
        <f>23.633 * CHOOSE(CONTROL!$C$15, $E$9, 100%, $G$9) + CHOOSE(CONTROL!$C$38, 0.0356, 0)</f>
        <v>23.668599999999998</v>
      </c>
      <c r="F224" s="45">
        <f>25.9824 * CHOOSE(CONTROL!$C$15, $E$9, 100%, $G$9) + CHOOSE(CONTROL!$C$38, 0.0355, 0)</f>
        <v>26.017899999999997</v>
      </c>
      <c r="G224" s="17">
        <f>23.6393 * CHOOSE(CONTROL!$C$15, $E$9, 100%, $G$9) + CHOOSE(CONTROL!$C$38, 0.0356, 0)</f>
        <v>23.674899999999997</v>
      </c>
      <c r="H224" s="17">
        <f>23.6393 * CHOOSE(CONTROL!$C$15, $E$9, 100%, $G$9) + CHOOSE(CONTROL!$C$38, 0.0356, 0)</f>
        <v>23.674899999999997</v>
      </c>
      <c r="I224" s="17">
        <f>23.6408 * CHOOSE(CONTROL!$C$15, $E$9, 100%, $G$9) + CHOOSE(CONTROL!$C$38, 0.0356, 0)</f>
        <v>23.676399999999997</v>
      </c>
      <c r="J224" s="44">
        <f>167.5331</f>
        <v>167.53309999999999</v>
      </c>
    </row>
    <row r="225" spans="1:10" ht="15" x14ac:dyDescent="0.2">
      <c r="A225" s="16">
        <v>47392</v>
      </c>
      <c r="B225" s="17">
        <f>26.3984 * CHOOSE(CONTROL!$C$15, $E$9, 100%, $G$9) + CHOOSE(CONTROL!$C$38, 0.0339, 0)</f>
        <v>26.432299999999998</v>
      </c>
      <c r="C225" s="17">
        <f>24.0524 * CHOOSE(CONTROL!$C$15, $E$9, 100%, $G$9) + CHOOSE(CONTROL!$C$38, 0.034, 0)</f>
        <v>24.086399999999998</v>
      </c>
      <c r="D225" s="17">
        <f>24.0446 * CHOOSE(CONTROL!$C$15, $E$9, 100%, $G$9) + CHOOSE(CONTROL!$C$38, 0.034, 0)</f>
        <v>24.078599999999998</v>
      </c>
      <c r="E225" s="17">
        <f>24.0446 * CHOOSE(CONTROL!$C$15, $E$9, 100%, $G$9) + CHOOSE(CONTROL!$C$38, 0.034, 0)</f>
        <v>24.078599999999998</v>
      </c>
      <c r="F225" s="45">
        <f>26.3984 * CHOOSE(CONTROL!$C$15, $E$9, 100%, $G$9) + CHOOSE(CONTROL!$C$38, 0.0339, 0)</f>
        <v>26.432299999999998</v>
      </c>
      <c r="G225" s="17">
        <f>24.0508 * CHOOSE(CONTROL!$C$15, $E$9, 100%, $G$9) + CHOOSE(CONTROL!$C$38, 0.034, 0)</f>
        <v>24.084799999999998</v>
      </c>
      <c r="H225" s="17">
        <f>24.0508 * CHOOSE(CONTROL!$C$15, $E$9, 100%, $G$9) + CHOOSE(CONTROL!$C$38, 0.034, 0)</f>
        <v>24.084799999999998</v>
      </c>
      <c r="I225" s="17">
        <f>24.0524 * CHOOSE(CONTROL!$C$15, $E$9, 100%, $G$9) + CHOOSE(CONTROL!$C$38, 0.034, 0)</f>
        <v>24.086399999999998</v>
      </c>
      <c r="J225" s="44">
        <f>162.0728</f>
        <v>162.0728</v>
      </c>
    </row>
    <row r="226" spans="1:10" ht="15" x14ac:dyDescent="0.2">
      <c r="A226" s="16">
        <v>47423</v>
      </c>
      <c r="B226" s="17">
        <f>26.7557 * CHOOSE(CONTROL!$C$15, $E$9, 100%, $G$9) + CHOOSE(CONTROL!$C$38, 0.0339, 0)</f>
        <v>26.7896</v>
      </c>
      <c r="C226" s="17">
        <f>24.4052 * CHOOSE(CONTROL!$C$15, $E$9, 100%, $G$9) + CHOOSE(CONTROL!$C$38, 0.034, 0)</f>
        <v>24.4392</v>
      </c>
      <c r="D226" s="17">
        <f>24.3973 * CHOOSE(CONTROL!$C$15, $E$9, 100%, $G$9) + CHOOSE(CONTROL!$C$38, 0.034, 0)</f>
        <v>24.4313</v>
      </c>
      <c r="E226" s="17">
        <f>24.3973 * CHOOSE(CONTROL!$C$15, $E$9, 100%, $G$9) + CHOOSE(CONTROL!$C$38, 0.034, 0)</f>
        <v>24.4313</v>
      </c>
      <c r="F226" s="45">
        <f>26.7557 * CHOOSE(CONTROL!$C$15, $E$9, 100%, $G$9) + CHOOSE(CONTROL!$C$38, 0.0339, 0)</f>
        <v>26.7896</v>
      </c>
      <c r="G226" s="17">
        <f>24.4036 * CHOOSE(CONTROL!$C$15, $E$9, 100%, $G$9) + CHOOSE(CONTROL!$C$38, 0.034, 0)</f>
        <v>24.4376</v>
      </c>
      <c r="H226" s="17">
        <f>24.4036 * CHOOSE(CONTROL!$C$15, $E$9, 100%, $G$9) + CHOOSE(CONTROL!$C$38, 0.034, 0)</f>
        <v>24.4376</v>
      </c>
      <c r="I226" s="17">
        <f>24.4052 * CHOOSE(CONTROL!$C$15, $E$9, 100%, $G$9) + CHOOSE(CONTROL!$C$38, 0.034, 0)</f>
        <v>24.4392</v>
      </c>
      <c r="J226" s="44">
        <f>161.2495</f>
        <v>161.24950000000001</v>
      </c>
    </row>
    <row r="227" spans="1:10" ht="15" x14ac:dyDescent="0.2">
      <c r="A227" s="16">
        <v>47453</v>
      </c>
      <c r="B227" s="17">
        <f>27.7489 * CHOOSE(CONTROL!$C$15, $E$9, 100%, $G$9) + CHOOSE(CONTROL!$C$38, 0.0339, 0)</f>
        <v>27.782799999999998</v>
      </c>
      <c r="C227" s="17">
        <f>25.3938 * CHOOSE(CONTROL!$C$15, $E$9, 100%, $G$9) + CHOOSE(CONTROL!$C$38, 0.034, 0)</f>
        <v>25.427799999999998</v>
      </c>
      <c r="D227" s="17">
        <f>25.3859 * CHOOSE(CONTROL!$C$15, $E$9, 100%, $G$9) + CHOOSE(CONTROL!$C$38, 0.034, 0)</f>
        <v>25.419899999999998</v>
      </c>
      <c r="E227" s="17">
        <f>25.3859 * CHOOSE(CONTROL!$C$15, $E$9, 100%, $G$9) + CHOOSE(CONTROL!$C$38, 0.034, 0)</f>
        <v>25.419899999999998</v>
      </c>
      <c r="F227" s="45">
        <f>27.7489 * CHOOSE(CONTROL!$C$15, $E$9, 100%, $G$9) + CHOOSE(CONTROL!$C$38, 0.0339, 0)</f>
        <v>27.782799999999998</v>
      </c>
      <c r="G227" s="17">
        <f>25.3922 * CHOOSE(CONTROL!$C$15, $E$9, 100%, $G$9) + CHOOSE(CONTROL!$C$38, 0.034, 0)</f>
        <v>25.426199999999998</v>
      </c>
      <c r="H227" s="17">
        <f>25.3922 * CHOOSE(CONTROL!$C$15, $E$9, 100%, $G$9) + CHOOSE(CONTROL!$C$38, 0.034, 0)</f>
        <v>25.426199999999998</v>
      </c>
      <c r="I227" s="17">
        <f>25.3938 * CHOOSE(CONTROL!$C$15, $E$9, 100%, $G$9) + CHOOSE(CONTROL!$C$38, 0.034, 0)</f>
        <v>25.427799999999998</v>
      </c>
      <c r="J227" s="44">
        <f>156.7867</f>
        <v>156.7867</v>
      </c>
    </row>
    <row r="228" spans="1:10" ht="15" x14ac:dyDescent="0.2">
      <c r="A228" s="16">
        <v>47484</v>
      </c>
      <c r="B228" s="17">
        <f>28.4293 * CHOOSE(CONTROL!$C$15, $E$9, 100%, $G$9) + CHOOSE(CONTROL!$C$38, 0.0339, 0)</f>
        <v>28.463200000000001</v>
      </c>
      <c r="C228" s="17">
        <f>26.1745 * CHOOSE(CONTROL!$C$15, $E$9, 100%, $G$9) + CHOOSE(CONTROL!$C$38, 0.034, 0)</f>
        <v>26.208499999999997</v>
      </c>
      <c r="D228" s="17">
        <f>26.1667 * CHOOSE(CONTROL!$C$15, $E$9, 100%, $G$9) + CHOOSE(CONTROL!$C$38, 0.034, 0)</f>
        <v>26.200699999999998</v>
      </c>
      <c r="E228" s="17">
        <f>26.1667 * CHOOSE(CONTROL!$C$15, $E$9, 100%, $G$9) + CHOOSE(CONTROL!$C$38, 0.034, 0)</f>
        <v>26.200699999999998</v>
      </c>
      <c r="F228" s="45">
        <f>28.4293 * CHOOSE(CONTROL!$C$15, $E$9, 100%, $G$9) + CHOOSE(CONTROL!$C$38, 0.0339, 0)</f>
        <v>28.463200000000001</v>
      </c>
      <c r="G228" s="17">
        <f>26.173 * CHOOSE(CONTROL!$C$15, $E$9, 100%, $G$9) + CHOOSE(CONTROL!$C$38, 0.034, 0)</f>
        <v>26.206999999999997</v>
      </c>
      <c r="H228" s="17">
        <f>26.173 * CHOOSE(CONTROL!$C$15, $E$9, 100%, $G$9) + CHOOSE(CONTROL!$C$38, 0.034, 0)</f>
        <v>26.206999999999997</v>
      </c>
      <c r="I228" s="17">
        <f>26.1745 * CHOOSE(CONTROL!$C$15, $E$9, 100%, $G$9) + CHOOSE(CONTROL!$C$38, 0.034, 0)</f>
        <v>26.208499999999997</v>
      </c>
      <c r="J228" s="44">
        <f>153.3694</f>
        <v>153.36940000000001</v>
      </c>
    </row>
    <row r="229" spans="1:10" ht="15" x14ac:dyDescent="0.2">
      <c r="A229" s="16">
        <v>47515</v>
      </c>
      <c r="B229" s="17">
        <f>28.8359 * CHOOSE(CONTROL!$C$15, $E$9, 100%, $G$9) + CHOOSE(CONTROL!$C$38, 0.0339, 0)</f>
        <v>28.869799999999998</v>
      </c>
      <c r="C229" s="17">
        <f>26.5768 * CHOOSE(CONTROL!$C$15, $E$9, 100%, $G$9) + CHOOSE(CONTROL!$C$38, 0.034, 0)</f>
        <v>26.610799999999998</v>
      </c>
      <c r="D229" s="17">
        <f>26.569 * CHOOSE(CONTROL!$C$15, $E$9, 100%, $G$9) + CHOOSE(CONTROL!$C$38, 0.034, 0)</f>
        <v>26.602999999999998</v>
      </c>
      <c r="E229" s="17">
        <f>26.569 * CHOOSE(CONTROL!$C$15, $E$9, 100%, $G$9) + CHOOSE(CONTROL!$C$38, 0.034, 0)</f>
        <v>26.602999999999998</v>
      </c>
      <c r="F229" s="45">
        <f>28.8359 * CHOOSE(CONTROL!$C$15, $E$9, 100%, $G$9) + CHOOSE(CONTROL!$C$38, 0.0339, 0)</f>
        <v>28.869799999999998</v>
      </c>
      <c r="G229" s="17">
        <f>26.5752 * CHOOSE(CONTROL!$C$15, $E$9, 100%, $G$9) + CHOOSE(CONTROL!$C$38, 0.034, 0)</f>
        <v>26.609199999999998</v>
      </c>
      <c r="H229" s="17">
        <f>26.5752 * CHOOSE(CONTROL!$C$15, $E$9, 100%, $G$9) + CHOOSE(CONTROL!$C$38, 0.034, 0)</f>
        <v>26.609199999999998</v>
      </c>
      <c r="I229" s="17">
        <f>26.5768 * CHOOSE(CONTROL!$C$15, $E$9, 100%, $G$9) + CHOOSE(CONTROL!$C$38, 0.034, 0)</f>
        <v>26.610799999999998</v>
      </c>
      <c r="J229" s="44">
        <f>153.2581</f>
        <v>153.25810000000001</v>
      </c>
    </row>
    <row r="230" spans="1:10" ht="15" x14ac:dyDescent="0.2">
      <c r="A230" s="16">
        <v>47543</v>
      </c>
      <c r="B230" s="17">
        <f>28.0837 * CHOOSE(CONTROL!$C$15, $E$9, 100%, $G$9) + CHOOSE(CONTROL!$C$38, 0.0339, 0)</f>
        <v>28.117599999999999</v>
      </c>
      <c r="C230" s="17">
        <f>25.8203 * CHOOSE(CONTROL!$C$15, $E$9, 100%, $G$9) + CHOOSE(CONTROL!$C$38, 0.034, 0)</f>
        <v>25.854299999999999</v>
      </c>
      <c r="D230" s="17">
        <f>25.8125 * CHOOSE(CONTROL!$C$15, $E$9, 100%, $G$9) + CHOOSE(CONTROL!$C$38, 0.034, 0)</f>
        <v>25.846499999999999</v>
      </c>
      <c r="E230" s="17">
        <f>25.8125 * CHOOSE(CONTROL!$C$15, $E$9, 100%, $G$9) + CHOOSE(CONTROL!$C$38, 0.034, 0)</f>
        <v>25.846499999999999</v>
      </c>
      <c r="F230" s="45">
        <f>28.0837 * CHOOSE(CONTROL!$C$15, $E$9, 100%, $G$9) + CHOOSE(CONTROL!$C$38, 0.0339, 0)</f>
        <v>28.117599999999999</v>
      </c>
      <c r="G230" s="17">
        <f>25.8188 * CHOOSE(CONTROL!$C$15, $E$9, 100%, $G$9) + CHOOSE(CONTROL!$C$38, 0.034, 0)</f>
        <v>25.852799999999998</v>
      </c>
      <c r="H230" s="17">
        <f>25.8188 * CHOOSE(CONTROL!$C$15, $E$9, 100%, $G$9) + CHOOSE(CONTROL!$C$38, 0.034, 0)</f>
        <v>25.852799999999998</v>
      </c>
      <c r="I230" s="17">
        <f>25.8203 * CHOOSE(CONTROL!$C$15, $E$9, 100%, $G$9) + CHOOSE(CONTROL!$C$38, 0.034, 0)</f>
        <v>25.854299999999999</v>
      </c>
      <c r="J230" s="44">
        <f>161.668</f>
        <v>161.66800000000001</v>
      </c>
    </row>
    <row r="231" spans="1:10" ht="15" x14ac:dyDescent="0.2">
      <c r="A231" s="16">
        <v>47574</v>
      </c>
      <c r="B231" s="17">
        <f>27.3536 * CHOOSE(CONTROL!$C$15, $E$9, 100%, $G$9) + CHOOSE(CONTROL!$C$38, 0.0339, 0)</f>
        <v>27.387499999999999</v>
      </c>
      <c r="C231" s="17">
        <f>25.0858 * CHOOSE(CONTROL!$C$15, $E$9, 100%, $G$9) + CHOOSE(CONTROL!$C$38, 0.034, 0)</f>
        <v>25.119799999999998</v>
      </c>
      <c r="D231" s="17">
        <f>25.078 * CHOOSE(CONTROL!$C$15, $E$9, 100%, $G$9) + CHOOSE(CONTROL!$C$38, 0.034, 0)</f>
        <v>25.111999999999998</v>
      </c>
      <c r="E231" s="17">
        <f>25.078 * CHOOSE(CONTROL!$C$15, $E$9, 100%, $G$9) + CHOOSE(CONTROL!$C$38, 0.034, 0)</f>
        <v>25.111999999999998</v>
      </c>
      <c r="F231" s="45">
        <f>27.3536 * CHOOSE(CONTROL!$C$15, $E$9, 100%, $G$9) + CHOOSE(CONTROL!$C$38, 0.0339, 0)</f>
        <v>27.387499999999999</v>
      </c>
      <c r="G231" s="17">
        <f>25.0843 * CHOOSE(CONTROL!$C$15, $E$9, 100%, $G$9) + CHOOSE(CONTROL!$C$38, 0.034, 0)</f>
        <v>25.118299999999998</v>
      </c>
      <c r="H231" s="17">
        <f>25.0843 * CHOOSE(CONTROL!$C$15, $E$9, 100%, $G$9) + CHOOSE(CONTROL!$C$38, 0.034, 0)</f>
        <v>25.118299999999998</v>
      </c>
      <c r="I231" s="17">
        <f>25.0858 * CHOOSE(CONTROL!$C$15, $E$9, 100%, $G$9) + CHOOSE(CONTROL!$C$38, 0.034, 0)</f>
        <v>25.119799999999998</v>
      </c>
      <c r="J231" s="44">
        <f>172.5189</f>
        <v>172.5189</v>
      </c>
    </row>
    <row r="232" spans="1:10" ht="15" x14ac:dyDescent="0.2">
      <c r="A232" s="16">
        <v>47604</v>
      </c>
      <c r="B232" s="17">
        <f>26.5869 * CHOOSE(CONTROL!$C$15, $E$9, 100%, $G$9) + CHOOSE(CONTROL!$C$38, 0.0355, 0)</f>
        <v>26.622399999999999</v>
      </c>
      <c r="C232" s="17">
        <f>24.3149 * CHOOSE(CONTROL!$C$15, $E$9, 100%, $G$9) + CHOOSE(CONTROL!$C$38, 0.0356, 0)</f>
        <v>24.3505</v>
      </c>
      <c r="D232" s="17">
        <f>24.307 * CHOOSE(CONTROL!$C$15, $E$9, 100%, $G$9) + CHOOSE(CONTROL!$C$38, 0.0356, 0)</f>
        <v>24.342599999999997</v>
      </c>
      <c r="E232" s="17">
        <f>24.307 * CHOOSE(CONTROL!$C$15, $E$9, 100%, $G$9) + CHOOSE(CONTROL!$C$38, 0.0356, 0)</f>
        <v>24.342599999999997</v>
      </c>
      <c r="F232" s="45">
        <f>26.5869 * CHOOSE(CONTROL!$C$15, $E$9, 100%, $G$9) + CHOOSE(CONTROL!$C$38, 0.0355, 0)</f>
        <v>26.622399999999999</v>
      </c>
      <c r="G232" s="17">
        <f>24.3133 * CHOOSE(CONTROL!$C$15, $E$9, 100%, $G$9) + CHOOSE(CONTROL!$C$38, 0.0356, 0)</f>
        <v>24.3489</v>
      </c>
      <c r="H232" s="17">
        <f>24.3133 * CHOOSE(CONTROL!$C$15, $E$9, 100%, $G$9) + CHOOSE(CONTROL!$C$38, 0.0356, 0)</f>
        <v>24.3489</v>
      </c>
      <c r="I232" s="17">
        <f>24.3149 * CHOOSE(CONTROL!$C$15, $E$9, 100%, $G$9) + CHOOSE(CONTROL!$C$38, 0.0356, 0)</f>
        <v>24.3505</v>
      </c>
      <c r="J232" s="44">
        <f>178.6756</f>
        <v>178.6756</v>
      </c>
    </row>
    <row r="233" spans="1:10" ht="15" x14ac:dyDescent="0.2">
      <c r="A233" s="16">
        <v>47635</v>
      </c>
      <c r="B233" s="17">
        <f>26.0632 * CHOOSE(CONTROL!$C$15, $E$9, 100%, $G$9) + CHOOSE(CONTROL!$C$38, 0.0355, 0)</f>
        <v>26.098699999999997</v>
      </c>
      <c r="C233" s="17">
        <f>23.7867 * CHOOSE(CONTROL!$C$15, $E$9, 100%, $G$9) + CHOOSE(CONTROL!$C$38, 0.0356, 0)</f>
        <v>23.822299999999998</v>
      </c>
      <c r="D233" s="17">
        <f>23.7789 * CHOOSE(CONTROL!$C$15, $E$9, 100%, $G$9) + CHOOSE(CONTROL!$C$38, 0.0356, 0)</f>
        <v>23.814499999999999</v>
      </c>
      <c r="E233" s="17">
        <f>23.7789 * CHOOSE(CONTROL!$C$15, $E$9, 100%, $G$9) + CHOOSE(CONTROL!$C$38, 0.0356, 0)</f>
        <v>23.814499999999999</v>
      </c>
      <c r="F233" s="45">
        <f>26.0632 * CHOOSE(CONTROL!$C$15, $E$9, 100%, $G$9) + CHOOSE(CONTROL!$C$38, 0.0355, 0)</f>
        <v>26.098699999999997</v>
      </c>
      <c r="G233" s="17">
        <f>23.7852 * CHOOSE(CONTROL!$C$15, $E$9, 100%, $G$9) + CHOOSE(CONTROL!$C$38, 0.0356, 0)</f>
        <v>23.820799999999998</v>
      </c>
      <c r="H233" s="17">
        <f>23.7852 * CHOOSE(CONTROL!$C$15, $E$9, 100%, $G$9) + CHOOSE(CONTROL!$C$38, 0.0356, 0)</f>
        <v>23.820799999999998</v>
      </c>
      <c r="I233" s="17">
        <f>23.7867 * CHOOSE(CONTROL!$C$15, $E$9, 100%, $G$9) + CHOOSE(CONTROL!$C$38, 0.0356, 0)</f>
        <v>23.822299999999998</v>
      </c>
      <c r="J233" s="44">
        <f>181.6235</f>
        <v>181.62350000000001</v>
      </c>
    </row>
    <row r="234" spans="1:10" ht="15" x14ac:dyDescent="0.2">
      <c r="A234" s="16">
        <v>47665</v>
      </c>
      <c r="B234" s="17">
        <f>25.7855 * CHOOSE(CONTROL!$C$15, $E$9, 100%, $G$9) + CHOOSE(CONTROL!$C$38, 0.0355, 0)</f>
        <v>25.820999999999998</v>
      </c>
      <c r="C234" s="17">
        <f>23.5047 * CHOOSE(CONTROL!$C$15, $E$9, 100%, $G$9) + CHOOSE(CONTROL!$C$38, 0.0356, 0)</f>
        <v>23.540299999999998</v>
      </c>
      <c r="D234" s="17">
        <f>23.4969 * CHOOSE(CONTROL!$C$15, $E$9, 100%, $G$9) + CHOOSE(CONTROL!$C$38, 0.0356, 0)</f>
        <v>23.532499999999999</v>
      </c>
      <c r="E234" s="17">
        <f>23.4969 * CHOOSE(CONTROL!$C$15, $E$9, 100%, $G$9) + CHOOSE(CONTROL!$C$38, 0.0356, 0)</f>
        <v>23.532499999999999</v>
      </c>
      <c r="F234" s="45">
        <f>25.7855 * CHOOSE(CONTROL!$C$15, $E$9, 100%, $G$9) + CHOOSE(CONTROL!$C$38, 0.0355, 0)</f>
        <v>25.820999999999998</v>
      </c>
      <c r="G234" s="17">
        <f>23.5031 * CHOOSE(CONTROL!$C$15, $E$9, 100%, $G$9) + CHOOSE(CONTROL!$C$38, 0.0356, 0)</f>
        <v>23.538699999999999</v>
      </c>
      <c r="H234" s="17">
        <f>23.5031 * CHOOSE(CONTROL!$C$15, $E$9, 100%, $G$9) + CHOOSE(CONTROL!$C$38, 0.0356, 0)</f>
        <v>23.538699999999999</v>
      </c>
      <c r="I234" s="17">
        <f>23.5047 * CHOOSE(CONTROL!$C$15, $E$9, 100%, $G$9) + CHOOSE(CONTROL!$C$38, 0.0356, 0)</f>
        <v>23.540299999999998</v>
      </c>
      <c r="J234" s="44">
        <f>181.1465</f>
        <v>181.1465</v>
      </c>
    </row>
    <row r="235" spans="1:10" ht="15" x14ac:dyDescent="0.2">
      <c r="A235" s="16">
        <v>47696</v>
      </c>
      <c r="B235" s="17">
        <f>25.9484 * CHOOSE(CONTROL!$C$15, $E$9, 100%, $G$9) + CHOOSE(CONTROL!$C$38, 0.0355, 0)</f>
        <v>25.983899999999998</v>
      </c>
      <c r="C235" s="17">
        <f>23.6676 * CHOOSE(CONTROL!$C$15, $E$9, 100%, $G$9) + CHOOSE(CONTROL!$C$38, 0.0356, 0)</f>
        <v>23.703199999999999</v>
      </c>
      <c r="D235" s="17">
        <f>23.6598 * CHOOSE(CONTROL!$C$15, $E$9, 100%, $G$9) + CHOOSE(CONTROL!$C$38, 0.0356, 0)</f>
        <v>23.695399999999999</v>
      </c>
      <c r="E235" s="17">
        <f>23.6598 * CHOOSE(CONTROL!$C$15, $E$9, 100%, $G$9) + CHOOSE(CONTROL!$C$38, 0.0356, 0)</f>
        <v>23.695399999999999</v>
      </c>
      <c r="F235" s="45">
        <f>25.9484 * CHOOSE(CONTROL!$C$15, $E$9, 100%, $G$9) + CHOOSE(CONTROL!$C$38, 0.0355, 0)</f>
        <v>25.983899999999998</v>
      </c>
      <c r="G235" s="17">
        <f>23.666 * CHOOSE(CONTROL!$C$15, $E$9, 100%, $G$9) + CHOOSE(CONTROL!$C$38, 0.0356, 0)</f>
        <v>23.701599999999999</v>
      </c>
      <c r="H235" s="17">
        <f>23.666 * CHOOSE(CONTROL!$C$15, $E$9, 100%, $G$9) + CHOOSE(CONTROL!$C$38, 0.0356, 0)</f>
        <v>23.701599999999999</v>
      </c>
      <c r="I235" s="17">
        <f>23.6676 * CHOOSE(CONTROL!$C$15, $E$9, 100%, $G$9) + CHOOSE(CONTROL!$C$38, 0.0356, 0)</f>
        <v>23.703199999999999</v>
      </c>
      <c r="J235" s="44">
        <f>176.9294</f>
        <v>176.92939999999999</v>
      </c>
    </row>
    <row r="236" spans="1:10" ht="15" x14ac:dyDescent="0.2">
      <c r="A236" s="16">
        <v>47727</v>
      </c>
      <c r="B236" s="17">
        <f>26.3909 * CHOOSE(CONTROL!$C$15, $E$9, 100%, $G$9) + CHOOSE(CONTROL!$C$38, 0.0355, 0)</f>
        <v>26.426399999999997</v>
      </c>
      <c r="C236" s="17">
        <f>24.1101 * CHOOSE(CONTROL!$C$15, $E$9, 100%, $G$9) + CHOOSE(CONTROL!$C$38, 0.0356, 0)</f>
        <v>24.145699999999998</v>
      </c>
      <c r="D236" s="17">
        <f>24.1023 * CHOOSE(CONTROL!$C$15, $E$9, 100%, $G$9) + CHOOSE(CONTROL!$C$38, 0.0356, 0)</f>
        <v>24.137899999999998</v>
      </c>
      <c r="E236" s="17">
        <f>24.1023 * CHOOSE(CONTROL!$C$15, $E$9, 100%, $G$9) + CHOOSE(CONTROL!$C$38, 0.0356, 0)</f>
        <v>24.137899999999998</v>
      </c>
      <c r="F236" s="45">
        <f>26.3909 * CHOOSE(CONTROL!$C$15, $E$9, 100%, $G$9) + CHOOSE(CONTROL!$C$38, 0.0355, 0)</f>
        <v>26.426399999999997</v>
      </c>
      <c r="G236" s="17">
        <f>24.1085 * CHOOSE(CONTROL!$C$15, $E$9, 100%, $G$9) + CHOOSE(CONTROL!$C$38, 0.0356, 0)</f>
        <v>24.144099999999998</v>
      </c>
      <c r="H236" s="17">
        <f>24.1085 * CHOOSE(CONTROL!$C$15, $E$9, 100%, $G$9) + CHOOSE(CONTROL!$C$38, 0.0356, 0)</f>
        <v>24.144099999999998</v>
      </c>
      <c r="I236" s="17">
        <f>24.1101 * CHOOSE(CONTROL!$C$15, $E$9, 100%, $G$9) + CHOOSE(CONTROL!$C$38, 0.0356, 0)</f>
        <v>24.145699999999998</v>
      </c>
      <c r="J236" s="44">
        <f>171.0486</f>
        <v>171.04859999999999</v>
      </c>
    </row>
    <row r="237" spans="1:10" ht="15" x14ac:dyDescent="0.2">
      <c r="A237" s="16">
        <v>47757</v>
      </c>
      <c r="B237" s="17">
        <f>26.7615 * CHOOSE(CONTROL!$C$15, $E$9, 100%, $G$9) + CHOOSE(CONTROL!$C$38, 0.0339, 0)</f>
        <v>26.795400000000001</v>
      </c>
      <c r="C237" s="17">
        <f>24.4807 * CHOOSE(CONTROL!$C$15, $E$9, 100%, $G$9) + CHOOSE(CONTROL!$C$38, 0.034, 0)</f>
        <v>24.514699999999998</v>
      </c>
      <c r="D237" s="17">
        <f>24.4729 * CHOOSE(CONTROL!$C$15, $E$9, 100%, $G$9) + CHOOSE(CONTROL!$C$38, 0.034, 0)</f>
        <v>24.506899999999998</v>
      </c>
      <c r="E237" s="17">
        <f>24.4729 * CHOOSE(CONTROL!$C$15, $E$9, 100%, $G$9) + CHOOSE(CONTROL!$C$38, 0.034, 0)</f>
        <v>24.506899999999998</v>
      </c>
      <c r="F237" s="45">
        <f>26.7615 * CHOOSE(CONTROL!$C$15, $E$9, 100%, $G$9) + CHOOSE(CONTROL!$C$38, 0.0339, 0)</f>
        <v>26.795400000000001</v>
      </c>
      <c r="G237" s="17">
        <f>24.4791 * CHOOSE(CONTROL!$C$15, $E$9, 100%, $G$9) + CHOOSE(CONTROL!$C$38, 0.034, 0)</f>
        <v>24.513099999999998</v>
      </c>
      <c r="H237" s="17">
        <f>24.4791 * CHOOSE(CONTROL!$C$15, $E$9, 100%, $G$9) + CHOOSE(CONTROL!$C$38, 0.034, 0)</f>
        <v>24.513099999999998</v>
      </c>
      <c r="I237" s="17">
        <f>24.4807 * CHOOSE(CONTROL!$C$15, $E$9, 100%, $G$9) + CHOOSE(CONTROL!$C$38, 0.034, 0)</f>
        <v>24.514699999999998</v>
      </c>
      <c r="J237" s="44">
        <f>165.1336</f>
        <v>165.1336</v>
      </c>
    </row>
    <row r="238" spans="1:10" ht="15" x14ac:dyDescent="0.2">
      <c r="A238" s="16">
        <v>47788</v>
      </c>
      <c r="B238" s="17">
        <f>27.0708 * CHOOSE(CONTROL!$C$15, $E$9, 100%, $G$9) + CHOOSE(CONTROL!$C$38, 0.0339, 0)</f>
        <v>27.104699999999998</v>
      </c>
      <c r="C238" s="17">
        <f>24.7899 * CHOOSE(CONTROL!$C$15, $E$9, 100%, $G$9) + CHOOSE(CONTROL!$C$38, 0.034, 0)</f>
        <v>24.823899999999998</v>
      </c>
      <c r="D238" s="17">
        <f>24.7821 * CHOOSE(CONTROL!$C$15, $E$9, 100%, $G$9) + CHOOSE(CONTROL!$C$38, 0.034, 0)</f>
        <v>24.816099999999999</v>
      </c>
      <c r="E238" s="17">
        <f>24.7821 * CHOOSE(CONTROL!$C$15, $E$9, 100%, $G$9) + CHOOSE(CONTROL!$C$38, 0.034, 0)</f>
        <v>24.816099999999999</v>
      </c>
      <c r="F238" s="45">
        <f>27.0708 * CHOOSE(CONTROL!$C$15, $E$9, 100%, $G$9) + CHOOSE(CONTROL!$C$38, 0.0339, 0)</f>
        <v>27.104699999999998</v>
      </c>
      <c r="G238" s="17">
        <f>24.7884 * CHOOSE(CONTROL!$C$15, $E$9, 100%, $G$9) + CHOOSE(CONTROL!$C$38, 0.034, 0)</f>
        <v>24.822399999999998</v>
      </c>
      <c r="H238" s="17">
        <f>24.7884 * CHOOSE(CONTROL!$C$15, $E$9, 100%, $G$9) + CHOOSE(CONTROL!$C$38, 0.034, 0)</f>
        <v>24.822399999999998</v>
      </c>
      <c r="I238" s="17">
        <f>24.7899 * CHOOSE(CONTROL!$C$15, $E$9, 100%, $G$9) + CHOOSE(CONTROL!$C$38, 0.034, 0)</f>
        <v>24.823899999999998</v>
      </c>
      <c r="J238" s="44">
        <f>163.957</f>
        <v>163.95699999999999</v>
      </c>
    </row>
    <row r="239" spans="1:10" ht="15" x14ac:dyDescent="0.2">
      <c r="A239" s="16">
        <v>47818</v>
      </c>
      <c r="B239" s="17">
        <f>28.0237 * CHOOSE(CONTROL!$C$15, $E$9, 100%, $G$9) + CHOOSE(CONTROL!$C$38, 0.0339, 0)</f>
        <v>28.057600000000001</v>
      </c>
      <c r="C239" s="17">
        <f>25.7428 * CHOOSE(CONTROL!$C$15, $E$9, 100%, $G$9) + CHOOSE(CONTROL!$C$38, 0.034, 0)</f>
        <v>25.776799999999998</v>
      </c>
      <c r="D239" s="17">
        <f>25.735 * CHOOSE(CONTROL!$C$15, $E$9, 100%, $G$9) + CHOOSE(CONTROL!$C$38, 0.034, 0)</f>
        <v>25.768999999999998</v>
      </c>
      <c r="E239" s="17">
        <f>25.735 * CHOOSE(CONTROL!$C$15, $E$9, 100%, $G$9) + CHOOSE(CONTROL!$C$38, 0.034, 0)</f>
        <v>25.768999999999998</v>
      </c>
      <c r="F239" s="45">
        <f>28.0237 * CHOOSE(CONTROL!$C$15, $E$9, 100%, $G$9) + CHOOSE(CONTROL!$C$38, 0.0339, 0)</f>
        <v>28.057600000000001</v>
      </c>
      <c r="G239" s="17">
        <f>25.7413 * CHOOSE(CONTROL!$C$15, $E$9, 100%, $G$9) + CHOOSE(CONTROL!$C$38, 0.034, 0)</f>
        <v>25.775299999999998</v>
      </c>
      <c r="H239" s="17">
        <f>25.7413 * CHOOSE(CONTROL!$C$15, $E$9, 100%, $G$9) + CHOOSE(CONTROL!$C$38, 0.034, 0)</f>
        <v>25.775299999999998</v>
      </c>
      <c r="I239" s="17">
        <f>25.7428 * CHOOSE(CONTROL!$C$15, $E$9, 100%, $G$9) + CHOOSE(CONTROL!$C$38, 0.034, 0)</f>
        <v>25.776799999999998</v>
      </c>
      <c r="J239" s="44">
        <f>159.0915</f>
        <v>159.0915</v>
      </c>
    </row>
    <row r="240" spans="1:10" ht="15" x14ac:dyDescent="0.2">
      <c r="A240" s="16">
        <v>47849</v>
      </c>
      <c r="B240" s="17">
        <f>28.8105 * CHOOSE(CONTROL!$C$15, $E$9, 100%, $G$9) + CHOOSE(CONTROL!$C$38, 0.0339, 0)</f>
        <v>28.8444</v>
      </c>
      <c r="C240" s="17">
        <f>26.5268 * CHOOSE(CONTROL!$C$15, $E$9, 100%, $G$9) + CHOOSE(CONTROL!$C$38, 0.034, 0)</f>
        <v>26.5608</v>
      </c>
      <c r="D240" s="17">
        <f>26.519 * CHOOSE(CONTROL!$C$15, $E$9, 100%, $G$9) + CHOOSE(CONTROL!$C$38, 0.034, 0)</f>
        <v>26.552999999999997</v>
      </c>
      <c r="E240" s="17">
        <f>26.519 * CHOOSE(CONTROL!$C$15, $E$9, 100%, $G$9) + CHOOSE(CONTROL!$C$38, 0.034, 0)</f>
        <v>26.552999999999997</v>
      </c>
      <c r="F240" s="45">
        <f>28.8105 * CHOOSE(CONTROL!$C$15, $E$9, 100%, $G$9) + CHOOSE(CONTROL!$C$38, 0.0339, 0)</f>
        <v>28.8444</v>
      </c>
      <c r="G240" s="17">
        <f>26.5253 * CHOOSE(CONTROL!$C$15, $E$9, 100%, $G$9) + CHOOSE(CONTROL!$C$38, 0.034, 0)</f>
        <v>26.5593</v>
      </c>
      <c r="H240" s="17">
        <f>26.5253 * CHOOSE(CONTROL!$C$15, $E$9, 100%, $G$9) + CHOOSE(CONTROL!$C$38, 0.034, 0)</f>
        <v>26.5593</v>
      </c>
      <c r="I240" s="17">
        <f>26.5268 * CHOOSE(CONTROL!$C$15, $E$9, 100%, $G$9) + CHOOSE(CONTROL!$C$38, 0.034, 0)</f>
        <v>26.5608</v>
      </c>
      <c r="J240" s="44">
        <f>156.7389</f>
        <v>156.7389</v>
      </c>
    </row>
    <row r="241" spans="1:10" ht="15" x14ac:dyDescent="0.2">
      <c r="A241" s="16">
        <v>47880</v>
      </c>
      <c r="B241" s="17">
        <f>29.1634 * CHOOSE(CONTROL!$C$15, $E$9, 100%, $G$9) + CHOOSE(CONTROL!$C$38, 0.0339, 0)</f>
        <v>29.197299999999998</v>
      </c>
      <c r="C241" s="17">
        <f>26.8797 * CHOOSE(CONTROL!$C$15, $E$9, 100%, $G$9) + CHOOSE(CONTROL!$C$38, 0.034, 0)</f>
        <v>26.913699999999999</v>
      </c>
      <c r="D241" s="17">
        <f>26.8719 * CHOOSE(CONTROL!$C$15, $E$9, 100%, $G$9) + CHOOSE(CONTROL!$C$38, 0.034, 0)</f>
        <v>26.905899999999999</v>
      </c>
      <c r="E241" s="17">
        <f>26.8719 * CHOOSE(CONTROL!$C$15, $E$9, 100%, $G$9) + CHOOSE(CONTROL!$C$38, 0.034, 0)</f>
        <v>26.905899999999999</v>
      </c>
      <c r="F241" s="45">
        <f>29.1634 * CHOOSE(CONTROL!$C$15, $E$9, 100%, $G$9) + CHOOSE(CONTROL!$C$38, 0.0339, 0)</f>
        <v>29.197299999999998</v>
      </c>
      <c r="G241" s="17">
        <f>26.8782 * CHOOSE(CONTROL!$C$15, $E$9, 100%, $G$9) + CHOOSE(CONTROL!$C$38, 0.034, 0)</f>
        <v>26.912199999999999</v>
      </c>
      <c r="H241" s="17">
        <f>26.8782 * CHOOSE(CONTROL!$C$15, $E$9, 100%, $G$9) + CHOOSE(CONTROL!$C$38, 0.034, 0)</f>
        <v>26.912199999999999</v>
      </c>
      <c r="I241" s="17">
        <f>26.8797 * CHOOSE(CONTROL!$C$15, $E$9, 100%, $G$9) + CHOOSE(CONTROL!$C$38, 0.034, 0)</f>
        <v>26.913699999999999</v>
      </c>
      <c r="J241" s="44">
        <f>156.3032</f>
        <v>156.3032</v>
      </c>
    </row>
    <row r="242" spans="1:10" ht="15" x14ac:dyDescent="0.2">
      <c r="A242" s="16">
        <v>47908</v>
      </c>
      <c r="B242" s="17">
        <f>28.3465 * CHOOSE(CONTROL!$C$15, $E$9, 100%, $G$9) + CHOOSE(CONTROL!$C$38, 0.0339, 0)</f>
        <v>28.380399999999998</v>
      </c>
      <c r="C242" s="17">
        <f>26.0628 * CHOOSE(CONTROL!$C$15, $E$9, 100%, $G$9) + CHOOSE(CONTROL!$C$38, 0.034, 0)</f>
        <v>26.096799999999998</v>
      </c>
      <c r="D242" s="17">
        <f>26.055 * CHOOSE(CONTROL!$C$15, $E$9, 100%, $G$9) + CHOOSE(CONTROL!$C$38, 0.034, 0)</f>
        <v>26.088999999999999</v>
      </c>
      <c r="E242" s="17">
        <f>26.055 * CHOOSE(CONTROL!$C$15, $E$9, 100%, $G$9) + CHOOSE(CONTROL!$C$38, 0.034, 0)</f>
        <v>26.088999999999999</v>
      </c>
      <c r="F242" s="45">
        <f>28.3465 * CHOOSE(CONTROL!$C$15, $E$9, 100%, $G$9) + CHOOSE(CONTROL!$C$38, 0.0339, 0)</f>
        <v>28.380399999999998</v>
      </c>
      <c r="G242" s="17">
        <f>26.0612 * CHOOSE(CONTROL!$C$15, $E$9, 100%, $G$9) + CHOOSE(CONTROL!$C$38, 0.034, 0)</f>
        <v>26.095199999999998</v>
      </c>
      <c r="H242" s="17">
        <f>26.0612 * CHOOSE(CONTROL!$C$15, $E$9, 100%, $G$9) + CHOOSE(CONTROL!$C$38, 0.034, 0)</f>
        <v>26.095199999999998</v>
      </c>
      <c r="I242" s="17">
        <f>26.0628 * CHOOSE(CONTROL!$C$15, $E$9, 100%, $G$9) + CHOOSE(CONTROL!$C$38, 0.034, 0)</f>
        <v>26.096799999999998</v>
      </c>
      <c r="J242" s="44">
        <f>164.5413</f>
        <v>164.54130000000001</v>
      </c>
    </row>
    <row r="243" spans="1:10" ht="15" x14ac:dyDescent="0.2">
      <c r="A243" s="16">
        <v>47939</v>
      </c>
      <c r="B243" s="17">
        <f>27.5548 * CHOOSE(CONTROL!$C$15, $E$9, 100%, $G$9) + CHOOSE(CONTROL!$C$38, 0.0339, 0)</f>
        <v>27.588699999999999</v>
      </c>
      <c r="C243" s="17">
        <f>25.2712 * CHOOSE(CONTROL!$C$15, $E$9, 100%, $G$9) + CHOOSE(CONTROL!$C$38, 0.034, 0)</f>
        <v>25.305199999999999</v>
      </c>
      <c r="D243" s="17">
        <f>25.2633 * CHOOSE(CONTROL!$C$15, $E$9, 100%, $G$9) + CHOOSE(CONTROL!$C$38, 0.034, 0)</f>
        <v>25.2973</v>
      </c>
      <c r="E243" s="17">
        <f>25.2633 * CHOOSE(CONTROL!$C$15, $E$9, 100%, $G$9) + CHOOSE(CONTROL!$C$38, 0.034, 0)</f>
        <v>25.2973</v>
      </c>
      <c r="F243" s="45">
        <f>27.5548 * CHOOSE(CONTROL!$C$15, $E$9, 100%, $G$9) + CHOOSE(CONTROL!$C$38, 0.0339, 0)</f>
        <v>27.588699999999999</v>
      </c>
      <c r="G243" s="17">
        <f>25.2696 * CHOOSE(CONTROL!$C$15, $E$9, 100%, $G$9) + CHOOSE(CONTROL!$C$38, 0.034, 0)</f>
        <v>25.303599999999999</v>
      </c>
      <c r="H243" s="17">
        <f>25.2696 * CHOOSE(CONTROL!$C$15, $E$9, 100%, $G$9) + CHOOSE(CONTROL!$C$38, 0.034, 0)</f>
        <v>25.303599999999999</v>
      </c>
      <c r="I243" s="17">
        <f>25.2712 * CHOOSE(CONTROL!$C$15, $E$9, 100%, $G$9) + CHOOSE(CONTROL!$C$38, 0.034, 0)</f>
        <v>25.305199999999999</v>
      </c>
      <c r="J243" s="44">
        <f>175.2242</f>
        <v>175.2242</v>
      </c>
    </row>
    <row r="244" spans="1:10" ht="15" x14ac:dyDescent="0.2">
      <c r="A244" s="16">
        <v>47969</v>
      </c>
      <c r="B244" s="17">
        <f>26.7298 * CHOOSE(CONTROL!$C$15, $E$9, 100%, $G$9) + CHOOSE(CONTROL!$C$38, 0.0355, 0)</f>
        <v>26.7653</v>
      </c>
      <c r="C244" s="17">
        <f>24.4461 * CHOOSE(CONTROL!$C$15, $E$9, 100%, $G$9) + CHOOSE(CONTROL!$C$38, 0.0356, 0)</f>
        <v>24.4817</v>
      </c>
      <c r="D244" s="17">
        <f>24.4383 * CHOOSE(CONTROL!$C$15, $E$9, 100%, $G$9) + CHOOSE(CONTROL!$C$38, 0.0356, 0)</f>
        <v>24.4739</v>
      </c>
      <c r="E244" s="17">
        <f>24.4383 * CHOOSE(CONTROL!$C$15, $E$9, 100%, $G$9) + CHOOSE(CONTROL!$C$38, 0.0356, 0)</f>
        <v>24.4739</v>
      </c>
      <c r="F244" s="45">
        <f>26.7298 * CHOOSE(CONTROL!$C$15, $E$9, 100%, $G$9) + CHOOSE(CONTROL!$C$38, 0.0355, 0)</f>
        <v>26.7653</v>
      </c>
      <c r="G244" s="17">
        <f>24.4445 * CHOOSE(CONTROL!$C$15, $E$9, 100%, $G$9) + CHOOSE(CONTROL!$C$38, 0.0356, 0)</f>
        <v>24.4801</v>
      </c>
      <c r="H244" s="17">
        <f>24.4445 * CHOOSE(CONTROL!$C$15, $E$9, 100%, $G$9) + CHOOSE(CONTROL!$C$38, 0.0356, 0)</f>
        <v>24.4801</v>
      </c>
      <c r="I244" s="17">
        <f>24.4461 * CHOOSE(CONTROL!$C$15, $E$9, 100%, $G$9) + CHOOSE(CONTROL!$C$38, 0.0356, 0)</f>
        <v>24.4817</v>
      </c>
      <c r="J244" s="44">
        <f>181.1043</f>
        <v>181.10429999999999</v>
      </c>
    </row>
    <row r="245" spans="1:10" ht="15" x14ac:dyDescent="0.2">
      <c r="A245" s="16">
        <v>48000</v>
      </c>
      <c r="B245" s="17">
        <f>26.1513 * CHOOSE(CONTROL!$C$15, $E$9, 100%, $G$9) + CHOOSE(CONTROL!$C$38, 0.0355, 0)</f>
        <v>26.186799999999998</v>
      </c>
      <c r="C245" s="17">
        <f>23.8676 * CHOOSE(CONTROL!$C$15, $E$9, 100%, $G$9) + CHOOSE(CONTROL!$C$38, 0.0356, 0)</f>
        <v>23.903199999999998</v>
      </c>
      <c r="D245" s="17">
        <f>23.8598 * CHOOSE(CONTROL!$C$15, $E$9, 100%, $G$9) + CHOOSE(CONTROL!$C$38, 0.0356, 0)</f>
        <v>23.895399999999999</v>
      </c>
      <c r="E245" s="17">
        <f>23.8598 * CHOOSE(CONTROL!$C$15, $E$9, 100%, $G$9) + CHOOSE(CONTROL!$C$38, 0.0356, 0)</f>
        <v>23.895399999999999</v>
      </c>
      <c r="F245" s="45">
        <f>26.1513 * CHOOSE(CONTROL!$C$15, $E$9, 100%, $G$9) + CHOOSE(CONTROL!$C$38, 0.0355, 0)</f>
        <v>26.186799999999998</v>
      </c>
      <c r="G245" s="17">
        <f>23.8661 * CHOOSE(CONTROL!$C$15, $E$9, 100%, $G$9) + CHOOSE(CONTROL!$C$38, 0.0356, 0)</f>
        <v>23.901699999999998</v>
      </c>
      <c r="H245" s="17">
        <f>23.8661 * CHOOSE(CONTROL!$C$15, $E$9, 100%, $G$9) + CHOOSE(CONTROL!$C$38, 0.0356, 0)</f>
        <v>23.901699999999998</v>
      </c>
      <c r="I245" s="17">
        <f>23.8676 * CHOOSE(CONTROL!$C$15, $E$9, 100%, $G$9) + CHOOSE(CONTROL!$C$38, 0.0356, 0)</f>
        <v>23.903199999999998</v>
      </c>
      <c r="J245" s="44">
        <f>183.7138</f>
        <v>183.71379999999999</v>
      </c>
    </row>
    <row r="246" spans="1:10" ht="15" x14ac:dyDescent="0.2">
      <c r="A246" s="16">
        <v>48030</v>
      </c>
      <c r="B246" s="17">
        <f>25.8212 * CHOOSE(CONTROL!$C$15, $E$9, 100%, $G$9) + CHOOSE(CONTROL!$C$38, 0.0355, 0)</f>
        <v>25.8567</v>
      </c>
      <c r="C246" s="17">
        <f>23.5375 * CHOOSE(CONTROL!$C$15, $E$9, 100%, $G$9) + CHOOSE(CONTROL!$C$38, 0.0356, 0)</f>
        <v>23.5731</v>
      </c>
      <c r="D246" s="17">
        <f>23.5297 * CHOOSE(CONTROL!$C$15, $E$9, 100%, $G$9) + CHOOSE(CONTROL!$C$38, 0.0356, 0)</f>
        <v>23.565299999999997</v>
      </c>
      <c r="E246" s="17">
        <f>23.5297 * CHOOSE(CONTROL!$C$15, $E$9, 100%, $G$9) + CHOOSE(CONTROL!$C$38, 0.0356, 0)</f>
        <v>23.565299999999997</v>
      </c>
      <c r="F246" s="45">
        <f>25.8212 * CHOOSE(CONTROL!$C$15, $E$9, 100%, $G$9) + CHOOSE(CONTROL!$C$38, 0.0355, 0)</f>
        <v>25.8567</v>
      </c>
      <c r="G246" s="17">
        <f>23.536 * CHOOSE(CONTROL!$C$15, $E$9, 100%, $G$9) + CHOOSE(CONTROL!$C$38, 0.0356, 0)</f>
        <v>23.5716</v>
      </c>
      <c r="H246" s="17">
        <f>23.536 * CHOOSE(CONTROL!$C$15, $E$9, 100%, $G$9) + CHOOSE(CONTROL!$C$38, 0.0356, 0)</f>
        <v>23.5716</v>
      </c>
      <c r="I246" s="17">
        <f>23.5375 * CHOOSE(CONTROL!$C$15, $E$9, 100%, $G$9) + CHOOSE(CONTROL!$C$38, 0.0356, 0)</f>
        <v>23.5731</v>
      </c>
      <c r="J246" s="44">
        <f>182.8547</f>
        <v>182.85470000000001</v>
      </c>
    </row>
    <row r="247" spans="1:10" ht="15" x14ac:dyDescent="0.2">
      <c r="A247" s="16">
        <v>48061</v>
      </c>
      <c r="B247" s="17">
        <f>25.9841 * CHOOSE(CONTROL!$C$15, $E$9, 100%, $G$9) + CHOOSE(CONTROL!$C$38, 0.0355, 0)</f>
        <v>26.019600000000001</v>
      </c>
      <c r="C247" s="17">
        <f>23.7004 * CHOOSE(CONTROL!$C$15, $E$9, 100%, $G$9) + CHOOSE(CONTROL!$C$38, 0.0356, 0)</f>
        <v>23.735999999999997</v>
      </c>
      <c r="D247" s="17">
        <f>23.6926 * CHOOSE(CONTROL!$C$15, $E$9, 100%, $G$9) + CHOOSE(CONTROL!$C$38, 0.0356, 0)</f>
        <v>23.728199999999998</v>
      </c>
      <c r="E247" s="17">
        <f>23.6926 * CHOOSE(CONTROL!$C$15, $E$9, 100%, $G$9) + CHOOSE(CONTROL!$C$38, 0.0356, 0)</f>
        <v>23.728199999999998</v>
      </c>
      <c r="F247" s="45">
        <f>25.9841 * CHOOSE(CONTROL!$C$15, $E$9, 100%, $G$9) + CHOOSE(CONTROL!$C$38, 0.0355, 0)</f>
        <v>26.019600000000001</v>
      </c>
      <c r="G247" s="17">
        <f>23.6989 * CHOOSE(CONTROL!$C$15, $E$9, 100%, $G$9) + CHOOSE(CONTROL!$C$38, 0.0356, 0)</f>
        <v>23.734499999999997</v>
      </c>
      <c r="H247" s="17">
        <f>23.6989 * CHOOSE(CONTROL!$C$15, $E$9, 100%, $G$9) + CHOOSE(CONTROL!$C$38, 0.0356, 0)</f>
        <v>23.734499999999997</v>
      </c>
      <c r="I247" s="17">
        <f>23.7004 * CHOOSE(CONTROL!$C$15, $E$9, 100%, $G$9) + CHOOSE(CONTROL!$C$38, 0.0356, 0)</f>
        <v>23.735999999999997</v>
      </c>
      <c r="J247" s="44">
        <f>178.5979</f>
        <v>178.59790000000001</v>
      </c>
    </row>
    <row r="248" spans="1:10" ht="15" x14ac:dyDescent="0.2">
      <c r="A248" s="16">
        <v>48092</v>
      </c>
      <c r="B248" s="17">
        <f>26.4266 * CHOOSE(CONTROL!$C$15, $E$9, 100%, $G$9) + CHOOSE(CONTROL!$C$38, 0.0355, 0)</f>
        <v>26.4621</v>
      </c>
      <c r="C248" s="17">
        <f>24.1429 * CHOOSE(CONTROL!$C$15, $E$9, 100%, $G$9) + CHOOSE(CONTROL!$C$38, 0.0356, 0)</f>
        <v>24.1785</v>
      </c>
      <c r="D248" s="17">
        <f>24.1351 * CHOOSE(CONTROL!$C$15, $E$9, 100%, $G$9) + CHOOSE(CONTROL!$C$38, 0.0356, 0)</f>
        <v>24.1707</v>
      </c>
      <c r="E248" s="17">
        <f>24.1351 * CHOOSE(CONTROL!$C$15, $E$9, 100%, $G$9) + CHOOSE(CONTROL!$C$38, 0.0356, 0)</f>
        <v>24.1707</v>
      </c>
      <c r="F248" s="45">
        <f>26.4266 * CHOOSE(CONTROL!$C$15, $E$9, 100%, $G$9) + CHOOSE(CONTROL!$C$38, 0.0355, 0)</f>
        <v>26.4621</v>
      </c>
      <c r="G248" s="17">
        <f>24.1414 * CHOOSE(CONTROL!$C$15, $E$9, 100%, $G$9) + CHOOSE(CONTROL!$C$38, 0.0356, 0)</f>
        <v>24.177</v>
      </c>
      <c r="H248" s="17">
        <f>24.1414 * CHOOSE(CONTROL!$C$15, $E$9, 100%, $G$9) + CHOOSE(CONTROL!$C$38, 0.0356, 0)</f>
        <v>24.177</v>
      </c>
      <c r="I248" s="17">
        <f>24.1429 * CHOOSE(CONTROL!$C$15, $E$9, 100%, $G$9) + CHOOSE(CONTROL!$C$38, 0.0356, 0)</f>
        <v>24.1785</v>
      </c>
      <c r="J248" s="44">
        <f>172.6616</f>
        <v>172.66159999999999</v>
      </c>
    </row>
    <row r="249" spans="1:10" ht="15" x14ac:dyDescent="0.2">
      <c r="A249" s="16">
        <v>48122</v>
      </c>
      <c r="B249" s="17">
        <f>26.7972 * CHOOSE(CONTROL!$C$15, $E$9, 100%, $G$9) + CHOOSE(CONTROL!$C$38, 0.0339, 0)</f>
        <v>26.831099999999999</v>
      </c>
      <c r="C249" s="17">
        <f>24.5135 * CHOOSE(CONTROL!$C$15, $E$9, 100%, $G$9) + CHOOSE(CONTROL!$C$38, 0.034, 0)</f>
        <v>24.547499999999999</v>
      </c>
      <c r="D249" s="17">
        <f>24.5057 * CHOOSE(CONTROL!$C$15, $E$9, 100%, $G$9) + CHOOSE(CONTROL!$C$38, 0.034, 0)</f>
        <v>24.5397</v>
      </c>
      <c r="E249" s="17">
        <f>24.5057 * CHOOSE(CONTROL!$C$15, $E$9, 100%, $G$9) + CHOOSE(CONTROL!$C$38, 0.034, 0)</f>
        <v>24.5397</v>
      </c>
      <c r="F249" s="45">
        <f>26.7972 * CHOOSE(CONTROL!$C$15, $E$9, 100%, $G$9) + CHOOSE(CONTROL!$C$38, 0.0339, 0)</f>
        <v>26.831099999999999</v>
      </c>
      <c r="G249" s="17">
        <f>24.512 * CHOOSE(CONTROL!$C$15, $E$9, 100%, $G$9) + CHOOSE(CONTROL!$C$38, 0.034, 0)</f>
        <v>24.545999999999999</v>
      </c>
      <c r="H249" s="17">
        <f>24.512 * CHOOSE(CONTROL!$C$15, $E$9, 100%, $G$9) + CHOOSE(CONTROL!$C$38, 0.034, 0)</f>
        <v>24.545999999999999</v>
      </c>
      <c r="I249" s="17">
        <f>24.5135 * CHOOSE(CONTROL!$C$15, $E$9, 100%, $G$9) + CHOOSE(CONTROL!$C$38, 0.034, 0)</f>
        <v>24.547499999999999</v>
      </c>
      <c r="J249" s="44">
        <f>166.6908</f>
        <v>166.6908</v>
      </c>
    </row>
    <row r="250" spans="1:10" ht="15" x14ac:dyDescent="0.2">
      <c r="A250" s="16">
        <v>48153</v>
      </c>
      <c r="B250" s="17">
        <f>27.1065 * CHOOSE(CONTROL!$C$15, $E$9, 100%, $G$9) + CHOOSE(CONTROL!$C$38, 0.0339, 0)</f>
        <v>27.1404</v>
      </c>
      <c r="C250" s="17">
        <f>24.8228 * CHOOSE(CONTROL!$C$15, $E$9, 100%, $G$9) + CHOOSE(CONTROL!$C$38, 0.034, 0)</f>
        <v>24.8568</v>
      </c>
      <c r="D250" s="17">
        <f>24.815 * CHOOSE(CONTROL!$C$15, $E$9, 100%, $G$9) + CHOOSE(CONTROL!$C$38, 0.034, 0)</f>
        <v>24.849</v>
      </c>
      <c r="E250" s="17">
        <f>24.815 * CHOOSE(CONTROL!$C$15, $E$9, 100%, $G$9) + CHOOSE(CONTROL!$C$38, 0.034, 0)</f>
        <v>24.849</v>
      </c>
      <c r="F250" s="45">
        <f>27.1065 * CHOOSE(CONTROL!$C$15, $E$9, 100%, $G$9) + CHOOSE(CONTROL!$C$38, 0.0339, 0)</f>
        <v>27.1404</v>
      </c>
      <c r="G250" s="17">
        <f>24.8212 * CHOOSE(CONTROL!$C$15, $E$9, 100%, $G$9) + CHOOSE(CONTROL!$C$38, 0.034, 0)</f>
        <v>24.8552</v>
      </c>
      <c r="H250" s="17">
        <f>24.8212 * CHOOSE(CONTROL!$C$15, $E$9, 100%, $G$9) + CHOOSE(CONTROL!$C$38, 0.034, 0)</f>
        <v>24.8552</v>
      </c>
      <c r="I250" s="17">
        <f>24.8228 * CHOOSE(CONTROL!$C$15, $E$9, 100%, $G$9) + CHOOSE(CONTROL!$C$38, 0.034, 0)</f>
        <v>24.8568</v>
      </c>
      <c r="J250" s="44">
        <f>165.5031</f>
        <v>165.50309999999999</v>
      </c>
    </row>
    <row r="251" spans="1:10" ht="15" x14ac:dyDescent="0.2">
      <c r="A251" s="16">
        <v>48183</v>
      </c>
      <c r="B251" s="17">
        <f>28.0594 * CHOOSE(CONTROL!$C$15, $E$9, 100%, $G$9) + CHOOSE(CONTROL!$C$38, 0.0339, 0)</f>
        <v>28.093299999999999</v>
      </c>
      <c r="C251" s="17">
        <f>25.7757 * CHOOSE(CONTROL!$C$15, $E$9, 100%, $G$9) + CHOOSE(CONTROL!$C$38, 0.034, 0)</f>
        <v>25.809699999999999</v>
      </c>
      <c r="D251" s="17">
        <f>25.7679 * CHOOSE(CONTROL!$C$15, $E$9, 100%, $G$9) + CHOOSE(CONTROL!$C$38, 0.034, 0)</f>
        <v>25.8019</v>
      </c>
      <c r="E251" s="17">
        <f>25.7679 * CHOOSE(CONTROL!$C$15, $E$9, 100%, $G$9) + CHOOSE(CONTROL!$C$38, 0.034, 0)</f>
        <v>25.8019</v>
      </c>
      <c r="F251" s="45">
        <f>28.0594 * CHOOSE(CONTROL!$C$15, $E$9, 100%, $G$9) + CHOOSE(CONTROL!$C$38, 0.0339, 0)</f>
        <v>28.093299999999999</v>
      </c>
      <c r="G251" s="17">
        <f>25.7741 * CHOOSE(CONTROL!$C$15, $E$9, 100%, $G$9) + CHOOSE(CONTROL!$C$38, 0.034, 0)</f>
        <v>25.8081</v>
      </c>
      <c r="H251" s="17">
        <f>25.7741 * CHOOSE(CONTROL!$C$15, $E$9, 100%, $G$9) + CHOOSE(CONTROL!$C$38, 0.034, 0)</f>
        <v>25.8081</v>
      </c>
      <c r="I251" s="17">
        <f>25.7757 * CHOOSE(CONTROL!$C$15, $E$9, 100%, $G$9) + CHOOSE(CONTROL!$C$38, 0.034, 0)</f>
        <v>25.809699999999999</v>
      </c>
      <c r="J251" s="44">
        <f>160.5918</f>
        <v>160.59180000000001</v>
      </c>
    </row>
    <row r="252" spans="1:10" ht="15" x14ac:dyDescent="0.2">
      <c r="A252" s="16">
        <v>48214</v>
      </c>
      <c r="B252" s="17">
        <f>28.8463 * CHOOSE(CONTROL!$C$15, $E$9, 100%, $G$9) + CHOOSE(CONTROL!$C$38, 0.0339, 0)</f>
        <v>28.880199999999999</v>
      </c>
      <c r="C252" s="17">
        <f>26.5597 * CHOOSE(CONTROL!$C$15, $E$9, 100%, $G$9) + CHOOSE(CONTROL!$C$38, 0.034, 0)</f>
        <v>26.593699999999998</v>
      </c>
      <c r="D252" s="17">
        <f>26.5519 * CHOOSE(CONTROL!$C$15, $E$9, 100%, $G$9) + CHOOSE(CONTROL!$C$38, 0.034, 0)</f>
        <v>26.585899999999999</v>
      </c>
      <c r="E252" s="17">
        <f>26.5519 * CHOOSE(CONTROL!$C$15, $E$9, 100%, $G$9) + CHOOSE(CONTROL!$C$38, 0.034, 0)</f>
        <v>26.585899999999999</v>
      </c>
      <c r="F252" s="45">
        <f>28.8463 * CHOOSE(CONTROL!$C$15, $E$9, 100%, $G$9) + CHOOSE(CONTROL!$C$38, 0.0339, 0)</f>
        <v>28.880199999999999</v>
      </c>
      <c r="G252" s="17">
        <f>26.5582 * CHOOSE(CONTROL!$C$15, $E$9, 100%, $G$9) + CHOOSE(CONTROL!$C$38, 0.034, 0)</f>
        <v>26.592199999999998</v>
      </c>
      <c r="H252" s="17">
        <f>26.5582 * CHOOSE(CONTROL!$C$15, $E$9, 100%, $G$9) + CHOOSE(CONTROL!$C$38, 0.034, 0)</f>
        <v>26.592199999999998</v>
      </c>
      <c r="I252" s="17">
        <f>26.5597 * CHOOSE(CONTROL!$C$15, $E$9, 100%, $G$9) + CHOOSE(CONTROL!$C$38, 0.034, 0)</f>
        <v>26.593699999999998</v>
      </c>
      <c r="J252" s="44">
        <f>158.217</f>
        <v>158.21700000000001</v>
      </c>
    </row>
    <row r="253" spans="1:10" ht="15" x14ac:dyDescent="0.2">
      <c r="A253" s="16">
        <v>48245</v>
      </c>
      <c r="B253" s="17">
        <f>29.1992 * CHOOSE(CONTROL!$C$15, $E$9, 100%, $G$9) + CHOOSE(CONTROL!$C$38, 0.0339, 0)</f>
        <v>29.2331</v>
      </c>
      <c r="C253" s="17">
        <f>26.9126 * CHOOSE(CONTROL!$C$15, $E$9, 100%, $G$9) + CHOOSE(CONTROL!$C$38, 0.034, 0)</f>
        <v>26.9466</v>
      </c>
      <c r="D253" s="17">
        <f>26.9048 * CHOOSE(CONTROL!$C$15, $E$9, 100%, $G$9) + CHOOSE(CONTROL!$C$38, 0.034, 0)</f>
        <v>26.938800000000001</v>
      </c>
      <c r="E253" s="17">
        <f>26.9048 * CHOOSE(CONTROL!$C$15, $E$9, 100%, $G$9) + CHOOSE(CONTROL!$C$38, 0.034, 0)</f>
        <v>26.938800000000001</v>
      </c>
      <c r="F253" s="45">
        <f>29.1992 * CHOOSE(CONTROL!$C$15, $E$9, 100%, $G$9) + CHOOSE(CONTROL!$C$38, 0.0339, 0)</f>
        <v>29.2331</v>
      </c>
      <c r="G253" s="17">
        <f>26.9111 * CHOOSE(CONTROL!$C$15, $E$9, 100%, $G$9) + CHOOSE(CONTROL!$C$38, 0.034, 0)</f>
        <v>26.9451</v>
      </c>
      <c r="H253" s="17">
        <f>26.9111 * CHOOSE(CONTROL!$C$15, $E$9, 100%, $G$9) + CHOOSE(CONTROL!$C$38, 0.034, 0)</f>
        <v>26.9451</v>
      </c>
      <c r="I253" s="17">
        <f>26.9126 * CHOOSE(CONTROL!$C$15, $E$9, 100%, $G$9) + CHOOSE(CONTROL!$C$38, 0.034, 0)</f>
        <v>26.9466</v>
      </c>
      <c r="J253" s="44">
        <f>157.7772</f>
        <v>157.77719999999999</v>
      </c>
    </row>
    <row r="254" spans="1:10" ht="15" x14ac:dyDescent="0.2">
      <c r="A254" s="16">
        <v>48274</v>
      </c>
      <c r="B254" s="17">
        <f>28.3822 * CHOOSE(CONTROL!$C$15, $E$9, 100%, $G$9) + CHOOSE(CONTROL!$C$38, 0.0339, 0)</f>
        <v>28.4161</v>
      </c>
      <c r="C254" s="17">
        <f>26.0957 * CHOOSE(CONTROL!$C$15, $E$9, 100%, $G$9) + CHOOSE(CONTROL!$C$38, 0.034, 0)</f>
        <v>26.1297</v>
      </c>
      <c r="D254" s="17">
        <f>26.0879 * CHOOSE(CONTROL!$C$15, $E$9, 100%, $G$9) + CHOOSE(CONTROL!$C$38, 0.034, 0)</f>
        <v>26.1219</v>
      </c>
      <c r="E254" s="17">
        <f>26.0879 * CHOOSE(CONTROL!$C$15, $E$9, 100%, $G$9) + CHOOSE(CONTROL!$C$38, 0.034, 0)</f>
        <v>26.1219</v>
      </c>
      <c r="F254" s="45">
        <f>28.3822 * CHOOSE(CONTROL!$C$15, $E$9, 100%, $G$9) + CHOOSE(CONTROL!$C$38, 0.0339, 0)</f>
        <v>28.4161</v>
      </c>
      <c r="G254" s="17">
        <f>26.0941 * CHOOSE(CONTROL!$C$15, $E$9, 100%, $G$9) + CHOOSE(CONTROL!$C$38, 0.034, 0)</f>
        <v>26.1281</v>
      </c>
      <c r="H254" s="17">
        <f>26.0941 * CHOOSE(CONTROL!$C$15, $E$9, 100%, $G$9) + CHOOSE(CONTROL!$C$38, 0.034, 0)</f>
        <v>26.1281</v>
      </c>
      <c r="I254" s="17">
        <f>26.0957 * CHOOSE(CONTROL!$C$15, $E$9, 100%, $G$9) + CHOOSE(CONTROL!$C$38, 0.034, 0)</f>
        <v>26.1297</v>
      </c>
      <c r="J254" s="44">
        <f>166.093</f>
        <v>166.09299999999999</v>
      </c>
    </row>
    <row r="255" spans="1:10" ht="15" x14ac:dyDescent="0.2">
      <c r="A255" s="16">
        <v>48305</v>
      </c>
      <c r="B255" s="17">
        <f>27.5906 * CHOOSE(CONTROL!$C$15, $E$9, 100%, $G$9) + CHOOSE(CONTROL!$C$38, 0.0339, 0)</f>
        <v>27.624499999999998</v>
      </c>
      <c r="C255" s="17">
        <f>25.3041 * CHOOSE(CONTROL!$C$15, $E$9, 100%, $G$9) + CHOOSE(CONTROL!$C$38, 0.034, 0)</f>
        <v>25.338099999999997</v>
      </c>
      <c r="D255" s="17">
        <f>25.2962 * CHOOSE(CONTROL!$C$15, $E$9, 100%, $G$9) + CHOOSE(CONTROL!$C$38, 0.034, 0)</f>
        <v>25.330199999999998</v>
      </c>
      <c r="E255" s="17">
        <f>25.2962 * CHOOSE(CONTROL!$C$15, $E$9, 100%, $G$9) + CHOOSE(CONTROL!$C$38, 0.034, 0)</f>
        <v>25.330199999999998</v>
      </c>
      <c r="F255" s="45">
        <f>27.5906 * CHOOSE(CONTROL!$C$15, $E$9, 100%, $G$9) + CHOOSE(CONTROL!$C$38, 0.0339, 0)</f>
        <v>27.624499999999998</v>
      </c>
      <c r="G255" s="17">
        <f>25.3025 * CHOOSE(CONTROL!$C$15, $E$9, 100%, $G$9) + CHOOSE(CONTROL!$C$38, 0.034, 0)</f>
        <v>25.336499999999997</v>
      </c>
      <c r="H255" s="17">
        <f>25.3025 * CHOOSE(CONTROL!$C$15, $E$9, 100%, $G$9) + CHOOSE(CONTROL!$C$38, 0.034, 0)</f>
        <v>25.336499999999997</v>
      </c>
      <c r="I255" s="17">
        <f>25.3041 * CHOOSE(CONTROL!$C$15, $E$9, 100%, $G$9) + CHOOSE(CONTROL!$C$38, 0.034, 0)</f>
        <v>25.338099999999997</v>
      </c>
      <c r="J255" s="44">
        <f>176.8765</f>
        <v>176.87649999999999</v>
      </c>
    </row>
    <row r="256" spans="1:10" ht="15" x14ac:dyDescent="0.2">
      <c r="A256" s="16">
        <v>48335</v>
      </c>
      <c r="B256" s="17">
        <f>26.7655 * CHOOSE(CONTROL!$C$15, $E$9, 100%, $G$9) + CHOOSE(CONTROL!$C$38, 0.0355, 0)</f>
        <v>26.800999999999998</v>
      </c>
      <c r="C256" s="17">
        <f>24.479 * CHOOSE(CONTROL!$C$15, $E$9, 100%, $G$9) + CHOOSE(CONTROL!$C$38, 0.0356, 0)</f>
        <v>24.514599999999998</v>
      </c>
      <c r="D256" s="17">
        <f>24.4712 * CHOOSE(CONTROL!$C$15, $E$9, 100%, $G$9) + CHOOSE(CONTROL!$C$38, 0.0356, 0)</f>
        <v>24.506799999999998</v>
      </c>
      <c r="E256" s="17">
        <f>24.4712 * CHOOSE(CONTROL!$C$15, $E$9, 100%, $G$9) + CHOOSE(CONTROL!$C$38, 0.0356, 0)</f>
        <v>24.506799999999998</v>
      </c>
      <c r="F256" s="45">
        <f>26.7655 * CHOOSE(CONTROL!$C$15, $E$9, 100%, $G$9) + CHOOSE(CONTROL!$C$38, 0.0355, 0)</f>
        <v>26.800999999999998</v>
      </c>
      <c r="G256" s="17">
        <f>24.4774 * CHOOSE(CONTROL!$C$15, $E$9, 100%, $G$9) + CHOOSE(CONTROL!$C$38, 0.0356, 0)</f>
        <v>24.512999999999998</v>
      </c>
      <c r="H256" s="17">
        <f>24.4774 * CHOOSE(CONTROL!$C$15, $E$9, 100%, $G$9) + CHOOSE(CONTROL!$C$38, 0.0356, 0)</f>
        <v>24.512999999999998</v>
      </c>
      <c r="I256" s="17">
        <f>24.479 * CHOOSE(CONTROL!$C$15, $E$9, 100%, $G$9) + CHOOSE(CONTROL!$C$38, 0.0356, 0)</f>
        <v>24.514599999999998</v>
      </c>
      <c r="J256" s="44">
        <f>182.8121</f>
        <v>182.81209999999999</v>
      </c>
    </row>
    <row r="257" spans="1:10" ht="15" x14ac:dyDescent="0.2">
      <c r="A257" s="16">
        <v>48366</v>
      </c>
      <c r="B257" s="17">
        <f>26.1871 * CHOOSE(CONTROL!$C$15, $E$9, 100%, $G$9) + CHOOSE(CONTROL!$C$38, 0.0355, 0)</f>
        <v>26.2226</v>
      </c>
      <c r="C257" s="17">
        <f>23.9005 * CHOOSE(CONTROL!$C$15, $E$9, 100%, $G$9) + CHOOSE(CONTROL!$C$38, 0.0356, 0)</f>
        <v>23.9361</v>
      </c>
      <c r="D257" s="17">
        <f>23.8927 * CHOOSE(CONTROL!$C$15, $E$9, 100%, $G$9) + CHOOSE(CONTROL!$C$38, 0.0356, 0)</f>
        <v>23.9283</v>
      </c>
      <c r="E257" s="17">
        <f>23.8927 * CHOOSE(CONTROL!$C$15, $E$9, 100%, $G$9) + CHOOSE(CONTROL!$C$38, 0.0356, 0)</f>
        <v>23.9283</v>
      </c>
      <c r="F257" s="45">
        <f>26.1871 * CHOOSE(CONTROL!$C$15, $E$9, 100%, $G$9) + CHOOSE(CONTROL!$C$38, 0.0355, 0)</f>
        <v>26.2226</v>
      </c>
      <c r="G257" s="17">
        <f>23.899 * CHOOSE(CONTROL!$C$15, $E$9, 100%, $G$9) + CHOOSE(CONTROL!$C$38, 0.0356, 0)</f>
        <v>23.9346</v>
      </c>
      <c r="H257" s="17">
        <f>23.899 * CHOOSE(CONTROL!$C$15, $E$9, 100%, $G$9) + CHOOSE(CONTROL!$C$38, 0.0356, 0)</f>
        <v>23.9346</v>
      </c>
      <c r="I257" s="17">
        <f>23.9005 * CHOOSE(CONTROL!$C$15, $E$9, 100%, $G$9) + CHOOSE(CONTROL!$C$38, 0.0356, 0)</f>
        <v>23.9361</v>
      </c>
      <c r="J257" s="44">
        <f>185.4463</f>
        <v>185.44630000000001</v>
      </c>
    </row>
    <row r="258" spans="1:10" ht="15" x14ac:dyDescent="0.2">
      <c r="A258" s="16">
        <v>48396</v>
      </c>
      <c r="B258" s="17">
        <f>25.857 * CHOOSE(CONTROL!$C$15, $E$9, 100%, $G$9) + CHOOSE(CONTROL!$C$38, 0.0355, 0)</f>
        <v>25.892499999999998</v>
      </c>
      <c r="C258" s="17">
        <f>23.5704 * CHOOSE(CONTROL!$C$15, $E$9, 100%, $G$9) + CHOOSE(CONTROL!$C$38, 0.0356, 0)</f>
        <v>23.605999999999998</v>
      </c>
      <c r="D258" s="17">
        <f>23.5626 * CHOOSE(CONTROL!$C$15, $E$9, 100%, $G$9) + CHOOSE(CONTROL!$C$38, 0.0356, 0)</f>
        <v>23.598199999999999</v>
      </c>
      <c r="E258" s="17">
        <f>23.5626 * CHOOSE(CONTROL!$C$15, $E$9, 100%, $G$9) + CHOOSE(CONTROL!$C$38, 0.0356, 0)</f>
        <v>23.598199999999999</v>
      </c>
      <c r="F258" s="45">
        <f>25.857 * CHOOSE(CONTROL!$C$15, $E$9, 100%, $G$9) + CHOOSE(CONTROL!$C$38, 0.0355, 0)</f>
        <v>25.892499999999998</v>
      </c>
      <c r="G258" s="17">
        <f>23.5689 * CHOOSE(CONTROL!$C$15, $E$9, 100%, $G$9) + CHOOSE(CONTROL!$C$38, 0.0356, 0)</f>
        <v>23.604499999999998</v>
      </c>
      <c r="H258" s="17">
        <f>23.5689 * CHOOSE(CONTROL!$C$15, $E$9, 100%, $G$9) + CHOOSE(CONTROL!$C$38, 0.0356, 0)</f>
        <v>23.604499999999998</v>
      </c>
      <c r="I258" s="17">
        <f>23.5704 * CHOOSE(CONTROL!$C$15, $E$9, 100%, $G$9) + CHOOSE(CONTROL!$C$38, 0.0356, 0)</f>
        <v>23.605999999999998</v>
      </c>
      <c r="J258" s="44">
        <f>184.579</f>
        <v>184.57900000000001</v>
      </c>
    </row>
    <row r="259" spans="1:10" ht="15" x14ac:dyDescent="0.2">
      <c r="A259" s="16">
        <v>48427</v>
      </c>
      <c r="B259" s="17">
        <f>26.0199 * CHOOSE(CONTROL!$C$15, $E$9, 100%, $G$9) + CHOOSE(CONTROL!$C$38, 0.0355, 0)</f>
        <v>26.055399999999999</v>
      </c>
      <c r="C259" s="17">
        <f>23.7333 * CHOOSE(CONTROL!$C$15, $E$9, 100%, $G$9) + CHOOSE(CONTROL!$C$38, 0.0356, 0)</f>
        <v>23.768899999999999</v>
      </c>
      <c r="D259" s="17">
        <f>23.7255 * CHOOSE(CONTROL!$C$15, $E$9, 100%, $G$9) + CHOOSE(CONTROL!$C$38, 0.0356, 0)</f>
        <v>23.761099999999999</v>
      </c>
      <c r="E259" s="17">
        <f>23.7255 * CHOOSE(CONTROL!$C$15, $E$9, 100%, $G$9) + CHOOSE(CONTROL!$C$38, 0.0356, 0)</f>
        <v>23.761099999999999</v>
      </c>
      <c r="F259" s="45">
        <f>26.0199 * CHOOSE(CONTROL!$C$15, $E$9, 100%, $G$9) + CHOOSE(CONTROL!$C$38, 0.0355, 0)</f>
        <v>26.055399999999999</v>
      </c>
      <c r="G259" s="17">
        <f>23.7318 * CHOOSE(CONTROL!$C$15, $E$9, 100%, $G$9) + CHOOSE(CONTROL!$C$38, 0.0356, 0)</f>
        <v>23.767399999999999</v>
      </c>
      <c r="H259" s="17">
        <f>23.7318 * CHOOSE(CONTROL!$C$15, $E$9, 100%, $G$9) + CHOOSE(CONTROL!$C$38, 0.0356, 0)</f>
        <v>23.767399999999999</v>
      </c>
      <c r="I259" s="17">
        <f>23.7333 * CHOOSE(CONTROL!$C$15, $E$9, 100%, $G$9) + CHOOSE(CONTROL!$C$38, 0.0356, 0)</f>
        <v>23.768899999999999</v>
      </c>
      <c r="J259" s="44">
        <f>180.2821</f>
        <v>180.28210000000001</v>
      </c>
    </row>
    <row r="260" spans="1:10" ht="15" x14ac:dyDescent="0.2">
      <c r="A260" s="16">
        <v>48458</v>
      </c>
      <c r="B260" s="17">
        <f>26.4624 * CHOOSE(CONTROL!$C$15, $E$9, 100%, $G$9) + CHOOSE(CONTROL!$C$38, 0.0355, 0)</f>
        <v>26.497899999999998</v>
      </c>
      <c r="C260" s="17">
        <f>24.1758 * CHOOSE(CONTROL!$C$15, $E$9, 100%, $G$9) + CHOOSE(CONTROL!$C$38, 0.0356, 0)</f>
        <v>24.211399999999998</v>
      </c>
      <c r="D260" s="17">
        <f>24.168 * CHOOSE(CONTROL!$C$15, $E$9, 100%, $G$9) + CHOOSE(CONTROL!$C$38, 0.0356, 0)</f>
        <v>24.203599999999998</v>
      </c>
      <c r="E260" s="17">
        <f>24.168 * CHOOSE(CONTROL!$C$15, $E$9, 100%, $G$9) + CHOOSE(CONTROL!$C$38, 0.0356, 0)</f>
        <v>24.203599999999998</v>
      </c>
      <c r="F260" s="45">
        <f>26.4624 * CHOOSE(CONTROL!$C$15, $E$9, 100%, $G$9) + CHOOSE(CONTROL!$C$38, 0.0355, 0)</f>
        <v>26.497899999999998</v>
      </c>
      <c r="G260" s="17">
        <f>24.1743 * CHOOSE(CONTROL!$C$15, $E$9, 100%, $G$9) + CHOOSE(CONTROL!$C$38, 0.0356, 0)</f>
        <v>24.209899999999998</v>
      </c>
      <c r="H260" s="17">
        <f>24.1743 * CHOOSE(CONTROL!$C$15, $E$9, 100%, $G$9) + CHOOSE(CONTROL!$C$38, 0.0356, 0)</f>
        <v>24.209899999999998</v>
      </c>
      <c r="I260" s="17">
        <f>24.1758 * CHOOSE(CONTROL!$C$15, $E$9, 100%, $G$9) + CHOOSE(CONTROL!$C$38, 0.0356, 0)</f>
        <v>24.211399999999998</v>
      </c>
      <c r="J260" s="44">
        <f>174.2898</f>
        <v>174.28980000000001</v>
      </c>
    </row>
    <row r="261" spans="1:10" ht="15" x14ac:dyDescent="0.2">
      <c r="A261" s="16">
        <v>48488</v>
      </c>
      <c r="B261" s="17">
        <f>26.833 * CHOOSE(CONTROL!$C$15, $E$9, 100%, $G$9) + CHOOSE(CONTROL!$C$38, 0.0339, 0)</f>
        <v>26.866899999999998</v>
      </c>
      <c r="C261" s="17">
        <f>24.5464 * CHOOSE(CONTROL!$C$15, $E$9, 100%, $G$9) + CHOOSE(CONTROL!$C$38, 0.034, 0)</f>
        <v>24.580399999999997</v>
      </c>
      <c r="D261" s="17">
        <f>24.5386 * CHOOSE(CONTROL!$C$15, $E$9, 100%, $G$9) + CHOOSE(CONTROL!$C$38, 0.034, 0)</f>
        <v>24.572599999999998</v>
      </c>
      <c r="E261" s="17">
        <f>24.5386 * CHOOSE(CONTROL!$C$15, $E$9, 100%, $G$9) + CHOOSE(CONTROL!$C$38, 0.034, 0)</f>
        <v>24.572599999999998</v>
      </c>
      <c r="F261" s="45">
        <f>26.833 * CHOOSE(CONTROL!$C$15, $E$9, 100%, $G$9) + CHOOSE(CONTROL!$C$38, 0.0339, 0)</f>
        <v>26.866899999999998</v>
      </c>
      <c r="G261" s="17">
        <f>24.5449 * CHOOSE(CONTROL!$C$15, $E$9, 100%, $G$9) + CHOOSE(CONTROL!$C$38, 0.034, 0)</f>
        <v>24.578899999999997</v>
      </c>
      <c r="H261" s="17">
        <f>24.5449 * CHOOSE(CONTROL!$C$15, $E$9, 100%, $G$9) + CHOOSE(CONTROL!$C$38, 0.034, 0)</f>
        <v>24.578899999999997</v>
      </c>
      <c r="I261" s="17">
        <f>24.5464 * CHOOSE(CONTROL!$C$15, $E$9, 100%, $G$9) + CHOOSE(CONTROL!$C$38, 0.034, 0)</f>
        <v>24.580399999999997</v>
      </c>
      <c r="J261" s="44">
        <f>168.2627</f>
        <v>168.2627</v>
      </c>
    </row>
    <row r="262" spans="1:10" ht="15" x14ac:dyDescent="0.2">
      <c r="A262" s="16">
        <v>48519</v>
      </c>
      <c r="B262" s="17">
        <f>27.1422 * CHOOSE(CONTROL!$C$15, $E$9, 100%, $G$9) + CHOOSE(CONTROL!$C$38, 0.0339, 0)</f>
        <v>27.176099999999998</v>
      </c>
      <c r="C262" s="17">
        <f>24.8557 * CHOOSE(CONTROL!$C$15, $E$9, 100%, $G$9) + CHOOSE(CONTROL!$C$38, 0.034, 0)</f>
        <v>24.889699999999998</v>
      </c>
      <c r="D262" s="17">
        <f>24.8479 * CHOOSE(CONTROL!$C$15, $E$9, 100%, $G$9) + CHOOSE(CONTROL!$C$38, 0.034, 0)</f>
        <v>24.881899999999998</v>
      </c>
      <c r="E262" s="17">
        <f>24.8479 * CHOOSE(CONTROL!$C$15, $E$9, 100%, $G$9) + CHOOSE(CONTROL!$C$38, 0.034, 0)</f>
        <v>24.881899999999998</v>
      </c>
      <c r="F262" s="45">
        <f>27.1422 * CHOOSE(CONTROL!$C$15, $E$9, 100%, $G$9) + CHOOSE(CONTROL!$C$38, 0.0339, 0)</f>
        <v>27.176099999999998</v>
      </c>
      <c r="G262" s="17">
        <f>24.8541 * CHOOSE(CONTROL!$C$15, $E$9, 100%, $G$9) + CHOOSE(CONTROL!$C$38, 0.034, 0)</f>
        <v>24.888099999999998</v>
      </c>
      <c r="H262" s="17">
        <f>24.8541 * CHOOSE(CONTROL!$C$15, $E$9, 100%, $G$9) + CHOOSE(CONTROL!$C$38, 0.034, 0)</f>
        <v>24.888099999999998</v>
      </c>
      <c r="I262" s="17">
        <f>24.8557 * CHOOSE(CONTROL!$C$15, $E$9, 100%, $G$9) + CHOOSE(CONTROL!$C$38, 0.034, 0)</f>
        <v>24.889699999999998</v>
      </c>
      <c r="J262" s="44">
        <f>167.0638</f>
        <v>167.06379999999999</v>
      </c>
    </row>
    <row r="263" spans="1:10" ht="15" x14ac:dyDescent="0.2">
      <c r="A263" s="16">
        <v>48549</v>
      </c>
      <c r="B263" s="17">
        <f>28.0951 * CHOOSE(CONTROL!$C$15, $E$9, 100%, $G$9) + CHOOSE(CONTROL!$C$38, 0.0339, 0)</f>
        <v>28.128999999999998</v>
      </c>
      <c r="C263" s="17">
        <f>25.8086 * CHOOSE(CONTROL!$C$15, $E$9, 100%, $G$9) + CHOOSE(CONTROL!$C$38, 0.034, 0)</f>
        <v>25.842599999999997</v>
      </c>
      <c r="D263" s="17">
        <f>25.8008 * CHOOSE(CONTROL!$C$15, $E$9, 100%, $G$9) + CHOOSE(CONTROL!$C$38, 0.034, 0)</f>
        <v>25.834799999999998</v>
      </c>
      <c r="E263" s="17">
        <f>25.8008 * CHOOSE(CONTROL!$C$15, $E$9, 100%, $G$9) + CHOOSE(CONTROL!$C$38, 0.034, 0)</f>
        <v>25.834799999999998</v>
      </c>
      <c r="F263" s="45">
        <f>28.0951 * CHOOSE(CONTROL!$C$15, $E$9, 100%, $G$9) + CHOOSE(CONTROL!$C$38, 0.0339, 0)</f>
        <v>28.128999999999998</v>
      </c>
      <c r="G263" s="17">
        <f>25.807 * CHOOSE(CONTROL!$C$15, $E$9, 100%, $G$9) + CHOOSE(CONTROL!$C$38, 0.034, 0)</f>
        <v>25.840999999999998</v>
      </c>
      <c r="H263" s="17">
        <f>25.807 * CHOOSE(CONTROL!$C$15, $E$9, 100%, $G$9) + CHOOSE(CONTROL!$C$38, 0.034, 0)</f>
        <v>25.840999999999998</v>
      </c>
      <c r="I263" s="17">
        <f>25.8086 * CHOOSE(CONTROL!$C$15, $E$9, 100%, $G$9) + CHOOSE(CONTROL!$C$38, 0.034, 0)</f>
        <v>25.842599999999997</v>
      </c>
      <c r="J263" s="44">
        <f>162.1061</f>
        <v>162.1061</v>
      </c>
    </row>
    <row r="264" spans="1:10" ht="15" x14ac:dyDescent="0.2">
      <c r="A264" s="16">
        <v>48580</v>
      </c>
      <c r="B264" s="17">
        <f>28.8821 * CHOOSE(CONTROL!$C$15, $E$9, 100%, $G$9) + CHOOSE(CONTROL!$C$38, 0.0339, 0)</f>
        <v>28.916</v>
      </c>
      <c r="C264" s="17">
        <f>26.5927 * CHOOSE(CONTROL!$C$15, $E$9, 100%, $G$9) + CHOOSE(CONTROL!$C$38, 0.034, 0)</f>
        <v>26.6267</v>
      </c>
      <c r="D264" s="17">
        <f>26.5849 * CHOOSE(CONTROL!$C$15, $E$9, 100%, $G$9) + CHOOSE(CONTROL!$C$38, 0.034, 0)</f>
        <v>26.6189</v>
      </c>
      <c r="E264" s="17">
        <f>26.5849 * CHOOSE(CONTROL!$C$15, $E$9, 100%, $G$9) + CHOOSE(CONTROL!$C$38, 0.034, 0)</f>
        <v>26.6189</v>
      </c>
      <c r="F264" s="45">
        <f>28.8821 * CHOOSE(CONTROL!$C$15, $E$9, 100%, $G$9) + CHOOSE(CONTROL!$C$38, 0.0339, 0)</f>
        <v>28.916</v>
      </c>
      <c r="G264" s="17">
        <f>26.5911 * CHOOSE(CONTROL!$C$15, $E$9, 100%, $G$9) + CHOOSE(CONTROL!$C$38, 0.034, 0)</f>
        <v>26.6251</v>
      </c>
      <c r="H264" s="17">
        <f>26.5911 * CHOOSE(CONTROL!$C$15, $E$9, 100%, $G$9) + CHOOSE(CONTROL!$C$38, 0.034, 0)</f>
        <v>26.6251</v>
      </c>
      <c r="I264" s="17">
        <f>26.5927 * CHOOSE(CONTROL!$C$15, $E$9, 100%, $G$9) + CHOOSE(CONTROL!$C$38, 0.034, 0)</f>
        <v>26.6267</v>
      </c>
      <c r="J264" s="44">
        <f>159.709</f>
        <v>159.709</v>
      </c>
    </row>
    <row r="265" spans="1:10" ht="15" x14ac:dyDescent="0.2">
      <c r="A265" s="16">
        <v>48611</v>
      </c>
      <c r="B265" s="17">
        <f>29.235 * CHOOSE(CONTROL!$C$15, $E$9, 100%, $G$9) + CHOOSE(CONTROL!$C$38, 0.0339, 0)</f>
        <v>29.268899999999999</v>
      </c>
      <c r="C265" s="17">
        <f>26.9456 * CHOOSE(CONTROL!$C$15, $E$9, 100%, $G$9) + CHOOSE(CONTROL!$C$38, 0.034, 0)</f>
        <v>26.979599999999998</v>
      </c>
      <c r="D265" s="17">
        <f>26.9378 * CHOOSE(CONTROL!$C$15, $E$9, 100%, $G$9) + CHOOSE(CONTROL!$C$38, 0.034, 0)</f>
        <v>26.971799999999998</v>
      </c>
      <c r="E265" s="17">
        <f>26.9378 * CHOOSE(CONTROL!$C$15, $E$9, 100%, $G$9) + CHOOSE(CONTROL!$C$38, 0.034, 0)</f>
        <v>26.971799999999998</v>
      </c>
      <c r="F265" s="45">
        <f>29.235 * CHOOSE(CONTROL!$C$15, $E$9, 100%, $G$9) + CHOOSE(CONTROL!$C$38, 0.0339, 0)</f>
        <v>29.268899999999999</v>
      </c>
      <c r="G265" s="17">
        <f>26.944 * CHOOSE(CONTROL!$C$15, $E$9, 100%, $G$9) + CHOOSE(CONTROL!$C$38, 0.034, 0)</f>
        <v>26.977999999999998</v>
      </c>
      <c r="H265" s="17">
        <f>26.944 * CHOOSE(CONTROL!$C$15, $E$9, 100%, $G$9) + CHOOSE(CONTROL!$C$38, 0.034, 0)</f>
        <v>26.977999999999998</v>
      </c>
      <c r="I265" s="17">
        <f>26.9456 * CHOOSE(CONTROL!$C$15, $E$9, 100%, $G$9) + CHOOSE(CONTROL!$C$38, 0.034, 0)</f>
        <v>26.979599999999998</v>
      </c>
      <c r="J265" s="44">
        <f>159.265</f>
        <v>159.26499999999999</v>
      </c>
    </row>
    <row r="266" spans="1:10" ht="15" x14ac:dyDescent="0.2">
      <c r="A266" s="16">
        <v>48639</v>
      </c>
      <c r="B266" s="17">
        <f>28.418 * CHOOSE(CONTROL!$C$15, $E$9, 100%, $G$9) + CHOOSE(CONTROL!$C$38, 0.0339, 0)</f>
        <v>28.451899999999998</v>
      </c>
      <c r="C266" s="17">
        <f>26.1286 * CHOOSE(CONTROL!$C$15, $E$9, 100%, $G$9) + CHOOSE(CONTROL!$C$38, 0.034, 0)</f>
        <v>26.162599999999998</v>
      </c>
      <c r="D266" s="17">
        <f>26.1208 * CHOOSE(CONTROL!$C$15, $E$9, 100%, $G$9) + CHOOSE(CONTROL!$C$38, 0.034, 0)</f>
        <v>26.154799999999998</v>
      </c>
      <c r="E266" s="17">
        <f>26.1208 * CHOOSE(CONTROL!$C$15, $E$9, 100%, $G$9) + CHOOSE(CONTROL!$C$38, 0.034, 0)</f>
        <v>26.154799999999998</v>
      </c>
      <c r="F266" s="45">
        <f>28.418 * CHOOSE(CONTROL!$C$15, $E$9, 100%, $G$9) + CHOOSE(CONTROL!$C$38, 0.0339, 0)</f>
        <v>28.451899999999998</v>
      </c>
      <c r="G266" s="17">
        <f>26.1271 * CHOOSE(CONTROL!$C$15, $E$9, 100%, $G$9) + CHOOSE(CONTROL!$C$38, 0.034, 0)</f>
        <v>26.161099999999998</v>
      </c>
      <c r="H266" s="17">
        <f>26.1271 * CHOOSE(CONTROL!$C$15, $E$9, 100%, $G$9) + CHOOSE(CONTROL!$C$38, 0.034, 0)</f>
        <v>26.161099999999998</v>
      </c>
      <c r="I266" s="17">
        <f>26.1286 * CHOOSE(CONTROL!$C$15, $E$9, 100%, $G$9) + CHOOSE(CONTROL!$C$38, 0.034, 0)</f>
        <v>26.162599999999998</v>
      </c>
      <c r="J266" s="44">
        <f>167.6592</f>
        <v>167.6592</v>
      </c>
    </row>
    <row r="267" spans="1:10" ht="15" x14ac:dyDescent="0.2">
      <c r="A267" s="16">
        <v>48670</v>
      </c>
      <c r="B267" s="17">
        <f>27.6264 * CHOOSE(CONTROL!$C$15, $E$9, 100%, $G$9) + CHOOSE(CONTROL!$C$38, 0.0339, 0)</f>
        <v>27.660299999999999</v>
      </c>
      <c r="C267" s="17">
        <f>25.337 * CHOOSE(CONTROL!$C$15, $E$9, 100%, $G$9) + CHOOSE(CONTROL!$C$38, 0.034, 0)</f>
        <v>25.370999999999999</v>
      </c>
      <c r="D267" s="17">
        <f>25.3292 * CHOOSE(CONTROL!$C$15, $E$9, 100%, $G$9) + CHOOSE(CONTROL!$C$38, 0.034, 0)</f>
        <v>25.363199999999999</v>
      </c>
      <c r="E267" s="17">
        <f>25.3292 * CHOOSE(CONTROL!$C$15, $E$9, 100%, $G$9) + CHOOSE(CONTROL!$C$38, 0.034, 0)</f>
        <v>25.363199999999999</v>
      </c>
      <c r="F267" s="45">
        <f>27.6264 * CHOOSE(CONTROL!$C$15, $E$9, 100%, $G$9) + CHOOSE(CONTROL!$C$38, 0.0339, 0)</f>
        <v>27.660299999999999</v>
      </c>
      <c r="G267" s="17">
        <f>25.3354 * CHOOSE(CONTROL!$C$15, $E$9, 100%, $G$9) + CHOOSE(CONTROL!$C$38, 0.034, 0)</f>
        <v>25.369399999999999</v>
      </c>
      <c r="H267" s="17">
        <f>25.3354 * CHOOSE(CONTROL!$C$15, $E$9, 100%, $G$9) + CHOOSE(CONTROL!$C$38, 0.034, 0)</f>
        <v>25.369399999999999</v>
      </c>
      <c r="I267" s="17">
        <f>25.337 * CHOOSE(CONTROL!$C$15, $E$9, 100%, $G$9) + CHOOSE(CONTROL!$C$38, 0.034, 0)</f>
        <v>25.370999999999999</v>
      </c>
      <c r="J267" s="44">
        <f>178.5445</f>
        <v>178.5445</v>
      </c>
    </row>
    <row r="268" spans="1:10" ht="15" x14ac:dyDescent="0.2">
      <c r="A268" s="16">
        <v>48700</v>
      </c>
      <c r="B268" s="17">
        <f>26.8013 * CHOOSE(CONTROL!$C$15, $E$9, 100%, $G$9) + CHOOSE(CONTROL!$C$38, 0.0355, 0)</f>
        <v>26.8368</v>
      </c>
      <c r="C268" s="17">
        <f>24.5119 * CHOOSE(CONTROL!$C$15, $E$9, 100%, $G$9) + CHOOSE(CONTROL!$C$38, 0.0356, 0)</f>
        <v>24.547499999999999</v>
      </c>
      <c r="D268" s="17">
        <f>24.5041 * CHOOSE(CONTROL!$C$15, $E$9, 100%, $G$9) + CHOOSE(CONTROL!$C$38, 0.0356, 0)</f>
        <v>24.5397</v>
      </c>
      <c r="E268" s="17">
        <f>24.5041 * CHOOSE(CONTROL!$C$15, $E$9, 100%, $G$9) + CHOOSE(CONTROL!$C$38, 0.0356, 0)</f>
        <v>24.5397</v>
      </c>
      <c r="F268" s="45">
        <f>26.8013 * CHOOSE(CONTROL!$C$15, $E$9, 100%, $G$9) + CHOOSE(CONTROL!$C$38, 0.0355, 0)</f>
        <v>26.8368</v>
      </c>
      <c r="G268" s="17">
        <f>24.5104 * CHOOSE(CONTROL!$C$15, $E$9, 100%, $G$9) + CHOOSE(CONTROL!$C$38, 0.0356, 0)</f>
        <v>24.545999999999999</v>
      </c>
      <c r="H268" s="17">
        <f>24.5104 * CHOOSE(CONTROL!$C$15, $E$9, 100%, $G$9) + CHOOSE(CONTROL!$C$38, 0.0356, 0)</f>
        <v>24.545999999999999</v>
      </c>
      <c r="I268" s="17">
        <f>24.5119 * CHOOSE(CONTROL!$C$15, $E$9, 100%, $G$9) + CHOOSE(CONTROL!$C$38, 0.0356, 0)</f>
        <v>24.547499999999999</v>
      </c>
      <c r="J268" s="44">
        <f>184.5361</f>
        <v>184.5361</v>
      </c>
    </row>
    <row r="269" spans="1:10" ht="15" x14ac:dyDescent="0.2">
      <c r="A269" s="16">
        <v>48731</v>
      </c>
      <c r="B269" s="17">
        <f>26.2229 * CHOOSE(CONTROL!$C$15, $E$9, 100%, $G$9) + CHOOSE(CONTROL!$C$38, 0.0355, 0)</f>
        <v>26.258399999999998</v>
      </c>
      <c r="C269" s="17">
        <f>23.9335 * CHOOSE(CONTROL!$C$15, $E$9, 100%, $G$9) + CHOOSE(CONTROL!$C$38, 0.0356, 0)</f>
        <v>23.969099999999997</v>
      </c>
      <c r="D269" s="17">
        <f>23.9257 * CHOOSE(CONTROL!$C$15, $E$9, 100%, $G$9) + CHOOSE(CONTROL!$C$38, 0.0356, 0)</f>
        <v>23.961299999999998</v>
      </c>
      <c r="E269" s="17">
        <f>23.9257 * CHOOSE(CONTROL!$C$15, $E$9, 100%, $G$9) + CHOOSE(CONTROL!$C$38, 0.0356, 0)</f>
        <v>23.961299999999998</v>
      </c>
      <c r="F269" s="45">
        <f>26.2229 * CHOOSE(CONTROL!$C$15, $E$9, 100%, $G$9) + CHOOSE(CONTROL!$C$38, 0.0355, 0)</f>
        <v>26.258399999999998</v>
      </c>
      <c r="G269" s="17">
        <f>23.9319 * CHOOSE(CONTROL!$C$15, $E$9, 100%, $G$9) + CHOOSE(CONTROL!$C$38, 0.0356, 0)</f>
        <v>23.967499999999998</v>
      </c>
      <c r="H269" s="17">
        <f>23.9319 * CHOOSE(CONTROL!$C$15, $E$9, 100%, $G$9) + CHOOSE(CONTROL!$C$38, 0.0356, 0)</f>
        <v>23.967499999999998</v>
      </c>
      <c r="I269" s="17">
        <f>23.9335 * CHOOSE(CONTROL!$C$15, $E$9, 100%, $G$9) + CHOOSE(CONTROL!$C$38, 0.0356, 0)</f>
        <v>23.969099999999997</v>
      </c>
      <c r="J269" s="44">
        <f>187.195</f>
        <v>187.19499999999999</v>
      </c>
    </row>
    <row r="270" spans="1:10" ht="15" x14ac:dyDescent="0.2">
      <c r="A270" s="16">
        <v>48761</v>
      </c>
      <c r="B270" s="17">
        <f>25.8928 * CHOOSE(CONTROL!$C$15, $E$9, 100%, $G$9) + CHOOSE(CONTROL!$C$38, 0.0355, 0)</f>
        <v>25.9283</v>
      </c>
      <c r="C270" s="17">
        <f>23.6034 * CHOOSE(CONTROL!$C$15, $E$9, 100%, $G$9) + CHOOSE(CONTROL!$C$38, 0.0356, 0)</f>
        <v>23.638999999999999</v>
      </c>
      <c r="D270" s="17">
        <f>23.5956 * CHOOSE(CONTROL!$C$15, $E$9, 100%, $G$9) + CHOOSE(CONTROL!$C$38, 0.0356, 0)</f>
        <v>23.6312</v>
      </c>
      <c r="E270" s="17">
        <f>23.5956 * CHOOSE(CONTROL!$C$15, $E$9, 100%, $G$9) + CHOOSE(CONTROL!$C$38, 0.0356, 0)</f>
        <v>23.6312</v>
      </c>
      <c r="F270" s="45">
        <f>25.8928 * CHOOSE(CONTROL!$C$15, $E$9, 100%, $G$9) + CHOOSE(CONTROL!$C$38, 0.0355, 0)</f>
        <v>25.9283</v>
      </c>
      <c r="G270" s="17">
        <f>23.6018 * CHOOSE(CONTROL!$C$15, $E$9, 100%, $G$9) + CHOOSE(CONTROL!$C$38, 0.0356, 0)</f>
        <v>23.6374</v>
      </c>
      <c r="H270" s="17">
        <f>23.6018 * CHOOSE(CONTROL!$C$15, $E$9, 100%, $G$9) + CHOOSE(CONTROL!$C$38, 0.0356, 0)</f>
        <v>23.6374</v>
      </c>
      <c r="I270" s="17">
        <f>23.6034 * CHOOSE(CONTROL!$C$15, $E$9, 100%, $G$9) + CHOOSE(CONTROL!$C$38, 0.0356, 0)</f>
        <v>23.638999999999999</v>
      </c>
      <c r="J270" s="44">
        <f>186.3196</f>
        <v>186.31960000000001</v>
      </c>
    </row>
    <row r="271" spans="1:10" ht="15" x14ac:dyDescent="0.2">
      <c r="A271" s="16">
        <v>48792</v>
      </c>
      <c r="B271" s="17">
        <f>26.0557 * CHOOSE(CONTROL!$C$15, $E$9, 100%, $G$9) + CHOOSE(CONTROL!$C$38, 0.0355, 0)</f>
        <v>26.091200000000001</v>
      </c>
      <c r="C271" s="17">
        <f>23.7663 * CHOOSE(CONTROL!$C$15, $E$9, 100%, $G$9) + CHOOSE(CONTROL!$C$38, 0.0356, 0)</f>
        <v>23.8019</v>
      </c>
      <c r="D271" s="17">
        <f>23.7585 * CHOOSE(CONTROL!$C$15, $E$9, 100%, $G$9) + CHOOSE(CONTROL!$C$38, 0.0356, 0)</f>
        <v>23.7941</v>
      </c>
      <c r="E271" s="17">
        <f>23.7585 * CHOOSE(CONTROL!$C$15, $E$9, 100%, $G$9) + CHOOSE(CONTROL!$C$38, 0.0356, 0)</f>
        <v>23.7941</v>
      </c>
      <c r="F271" s="45">
        <f>26.0557 * CHOOSE(CONTROL!$C$15, $E$9, 100%, $G$9) + CHOOSE(CONTROL!$C$38, 0.0355, 0)</f>
        <v>26.091200000000001</v>
      </c>
      <c r="G271" s="17">
        <f>23.7647 * CHOOSE(CONTROL!$C$15, $E$9, 100%, $G$9) + CHOOSE(CONTROL!$C$38, 0.0356, 0)</f>
        <v>23.8003</v>
      </c>
      <c r="H271" s="17">
        <f>23.7647 * CHOOSE(CONTROL!$C$15, $E$9, 100%, $G$9) + CHOOSE(CONTROL!$C$38, 0.0356, 0)</f>
        <v>23.8003</v>
      </c>
      <c r="I271" s="17">
        <f>23.7663 * CHOOSE(CONTROL!$C$15, $E$9, 100%, $G$9) + CHOOSE(CONTROL!$C$38, 0.0356, 0)</f>
        <v>23.8019</v>
      </c>
      <c r="J271" s="44">
        <f>181.9821</f>
        <v>181.9821</v>
      </c>
    </row>
    <row r="272" spans="1:10" ht="15" x14ac:dyDescent="0.2">
      <c r="A272" s="16">
        <v>48823</v>
      </c>
      <c r="B272" s="17">
        <f>26.4982 * CHOOSE(CONTROL!$C$15, $E$9, 100%, $G$9) + CHOOSE(CONTROL!$C$38, 0.0355, 0)</f>
        <v>26.5337</v>
      </c>
      <c r="C272" s="17">
        <f>24.2088 * CHOOSE(CONTROL!$C$15, $E$9, 100%, $G$9) + CHOOSE(CONTROL!$C$38, 0.0356, 0)</f>
        <v>24.244399999999999</v>
      </c>
      <c r="D272" s="17">
        <f>24.201 * CHOOSE(CONTROL!$C$15, $E$9, 100%, $G$9) + CHOOSE(CONTROL!$C$38, 0.0356, 0)</f>
        <v>24.236599999999999</v>
      </c>
      <c r="E272" s="17">
        <f>24.201 * CHOOSE(CONTROL!$C$15, $E$9, 100%, $G$9) + CHOOSE(CONTROL!$C$38, 0.0356, 0)</f>
        <v>24.236599999999999</v>
      </c>
      <c r="F272" s="45">
        <f>26.4982 * CHOOSE(CONTROL!$C$15, $E$9, 100%, $G$9) + CHOOSE(CONTROL!$C$38, 0.0355, 0)</f>
        <v>26.5337</v>
      </c>
      <c r="G272" s="17">
        <f>24.2072 * CHOOSE(CONTROL!$C$15, $E$9, 100%, $G$9) + CHOOSE(CONTROL!$C$38, 0.0356, 0)</f>
        <v>24.242799999999999</v>
      </c>
      <c r="H272" s="17">
        <f>24.2072 * CHOOSE(CONTROL!$C$15, $E$9, 100%, $G$9) + CHOOSE(CONTROL!$C$38, 0.0356, 0)</f>
        <v>24.242799999999999</v>
      </c>
      <c r="I272" s="17">
        <f>24.2088 * CHOOSE(CONTROL!$C$15, $E$9, 100%, $G$9) + CHOOSE(CONTROL!$C$38, 0.0356, 0)</f>
        <v>24.244399999999999</v>
      </c>
      <c r="J272" s="44">
        <f>175.9334</f>
        <v>175.93340000000001</v>
      </c>
    </row>
    <row r="273" spans="1:10" ht="15" x14ac:dyDescent="0.2">
      <c r="A273" s="16">
        <v>48853</v>
      </c>
      <c r="B273" s="17">
        <f>26.8688 * CHOOSE(CONTROL!$C$15, $E$9, 100%, $G$9) + CHOOSE(CONTROL!$C$38, 0.0339, 0)</f>
        <v>26.902699999999999</v>
      </c>
      <c r="C273" s="17">
        <f>24.5794 * CHOOSE(CONTROL!$C$15, $E$9, 100%, $G$9) + CHOOSE(CONTROL!$C$38, 0.034, 0)</f>
        <v>24.613399999999999</v>
      </c>
      <c r="D273" s="17">
        <f>24.5716 * CHOOSE(CONTROL!$C$15, $E$9, 100%, $G$9) + CHOOSE(CONTROL!$C$38, 0.034, 0)</f>
        <v>24.605599999999999</v>
      </c>
      <c r="E273" s="17">
        <f>24.5716 * CHOOSE(CONTROL!$C$15, $E$9, 100%, $G$9) + CHOOSE(CONTROL!$C$38, 0.034, 0)</f>
        <v>24.605599999999999</v>
      </c>
      <c r="F273" s="45">
        <f>26.8688 * CHOOSE(CONTROL!$C$15, $E$9, 100%, $G$9) + CHOOSE(CONTROL!$C$38, 0.0339, 0)</f>
        <v>26.902699999999999</v>
      </c>
      <c r="G273" s="17">
        <f>24.5778 * CHOOSE(CONTROL!$C$15, $E$9, 100%, $G$9) + CHOOSE(CONTROL!$C$38, 0.034, 0)</f>
        <v>24.611799999999999</v>
      </c>
      <c r="H273" s="17">
        <f>24.5778 * CHOOSE(CONTROL!$C$15, $E$9, 100%, $G$9) + CHOOSE(CONTROL!$C$38, 0.034, 0)</f>
        <v>24.611799999999999</v>
      </c>
      <c r="I273" s="17">
        <f>24.5794 * CHOOSE(CONTROL!$C$15, $E$9, 100%, $G$9) + CHOOSE(CONTROL!$C$38, 0.034, 0)</f>
        <v>24.613399999999999</v>
      </c>
      <c r="J273" s="44">
        <f>169.8494</f>
        <v>169.8494</v>
      </c>
    </row>
    <row r="274" spans="1:10" ht="15" x14ac:dyDescent="0.2">
      <c r="A274" s="16">
        <v>48884</v>
      </c>
      <c r="B274" s="17">
        <f>27.178 * CHOOSE(CONTROL!$C$15, $E$9, 100%, $G$9) + CHOOSE(CONTROL!$C$38, 0.0339, 0)</f>
        <v>27.2119</v>
      </c>
      <c r="C274" s="17">
        <f>24.8886 * CHOOSE(CONTROL!$C$15, $E$9, 100%, $G$9) + CHOOSE(CONTROL!$C$38, 0.034, 0)</f>
        <v>24.922599999999999</v>
      </c>
      <c r="D274" s="17">
        <f>24.8808 * CHOOSE(CONTROL!$C$15, $E$9, 100%, $G$9) + CHOOSE(CONTROL!$C$38, 0.034, 0)</f>
        <v>24.9148</v>
      </c>
      <c r="E274" s="17">
        <f>24.8808 * CHOOSE(CONTROL!$C$15, $E$9, 100%, $G$9) + CHOOSE(CONTROL!$C$38, 0.034, 0)</f>
        <v>24.9148</v>
      </c>
      <c r="F274" s="45">
        <f>27.178 * CHOOSE(CONTROL!$C$15, $E$9, 100%, $G$9) + CHOOSE(CONTROL!$C$38, 0.0339, 0)</f>
        <v>27.2119</v>
      </c>
      <c r="G274" s="17">
        <f>24.8871 * CHOOSE(CONTROL!$C$15, $E$9, 100%, $G$9) + CHOOSE(CONTROL!$C$38, 0.034, 0)</f>
        <v>24.921099999999999</v>
      </c>
      <c r="H274" s="17">
        <f>24.8871 * CHOOSE(CONTROL!$C$15, $E$9, 100%, $G$9) + CHOOSE(CONTROL!$C$38, 0.034, 0)</f>
        <v>24.921099999999999</v>
      </c>
      <c r="I274" s="17">
        <f>24.8886 * CHOOSE(CONTROL!$C$15, $E$9, 100%, $G$9) + CHOOSE(CONTROL!$C$38, 0.034, 0)</f>
        <v>24.922599999999999</v>
      </c>
      <c r="J274" s="44">
        <f>168.6392</f>
        <v>168.63919999999999</v>
      </c>
    </row>
    <row r="275" spans="1:10" ht="15" x14ac:dyDescent="0.2">
      <c r="A275" s="16">
        <v>48914</v>
      </c>
      <c r="B275" s="17">
        <f>28.1309 * CHOOSE(CONTROL!$C$15, $E$9, 100%, $G$9) + CHOOSE(CONTROL!$C$38, 0.0339, 0)</f>
        <v>28.1648</v>
      </c>
      <c r="C275" s="17">
        <f>25.8415 * CHOOSE(CONTROL!$C$15, $E$9, 100%, $G$9) + CHOOSE(CONTROL!$C$38, 0.034, 0)</f>
        <v>25.875499999999999</v>
      </c>
      <c r="D275" s="17">
        <f>25.8337 * CHOOSE(CONTROL!$C$15, $E$9, 100%, $G$9) + CHOOSE(CONTROL!$C$38, 0.034, 0)</f>
        <v>25.867699999999999</v>
      </c>
      <c r="E275" s="17">
        <f>25.8337 * CHOOSE(CONTROL!$C$15, $E$9, 100%, $G$9) + CHOOSE(CONTROL!$C$38, 0.034, 0)</f>
        <v>25.867699999999999</v>
      </c>
      <c r="F275" s="45">
        <f>28.1309 * CHOOSE(CONTROL!$C$15, $E$9, 100%, $G$9) + CHOOSE(CONTROL!$C$38, 0.0339, 0)</f>
        <v>28.1648</v>
      </c>
      <c r="G275" s="17">
        <f>25.84 * CHOOSE(CONTROL!$C$15, $E$9, 100%, $G$9) + CHOOSE(CONTROL!$C$38, 0.034, 0)</f>
        <v>25.873999999999999</v>
      </c>
      <c r="H275" s="17">
        <f>25.84 * CHOOSE(CONTROL!$C$15, $E$9, 100%, $G$9) + CHOOSE(CONTROL!$C$38, 0.034, 0)</f>
        <v>25.873999999999999</v>
      </c>
      <c r="I275" s="17">
        <f>25.8415 * CHOOSE(CONTROL!$C$15, $E$9, 100%, $G$9) + CHOOSE(CONTROL!$C$38, 0.034, 0)</f>
        <v>25.875499999999999</v>
      </c>
      <c r="J275" s="44">
        <f>163.6348</f>
        <v>163.63480000000001</v>
      </c>
    </row>
    <row r="276" spans="1:10" ht="15" x14ac:dyDescent="0.2">
      <c r="A276" s="16">
        <v>48945</v>
      </c>
      <c r="B276" s="17">
        <f>28.9179 * CHOOSE(CONTROL!$C$15, $E$9, 100%, $G$9) + CHOOSE(CONTROL!$C$38, 0.0339, 0)</f>
        <v>28.951799999999999</v>
      </c>
      <c r="C276" s="17">
        <f>26.6257 * CHOOSE(CONTROL!$C$15, $E$9, 100%, $G$9) + CHOOSE(CONTROL!$C$38, 0.034, 0)</f>
        <v>26.659699999999997</v>
      </c>
      <c r="D276" s="17">
        <f>26.6178 * CHOOSE(CONTROL!$C$15, $E$9, 100%, $G$9) + CHOOSE(CONTROL!$C$38, 0.034, 0)</f>
        <v>26.651799999999998</v>
      </c>
      <c r="E276" s="17">
        <f>26.6178 * CHOOSE(CONTROL!$C$15, $E$9, 100%, $G$9) + CHOOSE(CONTROL!$C$38, 0.034, 0)</f>
        <v>26.651799999999998</v>
      </c>
      <c r="F276" s="45">
        <f>28.9179 * CHOOSE(CONTROL!$C$15, $E$9, 100%, $G$9) + CHOOSE(CONTROL!$C$38, 0.0339, 0)</f>
        <v>28.951799999999999</v>
      </c>
      <c r="G276" s="17">
        <f>26.6241 * CHOOSE(CONTROL!$C$15, $E$9, 100%, $G$9) + CHOOSE(CONTROL!$C$38, 0.034, 0)</f>
        <v>26.658099999999997</v>
      </c>
      <c r="H276" s="17">
        <f>26.6241 * CHOOSE(CONTROL!$C$15, $E$9, 100%, $G$9) + CHOOSE(CONTROL!$C$38, 0.034, 0)</f>
        <v>26.658099999999997</v>
      </c>
      <c r="I276" s="17">
        <f>26.6257 * CHOOSE(CONTROL!$C$15, $E$9, 100%, $G$9) + CHOOSE(CONTROL!$C$38, 0.034, 0)</f>
        <v>26.659699999999997</v>
      </c>
      <c r="J276" s="44">
        <f>161.215</f>
        <v>161.215</v>
      </c>
    </row>
    <row r="277" spans="1:10" ht="15" x14ac:dyDescent="0.2">
      <c r="A277" s="16">
        <v>48976</v>
      </c>
      <c r="B277" s="17">
        <f>29.2708 * CHOOSE(CONTROL!$C$15, $E$9, 100%, $G$9) + CHOOSE(CONTROL!$C$38, 0.0339, 0)</f>
        <v>29.3047</v>
      </c>
      <c r="C277" s="17">
        <f>26.9786 * CHOOSE(CONTROL!$C$15, $E$9, 100%, $G$9) + CHOOSE(CONTROL!$C$38, 0.034, 0)</f>
        <v>27.012599999999999</v>
      </c>
      <c r="D277" s="17">
        <f>26.9708 * CHOOSE(CONTROL!$C$15, $E$9, 100%, $G$9) + CHOOSE(CONTROL!$C$38, 0.034, 0)</f>
        <v>27.004799999999999</v>
      </c>
      <c r="E277" s="17">
        <f>26.9708 * CHOOSE(CONTROL!$C$15, $E$9, 100%, $G$9) + CHOOSE(CONTROL!$C$38, 0.034, 0)</f>
        <v>27.004799999999999</v>
      </c>
      <c r="F277" s="45">
        <f>29.2708 * CHOOSE(CONTROL!$C$15, $E$9, 100%, $G$9) + CHOOSE(CONTROL!$C$38, 0.0339, 0)</f>
        <v>29.3047</v>
      </c>
      <c r="G277" s="17">
        <f>26.977 * CHOOSE(CONTROL!$C$15, $E$9, 100%, $G$9) + CHOOSE(CONTROL!$C$38, 0.034, 0)</f>
        <v>27.010999999999999</v>
      </c>
      <c r="H277" s="17">
        <f>26.977 * CHOOSE(CONTROL!$C$15, $E$9, 100%, $G$9) + CHOOSE(CONTROL!$C$38, 0.034, 0)</f>
        <v>27.010999999999999</v>
      </c>
      <c r="I277" s="17">
        <f>26.9786 * CHOOSE(CONTROL!$C$15, $E$9, 100%, $G$9) + CHOOSE(CONTROL!$C$38, 0.034, 0)</f>
        <v>27.012599999999999</v>
      </c>
      <c r="J277" s="44">
        <f>160.7669</f>
        <v>160.76689999999999</v>
      </c>
    </row>
    <row r="278" spans="1:10" ht="15" x14ac:dyDescent="0.2">
      <c r="A278" s="16">
        <v>49004</v>
      </c>
      <c r="B278" s="17">
        <f>28.4539 * CHOOSE(CONTROL!$C$15, $E$9, 100%, $G$9) + CHOOSE(CONTROL!$C$38, 0.0339, 0)</f>
        <v>28.4878</v>
      </c>
      <c r="C278" s="17">
        <f>26.1616 * CHOOSE(CONTROL!$C$15, $E$9, 100%, $G$9) + CHOOSE(CONTROL!$C$38, 0.034, 0)</f>
        <v>26.195599999999999</v>
      </c>
      <c r="D278" s="17">
        <f>26.1538 * CHOOSE(CONTROL!$C$15, $E$9, 100%, $G$9) + CHOOSE(CONTROL!$C$38, 0.034, 0)</f>
        <v>26.187799999999999</v>
      </c>
      <c r="E278" s="17">
        <f>26.1538 * CHOOSE(CONTROL!$C$15, $E$9, 100%, $G$9) + CHOOSE(CONTROL!$C$38, 0.034, 0)</f>
        <v>26.187799999999999</v>
      </c>
      <c r="F278" s="45">
        <f>28.4539 * CHOOSE(CONTROL!$C$15, $E$9, 100%, $G$9) + CHOOSE(CONTROL!$C$38, 0.0339, 0)</f>
        <v>28.4878</v>
      </c>
      <c r="G278" s="17">
        <f>26.16 * CHOOSE(CONTROL!$C$15, $E$9, 100%, $G$9) + CHOOSE(CONTROL!$C$38, 0.034, 0)</f>
        <v>26.193999999999999</v>
      </c>
      <c r="H278" s="17">
        <f>26.16 * CHOOSE(CONTROL!$C$15, $E$9, 100%, $G$9) + CHOOSE(CONTROL!$C$38, 0.034, 0)</f>
        <v>26.193999999999999</v>
      </c>
      <c r="I278" s="17">
        <f>26.1616 * CHOOSE(CONTROL!$C$15, $E$9, 100%, $G$9) + CHOOSE(CONTROL!$C$38, 0.034, 0)</f>
        <v>26.195599999999999</v>
      </c>
      <c r="J278" s="44">
        <f>169.2402</f>
        <v>169.24019999999999</v>
      </c>
    </row>
    <row r="279" spans="1:10" ht="15" x14ac:dyDescent="0.2">
      <c r="A279" s="16">
        <v>49035</v>
      </c>
      <c r="B279" s="17">
        <f>27.6622 * CHOOSE(CONTROL!$C$15, $E$9, 100%, $G$9) + CHOOSE(CONTROL!$C$38, 0.0339, 0)</f>
        <v>27.696099999999998</v>
      </c>
      <c r="C279" s="17">
        <f>25.37 * CHOOSE(CONTROL!$C$15, $E$9, 100%, $G$9) + CHOOSE(CONTROL!$C$38, 0.034, 0)</f>
        <v>25.404</v>
      </c>
      <c r="D279" s="17">
        <f>25.3622 * CHOOSE(CONTROL!$C$15, $E$9, 100%, $G$9) + CHOOSE(CONTROL!$C$38, 0.034, 0)</f>
        <v>25.3962</v>
      </c>
      <c r="E279" s="17">
        <f>25.3622 * CHOOSE(CONTROL!$C$15, $E$9, 100%, $G$9) + CHOOSE(CONTROL!$C$38, 0.034, 0)</f>
        <v>25.3962</v>
      </c>
      <c r="F279" s="45">
        <f>27.6622 * CHOOSE(CONTROL!$C$15, $E$9, 100%, $G$9) + CHOOSE(CONTROL!$C$38, 0.0339, 0)</f>
        <v>27.696099999999998</v>
      </c>
      <c r="G279" s="17">
        <f>25.3684 * CHOOSE(CONTROL!$C$15, $E$9, 100%, $G$9) + CHOOSE(CONTROL!$C$38, 0.034, 0)</f>
        <v>25.4024</v>
      </c>
      <c r="H279" s="17">
        <f>25.3684 * CHOOSE(CONTROL!$C$15, $E$9, 100%, $G$9) + CHOOSE(CONTROL!$C$38, 0.034, 0)</f>
        <v>25.4024</v>
      </c>
      <c r="I279" s="17">
        <f>25.37 * CHOOSE(CONTROL!$C$15, $E$9, 100%, $G$9) + CHOOSE(CONTROL!$C$38, 0.034, 0)</f>
        <v>25.404</v>
      </c>
      <c r="J279" s="44">
        <f>180.2281</f>
        <v>180.22810000000001</v>
      </c>
    </row>
    <row r="280" spans="1:10" ht="15" x14ac:dyDescent="0.2">
      <c r="A280" s="16">
        <v>49065</v>
      </c>
      <c r="B280" s="17">
        <f>26.8372 * CHOOSE(CONTROL!$C$15, $E$9, 100%, $G$9) + CHOOSE(CONTROL!$C$38, 0.0355, 0)</f>
        <v>26.872699999999998</v>
      </c>
      <c r="C280" s="17">
        <f>24.5449 * CHOOSE(CONTROL!$C$15, $E$9, 100%, $G$9) + CHOOSE(CONTROL!$C$38, 0.0356, 0)</f>
        <v>24.580499999999997</v>
      </c>
      <c r="D280" s="17">
        <f>24.5371 * CHOOSE(CONTROL!$C$15, $E$9, 100%, $G$9) + CHOOSE(CONTROL!$C$38, 0.0356, 0)</f>
        <v>24.572699999999998</v>
      </c>
      <c r="E280" s="17">
        <f>24.5371 * CHOOSE(CONTROL!$C$15, $E$9, 100%, $G$9) + CHOOSE(CONTROL!$C$38, 0.0356, 0)</f>
        <v>24.572699999999998</v>
      </c>
      <c r="F280" s="45">
        <f>26.8372 * CHOOSE(CONTROL!$C$15, $E$9, 100%, $G$9) + CHOOSE(CONTROL!$C$38, 0.0355, 0)</f>
        <v>26.872699999999998</v>
      </c>
      <c r="G280" s="17">
        <f>24.5433 * CHOOSE(CONTROL!$C$15, $E$9, 100%, $G$9) + CHOOSE(CONTROL!$C$38, 0.0356, 0)</f>
        <v>24.578899999999997</v>
      </c>
      <c r="H280" s="17">
        <f>24.5433 * CHOOSE(CONTROL!$C$15, $E$9, 100%, $G$9) + CHOOSE(CONTROL!$C$38, 0.0356, 0)</f>
        <v>24.578899999999997</v>
      </c>
      <c r="I280" s="17">
        <f>24.5449 * CHOOSE(CONTROL!$C$15, $E$9, 100%, $G$9) + CHOOSE(CONTROL!$C$38, 0.0356, 0)</f>
        <v>24.580499999999997</v>
      </c>
      <c r="J280" s="44">
        <f>186.2762</f>
        <v>186.27619999999999</v>
      </c>
    </row>
    <row r="281" spans="1:10" ht="15" x14ac:dyDescent="0.2">
      <c r="A281" s="16">
        <v>49096</v>
      </c>
      <c r="B281" s="17">
        <f>26.2587 * CHOOSE(CONTROL!$C$15, $E$9, 100%, $G$9) + CHOOSE(CONTROL!$C$38, 0.0355, 0)</f>
        <v>26.2942</v>
      </c>
      <c r="C281" s="17">
        <f>23.9665 * CHOOSE(CONTROL!$C$15, $E$9, 100%, $G$9) + CHOOSE(CONTROL!$C$38, 0.0356, 0)</f>
        <v>24.002099999999999</v>
      </c>
      <c r="D281" s="17">
        <f>23.9586 * CHOOSE(CONTROL!$C$15, $E$9, 100%, $G$9) + CHOOSE(CONTROL!$C$38, 0.0356, 0)</f>
        <v>23.994199999999999</v>
      </c>
      <c r="E281" s="17">
        <f>23.9586 * CHOOSE(CONTROL!$C$15, $E$9, 100%, $G$9) + CHOOSE(CONTROL!$C$38, 0.0356, 0)</f>
        <v>23.994199999999999</v>
      </c>
      <c r="F281" s="45">
        <f>26.2587 * CHOOSE(CONTROL!$C$15, $E$9, 100%, $G$9) + CHOOSE(CONTROL!$C$38, 0.0355, 0)</f>
        <v>26.2942</v>
      </c>
      <c r="G281" s="17">
        <f>23.9649 * CHOOSE(CONTROL!$C$15, $E$9, 100%, $G$9) + CHOOSE(CONTROL!$C$38, 0.0356, 0)</f>
        <v>24.000499999999999</v>
      </c>
      <c r="H281" s="17">
        <f>23.9649 * CHOOSE(CONTROL!$C$15, $E$9, 100%, $G$9) + CHOOSE(CONTROL!$C$38, 0.0356, 0)</f>
        <v>24.000499999999999</v>
      </c>
      <c r="I281" s="17">
        <f>23.9665 * CHOOSE(CONTROL!$C$15, $E$9, 100%, $G$9) + CHOOSE(CONTROL!$C$38, 0.0356, 0)</f>
        <v>24.002099999999999</v>
      </c>
      <c r="J281" s="44">
        <f>188.9603</f>
        <v>188.96029999999999</v>
      </c>
    </row>
    <row r="282" spans="1:10" ht="15" x14ac:dyDescent="0.2">
      <c r="A282" s="16">
        <v>49126</v>
      </c>
      <c r="B282" s="17">
        <f>25.9286 * CHOOSE(CONTROL!$C$15, $E$9, 100%, $G$9) + CHOOSE(CONTROL!$C$38, 0.0355, 0)</f>
        <v>25.964099999999998</v>
      </c>
      <c r="C282" s="17">
        <f>23.6364 * CHOOSE(CONTROL!$C$15, $E$9, 100%, $G$9) + CHOOSE(CONTROL!$C$38, 0.0356, 0)</f>
        <v>23.671999999999997</v>
      </c>
      <c r="D282" s="17">
        <f>23.6285 * CHOOSE(CONTROL!$C$15, $E$9, 100%, $G$9) + CHOOSE(CONTROL!$C$38, 0.0356, 0)</f>
        <v>23.664099999999998</v>
      </c>
      <c r="E282" s="17">
        <f>23.6285 * CHOOSE(CONTROL!$C$15, $E$9, 100%, $G$9) + CHOOSE(CONTROL!$C$38, 0.0356, 0)</f>
        <v>23.664099999999998</v>
      </c>
      <c r="F282" s="45">
        <f>25.9286 * CHOOSE(CONTROL!$C$15, $E$9, 100%, $G$9) + CHOOSE(CONTROL!$C$38, 0.0355, 0)</f>
        <v>25.964099999999998</v>
      </c>
      <c r="G282" s="17">
        <f>23.6348 * CHOOSE(CONTROL!$C$15, $E$9, 100%, $G$9) + CHOOSE(CONTROL!$C$38, 0.0356, 0)</f>
        <v>23.670399999999997</v>
      </c>
      <c r="H282" s="17">
        <f>23.6348 * CHOOSE(CONTROL!$C$15, $E$9, 100%, $G$9) + CHOOSE(CONTROL!$C$38, 0.0356, 0)</f>
        <v>23.670399999999997</v>
      </c>
      <c r="I282" s="17">
        <f>23.6364 * CHOOSE(CONTROL!$C$15, $E$9, 100%, $G$9) + CHOOSE(CONTROL!$C$38, 0.0356, 0)</f>
        <v>23.671999999999997</v>
      </c>
      <c r="J282" s="44">
        <f>188.0766</f>
        <v>188.07660000000001</v>
      </c>
    </row>
    <row r="283" spans="1:10" ht="15" x14ac:dyDescent="0.2">
      <c r="A283" s="16">
        <v>49157</v>
      </c>
      <c r="B283" s="17">
        <f>26.0915 * CHOOSE(CONTROL!$C$15, $E$9, 100%, $G$9) + CHOOSE(CONTROL!$C$38, 0.0355, 0)</f>
        <v>26.126999999999999</v>
      </c>
      <c r="C283" s="17">
        <f>23.7993 * CHOOSE(CONTROL!$C$15, $E$9, 100%, $G$9) + CHOOSE(CONTROL!$C$38, 0.0356, 0)</f>
        <v>23.834899999999998</v>
      </c>
      <c r="D283" s="17">
        <f>23.7915 * CHOOSE(CONTROL!$C$15, $E$9, 100%, $G$9) + CHOOSE(CONTROL!$C$38, 0.0356, 0)</f>
        <v>23.827099999999998</v>
      </c>
      <c r="E283" s="17">
        <f>23.7915 * CHOOSE(CONTROL!$C$15, $E$9, 100%, $G$9) + CHOOSE(CONTROL!$C$38, 0.0356, 0)</f>
        <v>23.827099999999998</v>
      </c>
      <c r="F283" s="45">
        <f>26.0915 * CHOOSE(CONTROL!$C$15, $E$9, 100%, $G$9) + CHOOSE(CONTROL!$C$38, 0.0355, 0)</f>
        <v>26.126999999999999</v>
      </c>
      <c r="G283" s="17">
        <f>23.7977 * CHOOSE(CONTROL!$C$15, $E$9, 100%, $G$9) + CHOOSE(CONTROL!$C$38, 0.0356, 0)</f>
        <v>23.833299999999998</v>
      </c>
      <c r="H283" s="17">
        <f>23.7977 * CHOOSE(CONTROL!$C$15, $E$9, 100%, $G$9) + CHOOSE(CONTROL!$C$38, 0.0356, 0)</f>
        <v>23.833299999999998</v>
      </c>
      <c r="I283" s="17">
        <f>23.7993 * CHOOSE(CONTROL!$C$15, $E$9, 100%, $G$9) + CHOOSE(CONTROL!$C$38, 0.0356, 0)</f>
        <v>23.834899999999998</v>
      </c>
      <c r="J283" s="44">
        <f>183.6982</f>
        <v>183.69820000000001</v>
      </c>
    </row>
    <row r="284" spans="1:10" ht="15" x14ac:dyDescent="0.2">
      <c r="A284" s="16">
        <v>49188</v>
      </c>
      <c r="B284" s="17">
        <f>26.534 * CHOOSE(CONTROL!$C$15, $E$9, 100%, $G$9) + CHOOSE(CONTROL!$C$38, 0.0355, 0)</f>
        <v>26.569499999999998</v>
      </c>
      <c r="C284" s="17">
        <f>24.2418 * CHOOSE(CONTROL!$C$15, $E$9, 100%, $G$9) + CHOOSE(CONTROL!$C$38, 0.0356, 0)</f>
        <v>24.2774</v>
      </c>
      <c r="D284" s="17">
        <f>24.234 * CHOOSE(CONTROL!$C$15, $E$9, 100%, $G$9) + CHOOSE(CONTROL!$C$38, 0.0356, 0)</f>
        <v>24.269600000000001</v>
      </c>
      <c r="E284" s="17">
        <f>24.234 * CHOOSE(CONTROL!$C$15, $E$9, 100%, $G$9) + CHOOSE(CONTROL!$C$38, 0.0356, 0)</f>
        <v>24.269600000000001</v>
      </c>
      <c r="F284" s="45">
        <f>26.534 * CHOOSE(CONTROL!$C$15, $E$9, 100%, $G$9) + CHOOSE(CONTROL!$C$38, 0.0355, 0)</f>
        <v>26.569499999999998</v>
      </c>
      <c r="G284" s="17">
        <f>24.2402 * CHOOSE(CONTROL!$C$15, $E$9, 100%, $G$9) + CHOOSE(CONTROL!$C$38, 0.0356, 0)</f>
        <v>24.2758</v>
      </c>
      <c r="H284" s="17">
        <f>24.2402 * CHOOSE(CONTROL!$C$15, $E$9, 100%, $G$9) + CHOOSE(CONTROL!$C$38, 0.0356, 0)</f>
        <v>24.2758</v>
      </c>
      <c r="I284" s="17">
        <f>24.2418 * CHOOSE(CONTROL!$C$15, $E$9, 100%, $G$9) + CHOOSE(CONTROL!$C$38, 0.0356, 0)</f>
        <v>24.2774</v>
      </c>
      <c r="J284" s="44">
        <f>177.5924</f>
        <v>177.5924</v>
      </c>
    </row>
    <row r="285" spans="1:10" ht="15" x14ac:dyDescent="0.2">
      <c r="A285" s="16">
        <v>49218</v>
      </c>
      <c r="B285" s="17">
        <f>26.9046 * CHOOSE(CONTROL!$C$15, $E$9, 100%, $G$9) + CHOOSE(CONTROL!$C$38, 0.0339, 0)</f>
        <v>26.938499999999998</v>
      </c>
      <c r="C285" s="17">
        <f>24.6124 * CHOOSE(CONTROL!$C$15, $E$9, 100%, $G$9) + CHOOSE(CONTROL!$C$38, 0.034, 0)</f>
        <v>24.6464</v>
      </c>
      <c r="D285" s="17">
        <f>24.6046 * CHOOSE(CONTROL!$C$15, $E$9, 100%, $G$9) + CHOOSE(CONTROL!$C$38, 0.034, 0)</f>
        <v>24.6386</v>
      </c>
      <c r="E285" s="17">
        <f>24.6046 * CHOOSE(CONTROL!$C$15, $E$9, 100%, $G$9) + CHOOSE(CONTROL!$C$38, 0.034, 0)</f>
        <v>24.6386</v>
      </c>
      <c r="F285" s="45">
        <f>26.9046 * CHOOSE(CONTROL!$C$15, $E$9, 100%, $G$9) + CHOOSE(CONTROL!$C$38, 0.0339, 0)</f>
        <v>26.938499999999998</v>
      </c>
      <c r="G285" s="17">
        <f>24.6108 * CHOOSE(CONTROL!$C$15, $E$9, 100%, $G$9) + CHOOSE(CONTROL!$C$38, 0.034, 0)</f>
        <v>24.6448</v>
      </c>
      <c r="H285" s="17">
        <f>24.6108 * CHOOSE(CONTROL!$C$15, $E$9, 100%, $G$9) + CHOOSE(CONTROL!$C$38, 0.034, 0)</f>
        <v>24.6448</v>
      </c>
      <c r="I285" s="17">
        <f>24.6124 * CHOOSE(CONTROL!$C$15, $E$9, 100%, $G$9) + CHOOSE(CONTROL!$C$38, 0.034, 0)</f>
        <v>24.6464</v>
      </c>
      <c r="J285" s="44">
        <f>171.4511</f>
        <v>171.4511</v>
      </c>
    </row>
    <row r="286" spans="1:10" ht="15" x14ac:dyDescent="0.2">
      <c r="A286" s="16">
        <v>49249</v>
      </c>
      <c r="B286" s="17">
        <f>27.2139 * CHOOSE(CONTROL!$C$15, $E$9, 100%, $G$9) + CHOOSE(CONTROL!$C$38, 0.0339, 0)</f>
        <v>27.247799999999998</v>
      </c>
      <c r="C286" s="17">
        <f>24.9216 * CHOOSE(CONTROL!$C$15, $E$9, 100%, $G$9) + CHOOSE(CONTROL!$C$38, 0.034, 0)</f>
        <v>24.9556</v>
      </c>
      <c r="D286" s="17">
        <f>24.9138 * CHOOSE(CONTROL!$C$15, $E$9, 100%, $G$9) + CHOOSE(CONTROL!$C$38, 0.034, 0)</f>
        <v>24.947799999999997</v>
      </c>
      <c r="E286" s="17">
        <f>24.9138 * CHOOSE(CONTROL!$C$15, $E$9, 100%, $G$9) + CHOOSE(CONTROL!$C$38, 0.034, 0)</f>
        <v>24.947799999999997</v>
      </c>
      <c r="F286" s="45">
        <f>27.2139 * CHOOSE(CONTROL!$C$15, $E$9, 100%, $G$9) + CHOOSE(CONTROL!$C$38, 0.0339, 0)</f>
        <v>27.247799999999998</v>
      </c>
      <c r="G286" s="17">
        <f>24.9201 * CHOOSE(CONTROL!$C$15, $E$9, 100%, $G$9) + CHOOSE(CONTROL!$C$38, 0.034, 0)</f>
        <v>24.9541</v>
      </c>
      <c r="H286" s="17">
        <f>24.9201 * CHOOSE(CONTROL!$C$15, $E$9, 100%, $G$9) + CHOOSE(CONTROL!$C$38, 0.034, 0)</f>
        <v>24.9541</v>
      </c>
      <c r="I286" s="17">
        <f>24.9216 * CHOOSE(CONTROL!$C$15, $E$9, 100%, $G$9) + CHOOSE(CONTROL!$C$38, 0.034, 0)</f>
        <v>24.9556</v>
      </c>
      <c r="J286" s="44">
        <f>170.2294</f>
        <v>170.2294</v>
      </c>
    </row>
    <row r="287" spans="1:10" ht="15" x14ac:dyDescent="0.2">
      <c r="A287" s="16">
        <v>49279</v>
      </c>
      <c r="B287" s="17">
        <f>28.1668 * CHOOSE(CONTROL!$C$15, $E$9, 100%, $G$9) + CHOOSE(CONTROL!$C$38, 0.0339, 0)</f>
        <v>28.200699999999998</v>
      </c>
      <c r="C287" s="17">
        <f>25.8745 * CHOOSE(CONTROL!$C$15, $E$9, 100%, $G$9) + CHOOSE(CONTROL!$C$38, 0.034, 0)</f>
        <v>25.9085</v>
      </c>
      <c r="D287" s="17">
        <f>25.8667 * CHOOSE(CONTROL!$C$15, $E$9, 100%, $G$9) + CHOOSE(CONTROL!$C$38, 0.034, 0)</f>
        <v>25.900700000000001</v>
      </c>
      <c r="E287" s="17">
        <f>25.8667 * CHOOSE(CONTROL!$C$15, $E$9, 100%, $G$9) + CHOOSE(CONTROL!$C$38, 0.034, 0)</f>
        <v>25.900700000000001</v>
      </c>
      <c r="F287" s="45">
        <f>28.1668 * CHOOSE(CONTROL!$C$15, $E$9, 100%, $G$9) + CHOOSE(CONTROL!$C$38, 0.0339, 0)</f>
        <v>28.200699999999998</v>
      </c>
      <c r="G287" s="17">
        <f>25.873 * CHOOSE(CONTROL!$C$15, $E$9, 100%, $G$9) + CHOOSE(CONTROL!$C$38, 0.034, 0)</f>
        <v>25.907</v>
      </c>
      <c r="H287" s="17">
        <f>25.873 * CHOOSE(CONTROL!$C$15, $E$9, 100%, $G$9) + CHOOSE(CONTROL!$C$38, 0.034, 0)</f>
        <v>25.907</v>
      </c>
      <c r="I287" s="17">
        <f>25.8745 * CHOOSE(CONTROL!$C$15, $E$9, 100%, $G$9) + CHOOSE(CONTROL!$C$38, 0.034, 0)</f>
        <v>25.9085</v>
      </c>
      <c r="J287" s="44">
        <f>165.1779</f>
        <v>165.17789999999999</v>
      </c>
    </row>
    <row r="288" spans="1:10" ht="15" x14ac:dyDescent="0.2">
      <c r="A288" s="16">
        <v>49310</v>
      </c>
      <c r="B288" s="17">
        <f>28.9538 * CHOOSE(CONTROL!$C$15, $E$9, 100%, $G$9) + CHOOSE(CONTROL!$C$38, 0.0339, 0)</f>
        <v>28.9877</v>
      </c>
      <c r="C288" s="17">
        <f>26.6587 * CHOOSE(CONTROL!$C$15, $E$9, 100%, $G$9) + CHOOSE(CONTROL!$C$38, 0.034, 0)</f>
        <v>26.692699999999999</v>
      </c>
      <c r="D288" s="17">
        <f>26.6509 * CHOOSE(CONTROL!$C$15, $E$9, 100%, $G$9) + CHOOSE(CONTROL!$C$38, 0.034, 0)</f>
        <v>26.684899999999999</v>
      </c>
      <c r="E288" s="17">
        <f>26.6509 * CHOOSE(CONTROL!$C$15, $E$9, 100%, $G$9) + CHOOSE(CONTROL!$C$38, 0.034, 0)</f>
        <v>26.684899999999999</v>
      </c>
      <c r="F288" s="45">
        <f>28.9538 * CHOOSE(CONTROL!$C$15, $E$9, 100%, $G$9) + CHOOSE(CONTROL!$C$38, 0.0339, 0)</f>
        <v>28.9877</v>
      </c>
      <c r="G288" s="17">
        <f>26.6571 * CHOOSE(CONTROL!$C$15, $E$9, 100%, $G$9) + CHOOSE(CONTROL!$C$38, 0.034, 0)</f>
        <v>26.691099999999999</v>
      </c>
      <c r="H288" s="17">
        <f>26.6571 * CHOOSE(CONTROL!$C$15, $E$9, 100%, $G$9) + CHOOSE(CONTROL!$C$38, 0.034, 0)</f>
        <v>26.691099999999999</v>
      </c>
      <c r="I288" s="17">
        <f>26.6587 * CHOOSE(CONTROL!$C$15, $E$9, 100%, $G$9) + CHOOSE(CONTROL!$C$38, 0.034, 0)</f>
        <v>26.692699999999999</v>
      </c>
      <c r="J288" s="44">
        <f>162.7353</f>
        <v>162.7353</v>
      </c>
    </row>
    <row r="289" spans="1:10" ht="15" x14ac:dyDescent="0.2">
      <c r="A289" s="16">
        <v>49341</v>
      </c>
      <c r="B289" s="17">
        <f>29.3067 * CHOOSE(CONTROL!$C$15, $E$9, 100%, $G$9) + CHOOSE(CONTROL!$C$38, 0.0339, 0)</f>
        <v>29.340599999999998</v>
      </c>
      <c r="C289" s="17">
        <f>27.0116 * CHOOSE(CONTROL!$C$15, $E$9, 100%, $G$9) + CHOOSE(CONTROL!$C$38, 0.034, 0)</f>
        <v>27.0456</v>
      </c>
      <c r="D289" s="17">
        <f>27.0038 * CHOOSE(CONTROL!$C$15, $E$9, 100%, $G$9) + CHOOSE(CONTROL!$C$38, 0.034, 0)</f>
        <v>27.037799999999997</v>
      </c>
      <c r="E289" s="17">
        <f>27.0038 * CHOOSE(CONTROL!$C$15, $E$9, 100%, $G$9) + CHOOSE(CONTROL!$C$38, 0.034, 0)</f>
        <v>27.037799999999997</v>
      </c>
      <c r="F289" s="45">
        <f>29.3067 * CHOOSE(CONTROL!$C$15, $E$9, 100%, $G$9) + CHOOSE(CONTROL!$C$38, 0.0339, 0)</f>
        <v>29.340599999999998</v>
      </c>
      <c r="G289" s="17">
        <f>27.01 * CHOOSE(CONTROL!$C$15, $E$9, 100%, $G$9) + CHOOSE(CONTROL!$C$38, 0.034, 0)</f>
        <v>27.044</v>
      </c>
      <c r="H289" s="17">
        <f>27.01 * CHOOSE(CONTROL!$C$15, $E$9, 100%, $G$9) + CHOOSE(CONTROL!$C$38, 0.034, 0)</f>
        <v>27.044</v>
      </c>
      <c r="I289" s="17">
        <f>27.0116 * CHOOSE(CONTROL!$C$15, $E$9, 100%, $G$9) + CHOOSE(CONTROL!$C$38, 0.034, 0)</f>
        <v>27.0456</v>
      </c>
      <c r="J289" s="44">
        <f>162.2829</f>
        <v>162.28290000000001</v>
      </c>
    </row>
    <row r="290" spans="1:10" ht="15" x14ac:dyDescent="0.2">
      <c r="A290" s="16">
        <v>49369</v>
      </c>
      <c r="B290" s="17">
        <f>28.4898 * CHOOSE(CONTROL!$C$15, $E$9, 100%, $G$9) + CHOOSE(CONTROL!$C$38, 0.0339, 0)</f>
        <v>28.523699999999998</v>
      </c>
      <c r="C290" s="17">
        <f>26.1946 * CHOOSE(CONTROL!$C$15, $E$9, 100%, $G$9) + CHOOSE(CONTROL!$C$38, 0.034, 0)</f>
        <v>26.2286</v>
      </c>
      <c r="D290" s="17">
        <f>26.1868 * CHOOSE(CONTROL!$C$15, $E$9, 100%, $G$9) + CHOOSE(CONTROL!$C$38, 0.034, 0)</f>
        <v>26.220800000000001</v>
      </c>
      <c r="E290" s="17">
        <f>26.1868 * CHOOSE(CONTROL!$C$15, $E$9, 100%, $G$9) + CHOOSE(CONTROL!$C$38, 0.034, 0)</f>
        <v>26.220800000000001</v>
      </c>
      <c r="F290" s="45">
        <f>28.4898 * CHOOSE(CONTROL!$C$15, $E$9, 100%, $G$9) + CHOOSE(CONTROL!$C$38, 0.0339, 0)</f>
        <v>28.523699999999998</v>
      </c>
      <c r="G290" s="17">
        <f>26.1931 * CHOOSE(CONTROL!$C$15, $E$9, 100%, $G$9) + CHOOSE(CONTROL!$C$38, 0.034, 0)</f>
        <v>26.2271</v>
      </c>
      <c r="H290" s="17">
        <f>26.1931 * CHOOSE(CONTROL!$C$15, $E$9, 100%, $G$9) + CHOOSE(CONTROL!$C$38, 0.034, 0)</f>
        <v>26.2271</v>
      </c>
      <c r="I290" s="17">
        <f>26.1946 * CHOOSE(CONTROL!$C$15, $E$9, 100%, $G$9) + CHOOSE(CONTROL!$C$38, 0.034, 0)</f>
        <v>26.2286</v>
      </c>
      <c r="J290" s="44">
        <f>170.8362</f>
        <v>170.83619999999999</v>
      </c>
    </row>
    <row r="291" spans="1:10" ht="15" x14ac:dyDescent="0.2">
      <c r="A291" s="16">
        <v>49400</v>
      </c>
      <c r="B291" s="17">
        <f>27.6981 * CHOOSE(CONTROL!$C$15, $E$9, 100%, $G$9) + CHOOSE(CONTROL!$C$38, 0.0339, 0)</f>
        <v>27.731999999999999</v>
      </c>
      <c r="C291" s="17">
        <f>25.403 * CHOOSE(CONTROL!$C$15, $E$9, 100%, $G$9) + CHOOSE(CONTROL!$C$38, 0.034, 0)</f>
        <v>25.436999999999998</v>
      </c>
      <c r="D291" s="17">
        <f>25.3952 * CHOOSE(CONTROL!$C$15, $E$9, 100%, $G$9) + CHOOSE(CONTROL!$C$38, 0.034, 0)</f>
        <v>25.429199999999998</v>
      </c>
      <c r="E291" s="17">
        <f>25.3952 * CHOOSE(CONTROL!$C$15, $E$9, 100%, $G$9) + CHOOSE(CONTROL!$C$38, 0.034, 0)</f>
        <v>25.429199999999998</v>
      </c>
      <c r="F291" s="45">
        <f>27.6981 * CHOOSE(CONTROL!$C$15, $E$9, 100%, $G$9) + CHOOSE(CONTROL!$C$38, 0.0339, 0)</f>
        <v>27.731999999999999</v>
      </c>
      <c r="G291" s="17">
        <f>25.4015 * CHOOSE(CONTROL!$C$15, $E$9, 100%, $G$9) + CHOOSE(CONTROL!$C$38, 0.034, 0)</f>
        <v>25.435499999999998</v>
      </c>
      <c r="H291" s="17">
        <f>25.4015 * CHOOSE(CONTROL!$C$15, $E$9, 100%, $G$9) + CHOOSE(CONTROL!$C$38, 0.034, 0)</f>
        <v>25.435499999999998</v>
      </c>
      <c r="I291" s="17">
        <f>25.403 * CHOOSE(CONTROL!$C$15, $E$9, 100%, $G$9) + CHOOSE(CONTROL!$C$38, 0.034, 0)</f>
        <v>25.436999999999998</v>
      </c>
      <c r="J291" s="44">
        <f>181.9277</f>
        <v>181.92769999999999</v>
      </c>
    </row>
    <row r="292" spans="1:10" ht="15" x14ac:dyDescent="0.2">
      <c r="A292" s="16">
        <v>49430</v>
      </c>
      <c r="B292" s="17">
        <f>26.8731 * CHOOSE(CONTROL!$C$15, $E$9, 100%, $G$9) + CHOOSE(CONTROL!$C$38, 0.0355, 0)</f>
        <v>26.9086</v>
      </c>
      <c r="C292" s="17">
        <f>24.5779 * CHOOSE(CONTROL!$C$15, $E$9, 100%, $G$9) + CHOOSE(CONTROL!$C$38, 0.0356, 0)</f>
        <v>24.613499999999998</v>
      </c>
      <c r="D292" s="17">
        <f>24.5701 * CHOOSE(CONTROL!$C$15, $E$9, 100%, $G$9) + CHOOSE(CONTROL!$C$38, 0.0356, 0)</f>
        <v>24.605699999999999</v>
      </c>
      <c r="E292" s="17">
        <f>24.5701 * CHOOSE(CONTROL!$C$15, $E$9, 100%, $G$9) + CHOOSE(CONTROL!$C$38, 0.0356, 0)</f>
        <v>24.605699999999999</v>
      </c>
      <c r="F292" s="45">
        <f>26.8731 * CHOOSE(CONTROL!$C$15, $E$9, 100%, $G$9) + CHOOSE(CONTROL!$C$38, 0.0355, 0)</f>
        <v>26.9086</v>
      </c>
      <c r="G292" s="17">
        <f>24.5764 * CHOOSE(CONTROL!$C$15, $E$9, 100%, $G$9) + CHOOSE(CONTROL!$C$38, 0.0356, 0)</f>
        <v>24.611999999999998</v>
      </c>
      <c r="H292" s="17">
        <f>24.5764 * CHOOSE(CONTROL!$C$15, $E$9, 100%, $G$9) + CHOOSE(CONTROL!$C$38, 0.0356, 0)</f>
        <v>24.611999999999998</v>
      </c>
      <c r="I292" s="17">
        <f>24.5779 * CHOOSE(CONTROL!$C$15, $E$9, 100%, $G$9) + CHOOSE(CONTROL!$C$38, 0.0356, 0)</f>
        <v>24.613499999999998</v>
      </c>
      <c r="J292" s="44">
        <f>188.0328</f>
        <v>188.03280000000001</v>
      </c>
    </row>
    <row r="293" spans="1:10" ht="15" x14ac:dyDescent="0.2">
      <c r="A293" s="15">
        <v>49461</v>
      </c>
      <c r="B293" s="17">
        <f>26.2946 * CHOOSE(CONTROL!$C$15, $E$9, 100%, $G$9) + CHOOSE(CONTROL!$C$38, 0.0355, 0)</f>
        <v>26.330099999999998</v>
      </c>
      <c r="C293" s="17">
        <f>23.9995 * CHOOSE(CONTROL!$C$15, $E$9, 100%, $G$9) + CHOOSE(CONTROL!$C$38, 0.0356, 0)</f>
        <v>24.0351</v>
      </c>
      <c r="D293" s="17">
        <f>23.9917 * CHOOSE(CONTROL!$C$15, $E$9, 100%, $G$9) + CHOOSE(CONTROL!$C$38, 0.0356, 0)</f>
        <v>24.0273</v>
      </c>
      <c r="E293" s="17">
        <f>23.9917 * CHOOSE(CONTROL!$C$15, $E$9, 100%, $G$9) + CHOOSE(CONTROL!$C$38, 0.0356, 0)</f>
        <v>24.0273</v>
      </c>
      <c r="F293" s="45">
        <f>26.2946 * CHOOSE(CONTROL!$C$15, $E$9, 100%, $G$9) + CHOOSE(CONTROL!$C$38, 0.0355, 0)</f>
        <v>26.330099999999998</v>
      </c>
      <c r="G293" s="17">
        <f>23.9979 * CHOOSE(CONTROL!$C$15, $E$9, 100%, $G$9) + CHOOSE(CONTROL!$C$38, 0.0356, 0)</f>
        <v>24.0335</v>
      </c>
      <c r="H293" s="17">
        <f>23.9979 * CHOOSE(CONTROL!$C$15, $E$9, 100%, $G$9) + CHOOSE(CONTROL!$C$38, 0.0356, 0)</f>
        <v>24.0335</v>
      </c>
      <c r="I293" s="17">
        <f>23.9995 * CHOOSE(CONTROL!$C$15, $E$9, 100%, $G$9) + CHOOSE(CONTROL!$C$38, 0.0356, 0)</f>
        <v>24.0351</v>
      </c>
      <c r="J293" s="44">
        <f>190.7422</f>
        <v>190.7422</v>
      </c>
    </row>
    <row r="294" spans="1:10" ht="15" x14ac:dyDescent="0.2">
      <c r="A294" s="15">
        <v>49491</v>
      </c>
      <c r="B294" s="17">
        <f>25.9645 * CHOOSE(CONTROL!$C$15, $E$9, 100%, $G$9) + CHOOSE(CONTROL!$C$38, 0.0355, 0)</f>
        <v>26</v>
      </c>
      <c r="C294" s="17">
        <f>23.6694 * CHOOSE(CONTROL!$C$15, $E$9, 100%, $G$9) + CHOOSE(CONTROL!$C$38, 0.0356, 0)</f>
        <v>23.704999999999998</v>
      </c>
      <c r="D294" s="17">
        <f>23.6616 * CHOOSE(CONTROL!$C$15, $E$9, 100%, $G$9) + CHOOSE(CONTROL!$C$38, 0.0356, 0)</f>
        <v>23.697199999999999</v>
      </c>
      <c r="E294" s="17">
        <f>23.6616 * CHOOSE(CONTROL!$C$15, $E$9, 100%, $G$9) + CHOOSE(CONTROL!$C$38, 0.0356, 0)</f>
        <v>23.697199999999999</v>
      </c>
      <c r="F294" s="45">
        <f>25.9645 * CHOOSE(CONTROL!$C$15, $E$9, 100%, $G$9) + CHOOSE(CONTROL!$C$38, 0.0355, 0)</f>
        <v>26</v>
      </c>
      <c r="G294" s="17">
        <f>23.6678 * CHOOSE(CONTROL!$C$15, $E$9, 100%, $G$9) + CHOOSE(CONTROL!$C$38, 0.0356, 0)</f>
        <v>23.703399999999998</v>
      </c>
      <c r="H294" s="17">
        <f>23.6678 * CHOOSE(CONTROL!$C$15, $E$9, 100%, $G$9) + CHOOSE(CONTROL!$C$38, 0.0356, 0)</f>
        <v>23.703399999999998</v>
      </c>
      <c r="I294" s="17">
        <f>23.6694 * CHOOSE(CONTROL!$C$15, $E$9, 100%, $G$9) + CHOOSE(CONTROL!$C$38, 0.0356, 0)</f>
        <v>23.704999999999998</v>
      </c>
      <c r="J294" s="44">
        <f>189.8501</f>
        <v>189.8501</v>
      </c>
    </row>
    <row r="295" spans="1:10" ht="15" x14ac:dyDescent="0.2">
      <c r="A295" s="15">
        <v>49522</v>
      </c>
      <c r="B295" s="17">
        <f>26.1274 * CHOOSE(CONTROL!$C$15, $E$9, 100%, $G$9) + CHOOSE(CONTROL!$C$38, 0.0355, 0)</f>
        <v>26.1629</v>
      </c>
      <c r="C295" s="17">
        <f>23.8323 * CHOOSE(CONTROL!$C$15, $E$9, 100%, $G$9) + CHOOSE(CONTROL!$C$38, 0.0356, 0)</f>
        <v>23.867899999999999</v>
      </c>
      <c r="D295" s="17">
        <f>23.8245 * CHOOSE(CONTROL!$C$15, $E$9, 100%, $G$9) + CHOOSE(CONTROL!$C$38, 0.0356, 0)</f>
        <v>23.860099999999999</v>
      </c>
      <c r="E295" s="17">
        <f>23.8245 * CHOOSE(CONTROL!$C$15, $E$9, 100%, $G$9) + CHOOSE(CONTROL!$C$38, 0.0356, 0)</f>
        <v>23.860099999999999</v>
      </c>
      <c r="F295" s="45">
        <f>26.1274 * CHOOSE(CONTROL!$C$15, $E$9, 100%, $G$9) + CHOOSE(CONTROL!$C$38, 0.0355, 0)</f>
        <v>26.1629</v>
      </c>
      <c r="G295" s="17">
        <f>23.8307 * CHOOSE(CONTROL!$C$15, $E$9, 100%, $G$9) + CHOOSE(CONTROL!$C$38, 0.0356, 0)</f>
        <v>23.866299999999999</v>
      </c>
      <c r="H295" s="17">
        <f>23.8307 * CHOOSE(CONTROL!$C$15, $E$9, 100%, $G$9) + CHOOSE(CONTROL!$C$38, 0.0356, 0)</f>
        <v>23.866299999999999</v>
      </c>
      <c r="I295" s="17">
        <f>23.8323 * CHOOSE(CONTROL!$C$15, $E$9, 100%, $G$9) + CHOOSE(CONTROL!$C$38, 0.0356, 0)</f>
        <v>23.867899999999999</v>
      </c>
      <c r="J295" s="44">
        <f>185.4305</f>
        <v>185.43049999999999</v>
      </c>
    </row>
    <row r="296" spans="1:10" ht="15" x14ac:dyDescent="0.2">
      <c r="A296" s="15">
        <v>49553</v>
      </c>
      <c r="B296" s="17">
        <f>26.5699 * CHOOSE(CONTROL!$C$15, $E$9, 100%, $G$9) + CHOOSE(CONTROL!$C$38, 0.0355, 0)</f>
        <v>26.605399999999999</v>
      </c>
      <c r="C296" s="17">
        <f>24.2748 * CHOOSE(CONTROL!$C$15, $E$9, 100%, $G$9) + CHOOSE(CONTROL!$C$38, 0.0356, 0)</f>
        <v>24.310399999999998</v>
      </c>
      <c r="D296" s="17">
        <f>24.267 * CHOOSE(CONTROL!$C$15, $E$9, 100%, $G$9) + CHOOSE(CONTROL!$C$38, 0.0356, 0)</f>
        <v>24.302599999999998</v>
      </c>
      <c r="E296" s="17">
        <f>24.267 * CHOOSE(CONTROL!$C$15, $E$9, 100%, $G$9) + CHOOSE(CONTROL!$C$38, 0.0356, 0)</f>
        <v>24.302599999999998</v>
      </c>
      <c r="F296" s="45">
        <f>26.5699 * CHOOSE(CONTROL!$C$15, $E$9, 100%, $G$9) + CHOOSE(CONTROL!$C$38, 0.0355, 0)</f>
        <v>26.605399999999999</v>
      </c>
      <c r="G296" s="17">
        <f>24.2732 * CHOOSE(CONTROL!$C$15, $E$9, 100%, $G$9) + CHOOSE(CONTROL!$C$38, 0.0356, 0)</f>
        <v>24.308799999999998</v>
      </c>
      <c r="H296" s="17">
        <f>24.2732 * CHOOSE(CONTROL!$C$15, $E$9, 100%, $G$9) + CHOOSE(CONTROL!$C$38, 0.0356, 0)</f>
        <v>24.308799999999998</v>
      </c>
      <c r="I296" s="17">
        <f>24.2748 * CHOOSE(CONTROL!$C$15, $E$9, 100%, $G$9) + CHOOSE(CONTROL!$C$38, 0.0356, 0)</f>
        <v>24.310399999999998</v>
      </c>
      <c r="J296" s="44">
        <f>179.2671</f>
        <v>179.2671</v>
      </c>
    </row>
    <row r="297" spans="1:10" ht="15" x14ac:dyDescent="0.2">
      <c r="A297" s="15">
        <v>49583</v>
      </c>
      <c r="B297" s="17">
        <f>26.9405 * CHOOSE(CONTROL!$C$15, $E$9, 100%, $G$9) + CHOOSE(CONTROL!$C$38, 0.0339, 0)</f>
        <v>26.974399999999999</v>
      </c>
      <c r="C297" s="17">
        <f>24.6454 * CHOOSE(CONTROL!$C$15, $E$9, 100%, $G$9) + CHOOSE(CONTROL!$C$38, 0.034, 0)</f>
        <v>24.679399999999998</v>
      </c>
      <c r="D297" s="17">
        <f>24.6376 * CHOOSE(CONTROL!$C$15, $E$9, 100%, $G$9) + CHOOSE(CONTROL!$C$38, 0.034, 0)</f>
        <v>24.671599999999998</v>
      </c>
      <c r="E297" s="17">
        <f>24.6376 * CHOOSE(CONTROL!$C$15, $E$9, 100%, $G$9) + CHOOSE(CONTROL!$C$38, 0.034, 0)</f>
        <v>24.671599999999998</v>
      </c>
      <c r="F297" s="45">
        <f>26.9405 * CHOOSE(CONTROL!$C$15, $E$9, 100%, $G$9) + CHOOSE(CONTROL!$C$38, 0.0339, 0)</f>
        <v>26.974399999999999</v>
      </c>
      <c r="G297" s="17">
        <f>24.6438 * CHOOSE(CONTROL!$C$15, $E$9, 100%, $G$9) + CHOOSE(CONTROL!$C$38, 0.034, 0)</f>
        <v>24.677799999999998</v>
      </c>
      <c r="H297" s="17">
        <f>24.6438 * CHOOSE(CONTROL!$C$15, $E$9, 100%, $G$9) + CHOOSE(CONTROL!$C$38, 0.034, 0)</f>
        <v>24.677799999999998</v>
      </c>
      <c r="I297" s="17">
        <f>24.6454 * CHOOSE(CONTROL!$C$15, $E$9, 100%, $G$9) + CHOOSE(CONTROL!$C$38, 0.034, 0)</f>
        <v>24.679399999999998</v>
      </c>
      <c r="J297" s="44">
        <f>173.0679</f>
        <v>173.06790000000001</v>
      </c>
    </row>
    <row r="298" spans="1:10" ht="15" x14ac:dyDescent="0.2">
      <c r="A298" s="15">
        <v>49614</v>
      </c>
      <c r="B298" s="17">
        <f>27.2498 * CHOOSE(CONTROL!$C$15, $E$9, 100%, $G$9) + CHOOSE(CONTROL!$C$38, 0.0339, 0)</f>
        <v>27.2837</v>
      </c>
      <c r="C298" s="17">
        <f>24.9547 * CHOOSE(CONTROL!$C$15, $E$9, 100%, $G$9) + CHOOSE(CONTROL!$C$38, 0.034, 0)</f>
        <v>24.988699999999998</v>
      </c>
      <c r="D298" s="17">
        <f>24.9468 * CHOOSE(CONTROL!$C$15, $E$9, 100%, $G$9) + CHOOSE(CONTROL!$C$38, 0.034, 0)</f>
        <v>24.980799999999999</v>
      </c>
      <c r="E298" s="17">
        <f>24.9468 * CHOOSE(CONTROL!$C$15, $E$9, 100%, $G$9) + CHOOSE(CONTROL!$C$38, 0.034, 0)</f>
        <v>24.980799999999999</v>
      </c>
      <c r="F298" s="45">
        <f>27.2498 * CHOOSE(CONTROL!$C$15, $E$9, 100%, $G$9) + CHOOSE(CONTROL!$C$38, 0.0339, 0)</f>
        <v>27.2837</v>
      </c>
      <c r="G298" s="17">
        <f>24.9531 * CHOOSE(CONTROL!$C$15, $E$9, 100%, $G$9) + CHOOSE(CONTROL!$C$38, 0.034, 0)</f>
        <v>24.987099999999998</v>
      </c>
      <c r="H298" s="17">
        <f>24.9531 * CHOOSE(CONTROL!$C$15, $E$9, 100%, $G$9) + CHOOSE(CONTROL!$C$38, 0.034, 0)</f>
        <v>24.987099999999998</v>
      </c>
      <c r="I298" s="17">
        <f>24.9547 * CHOOSE(CONTROL!$C$15, $E$9, 100%, $G$9) + CHOOSE(CONTROL!$C$38, 0.034, 0)</f>
        <v>24.988699999999998</v>
      </c>
      <c r="J298" s="44">
        <f>171.8347</f>
        <v>171.8347</v>
      </c>
    </row>
    <row r="299" spans="1:10" ht="15" x14ac:dyDescent="0.2">
      <c r="A299" s="15">
        <v>49644</v>
      </c>
      <c r="B299" s="17">
        <f>28.2027 * CHOOSE(CONTROL!$C$15, $E$9, 100%, $G$9) + CHOOSE(CONTROL!$C$38, 0.0339, 0)</f>
        <v>28.236599999999999</v>
      </c>
      <c r="C299" s="17">
        <f>25.9076 * CHOOSE(CONTROL!$C$15, $E$9, 100%, $G$9) + CHOOSE(CONTROL!$C$38, 0.034, 0)</f>
        <v>25.941599999999998</v>
      </c>
      <c r="D299" s="17">
        <f>25.8997 * CHOOSE(CONTROL!$C$15, $E$9, 100%, $G$9) + CHOOSE(CONTROL!$C$38, 0.034, 0)</f>
        <v>25.933699999999998</v>
      </c>
      <c r="E299" s="17">
        <f>25.8997 * CHOOSE(CONTROL!$C$15, $E$9, 100%, $G$9) + CHOOSE(CONTROL!$C$38, 0.034, 0)</f>
        <v>25.933699999999998</v>
      </c>
      <c r="F299" s="45">
        <f>28.2027 * CHOOSE(CONTROL!$C$15, $E$9, 100%, $G$9) + CHOOSE(CONTROL!$C$38, 0.0339, 0)</f>
        <v>28.236599999999999</v>
      </c>
      <c r="G299" s="17">
        <f>25.906 * CHOOSE(CONTROL!$C$15, $E$9, 100%, $G$9) + CHOOSE(CONTROL!$C$38, 0.034, 0)</f>
        <v>25.939999999999998</v>
      </c>
      <c r="H299" s="17">
        <f>25.906 * CHOOSE(CONTROL!$C$15, $E$9, 100%, $G$9) + CHOOSE(CONTROL!$C$38, 0.034, 0)</f>
        <v>25.939999999999998</v>
      </c>
      <c r="I299" s="17">
        <f>25.9076 * CHOOSE(CONTROL!$C$15, $E$9, 100%, $G$9) + CHOOSE(CONTROL!$C$38, 0.034, 0)</f>
        <v>25.941599999999998</v>
      </c>
      <c r="J299" s="44">
        <f>166.7355</f>
        <v>166.7355</v>
      </c>
    </row>
    <row r="300" spans="1:10" ht="15" x14ac:dyDescent="0.2">
      <c r="A300" s="15">
        <v>49675</v>
      </c>
      <c r="B300" s="17">
        <f>28.9898 * CHOOSE(CONTROL!$C$15, $E$9, 100%, $G$9) + CHOOSE(CONTROL!$C$38, 0.0339, 0)</f>
        <v>29.023699999999998</v>
      </c>
      <c r="C300" s="17">
        <f>26.6918 * CHOOSE(CONTROL!$C$15, $E$9, 100%, $G$9) + CHOOSE(CONTROL!$C$38, 0.034, 0)</f>
        <v>26.7258</v>
      </c>
      <c r="D300" s="17">
        <f>26.6839 * CHOOSE(CONTROL!$C$15, $E$9, 100%, $G$9) + CHOOSE(CONTROL!$C$38, 0.034, 0)</f>
        <v>26.7179</v>
      </c>
      <c r="E300" s="17">
        <f>26.6839 * CHOOSE(CONTROL!$C$15, $E$9, 100%, $G$9) + CHOOSE(CONTROL!$C$38, 0.034, 0)</f>
        <v>26.7179</v>
      </c>
      <c r="F300" s="45">
        <f>28.9898 * CHOOSE(CONTROL!$C$15, $E$9, 100%, $G$9) + CHOOSE(CONTROL!$C$38, 0.0339, 0)</f>
        <v>29.023699999999998</v>
      </c>
      <c r="G300" s="17">
        <f>26.6902 * CHOOSE(CONTROL!$C$15, $E$9, 100%, $G$9) + CHOOSE(CONTROL!$C$38, 0.034, 0)</f>
        <v>26.7242</v>
      </c>
      <c r="H300" s="17">
        <f>26.6902 * CHOOSE(CONTROL!$C$15, $E$9, 100%, $G$9) + CHOOSE(CONTROL!$C$38, 0.034, 0)</f>
        <v>26.7242</v>
      </c>
      <c r="I300" s="17">
        <f>26.6918 * CHOOSE(CONTROL!$C$15, $E$9, 100%, $G$9) + CHOOSE(CONTROL!$C$38, 0.034, 0)</f>
        <v>26.7258</v>
      </c>
      <c r="J300" s="44">
        <f>164.2699</f>
        <v>164.26990000000001</v>
      </c>
    </row>
    <row r="301" spans="1:10" ht="15" x14ac:dyDescent="0.2">
      <c r="A301" s="15">
        <v>49706</v>
      </c>
      <c r="B301" s="17">
        <f>29.3427 * CHOOSE(CONTROL!$C$15, $E$9, 100%, $G$9) + CHOOSE(CONTROL!$C$38, 0.0339, 0)</f>
        <v>29.3766</v>
      </c>
      <c r="C301" s="17">
        <f>27.0447 * CHOOSE(CONTROL!$C$15, $E$9, 100%, $G$9) + CHOOSE(CONTROL!$C$38, 0.034, 0)</f>
        <v>27.078699999999998</v>
      </c>
      <c r="D301" s="17">
        <f>27.0369 * CHOOSE(CONTROL!$C$15, $E$9, 100%, $G$9) + CHOOSE(CONTROL!$C$38, 0.034, 0)</f>
        <v>27.070899999999998</v>
      </c>
      <c r="E301" s="17">
        <f>27.0369 * CHOOSE(CONTROL!$C$15, $E$9, 100%, $G$9) + CHOOSE(CONTROL!$C$38, 0.034, 0)</f>
        <v>27.070899999999998</v>
      </c>
      <c r="F301" s="45">
        <f>29.3427 * CHOOSE(CONTROL!$C$15, $E$9, 100%, $G$9) + CHOOSE(CONTROL!$C$38, 0.0339, 0)</f>
        <v>29.3766</v>
      </c>
      <c r="G301" s="17">
        <f>27.0431 * CHOOSE(CONTROL!$C$15, $E$9, 100%, $G$9) + CHOOSE(CONTROL!$C$38, 0.034, 0)</f>
        <v>27.077099999999998</v>
      </c>
      <c r="H301" s="17">
        <f>27.0431 * CHOOSE(CONTROL!$C$15, $E$9, 100%, $G$9) + CHOOSE(CONTROL!$C$38, 0.034, 0)</f>
        <v>27.077099999999998</v>
      </c>
      <c r="I301" s="17">
        <f>27.0447 * CHOOSE(CONTROL!$C$15, $E$9, 100%, $G$9) + CHOOSE(CONTROL!$C$38, 0.034, 0)</f>
        <v>27.078699999999998</v>
      </c>
      <c r="J301" s="44">
        <f>163.8132</f>
        <v>163.81319999999999</v>
      </c>
    </row>
    <row r="302" spans="1:10" ht="15" x14ac:dyDescent="0.2">
      <c r="A302" s="15">
        <v>49735</v>
      </c>
      <c r="B302" s="17">
        <f>28.5257 * CHOOSE(CONTROL!$C$15, $E$9, 100%, $G$9) + CHOOSE(CONTROL!$C$38, 0.0339, 0)</f>
        <v>28.5596</v>
      </c>
      <c r="C302" s="17">
        <f>26.2277 * CHOOSE(CONTROL!$C$15, $E$9, 100%, $G$9) + CHOOSE(CONTROL!$C$38, 0.034, 0)</f>
        <v>26.261699999999998</v>
      </c>
      <c r="D302" s="17">
        <f>26.2199 * CHOOSE(CONTROL!$C$15, $E$9, 100%, $G$9) + CHOOSE(CONTROL!$C$38, 0.034, 0)</f>
        <v>26.253899999999998</v>
      </c>
      <c r="E302" s="17">
        <f>26.2199 * CHOOSE(CONTROL!$C$15, $E$9, 100%, $G$9) + CHOOSE(CONTROL!$C$38, 0.034, 0)</f>
        <v>26.253899999999998</v>
      </c>
      <c r="F302" s="45">
        <f>28.5257 * CHOOSE(CONTROL!$C$15, $E$9, 100%, $G$9) + CHOOSE(CONTROL!$C$38, 0.0339, 0)</f>
        <v>28.5596</v>
      </c>
      <c r="G302" s="17">
        <f>26.2262 * CHOOSE(CONTROL!$C$15, $E$9, 100%, $G$9) + CHOOSE(CONTROL!$C$38, 0.034, 0)</f>
        <v>26.260199999999998</v>
      </c>
      <c r="H302" s="17">
        <f>26.2262 * CHOOSE(CONTROL!$C$15, $E$9, 100%, $G$9) + CHOOSE(CONTROL!$C$38, 0.034, 0)</f>
        <v>26.260199999999998</v>
      </c>
      <c r="I302" s="17">
        <f>26.2277 * CHOOSE(CONTROL!$C$15, $E$9, 100%, $G$9) + CHOOSE(CONTROL!$C$38, 0.034, 0)</f>
        <v>26.261699999999998</v>
      </c>
      <c r="J302" s="44">
        <f>172.4472</f>
        <v>172.44720000000001</v>
      </c>
    </row>
    <row r="303" spans="1:10" ht="15" x14ac:dyDescent="0.2">
      <c r="A303" s="15">
        <v>49766</v>
      </c>
      <c r="B303" s="17">
        <f>27.7341 * CHOOSE(CONTROL!$C$15, $E$9, 100%, $G$9) + CHOOSE(CONTROL!$C$38, 0.0339, 0)</f>
        <v>27.768000000000001</v>
      </c>
      <c r="C303" s="17">
        <f>25.4361 * CHOOSE(CONTROL!$C$15, $E$9, 100%, $G$9) + CHOOSE(CONTROL!$C$38, 0.034, 0)</f>
        <v>25.470099999999999</v>
      </c>
      <c r="D303" s="17">
        <f>25.4283 * CHOOSE(CONTROL!$C$15, $E$9, 100%, $G$9) + CHOOSE(CONTROL!$C$38, 0.034, 0)</f>
        <v>25.462299999999999</v>
      </c>
      <c r="E303" s="17">
        <f>25.4283 * CHOOSE(CONTROL!$C$15, $E$9, 100%, $G$9) + CHOOSE(CONTROL!$C$38, 0.034, 0)</f>
        <v>25.462299999999999</v>
      </c>
      <c r="F303" s="45">
        <f>27.7341 * CHOOSE(CONTROL!$C$15, $E$9, 100%, $G$9) + CHOOSE(CONTROL!$C$38, 0.0339, 0)</f>
        <v>27.768000000000001</v>
      </c>
      <c r="G303" s="17">
        <f>25.4345 * CHOOSE(CONTROL!$C$15, $E$9, 100%, $G$9) + CHOOSE(CONTROL!$C$38, 0.034, 0)</f>
        <v>25.468499999999999</v>
      </c>
      <c r="H303" s="17">
        <f>25.4345 * CHOOSE(CONTROL!$C$15, $E$9, 100%, $G$9) + CHOOSE(CONTROL!$C$38, 0.034, 0)</f>
        <v>25.468499999999999</v>
      </c>
      <c r="I303" s="17">
        <f>25.4361 * CHOOSE(CONTROL!$C$15, $E$9, 100%, $G$9) + CHOOSE(CONTROL!$C$38, 0.034, 0)</f>
        <v>25.470099999999999</v>
      </c>
      <c r="J303" s="44">
        <f>183.6433</f>
        <v>183.64330000000001</v>
      </c>
    </row>
    <row r="304" spans="1:10" ht="15" x14ac:dyDescent="0.2">
      <c r="A304" s="15">
        <v>49796</v>
      </c>
      <c r="B304" s="17">
        <f>26.909 * CHOOSE(CONTROL!$C$15, $E$9, 100%, $G$9) + CHOOSE(CONTROL!$C$38, 0.0355, 0)</f>
        <v>26.944499999999998</v>
      </c>
      <c r="C304" s="17">
        <f>24.611 * CHOOSE(CONTROL!$C$15, $E$9, 100%, $G$9) + CHOOSE(CONTROL!$C$38, 0.0356, 0)</f>
        <v>24.646599999999999</v>
      </c>
      <c r="D304" s="17">
        <f>24.6032 * CHOOSE(CONTROL!$C$15, $E$9, 100%, $G$9) + CHOOSE(CONTROL!$C$38, 0.0356, 0)</f>
        <v>24.6388</v>
      </c>
      <c r="E304" s="17">
        <f>24.6032 * CHOOSE(CONTROL!$C$15, $E$9, 100%, $G$9) + CHOOSE(CONTROL!$C$38, 0.0356, 0)</f>
        <v>24.6388</v>
      </c>
      <c r="F304" s="45">
        <f>26.909 * CHOOSE(CONTROL!$C$15, $E$9, 100%, $G$9) + CHOOSE(CONTROL!$C$38, 0.0355, 0)</f>
        <v>26.944499999999998</v>
      </c>
      <c r="G304" s="17">
        <f>24.6095 * CHOOSE(CONTROL!$C$15, $E$9, 100%, $G$9) + CHOOSE(CONTROL!$C$38, 0.0356, 0)</f>
        <v>24.645099999999999</v>
      </c>
      <c r="H304" s="17">
        <f>24.6095 * CHOOSE(CONTROL!$C$15, $E$9, 100%, $G$9) + CHOOSE(CONTROL!$C$38, 0.0356, 0)</f>
        <v>24.645099999999999</v>
      </c>
      <c r="I304" s="17">
        <f>24.611 * CHOOSE(CONTROL!$C$15, $E$9, 100%, $G$9) + CHOOSE(CONTROL!$C$38, 0.0356, 0)</f>
        <v>24.646599999999999</v>
      </c>
      <c r="J304" s="44">
        <f>189.806</f>
        <v>189.80600000000001</v>
      </c>
    </row>
    <row r="305" spans="1:10" ht="15" x14ac:dyDescent="0.2">
      <c r="A305" s="15">
        <v>49827</v>
      </c>
      <c r="B305" s="17">
        <f>26.3306 * CHOOSE(CONTROL!$C$15, $E$9, 100%, $G$9) + CHOOSE(CONTROL!$C$38, 0.0355, 0)</f>
        <v>26.366099999999999</v>
      </c>
      <c r="C305" s="17">
        <f>24.0326 * CHOOSE(CONTROL!$C$15, $E$9, 100%, $G$9) + CHOOSE(CONTROL!$C$38, 0.0356, 0)</f>
        <v>24.068199999999997</v>
      </c>
      <c r="D305" s="17">
        <f>24.0248 * CHOOSE(CONTROL!$C$15, $E$9, 100%, $G$9) + CHOOSE(CONTROL!$C$38, 0.0356, 0)</f>
        <v>24.060399999999998</v>
      </c>
      <c r="E305" s="17">
        <f>24.0248 * CHOOSE(CONTROL!$C$15, $E$9, 100%, $G$9) + CHOOSE(CONTROL!$C$38, 0.0356, 0)</f>
        <v>24.060399999999998</v>
      </c>
      <c r="F305" s="45">
        <f>26.3306 * CHOOSE(CONTROL!$C$15, $E$9, 100%, $G$9) + CHOOSE(CONTROL!$C$38, 0.0355, 0)</f>
        <v>26.366099999999999</v>
      </c>
      <c r="G305" s="17">
        <f>24.031 * CHOOSE(CONTROL!$C$15, $E$9, 100%, $G$9) + CHOOSE(CONTROL!$C$38, 0.0356, 0)</f>
        <v>24.066599999999998</v>
      </c>
      <c r="H305" s="17">
        <f>24.031 * CHOOSE(CONTROL!$C$15, $E$9, 100%, $G$9) + CHOOSE(CONTROL!$C$38, 0.0356, 0)</f>
        <v>24.066599999999998</v>
      </c>
      <c r="I305" s="17">
        <f>24.0326 * CHOOSE(CONTROL!$C$15, $E$9, 100%, $G$9) + CHOOSE(CONTROL!$C$38, 0.0356, 0)</f>
        <v>24.068199999999997</v>
      </c>
      <c r="J305" s="44">
        <f>192.5409</f>
        <v>192.54089999999999</v>
      </c>
    </row>
    <row r="306" spans="1:10" ht="15" x14ac:dyDescent="0.2">
      <c r="A306" s="15">
        <v>49857</v>
      </c>
      <c r="B306" s="17">
        <f>26.0005 * CHOOSE(CONTROL!$C$15, $E$9, 100%, $G$9) + CHOOSE(CONTROL!$C$38, 0.0355, 0)</f>
        <v>26.035999999999998</v>
      </c>
      <c r="C306" s="17">
        <f>23.7025 * CHOOSE(CONTROL!$C$15, $E$9, 100%, $G$9) + CHOOSE(CONTROL!$C$38, 0.0356, 0)</f>
        <v>23.738099999999999</v>
      </c>
      <c r="D306" s="17">
        <f>23.6947 * CHOOSE(CONTROL!$C$15, $E$9, 100%, $G$9) + CHOOSE(CONTROL!$C$38, 0.0356, 0)</f>
        <v>23.7303</v>
      </c>
      <c r="E306" s="17">
        <f>23.6947 * CHOOSE(CONTROL!$C$15, $E$9, 100%, $G$9) + CHOOSE(CONTROL!$C$38, 0.0356, 0)</f>
        <v>23.7303</v>
      </c>
      <c r="F306" s="45">
        <f>26.0005 * CHOOSE(CONTROL!$C$15, $E$9, 100%, $G$9) + CHOOSE(CONTROL!$C$38, 0.0355, 0)</f>
        <v>26.035999999999998</v>
      </c>
      <c r="G306" s="17">
        <f>23.7009 * CHOOSE(CONTROL!$C$15, $E$9, 100%, $G$9) + CHOOSE(CONTROL!$C$38, 0.0356, 0)</f>
        <v>23.736499999999999</v>
      </c>
      <c r="H306" s="17">
        <f>23.7009 * CHOOSE(CONTROL!$C$15, $E$9, 100%, $G$9) + CHOOSE(CONTROL!$C$38, 0.0356, 0)</f>
        <v>23.736499999999999</v>
      </c>
      <c r="I306" s="17">
        <f>23.7025 * CHOOSE(CONTROL!$C$15, $E$9, 100%, $G$9) + CHOOSE(CONTROL!$C$38, 0.0356, 0)</f>
        <v>23.738099999999999</v>
      </c>
      <c r="J306" s="44">
        <f>191.6404</f>
        <v>191.6404</v>
      </c>
    </row>
    <row r="307" spans="1:10" ht="15" x14ac:dyDescent="0.2">
      <c r="A307" s="15">
        <v>49888</v>
      </c>
      <c r="B307" s="17">
        <f>26.1634 * CHOOSE(CONTROL!$C$15, $E$9, 100%, $G$9) + CHOOSE(CONTROL!$C$38, 0.0355, 0)</f>
        <v>26.198899999999998</v>
      </c>
      <c r="C307" s="17">
        <f>23.8654 * CHOOSE(CONTROL!$C$15, $E$9, 100%, $G$9) + CHOOSE(CONTROL!$C$38, 0.0356, 0)</f>
        <v>23.901</v>
      </c>
      <c r="D307" s="17">
        <f>23.8576 * CHOOSE(CONTROL!$C$15, $E$9, 100%, $G$9) + CHOOSE(CONTROL!$C$38, 0.0356, 0)</f>
        <v>23.8932</v>
      </c>
      <c r="E307" s="17">
        <f>23.8576 * CHOOSE(CONTROL!$C$15, $E$9, 100%, $G$9) + CHOOSE(CONTROL!$C$38, 0.0356, 0)</f>
        <v>23.8932</v>
      </c>
      <c r="F307" s="45">
        <f>26.1634 * CHOOSE(CONTROL!$C$15, $E$9, 100%, $G$9) + CHOOSE(CONTROL!$C$38, 0.0355, 0)</f>
        <v>26.198899999999998</v>
      </c>
      <c r="G307" s="17">
        <f>23.8638 * CHOOSE(CONTROL!$C$15, $E$9, 100%, $G$9) + CHOOSE(CONTROL!$C$38, 0.0356, 0)</f>
        <v>23.8994</v>
      </c>
      <c r="H307" s="17">
        <f>23.8638 * CHOOSE(CONTROL!$C$15, $E$9, 100%, $G$9) + CHOOSE(CONTROL!$C$38, 0.0356, 0)</f>
        <v>23.8994</v>
      </c>
      <c r="I307" s="17">
        <f>23.8654 * CHOOSE(CONTROL!$C$15, $E$9, 100%, $G$9) + CHOOSE(CONTROL!$C$38, 0.0356, 0)</f>
        <v>23.901</v>
      </c>
      <c r="J307" s="44">
        <f>187.1791</f>
        <v>187.17910000000001</v>
      </c>
    </row>
    <row r="308" spans="1:10" ht="15" x14ac:dyDescent="0.2">
      <c r="A308" s="15">
        <v>49919</v>
      </c>
      <c r="B308" s="17">
        <f>26.6059 * CHOOSE(CONTROL!$C$15, $E$9, 100%, $G$9) + CHOOSE(CONTROL!$C$38, 0.0355, 0)</f>
        <v>26.641399999999997</v>
      </c>
      <c r="C308" s="17">
        <f>24.3079 * CHOOSE(CONTROL!$C$15, $E$9, 100%, $G$9) + CHOOSE(CONTROL!$C$38, 0.0356, 0)</f>
        <v>24.343499999999999</v>
      </c>
      <c r="D308" s="17">
        <f>24.3001 * CHOOSE(CONTROL!$C$15, $E$9, 100%, $G$9) + CHOOSE(CONTROL!$C$38, 0.0356, 0)</f>
        <v>24.335699999999999</v>
      </c>
      <c r="E308" s="17">
        <f>24.3001 * CHOOSE(CONTROL!$C$15, $E$9, 100%, $G$9) + CHOOSE(CONTROL!$C$38, 0.0356, 0)</f>
        <v>24.335699999999999</v>
      </c>
      <c r="F308" s="45">
        <f>26.6059 * CHOOSE(CONTROL!$C$15, $E$9, 100%, $G$9) + CHOOSE(CONTROL!$C$38, 0.0355, 0)</f>
        <v>26.641399999999997</v>
      </c>
      <c r="G308" s="17">
        <f>24.3063 * CHOOSE(CONTROL!$C$15, $E$9, 100%, $G$9) + CHOOSE(CONTROL!$C$38, 0.0356, 0)</f>
        <v>24.341899999999999</v>
      </c>
      <c r="H308" s="17">
        <f>24.3063 * CHOOSE(CONTROL!$C$15, $E$9, 100%, $G$9) + CHOOSE(CONTROL!$C$38, 0.0356, 0)</f>
        <v>24.341899999999999</v>
      </c>
      <c r="I308" s="17">
        <f>24.3079 * CHOOSE(CONTROL!$C$15, $E$9, 100%, $G$9) + CHOOSE(CONTROL!$C$38, 0.0356, 0)</f>
        <v>24.343499999999999</v>
      </c>
      <c r="J308" s="44">
        <f>180.9576</f>
        <v>180.95760000000001</v>
      </c>
    </row>
    <row r="309" spans="1:10" ht="15" x14ac:dyDescent="0.2">
      <c r="A309" s="15">
        <v>49949</v>
      </c>
      <c r="B309" s="17">
        <f>26.9765 * CHOOSE(CONTROL!$C$15, $E$9, 100%, $G$9) + CHOOSE(CONTROL!$C$38, 0.0339, 0)</f>
        <v>27.010400000000001</v>
      </c>
      <c r="C309" s="17">
        <f>24.6785 * CHOOSE(CONTROL!$C$15, $E$9, 100%, $G$9) + CHOOSE(CONTROL!$C$38, 0.034, 0)</f>
        <v>24.712499999999999</v>
      </c>
      <c r="D309" s="17">
        <f>24.6707 * CHOOSE(CONTROL!$C$15, $E$9, 100%, $G$9) + CHOOSE(CONTROL!$C$38, 0.034, 0)</f>
        <v>24.704699999999999</v>
      </c>
      <c r="E309" s="17">
        <f>24.6707 * CHOOSE(CONTROL!$C$15, $E$9, 100%, $G$9) + CHOOSE(CONTROL!$C$38, 0.034, 0)</f>
        <v>24.704699999999999</v>
      </c>
      <c r="F309" s="45">
        <f>26.9765 * CHOOSE(CONTROL!$C$15, $E$9, 100%, $G$9) + CHOOSE(CONTROL!$C$38, 0.0339, 0)</f>
        <v>27.010400000000001</v>
      </c>
      <c r="G309" s="17">
        <f>24.6769 * CHOOSE(CONTROL!$C$15, $E$9, 100%, $G$9) + CHOOSE(CONTROL!$C$38, 0.034, 0)</f>
        <v>24.710899999999999</v>
      </c>
      <c r="H309" s="17">
        <f>24.6769 * CHOOSE(CONTROL!$C$15, $E$9, 100%, $G$9) + CHOOSE(CONTROL!$C$38, 0.034, 0)</f>
        <v>24.710899999999999</v>
      </c>
      <c r="I309" s="17">
        <f>24.6785 * CHOOSE(CONTROL!$C$15, $E$9, 100%, $G$9) + CHOOSE(CONTROL!$C$38, 0.034, 0)</f>
        <v>24.712499999999999</v>
      </c>
      <c r="J309" s="44">
        <f>174.6999</f>
        <v>174.69990000000001</v>
      </c>
    </row>
    <row r="310" spans="1:10" ht="15" x14ac:dyDescent="0.2">
      <c r="A310" s="15">
        <v>49980</v>
      </c>
      <c r="B310" s="17">
        <f>27.2857 * CHOOSE(CONTROL!$C$15, $E$9, 100%, $G$9) + CHOOSE(CONTROL!$C$38, 0.0339, 0)</f>
        <v>27.319599999999998</v>
      </c>
      <c r="C310" s="17">
        <f>24.9877 * CHOOSE(CONTROL!$C$15, $E$9, 100%, $G$9) + CHOOSE(CONTROL!$C$38, 0.034, 0)</f>
        <v>25.021699999999999</v>
      </c>
      <c r="D310" s="17">
        <f>24.9799 * CHOOSE(CONTROL!$C$15, $E$9, 100%, $G$9) + CHOOSE(CONTROL!$C$38, 0.034, 0)</f>
        <v>25.0139</v>
      </c>
      <c r="E310" s="17">
        <f>24.9799 * CHOOSE(CONTROL!$C$15, $E$9, 100%, $G$9) + CHOOSE(CONTROL!$C$38, 0.034, 0)</f>
        <v>25.0139</v>
      </c>
      <c r="F310" s="45">
        <f>27.2857 * CHOOSE(CONTROL!$C$15, $E$9, 100%, $G$9) + CHOOSE(CONTROL!$C$38, 0.0339, 0)</f>
        <v>27.319599999999998</v>
      </c>
      <c r="G310" s="17">
        <f>24.9862 * CHOOSE(CONTROL!$C$15, $E$9, 100%, $G$9) + CHOOSE(CONTROL!$C$38, 0.034, 0)</f>
        <v>25.020199999999999</v>
      </c>
      <c r="H310" s="17">
        <f>24.9862 * CHOOSE(CONTROL!$C$15, $E$9, 100%, $G$9) + CHOOSE(CONTROL!$C$38, 0.034, 0)</f>
        <v>25.020199999999999</v>
      </c>
      <c r="I310" s="17">
        <f>24.9877 * CHOOSE(CONTROL!$C$15, $E$9, 100%, $G$9) + CHOOSE(CONTROL!$C$38, 0.034, 0)</f>
        <v>25.021699999999999</v>
      </c>
      <c r="J310" s="44">
        <f>173.4551</f>
        <v>173.45509999999999</v>
      </c>
    </row>
    <row r="311" spans="1:10" ht="15" x14ac:dyDescent="0.2">
      <c r="A311" s="15">
        <v>50010</v>
      </c>
      <c r="B311" s="17">
        <f>28.2386 * CHOOSE(CONTROL!$C$15, $E$9, 100%, $G$9) + CHOOSE(CONTROL!$C$38, 0.0339, 0)</f>
        <v>28.272500000000001</v>
      </c>
      <c r="C311" s="17">
        <f>25.9406 * CHOOSE(CONTROL!$C$15, $E$9, 100%, $G$9) + CHOOSE(CONTROL!$C$38, 0.034, 0)</f>
        <v>25.974599999999999</v>
      </c>
      <c r="D311" s="17">
        <f>25.9328 * CHOOSE(CONTROL!$C$15, $E$9, 100%, $G$9) + CHOOSE(CONTROL!$C$38, 0.034, 0)</f>
        <v>25.966799999999999</v>
      </c>
      <c r="E311" s="17">
        <f>25.9328 * CHOOSE(CONTROL!$C$15, $E$9, 100%, $G$9) + CHOOSE(CONTROL!$C$38, 0.034, 0)</f>
        <v>25.966799999999999</v>
      </c>
      <c r="F311" s="45">
        <f>28.2386 * CHOOSE(CONTROL!$C$15, $E$9, 100%, $G$9) + CHOOSE(CONTROL!$C$38, 0.0339, 0)</f>
        <v>28.272500000000001</v>
      </c>
      <c r="G311" s="17">
        <f>25.9391 * CHOOSE(CONTROL!$C$15, $E$9, 100%, $G$9) + CHOOSE(CONTROL!$C$38, 0.034, 0)</f>
        <v>25.973099999999999</v>
      </c>
      <c r="H311" s="17">
        <f>25.9391 * CHOOSE(CONTROL!$C$15, $E$9, 100%, $G$9) + CHOOSE(CONTROL!$C$38, 0.034, 0)</f>
        <v>25.973099999999999</v>
      </c>
      <c r="I311" s="17">
        <f>25.9406 * CHOOSE(CONTROL!$C$15, $E$9, 100%, $G$9) + CHOOSE(CONTROL!$C$38, 0.034, 0)</f>
        <v>25.974599999999999</v>
      </c>
      <c r="J311" s="44">
        <f>168.3078</f>
        <v>168.30779999999999</v>
      </c>
    </row>
    <row r="312" spans="1:10" ht="15" x14ac:dyDescent="0.2">
      <c r="A312" s="15">
        <v>50041</v>
      </c>
      <c r="B312" s="17">
        <f>29.0258 * CHOOSE(CONTROL!$C$15, $E$9, 100%, $G$9) + CHOOSE(CONTROL!$C$38, 0.0339, 0)</f>
        <v>29.059699999999999</v>
      </c>
      <c r="C312" s="17">
        <f>26.7249 * CHOOSE(CONTROL!$C$15, $E$9, 100%, $G$9) + CHOOSE(CONTROL!$C$38, 0.034, 0)</f>
        <v>26.758900000000001</v>
      </c>
      <c r="D312" s="17">
        <f>26.7171 * CHOOSE(CONTROL!$C$15, $E$9, 100%, $G$9) + CHOOSE(CONTROL!$C$38, 0.034, 0)</f>
        <v>26.751099999999997</v>
      </c>
      <c r="E312" s="17">
        <f>26.7171 * CHOOSE(CONTROL!$C$15, $E$9, 100%, $G$9) + CHOOSE(CONTROL!$C$38, 0.034, 0)</f>
        <v>26.751099999999997</v>
      </c>
      <c r="F312" s="45">
        <f>29.0258 * CHOOSE(CONTROL!$C$15, $E$9, 100%, $G$9) + CHOOSE(CONTROL!$C$38, 0.0339, 0)</f>
        <v>29.059699999999999</v>
      </c>
      <c r="G312" s="17">
        <f>26.7233 * CHOOSE(CONTROL!$C$15, $E$9, 100%, $G$9) + CHOOSE(CONTROL!$C$38, 0.034, 0)</f>
        <v>26.757299999999997</v>
      </c>
      <c r="H312" s="17">
        <f>26.7233 * CHOOSE(CONTROL!$C$15, $E$9, 100%, $G$9) + CHOOSE(CONTROL!$C$38, 0.034, 0)</f>
        <v>26.757299999999997</v>
      </c>
      <c r="I312" s="17">
        <f>26.7249 * CHOOSE(CONTROL!$C$15, $E$9, 100%, $G$9) + CHOOSE(CONTROL!$C$38, 0.034, 0)</f>
        <v>26.758900000000001</v>
      </c>
      <c r="J312" s="44">
        <f>165.8189</f>
        <v>165.81890000000001</v>
      </c>
    </row>
    <row r="313" spans="1:10" ht="15" x14ac:dyDescent="0.2">
      <c r="A313" s="15">
        <v>50072</v>
      </c>
      <c r="B313" s="17">
        <f>29.3787 * CHOOSE(CONTROL!$C$15, $E$9, 100%, $G$9) + CHOOSE(CONTROL!$C$38, 0.0339, 0)</f>
        <v>29.412599999999998</v>
      </c>
      <c r="C313" s="17">
        <f>27.0778 * CHOOSE(CONTROL!$C$15, $E$9, 100%, $G$9) + CHOOSE(CONTROL!$C$38, 0.034, 0)</f>
        <v>27.111799999999999</v>
      </c>
      <c r="D313" s="17">
        <f>27.07 * CHOOSE(CONTROL!$C$15, $E$9, 100%, $G$9) + CHOOSE(CONTROL!$C$38, 0.034, 0)</f>
        <v>27.103999999999999</v>
      </c>
      <c r="E313" s="17">
        <f>27.07 * CHOOSE(CONTROL!$C$15, $E$9, 100%, $G$9) + CHOOSE(CONTROL!$C$38, 0.034, 0)</f>
        <v>27.103999999999999</v>
      </c>
      <c r="F313" s="45">
        <f>29.3787 * CHOOSE(CONTROL!$C$15, $E$9, 100%, $G$9) + CHOOSE(CONTROL!$C$38, 0.0339, 0)</f>
        <v>29.412599999999998</v>
      </c>
      <c r="G313" s="17">
        <f>27.0762 * CHOOSE(CONTROL!$C$15, $E$9, 100%, $G$9) + CHOOSE(CONTROL!$C$38, 0.034, 0)</f>
        <v>27.110199999999999</v>
      </c>
      <c r="H313" s="17">
        <f>27.0762 * CHOOSE(CONTROL!$C$15, $E$9, 100%, $G$9) + CHOOSE(CONTROL!$C$38, 0.034, 0)</f>
        <v>27.110199999999999</v>
      </c>
      <c r="I313" s="17">
        <f>27.0778 * CHOOSE(CONTROL!$C$15, $E$9, 100%, $G$9) + CHOOSE(CONTROL!$C$38, 0.034, 0)</f>
        <v>27.111799999999999</v>
      </c>
      <c r="J313" s="44">
        <f>165.358</f>
        <v>165.358</v>
      </c>
    </row>
    <row r="314" spans="1:10" ht="15" x14ac:dyDescent="0.2">
      <c r="A314" s="15">
        <v>50100</v>
      </c>
      <c r="B314" s="17">
        <f>28.5617 * CHOOSE(CONTROL!$C$15, $E$9, 100%, $G$9) + CHOOSE(CONTROL!$C$38, 0.0339, 0)</f>
        <v>28.595599999999997</v>
      </c>
      <c r="C314" s="17">
        <f>26.2608 * CHOOSE(CONTROL!$C$15, $E$9, 100%, $G$9) + CHOOSE(CONTROL!$C$38, 0.034, 0)</f>
        <v>26.294799999999999</v>
      </c>
      <c r="D314" s="17">
        <f>26.253 * CHOOSE(CONTROL!$C$15, $E$9, 100%, $G$9) + CHOOSE(CONTROL!$C$38, 0.034, 0)</f>
        <v>26.286999999999999</v>
      </c>
      <c r="E314" s="17">
        <f>26.253 * CHOOSE(CONTROL!$C$15, $E$9, 100%, $G$9) + CHOOSE(CONTROL!$C$38, 0.034, 0)</f>
        <v>26.286999999999999</v>
      </c>
      <c r="F314" s="45">
        <f>28.5617 * CHOOSE(CONTROL!$C$15, $E$9, 100%, $G$9) + CHOOSE(CONTROL!$C$38, 0.0339, 0)</f>
        <v>28.595599999999997</v>
      </c>
      <c r="G314" s="17">
        <f>26.2593 * CHOOSE(CONTROL!$C$15, $E$9, 100%, $G$9) + CHOOSE(CONTROL!$C$38, 0.034, 0)</f>
        <v>26.293299999999999</v>
      </c>
      <c r="H314" s="17">
        <f>26.2593 * CHOOSE(CONTROL!$C$15, $E$9, 100%, $G$9) + CHOOSE(CONTROL!$C$38, 0.034, 0)</f>
        <v>26.293299999999999</v>
      </c>
      <c r="I314" s="17">
        <f>26.2608 * CHOOSE(CONTROL!$C$15, $E$9, 100%, $G$9) + CHOOSE(CONTROL!$C$38, 0.034, 0)</f>
        <v>26.294799999999999</v>
      </c>
      <c r="J314" s="44">
        <f>174.0733</f>
        <v>174.07329999999999</v>
      </c>
    </row>
    <row r="315" spans="1:10" ht="15" x14ac:dyDescent="0.2">
      <c r="A315" s="15">
        <v>50131</v>
      </c>
      <c r="B315" s="17">
        <f>27.7701 * CHOOSE(CONTROL!$C$15, $E$9, 100%, $G$9) + CHOOSE(CONTROL!$C$38, 0.0339, 0)</f>
        <v>27.803999999999998</v>
      </c>
      <c r="C315" s="17">
        <f>25.4692 * CHOOSE(CONTROL!$C$15, $E$9, 100%, $G$9) + CHOOSE(CONTROL!$C$38, 0.034, 0)</f>
        <v>25.5032</v>
      </c>
      <c r="D315" s="17">
        <f>25.4614 * CHOOSE(CONTROL!$C$15, $E$9, 100%, $G$9) + CHOOSE(CONTROL!$C$38, 0.034, 0)</f>
        <v>25.4954</v>
      </c>
      <c r="E315" s="17">
        <f>25.4614 * CHOOSE(CONTROL!$C$15, $E$9, 100%, $G$9) + CHOOSE(CONTROL!$C$38, 0.034, 0)</f>
        <v>25.4954</v>
      </c>
      <c r="F315" s="45">
        <f>27.7701 * CHOOSE(CONTROL!$C$15, $E$9, 100%, $G$9) + CHOOSE(CONTROL!$C$38, 0.0339, 0)</f>
        <v>27.803999999999998</v>
      </c>
      <c r="G315" s="17">
        <f>25.4677 * CHOOSE(CONTROL!$C$15, $E$9, 100%, $G$9) + CHOOSE(CONTROL!$C$38, 0.034, 0)</f>
        <v>25.5017</v>
      </c>
      <c r="H315" s="17">
        <f>25.4677 * CHOOSE(CONTROL!$C$15, $E$9, 100%, $G$9) + CHOOSE(CONTROL!$C$38, 0.034, 0)</f>
        <v>25.5017</v>
      </c>
      <c r="I315" s="17">
        <f>25.4692 * CHOOSE(CONTROL!$C$15, $E$9, 100%, $G$9) + CHOOSE(CONTROL!$C$38, 0.034, 0)</f>
        <v>25.5032</v>
      </c>
      <c r="J315" s="44">
        <f>185.375</f>
        <v>185.375</v>
      </c>
    </row>
    <row r="316" spans="1:10" ht="15" x14ac:dyDescent="0.2">
      <c r="A316" s="15">
        <v>50161</v>
      </c>
      <c r="B316" s="17">
        <f>26.945 * CHOOSE(CONTROL!$C$15, $E$9, 100%, $G$9) + CHOOSE(CONTROL!$C$38, 0.0355, 0)</f>
        <v>26.980499999999999</v>
      </c>
      <c r="C316" s="17">
        <f>24.6441 * CHOOSE(CONTROL!$C$15, $E$9, 100%, $G$9) + CHOOSE(CONTROL!$C$38, 0.0356, 0)</f>
        <v>24.6797</v>
      </c>
      <c r="D316" s="17">
        <f>24.6363 * CHOOSE(CONTROL!$C$15, $E$9, 100%, $G$9) + CHOOSE(CONTROL!$C$38, 0.0356, 0)</f>
        <v>24.671899999999997</v>
      </c>
      <c r="E316" s="17">
        <f>24.6363 * CHOOSE(CONTROL!$C$15, $E$9, 100%, $G$9) + CHOOSE(CONTROL!$C$38, 0.0356, 0)</f>
        <v>24.671899999999997</v>
      </c>
      <c r="F316" s="45">
        <f>26.945 * CHOOSE(CONTROL!$C$15, $E$9, 100%, $G$9) + CHOOSE(CONTROL!$C$38, 0.0355, 0)</f>
        <v>26.980499999999999</v>
      </c>
      <c r="G316" s="17">
        <f>24.6426 * CHOOSE(CONTROL!$C$15, $E$9, 100%, $G$9) + CHOOSE(CONTROL!$C$38, 0.0356, 0)</f>
        <v>24.6782</v>
      </c>
      <c r="H316" s="17">
        <f>24.6426 * CHOOSE(CONTROL!$C$15, $E$9, 100%, $G$9) + CHOOSE(CONTROL!$C$38, 0.0356, 0)</f>
        <v>24.6782</v>
      </c>
      <c r="I316" s="17">
        <f>24.6441 * CHOOSE(CONTROL!$C$15, $E$9, 100%, $G$9) + CHOOSE(CONTROL!$C$38, 0.0356, 0)</f>
        <v>24.6797</v>
      </c>
      <c r="J316" s="44">
        <f>191.5958</f>
        <v>191.5958</v>
      </c>
    </row>
    <row r="317" spans="1:10" ht="15" x14ac:dyDescent="0.2">
      <c r="A317" s="15">
        <v>50192</v>
      </c>
      <c r="B317" s="17">
        <f>26.3666 * CHOOSE(CONTROL!$C$15, $E$9, 100%, $G$9) + CHOOSE(CONTROL!$C$38, 0.0355, 0)</f>
        <v>26.402099999999997</v>
      </c>
      <c r="C317" s="17">
        <f>24.0657 * CHOOSE(CONTROL!$C$15, $E$9, 100%, $G$9) + CHOOSE(CONTROL!$C$38, 0.0356, 0)</f>
        <v>24.101299999999998</v>
      </c>
      <c r="D317" s="17">
        <f>24.0579 * CHOOSE(CONTROL!$C$15, $E$9, 100%, $G$9) + CHOOSE(CONTROL!$C$38, 0.0356, 0)</f>
        <v>24.093499999999999</v>
      </c>
      <c r="E317" s="17">
        <f>24.0579 * CHOOSE(CONTROL!$C$15, $E$9, 100%, $G$9) + CHOOSE(CONTROL!$C$38, 0.0356, 0)</f>
        <v>24.093499999999999</v>
      </c>
      <c r="F317" s="45">
        <f>26.3666 * CHOOSE(CONTROL!$C$15, $E$9, 100%, $G$9) + CHOOSE(CONTROL!$C$38, 0.0355, 0)</f>
        <v>26.402099999999997</v>
      </c>
      <c r="G317" s="17">
        <f>24.0641 * CHOOSE(CONTROL!$C$15, $E$9, 100%, $G$9) + CHOOSE(CONTROL!$C$38, 0.0356, 0)</f>
        <v>24.099699999999999</v>
      </c>
      <c r="H317" s="17">
        <f>24.0641 * CHOOSE(CONTROL!$C$15, $E$9, 100%, $G$9) + CHOOSE(CONTROL!$C$38, 0.0356, 0)</f>
        <v>24.099699999999999</v>
      </c>
      <c r="I317" s="17">
        <f>24.0657 * CHOOSE(CONTROL!$C$15, $E$9, 100%, $G$9) + CHOOSE(CONTROL!$C$38, 0.0356, 0)</f>
        <v>24.101299999999998</v>
      </c>
      <c r="J317" s="44">
        <f>194.3565</f>
        <v>194.35650000000001</v>
      </c>
    </row>
    <row r="318" spans="1:10" ht="15" x14ac:dyDescent="0.2">
      <c r="A318" s="15">
        <v>50222</v>
      </c>
      <c r="B318" s="17">
        <f>26.0365 * CHOOSE(CONTROL!$C$15, $E$9, 100%, $G$9) + CHOOSE(CONTROL!$C$38, 0.0355, 0)</f>
        <v>26.071999999999999</v>
      </c>
      <c r="C318" s="17">
        <f>23.7356 * CHOOSE(CONTROL!$C$15, $E$9, 100%, $G$9) + CHOOSE(CONTROL!$C$38, 0.0356, 0)</f>
        <v>23.7712</v>
      </c>
      <c r="D318" s="17">
        <f>23.7278 * CHOOSE(CONTROL!$C$15, $E$9, 100%, $G$9) + CHOOSE(CONTROL!$C$38, 0.0356, 0)</f>
        <v>23.763399999999997</v>
      </c>
      <c r="E318" s="17">
        <f>23.7278 * CHOOSE(CONTROL!$C$15, $E$9, 100%, $G$9) + CHOOSE(CONTROL!$C$38, 0.0356, 0)</f>
        <v>23.763399999999997</v>
      </c>
      <c r="F318" s="45">
        <f>26.0365 * CHOOSE(CONTROL!$C$15, $E$9, 100%, $G$9) + CHOOSE(CONTROL!$C$38, 0.0355, 0)</f>
        <v>26.071999999999999</v>
      </c>
      <c r="G318" s="17">
        <f>23.734 * CHOOSE(CONTROL!$C$15, $E$9, 100%, $G$9) + CHOOSE(CONTROL!$C$38, 0.0356, 0)</f>
        <v>23.769600000000001</v>
      </c>
      <c r="H318" s="17">
        <f>23.734 * CHOOSE(CONTROL!$C$15, $E$9, 100%, $G$9) + CHOOSE(CONTROL!$C$38, 0.0356, 0)</f>
        <v>23.769600000000001</v>
      </c>
      <c r="I318" s="17">
        <f>23.7356 * CHOOSE(CONTROL!$C$15, $E$9, 100%, $G$9) + CHOOSE(CONTROL!$C$38, 0.0356, 0)</f>
        <v>23.7712</v>
      </c>
      <c r="J318" s="44">
        <f>193.4476</f>
        <v>193.44759999999999</v>
      </c>
    </row>
    <row r="319" spans="1:10" ht="15" x14ac:dyDescent="0.2">
      <c r="A319" s="15">
        <v>50253</v>
      </c>
      <c r="B319" s="17">
        <f>26.1994 * CHOOSE(CONTROL!$C$15, $E$9, 100%, $G$9) + CHOOSE(CONTROL!$C$38, 0.0355, 0)</f>
        <v>26.2349</v>
      </c>
      <c r="C319" s="17">
        <f>23.8985 * CHOOSE(CONTROL!$C$15, $E$9, 100%, $G$9) + CHOOSE(CONTROL!$C$38, 0.0356, 0)</f>
        <v>23.934099999999997</v>
      </c>
      <c r="D319" s="17">
        <f>23.8907 * CHOOSE(CONTROL!$C$15, $E$9, 100%, $G$9) + CHOOSE(CONTROL!$C$38, 0.0356, 0)</f>
        <v>23.926299999999998</v>
      </c>
      <c r="E319" s="17">
        <f>23.8907 * CHOOSE(CONTROL!$C$15, $E$9, 100%, $G$9) + CHOOSE(CONTROL!$C$38, 0.0356, 0)</f>
        <v>23.926299999999998</v>
      </c>
      <c r="F319" s="45">
        <f>26.1994 * CHOOSE(CONTROL!$C$15, $E$9, 100%, $G$9) + CHOOSE(CONTROL!$C$38, 0.0355, 0)</f>
        <v>26.2349</v>
      </c>
      <c r="G319" s="17">
        <f>23.8969 * CHOOSE(CONTROL!$C$15, $E$9, 100%, $G$9) + CHOOSE(CONTROL!$C$38, 0.0356, 0)</f>
        <v>23.932499999999997</v>
      </c>
      <c r="H319" s="17">
        <f>23.8969 * CHOOSE(CONTROL!$C$15, $E$9, 100%, $G$9) + CHOOSE(CONTROL!$C$38, 0.0356, 0)</f>
        <v>23.932499999999997</v>
      </c>
      <c r="I319" s="17">
        <f>23.8985 * CHOOSE(CONTROL!$C$15, $E$9, 100%, $G$9) + CHOOSE(CONTROL!$C$38, 0.0356, 0)</f>
        <v>23.934099999999997</v>
      </c>
      <c r="J319" s="44">
        <f>188.9442</f>
        <v>188.9442</v>
      </c>
    </row>
    <row r="320" spans="1:10" ht="15" x14ac:dyDescent="0.2">
      <c r="A320" s="15">
        <v>50284</v>
      </c>
      <c r="B320" s="17">
        <f>26.6419 * CHOOSE(CONTROL!$C$15, $E$9, 100%, $G$9) + CHOOSE(CONTROL!$C$38, 0.0355, 0)</f>
        <v>26.677399999999999</v>
      </c>
      <c r="C320" s="17">
        <f>24.341 * CHOOSE(CONTROL!$C$15, $E$9, 100%, $G$9) + CHOOSE(CONTROL!$C$38, 0.0356, 0)</f>
        <v>24.3766</v>
      </c>
      <c r="D320" s="17">
        <f>24.3332 * CHOOSE(CONTROL!$C$15, $E$9, 100%, $G$9) + CHOOSE(CONTROL!$C$38, 0.0356, 0)</f>
        <v>24.3688</v>
      </c>
      <c r="E320" s="17">
        <f>24.3332 * CHOOSE(CONTROL!$C$15, $E$9, 100%, $G$9) + CHOOSE(CONTROL!$C$38, 0.0356, 0)</f>
        <v>24.3688</v>
      </c>
      <c r="F320" s="45">
        <f>26.6419 * CHOOSE(CONTROL!$C$15, $E$9, 100%, $G$9) + CHOOSE(CONTROL!$C$38, 0.0355, 0)</f>
        <v>26.677399999999999</v>
      </c>
      <c r="G320" s="17">
        <f>24.3394 * CHOOSE(CONTROL!$C$15, $E$9, 100%, $G$9) + CHOOSE(CONTROL!$C$38, 0.0356, 0)</f>
        <v>24.375</v>
      </c>
      <c r="H320" s="17">
        <f>24.3394 * CHOOSE(CONTROL!$C$15, $E$9, 100%, $G$9) + CHOOSE(CONTROL!$C$38, 0.0356, 0)</f>
        <v>24.375</v>
      </c>
      <c r="I320" s="17">
        <f>24.341 * CHOOSE(CONTROL!$C$15, $E$9, 100%, $G$9) + CHOOSE(CONTROL!$C$38, 0.0356, 0)</f>
        <v>24.3766</v>
      </c>
      <c r="J320" s="44">
        <f>182.664</f>
        <v>182.66399999999999</v>
      </c>
    </row>
    <row r="321" spans="1:10" ht="15" x14ac:dyDescent="0.2">
      <c r="A321" s="15">
        <v>50314</v>
      </c>
      <c r="B321" s="17">
        <f>27.0125 * CHOOSE(CONTROL!$C$15, $E$9, 100%, $G$9) + CHOOSE(CONTROL!$C$38, 0.0339, 0)</f>
        <v>27.046399999999998</v>
      </c>
      <c r="C321" s="17">
        <f>24.7116 * CHOOSE(CONTROL!$C$15, $E$9, 100%, $G$9) + CHOOSE(CONTROL!$C$38, 0.034, 0)</f>
        <v>24.7456</v>
      </c>
      <c r="D321" s="17">
        <f>24.7038 * CHOOSE(CONTROL!$C$15, $E$9, 100%, $G$9) + CHOOSE(CONTROL!$C$38, 0.034, 0)</f>
        <v>24.7378</v>
      </c>
      <c r="E321" s="17">
        <f>24.7038 * CHOOSE(CONTROL!$C$15, $E$9, 100%, $G$9) + CHOOSE(CONTROL!$C$38, 0.034, 0)</f>
        <v>24.7378</v>
      </c>
      <c r="F321" s="45">
        <f>27.0125 * CHOOSE(CONTROL!$C$15, $E$9, 100%, $G$9) + CHOOSE(CONTROL!$C$38, 0.0339, 0)</f>
        <v>27.046399999999998</v>
      </c>
      <c r="G321" s="17">
        <f>24.71 * CHOOSE(CONTROL!$C$15, $E$9, 100%, $G$9) + CHOOSE(CONTROL!$C$38, 0.034, 0)</f>
        <v>24.744</v>
      </c>
      <c r="H321" s="17">
        <f>24.71 * CHOOSE(CONTROL!$C$15, $E$9, 100%, $G$9) + CHOOSE(CONTROL!$C$38, 0.034, 0)</f>
        <v>24.744</v>
      </c>
      <c r="I321" s="17">
        <f>24.7116 * CHOOSE(CONTROL!$C$15, $E$9, 100%, $G$9) + CHOOSE(CONTROL!$C$38, 0.034, 0)</f>
        <v>24.7456</v>
      </c>
      <c r="J321" s="44">
        <f>176.3473</f>
        <v>176.34729999999999</v>
      </c>
    </row>
    <row r="322" spans="1:10" ht="15" x14ac:dyDescent="0.2">
      <c r="A322" s="15">
        <v>50345</v>
      </c>
      <c r="B322" s="17">
        <f>27.3217 * CHOOSE(CONTROL!$C$15, $E$9, 100%, $G$9) + CHOOSE(CONTROL!$C$38, 0.0339, 0)</f>
        <v>27.355599999999999</v>
      </c>
      <c r="C322" s="17">
        <f>25.0209 * CHOOSE(CONTROL!$C$15, $E$9, 100%, $G$9) + CHOOSE(CONTROL!$C$38, 0.034, 0)</f>
        <v>25.0549</v>
      </c>
      <c r="D322" s="17">
        <f>25.013 * CHOOSE(CONTROL!$C$15, $E$9, 100%, $G$9) + CHOOSE(CONTROL!$C$38, 0.034, 0)</f>
        <v>25.047000000000001</v>
      </c>
      <c r="E322" s="17">
        <f>25.013 * CHOOSE(CONTROL!$C$15, $E$9, 100%, $G$9) + CHOOSE(CONTROL!$C$38, 0.034, 0)</f>
        <v>25.047000000000001</v>
      </c>
      <c r="F322" s="45">
        <f>27.3217 * CHOOSE(CONTROL!$C$15, $E$9, 100%, $G$9) + CHOOSE(CONTROL!$C$38, 0.0339, 0)</f>
        <v>27.355599999999999</v>
      </c>
      <c r="G322" s="17">
        <f>25.0193 * CHOOSE(CONTROL!$C$15, $E$9, 100%, $G$9) + CHOOSE(CONTROL!$C$38, 0.034, 0)</f>
        <v>25.0533</v>
      </c>
      <c r="H322" s="17">
        <f>25.0193 * CHOOSE(CONTROL!$C$15, $E$9, 100%, $G$9) + CHOOSE(CONTROL!$C$38, 0.034, 0)</f>
        <v>25.0533</v>
      </c>
      <c r="I322" s="17">
        <f>25.0209 * CHOOSE(CONTROL!$C$15, $E$9, 100%, $G$9) + CHOOSE(CONTROL!$C$38, 0.034, 0)</f>
        <v>25.0549</v>
      </c>
      <c r="J322" s="44">
        <f>175.0908</f>
        <v>175.0908</v>
      </c>
    </row>
    <row r="323" spans="1:10" ht="15" x14ac:dyDescent="0.2">
      <c r="A323" s="15">
        <v>50375</v>
      </c>
      <c r="B323" s="17">
        <f>28.2746 * CHOOSE(CONTROL!$C$15, $E$9, 100%, $G$9) + CHOOSE(CONTROL!$C$38, 0.0339, 0)</f>
        <v>28.308499999999999</v>
      </c>
      <c r="C323" s="17">
        <f>25.9738 * CHOOSE(CONTROL!$C$15, $E$9, 100%, $G$9) + CHOOSE(CONTROL!$C$38, 0.034, 0)</f>
        <v>26.0078</v>
      </c>
      <c r="D323" s="17">
        <f>25.9659 * CHOOSE(CONTROL!$C$15, $E$9, 100%, $G$9) + CHOOSE(CONTROL!$C$38, 0.034, 0)</f>
        <v>25.9999</v>
      </c>
      <c r="E323" s="17">
        <f>25.9659 * CHOOSE(CONTROL!$C$15, $E$9, 100%, $G$9) + CHOOSE(CONTROL!$C$38, 0.034, 0)</f>
        <v>25.9999</v>
      </c>
      <c r="F323" s="45">
        <f>28.2746 * CHOOSE(CONTROL!$C$15, $E$9, 100%, $G$9) + CHOOSE(CONTROL!$C$38, 0.0339, 0)</f>
        <v>28.308499999999999</v>
      </c>
      <c r="G323" s="17">
        <f>25.9722 * CHOOSE(CONTROL!$C$15, $E$9, 100%, $G$9) + CHOOSE(CONTROL!$C$38, 0.034, 0)</f>
        <v>26.0062</v>
      </c>
      <c r="H323" s="17">
        <f>25.9722 * CHOOSE(CONTROL!$C$15, $E$9, 100%, $G$9) + CHOOSE(CONTROL!$C$38, 0.034, 0)</f>
        <v>26.0062</v>
      </c>
      <c r="I323" s="17">
        <f>25.9738 * CHOOSE(CONTROL!$C$15, $E$9, 100%, $G$9) + CHOOSE(CONTROL!$C$38, 0.034, 0)</f>
        <v>26.0078</v>
      </c>
      <c r="J323" s="44">
        <f>169.895</f>
        <v>169.89500000000001</v>
      </c>
    </row>
    <row r="324" spans="1:10" ht="15.75" x14ac:dyDescent="0.25">
      <c r="A324" s="14">
        <v>50436</v>
      </c>
      <c r="B324" s="17">
        <f>29.0618 * CHOOSE(CONTROL!$C$15, $E$9, 100%, $G$9) + CHOOSE(CONTROL!$C$38, 0.0339, 0)</f>
        <v>29.095700000000001</v>
      </c>
      <c r="C324" s="17">
        <f>26.758 * CHOOSE(CONTROL!$C$15, $E$9, 100%, $G$9) + CHOOSE(CONTROL!$C$38, 0.034, 0)</f>
        <v>26.791999999999998</v>
      </c>
      <c r="D324" s="17">
        <f>26.7502 * CHOOSE(CONTROL!$C$15, $E$9, 100%, $G$9) + CHOOSE(CONTROL!$C$38, 0.034, 0)</f>
        <v>26.784199999999998</v>
      </c>
      <c r="E324" s="17">
        <f>26.7502 * CHOOSE(CONTROL!$C$15, $E$9, 100%, $G$9) + CHOOSE(CONTROL!$C$38, 0.034, 0)</f>
        <v>26.784199999999998</v>
      </c>
      <c r="F324" s="45">
        <f>29.0618 * CHOOSE(CONTROL!$C$15, $E$9, 100%, $G$9) + CHOOSE(CONTROL!$C$38, 0.0339, 0)</f>
        <v>29.095700000000001</v>
      </c>
      <c r="G324" s="17">
        <f>26.7565 * CHOOSE(CONTROL!$C$15, $E$9, 100%, $G$9) + CHOOSE(CONTROL!$C$38, 0.034, 0)</f>
        <v>26.790499999999998</v>
      </c>
      <c r="H324" s="17">
        <f>26.7565 * CHOOSE(CONTROL!$C$15, $E$9, 100%, $G$9) + CHOOSE(CONTROL!$C$38, 0.034, 0)</f>
        <v>26.790499999999998</v>
      </c>
      <c r="I324" s="17">
        <f>26.758 * CHOOSE(CONTROL!$C$15, $E$9, 100%, $G$9) + CHOOSE(CONTROL!$C$38, 0.034, 0)</f>
        <v>26.791999999999998</v>
      </c>
      <c r="J324" s="44">
        <f>167.3826</f>
        <v>167.3826</v>
      </c>
    </row>
    <row r="325" spans="1:10" ht="15.75" x14ac:dyDescent="0.25">
      <c r="A325" s="14">
        <v>50464</v>
      </c>
      <c r="B325" s="17">
        <f>29.4147 * CHOOSE(CONTROL!$C$15, $E$9, 100%, $G$9) + CHOOSE(CONTROL!$C$38, 0.0339, 0)</f>
        <v>29.448599999999999</v>
      </c>
      <c r="C325" s="17">
        <f>27.111 * CHOOSE(CONTROL!$C$15, $E$9, 100%, $G$9) + CHOOSE(CONTROL!$C$38, 0.034, 0)</f>
        <v>27.145</v>
      </c>
      <c r="D325" s="17">
        <f>27.1032 * CHOOSE(CONTROL!$C$15, $E$9, 100%, $G$9) + CHOOSE(CONTROL!$C$38, 0.034, 0)</f>
        <v>27.1372</v>
      </c>
      <c r="E325" s="17">
        <f>27.1032 * CHOOSE(CONTROL!$C$15, $E$9, 100%, $G$9) + CHOOSE(CONTROL!$C$38, 0.034, 0)</f>
        <v>27.1372</v>
      </c>
      <c r="F325" s="45">
        <f>29.4147 * CHOOSE(CONTROL!$C$15, $E$9, 100%, $G$9) + CHOOSE(CONTROL!$C$38, 0.0339, 0)</f>
        <v>29.448599999999999</v>
      </c>
      <c r="G325" s="17">
        <f>27.1094 * CHOOSE(CONTROL!$C$15, $E$9, 100%, $G$9) + CHOOSE(CONTROL!$C$38, 0.034, 0)</f>
        <v>27.1434</v>
      </c>
      <c r="H325" s="17">
        <f>27.1094 * CHOOSE(CONTROL!$C$15, $E$9, 100%, $G$9) + CHOOSE(CONTROL!$C$38, 0.034, 0)</f>
        <v>27.1434</v>
      </c>
      <c r="I325" s="17">
        <f>27.111 * CHOOSE(CONTROL!$C$15, $E$9, 100%, $G$9) + CHOOSE(CONTROL!$C$38, 0.034, 0)</f>
        <v>27.145</v>
      </c>
      <c r="J325" s="44">
        <f>166.9173</f>
        <v>166.91730000000001</v>
      </c>
    </row>
    <row r="326" spans="1:10" ht="15.75" x14ac:dyDescent="0.25">
      <c r="A326" s="14">
        <v>50495</v>
      </c>
      <c r="B326" s="17">
        <f>28.5978 * CHOOSE(CONTROL!$C$15, $E$9, 100%, $G$9) + CHOOSE(CONTROL!$C$38, 0.0339, 0)</f>
        <v>28.631699999999999</v>
      </c>
      <c r="C326" s="17">
        <f>26.294 * CHOOSE(CONTROL!$C$15, $E$9, 100%, $G$9) + CHOOSE(CONTROL!$C$38, 0.034, 0)</f>
        <v>26.327999999999999</v>
      </c>
      <c r="D326" s="17">
        <f>26.2862 * CHOOSE(CONTROL!$C$15, $E$9, 100%, $G$9) + CHOOSE(CONTROL!$C$38, 0.034, 0)</f>
        <v>26.3202</v>
      </c>
      <c r="E326" s="17">
        <f>26.2862 * CHOOSE(CONTROL!$C$15, $E$9, 100%, $G$9) + CHOOSE(CONTROL!$C$38, 0.034, 0)</f>
        <v>26.3202</v>
      </c>
      <c r="F326" s="45">
        <f>28.5978 * CHOOSE(CONTROL!$C$15, $E$9, 100%, $G$9) + CHOOSE(CONTROL!$C$38, 0.0339, 0)</f>
        <v>28.631699999999999</v>
      </c>
      <c r="G326" s="17">
        <f>26.2924 * CHOOSE(CONTROL!$C$15, $E$9, 100%, $G$9) + CHOOSE(CONTROL!$C$38, 0.034, 0)</f>
        <v>26.3264</v>
      </c>
      <c r="H326" s="17">
        <f>26.2924 * CHOOSE(CONTROL!$C$15, $E$9, 100%, $G$9) + CHOOSE(CONTROL!$C$38, 0.034, 0)</f>
        <v>26.3264</v>
      </c>
      <c r="I326" s="17">
        <f>26.294 * CHOOSE(CONTROL!$C$15, $E$9, 100%, $G$9) + CHOOSE(CONTROL!$C$38, 0.034, 0)</f>
        <v>26.327999999999999</v>
      </c>
      <c r="J326" s="44">
        <f>175.7148</f>
        <v>175.7148</v>
      </c>
    </row>
    <row r="327" spans="1:10" ht="15.75" x14ac:dyDescent="0.25">
      <c r="A327" s="14">
        <v>50525</v>
      </c>
      <c r="B327" s="17">
        <f>27.8061 * CHOOSE(CONTROL!$C$15, $E$9, 100%, $G$9) + CHOOSE(CONTROL!$C$38, 0.0339, 0)</f>
        <v>27.84</v>
      </c>
      <c r="C327" s="17">
        <f>25.5024 * CHOOSE(CONTROL!$C$15, $E$9, 100%, $G$9) + CHOOSE(CONTROL!$C$38, 0.034, 0)</f>
        <v>25.5364</v>
      </c>
      <c r="D327" s="17">
        <f>25.4946 * CHOOSE(CONTROL!$C$15, $E$9, 100%, $G$9) + CHOOSE(CONTROL!$C$38, 0.034, 0)</f>
        <v>25.528599999999997</v>
      </c>
      <c r="E327" s="17">
        <f>25.4946 * CHOOSE(CONTROL!$C$15, $E$9, 100%, $G$9) + CHOOSE(CONTROL!$C$38, 0.034, 0)</f>
        <v>25.528599999999997</v>
      </c>
      <c r="F327" s="45">
        <f>27.8061 * CHOOSE(CONTROL!$C$15, $E$9, 100%, $G$9) + CHOOSE(CONTROL!$C$38, 0.0339, 0)</f>
        <v>27.84</v>
      </c>
      <c r="G327" s="17">
        <f>25.5008 * CHOOSE(CONTROL!$C$15, $E$9, 100%, $G$9) + CHOOSE(CONTROL!$C$38, 0.034, 0)</f>
        <v>25.534800000000001</v>
      </c>
      <c r="H327" s="17">
        <f>25.5008 * CHOOSE(CONTROL!$C$15, $E$9, 100%, $G$9) + CHOOSE(CONTROL!$C$38, 0.034, 0)</f>
        <v>25.534800000000001</v>
      </c>
      <c r="I327" s="17">
        <f>25.5024 * CHOOSE(CONTROL!$C$15, $E$9, 100%, $G$9) + CHOOSE(CONTROL!$C$38, 0.034, 0)</f>
        <v>25.5364</v>
      </c>
      <c r="J327" s="44">
        <f>187.1231</f>
        <v>187.12309999999999</v>
      </c>
    </row>
    <row r="328" spans="1:10" ht="15.75" x14ac:dyDescent="0.25">
      <c r="A328" s="14">
        <v>50556</v>
      </c>
      <c r="B328" s="17">
        <f>26.9811 * CHOOSE(CONTROL!$C$15, $E$9, 100%, $G$9) + CHOOSE(CONTROL!$C$38, 0.0355, 0)</f>
        <v>27.0166</v>
      </c>
      <c r="C328" s="17">
        <f>24.6773 * CHOOSE(CONTROL!$C$15, $E$9, 100%, $G$9) + CHOOSE(CONTROL!$C$38, 0.0356, 0)</f>
        <v>24.712899999999998</v>
      </c>
      <c r="D328" s="17">
        <f>24.6695 * CHOOSE(CONTROL!$C$15, $E$9, 100%, $G$9) + CHOOSE(CONTROL!$C$38, 0.0356, 0)</f>
        <v>24.705099999999998</v>
      </c>
      <c r="E328" s="17">
        <f>24.6695 * CHOOSE(CONTROL!$C$15, $E$9, 100%, $G$9) + CHOOSE(CONTROL!$C$38, 0.0356, 0)</f>
        <v>24.705099999999998</v>
      </c>
      <c r="F328" s="45">
        <f>26.9811 * CHOOSE(CONTROL!$C$15, $E$9, 100%, $G$9) + CHOOSE(CONTROL!$C$38, 0.0355, 0)</f>
        <v>27.0166</v>
      </c>
      <c r="G328" s="17">
        <f>24.6757 * CHOOSE(CONTROL!$C$15, $E$9, 100%, $G$9) + CHOOSE(CONTROL!$C$38, 0.0356, 0)</f>
        <v>24.711299999999998</v>
      </c>
      <c r="H328" s="17">
        <f>24.6757 * CHOOSE(CONTROL!$C$15, $E$9, 100%, $G$9) + CHOOSE(CONTROL!$C$38, 0.0356, 0)</f>
        <v>24.711299999999998</v>
      </c>
      <c r="I328" s="17">
        <f>24.6773 * CHOOSE(CONTROL!$C$15, $E$9, 100%, $G$9) + CHOOSE(CONTROL!$C$38, 0.0356, 0)</f>
        <v>24.712899999999998</v>
      </c>
      <c r="J328" s="44">
        <f>193.4026</f>
        <v>193.40260000000001</v>
      </c>
    </row>
    <row r="329" spans="1:10" ht="15.75" x14ac:dyDescent="0.25">
      <c r="A329" s="14">
        <v>50586</v>
      </c>
      <c r="B329" s="17">
        <f>26.4026 * CHOOSE(CONTROL!$C$15, $E$9, 100%, $G$9) + CHOOSE(CONTROL!$C$38, 0.0355, 0)</f>
        <v>26.438099999999999</v>
      </c>
      <c r="C329" s="17">
        <f>24.0989 * CHOOSE(CONTROL!$C$15, $E$9, 100%, $G$9) + CHOOSE(CONTROL!$C$38, 0.0356, 0)</f>
        <v>24.134499999999999</v>
      </c>
      <c r="D329" s="17">
        <f>24.091 * CHOOSE(CONTROL!$C$15, $E$9, 100%, $G$9) + CHOOSE(CONTROL!$C$38, 0.0356, 0)</f>
        <v>24.1266</v>
      </c>
      <c r="E329" s="17">
        <f>24.091 * CHOOSE(CONTROL!$C$15, $E$9, 100%, $G$9) + CHOOSE(CONTROL!$C$38, 0.0356, 0)</f>
        <v>24.1266</v>
      </c>
      <c r="F329" s="45">
        <f>26.4026 * CHOOSE(CONTROL!$C$15, $E$9, 100%, $G$9) + CHOOSE(CONTROL!$C$38, 0.0355, 0)</f>
        <v>26.438099999999999</v>
      </c>
      <c r="G329" s="17">
        <f>24.0973 * CHOOSE(CONTROL!$C$15, $E$9, 100%, $G$9) + CHOOSE(CONTROL!$C$38, 0.0356, 0)</f>
        <v>24.132899999999999</v>
      </c>
      <c r="H329" s="17">
        <f>24.0973 * CHOOSE(CONTROL!$C$15, $E$9, 100%, $G$9) + CHOOSE(CONTROL!$C$38, 0.0356, 0)</f>
        <v>24.132899999999999</v>
      </c>
      <c r="I329" s="17">
        <f>24.0989 * CHOOSE(CONTROL!$C$15, $E$9, 100%, $G$9) + CHOOSE(CONTROL!$C$38, 0.0356, 0)</f>
        <v>24.134499999999999</v>
      </c>
      <c r="J329" s="44">
        <f>196.1893</f>
        <v>196.1893</v>
      </c>
    </row>
    <row r="330" spans="1:10" ht="15.75" x14ac:dyDescent="0.25">
      <c r="A330" s="14">
        <v>50617</v>
      </c>
      <c r="B330" s="17">
        <f>26.0725 * CHOOSE(CONTROL!$C$15, $E$9, 100%, $G$9) + CHOOSE(CONTROL!$C$38, 0.0355, 0)</f>
        <v>26.108000000000001</v>
      </c>
      <c r="C330" s="17">
        <f>23.7688 * CHOOSE(CONTROL!$C$15, $E$9, 100%, $G$9) + CHOOSE(CONTROL!$C$38, 0.0356, 0)</f>
        <v>23.804399999999998</v>
      </c>
      <c r="D330" s="17">
        <f>23.7609 * CHOOSE(CONTROL!$C$15, $E$9, 100%, $G$9) + CHOOSE(CONTROL!$C$38, 0.0356, 0)</f>
        <v>23.796499999999998</v>
      </c>
      <c r="E330" s="17">
        <f>23.7609 * CHOOSE(CONTROL!$C$15, $E$9, 100%, $G$9) + CHOOSE(CONTROL!$C$38, 0.0356, 0)</f>
        <v>23.796499999999998</v>
      </c>
      <c r="F330" s="45">
        <f>26.0725 * CHOOSE(CONTROL!$C$15, $E$9, 100%, $G$9) + CHOOSE(CONTROL!$C$38, 0.0355, 0)</f>
        <v>26.108000000000001</v>
      </c>
      <c r="G330" s="17">
        <f>23.7672 * CHOOSE(CONTROL!$C$15, $E$9, 100%, $G$9) + CHOOSE(CONTROL!$C$38, 0.0356, 0)</f>
        <v>23.802799999999998</v>
      </c>
      <c r="H330" s="17">
        <f>23.7672 * CHOOSE(CONTROL!$C$15, $E$9, 100%, $G$9) + CHOOSE(CONTROL!$C$38, 0.0356, 0)</f>
        <v>23.802799999999998</v>
      </c>
      <c r="I330" s="17">
        <f>23.7688 * CHOOSE(CONTROL!$C$15, $E$9, 100%, $G$9) + CHOOSE(CONTROL!$C$38, 0.0356, 0)</f>
        <v>23.804399999999998</v>
      </c>
      <c r="J330" s="44">
        <f>195.2718</f>
        <v>195.27180000000001</v>
      </c>
    </row>
    <row r="331" spans="1:10" ht="15.75" x14ac:dyDescent="0.25">
      <c r="A331" s="14">
        <v>50648</v>
      </c>
      <c r="B331" s="17">
        <f>26.2354 * CHOOSE(CONTROL!$C$15, $E$9, 100%, $G$9) + CHOOSE(CONTROL!$C$38, 0.0355, 0)</f>
        <v>26.270899999999997</v>
      </c>
      <c r="C331" s="17">
        <f>23.9317 * CHOOSE(CONTROL!$C$15, $E$9, 100%, $G$9) + CHOOSE(CONTROL!$C$38, 0.0356, 0)</f>
        <v>23.967299999999998</v>
      </c>
      <c r="D331" s="17">
        <f>23.9239 * CHOOSE(CONTROL!$C$15, $E$9, 100%, $G$9) + CHOOSE(CONTROL!$C$38, 0.0356, 0)</f>
        <v>23.959499999999998</v>
      </c>
      <c r="E331" s="17">
        <f>23.9239 * CHOOSE(CONTROL!$C$15, $E$9, 100%, $G$9) + CHOOSE(CONTROL!$C$38, 0.0356, 0)</f>
        <v>23.959499999999998</v>
      </c>
      <c r="F331" s="45">
        <f>26.2354 * CHOOSE(CONTROL!$C$15, $E$9, 100%, $G$9) + CHOOSE(CONTROL!$C$38, 0.0355, 0)</f>
        <v>26.270899999999997</v>
      </c>
      <c r="G331" s="17">
        <f>23.9301 * CHOOSE(CONTROL!$C$15, $E$9, 100%, $G$9) + CHOOSE(CONTROL!$C$38, 0.0356, 0)</f>
        <v>23.965699999999998</v>
      </c>
      <c r="H331" s="17">
        <f>23.9301 * CHOOSE(CONTROL!$C$15, $E$9, 100%, $G$9) + CHOOSE(CONTROL!$C$38, 0.0356, 0)</f>
        <v>23.965699999999998</v>
      </c>
      <c r="I331" s="17">
        <f>23.9317 * CHOOSE(CONTROL!$C$15, $E$9, 100%, $G$9) + CHOOSE(CONTROL!$C$38, 0.0356, 0)</f>
        <v>23.967299999999998</v>
      </c>
      <c r="J331" s="44">
        <f>190.7259</f>
        <v>190.7259</v>
      </c>
    </row>
    <row r="332" spans="1:10" ht="15.75" x14ac:dyDescent="0.25">
      <c r="A332" s="14">
        <v>50678</v>
      </c>
      <c r="B332" s="17">
        <f>26.6779 * CHOOSE(CONTROL!$C$15, $E$9, 100%, $G$9) + CHOOSE(CONTROL!$C$38, 0.0355, 0)</f>
        <v>26.7134</v>
      </c>
      <c r="C332" s="17">
        <f>24.3742 * CHOOSE(CONTROL!$C$15, $E$9, 100%, $G$9) + CHOOSE(CONTROL!$C$38, 0.0356, 0)</f>
        <v>24.409799999999997</v>
      </c>
      <c r="D332" s="17">
        <f>24.3664 * CHOOSE(CONTROL!$C$15, $E$9, 100%, $G$9) + CHOOSE(CONTROL!$C$38, 0.0356, 0)</f>
        <v>24.401999999999997</v>
      </c>
      <c r="E332" s="17">
        <f>24.3664 * CHOOSE(CONTROL!$C$15, $E$9, 100%, $G$9) + CHOOSE(CONTROL!$C$38, 0.0356, 0)</f>
        <v>24.401999999999997</v>
      </c>
      <c r="F332" s="45">
        <f>26.6779 * CHOOSE(CONTROL!$C$15, $E$9, 100%, $G$9) + CHOOSE(CONTROL!$C$38, 0.0355, 0)</f>
        <v>26.7134</v>
      </c>
      <c r="G332" s="17">
        <f>24.3726 * CHOOSE(CONTROL!$C$15, $E$9, 100%, $G$9) + CHOOSE(CONTROL!$C$38, 0.0356, 0)</f>
        <v>24.408199999999997</v>
      </c>
      <c r="H332" s="17">
        <f>24.3726 * CHOOSE(CONTROL!$C$15, $E$9, 100%, $G$9) + CHOOSE(CONTROL!$C$38, 0.0356, 0)</f>
        <v>24.408199999999997</v>
      </c>
      <c r="I332" s="17">
        <f>24.3742 * CHOOSE(CONTROL!$C$15, $E$9, 100%, $G$9) + CHOOSE(CONTROL!$C$38, 0.0356, 0)</f>
        <v>24.409799999999997</v>
      </c>
      <c r="J332" s="44">
        <f>184.3865</f>
        <v>184.38650000000001</v>
      </c>
    </row>
    <row r="333" spans="1:10" ht="15.75" x14ac:dyDescent="0.25">
      <c r="A333" s="14">
        <v>50709</v>
      </c>
      <c r="B333" s="17">
        <f>27.0485 * CHOOSE(CONTROL!$C$15, $E$9, 100%, $G$9) + CHOOSE(CONTROL!$C$38, 0.0339, 0)</f>
        <v>27.0824</v>
      </c>
      <c r="C333" s="17">
        <f>24.7448 * CHOOSE(CONTROL!$C$15, $E$9, 100%, $G$9) + CHOOSE(CONTROL!$C$38, 0.034, 0)</f>
        <v>24.7788</v>
      </c>
      <c r="D333" s="17">
        <f>24.737 * CHOOSE(CONTROL!$C$15, $E$9, 100%, $G$9) + CHOOSE(CONTROL!$C$38, 0.034, 0)</f>
        <v>24.770999999999997</v>
      </c>
      <c r="E333" s="17">
        <f>24.737 * CHOOSE(CONTROL!$C$15, $E$9, 100%, $G$9) + CHOOSE(CONTROL!$C$38, 0.034, 0)</f>
        <v>24.770999999999997</v>
      </c>
      <c r="F333" s="45">
        <f>27.0485 * CHOOSE(CONTROL!$C$15, $E$9, 100%, $G$9) + CHOOSE(CONTROL!$C$38, 0.0339, 0)</f>
        <v>27.0824</v>
      </c>
      <c r="G333" s="17">
        <f>24.7432 * CHOOSE(CONTROL!$C$15, $E$9, 100%, $G$9) + CHOOSE(CONTROL!$C$38, 0.034, 0)</f>
        <v>24.777200000000001</v>
      </c>
      <c r="H333" s="17">
        <f>24.7432 * CHOOSE(CONTROL!$C$15, $E$9, 100%, $G$9) + CHOOSE(CONTROL!$C$38, 0.034, 0)</f>
        <v>24.777200000000001</v>
      </c>
      <c r="I333" s="17">
        <f>24.7448 * CHOOSE(CONTROL!$C$15, $E$9, 100%, $G$9) + CHOOSE(CONTROL!$C$38, 0.034, 0)</f>
        <v>24.7788</v>
      </c>
      <c r="J333" s="44">
        <f>178.0103</f>
        <v>178.0103</v>
      </c>
    </row>
    <row r="334" spans="1:10" ht="15.75" x14ac:dyDescent="0.25">
      <c r="A334" s="14">
        <v>50739</v>
      </c>
      <c r="B334" s="17">
        <f>27.3578 * CHOOSE(CONTROL!$C$15, $E$9, 100%, $G$9) + CHOOSE(CONTROL!$C$38, 0.0339, 0)</f>
        <v>27.3917</v>
      </c>
      <c r="C334" s="17">
        <f>25.054 * CHOOSE(CONTROL!$C$15, $E$9, 100%, $G$9) + CHOOSE(CONTROL!$C$38, 0.034, 0)</f>
        <v>25.087999999999997</v>
      </c>
      <c r="D334" s="17">
        <f>25.0462 * CHOOSE(CONTROL!$C$15, $E$9, 100%, $G$9) + CHOOSE(CONTROL!$C$38, 0.034, 0)</f>
        <v>25.080199999999998</v>
      </c>
      <c r="E334" s="17">
        <f>25.0462 * CHOOSE(CONTROL!$C$15, $E$9, 100%, $G$9) + CHOOSE(CONTROL!$C$38, 0.034, 0)</f>
        <v>25.080199999999998</v>
      </c>
      <c r="F334" s="45">
        <f>27.3578 * CHOOSE(CONTROL!$C$15, $E$9, 100%, $G$9) + CHOOSE(CONTROL!$C$38, 0.0339, 0)</f>
        <v>27.3917</v>
      </c>
      <c r="G334" s="17">
        <f>25.0525 * CHOOSE(CONTROL!$C$15, $E$9, 100%, $G$9) + CHOOSE(CONTROL!$C$38, 0.034, 0)</f>
        <v>25.086499999999997</v>
      </c>
      <c r="H334" s="17">
        <f>25.0525 * CHOOSE(CONTROL!$C$15, $E$9, 100%, $G$9) + CHOOSE(CONTROL!$C$38, 0.034, 0)</f>
        <v>25.086499999999997</v>
      </c>
      <c r="I334" s="17">
        <f>25.054 * CHOOSE(CONTROL!$C$15, $E$9, 100%, $G$9) + CHOOSE(CONTROL!$C$38, 0.034, 0)</f>
        <v>25.087999999999997</v>
      </c>
      <c r="J334" s="44">
        <f>176.7419</f>
        <v>176.74189999999999</v>
      </c>
    </row>
    <row r="335" spans="1:10" ht="15.75" x14ac:dyDescent="0.25">
      <c r="A335" s="14">
        <v>50770</v>
      </c>
      <c r="B335" s="17">
        <f>28.3107 * CHOOSE(CONTROL!$C$15, $E$9, 100%, $G$9) + CHOOSE(CONTROL!$C$38, 0.0339, 0)</f>
        <v>28.3446</v>
      </c>
      <c r="C335" s="17">
        <f>26.0069 * CHOOSE(CONTROL!$C$15, $E$9, 100%, $G$9) + CHOOSE(CONTROL!$C$38, 0.034, 0)</f>
        <v>26.040900000000001</v>
      </c>
      <c r="D335" s="17">
        <f>25.9991 * CHOOSE(CONTROL!$C$15, $E$9, 100%, $G$9) + CHOOSE(CONTROL!$C$38, 0.034, 0)</f>
        <v>26.033099999999997</v>
      </c>
      <c r="E335" s="17">
        <f>25.9991 * CHOOSE(CONTROL!$C$15, $E$9, 100%, $G$9) + CHOOSE(CONTROL!$C$38, 0.034, 0)</f>
        <v>26.033099999999997</v>
      </c>
      <c r="F335" s="45">
        <f>28.3107 * CHOOSE(CONTROL!$C$15, $E$9, 100%, $G$9) + CHOOSE(CONTROL!$C$38, 0.0339, 0)</f>
        <v>28.3446</v>
      </c>
      <c r="G335" s="17">
        <f>26.0054 * CHOOSE(CONTROL!$C$15, $E$9, 100%, $G$9) + CHOOSE(CONTROL!$C$38, 0.034, 0)</f>
        <v>26.039400000000001</v>
      </c>
      <c r="H335" s="17">
        <f>26.0054 * CHOOSE(CONTROL!$C$15, $E$9, 100%, $G$9) + CHOOSE(CONTROL!$C$38, 0.034, 0)</f>
        <v>26.039400000000001</v>
      </c>
      <c r="I335" s="17">
        <f>26.0069 * CHOOSE(CONTROL!$C$15, $E$9, 100%, $G$9) + CHOOSE(CONTROL!$C$38, 0.034, 0)</f>
        <v>26.040900000000001</v>
      </c>
      <c r="J335" s="44">
        <f>171.4971</f>
        <v>171.49709999999999</v>
      </c>
    </row>
    <row r="336" spans="1:10" ht="15.75" x14ac:dyDescent="0.25">
      <c r="A336" s="14">
        <v>50801</v>
      </c>
      <c r="B336" s="17">
        <f>29.0979 * CHOOSE(CONTROL!$C$15, $E$9, 100%, $G$9) + CHOOSE(CONTROL!$C$38, 0.0339, 0)</f>
        <v>29.131799999999998</v>
      </c>
      <c r="C336" s="17">
        <f>26.7913 * CHOOSE(CONTROL!$C$15, $E$9, 100%, $G$9) + CHOOSE(CONTROL!$C$38, 0.034, 0)</f>
        <v>26.825299999999999</v>
      </c>
      <c r="D336" s="17">
        <f>26.7834 * CHOOSE(CONTROL!$C$15, $E$9, 100%, $G$9) + CHOOSE(CONTROL!$C$38, 0.034, 0)</f>
        <v>26.817399999999999</v>
      </c>
      <c r="E336" s="17">
        <f>26.7834 * CHOOSE(CONTROL!$C$15, $E$9, 100%, $G$9) + CHOOSE(CONTROL!$C$38, 0.034, 0)</f>
        <v>26.817399999999999</v>
      </c>
      <c r="F336" s="45">
        <f>29.0979 * CHOOSE(CONTROL!$C$15, $E$9, 100%, $G$9) + CHOOSE(CONTROL!$C$38, 0.0339, 0)</f>
        <v>29.131799999999998</v>
      </c>
      <c r="G336" s="17">
        <f>26.7897 * CHOOSE(CONTROL!$C$15, $E$9, 100%, $G$9) + CHOOSE(CONTROL!$C$38, 0.034, 0)</f>
        <v>26.823699999999999</v>
      </c>
      <c r="H336" s="17">
        <f>26.7897 * CHOOSE(CONTROL!$C$15, $E$9, 100%, $G$9) + CHOOSE(CONTROL!$C$38, 0.034, 0)</f>
        <v>26.823699999999999</v>
      </c>
      <c r="I336" s="17">
        <f>26.7913 * CHOOSE(CONTROL!$C$15, $E$9, 100%, $G$9) + CHOOSE(CONTROL!$C$38, 0.034, 0)</f>
        <v>26.825299999999999</v>
      </c>
      <c r="J336" s="44">
        <f>168.961</f>
        <v>168.96100000000001</v>
      </c>
    </row>
    <row r="337" spans="1:10" ht="15.75" x14ac:dyDescent="0.25">
      <c r="A337" s="14">
        <v>50829</v>
      </c>
      <c r="B337" s="17">
        <f>29.4508 * CHOOSE(CONTROL!$C$15, $E$9, 100%, $G$9) + CHOOSE(CONTROL!$C$38, 0.0339, 0)</f>
        <v>29.4847</v>
      </c>
      <c r="C337" s="17">
        <f>27.1442 * CHOOSE(CONTROL!$C$15, $E$9, 100%, $G$9) + CHOOSE(CONTROL!$C$38, 0.034, 0)</f>
        <v>27.1782</v>
      </c>
      <c r="D337" s="17">
        <f>27.1364 * CHOOSE(CONTROL!$C$15, $E$9, 100%, $G$9) + CHOOSE(CONTROL!$C$38, 0.034, 0)</f>
        <v>27.170399999999997</v>
      </c>
      <c r="E337" s="17">
        <f>27.1364 * CHOOSE(CONTROL!$C$15, $E$9, 100%, $G$9) + CHOOSE(CONTROL!$C$38, 0.034, 0)</f>
        <v>27.170399999999997</v>
      </c>
      <c r="F337" s="45">
        <f>29.4508 * CHOOSE(CONTROL!$C$15, $E$9, 100%, $G$9) + CHOOSE(CONTROL!$C$38, 0.0339, 0)</f>
        <v>29.4847</v>
      </c>
      <c r="G337" s="17">
        <f>27.1426 * CHOOSE(CONTROL!$C$15, $E$9, 100%, $G$9) + CHOOSE(CONTROL!$C$38, 0.034, 0)</f>
        <v>27.176600000000001</v>
      </c>
      <c r="H337" s="17">
        <f>27.1426 * CHOOSE(CONTROL!$C$15, $E$9, 100%, $G$9) + CHOOSE(CONTROL!$C$38, 0.034, 0)</f>
        <v>27.176600000000001</v>
      </c>
      <c r="I337" s="17">
        <f>27.1442 * CHOOSE(CONTROL!$C$15, $E$9, 100%, $G$9) + CHOOSE(CONTROL!$C$38, 0.034, 0)</f>
        <v>27.1782</v>
      </c>
      <c r="J337" s="44">
        <f>168.4914</f>
        <v>168.4914</v>
      </c>
    </row>
    <row r="338" spans="1:10" ht="15.75" x14ac:dyDescent="0.25">
      <c r="A338" s="14">
        <v>50860</v>
      </c>
      <c r="B338" s="17">
        <f>28.6339 * CHOOSE(CONTROL!$C$15, $E$9, 100%, $G$9) + CHOOSE(CONTROL!$C$38, 0.0339, 0)</f>
        <v>28.6678</v>
      </c>
      <c r="C338" s="17">
        <f>26.3272 * CHOOSE(CONTROL!$C$15, $E$9, 100%, $G$9) + CHOOSE(CONTROL!$C$38, 0.034, 0)</f>
        <v>26.3612</v>
      </c>
      <c r="D338" s="17">
        <f>26.3194 * CHOOSE(CONTROL!$C$15, $E$9, 100%, $G$9) + CHOOSE(CONTROL!$C$38, 0.034, 0)</f>
        <v>26.353400000000001</v>
      </c>
      <c r="E338" s="17">
        <f>26.3194 * CHOOSE(CONTROL!$C$15, $E$9, 100%, $G$9) + CHOOSE(CONTROL!$C$38, 0.034, 0)</f>
        <v>26.353400000000001</v>
      </c>
      <c r="F338" s="45">
        <f>28.6339 * CHOOSE(CONTROL!$C$15, $E$9, 100%, $G$9) + CHOOSE(CONTROL!$C$38, 0.0339, 0)</f>
        <v>28.6678</v>
      </c>
      <c r="G338" s="17">
        <f>26.3257 * CHOOSE(CONTROL!$C$15, $E$9, 100%, $G$9) + CHOOSE(CONTROL!$C$38, 0.034, 0)</f>
        <v>26.3597</v>
      </c>
      <c r="H338" s="17">
        <f>26.3257 * CHOOSE(CONTROL!$C$15, $E$9, 100%, $G$9) + CHOOSE(CONTROL!$C$38, 0.034, 0)</f>
        <v>26.3597</v>
      </c>
      <c r="I338" s="17">
        <f>26.3272 * CHOOSE(CONTROL!$C$15, $E$9, 100%, $G$9) + CHOOSE(CONTROL!$C$38, 0.034, 0)</f>
        <v>26.3612</v>
      </c>
      <c r="J338" s="44">
        <f>177.3718</f>
        <v>177.37180000000001</v>
      </c>
    </row>
    <row r="339" spans="1:10" ht="15.75" x14ac:dyDescent="0.25">
      <c r="A339" s="14">
        <v>50890</v>
      </c>
      <c r="B339" s="17">
        <f>27.8422 * CHOOSE(CONTROL!$C$15, $E$9, 100%, $G$9) + CHOOSE(CONTROL!$C$38, 0.0339, 0)</f>
        <v>27.876099999999997</v>
      </c>
      <c r="C339" s="17">
        <f>25.5356 * CHOOSE(CONTROL!$C$15, $E$9, 100%, $G$9) + CHOOSE(CONTROL!$C$38, 0.034, 0)</f>
        <v>25.569599999999998</v>
      </c>
      <c r="D339" s="17">
        <f>25.5278 * CHOOSE(CONTROL!$C$15, $E$9, 100%, $G$9) + CHOOSE(CONTROL!$C$38, 0.034, 0)</f>
        <v>25.561799999999998</v>
      </c>
      <c r="E339" s="17">
        <f>25.5278 * CHOOSE(CONTROL!$C$15, $E$9, 100%, $G$9) + CHOOSE(CONTROL!$C$38, 0.034, 0)</f>
        <v>25.561799999999998</v>
      </c>
      <c r="F339" s="45">
        <f>27.8422 * CHOOSE(CONTROL!$C$15, $E$9, 100%, $G$9) + CHOOSE(CONTROL!$C$38, 0.0339, 0)</f>
        <v>27.876099999999997</v>
      </c>
      <c r="G339" s="17">
        <f>25.534 * CHOOSE(CONTROL!$C$15, $E$9, 100%, $G$9) + CHOOSE(CONTROL!$C$38, 0.034, 0)</f>
        <v>25.567999999999998</v>
      </c>
      <c r="H339" s="17">
        <f>25.534 * CHOOSE(CONTROL!$C$15, $E$9, 100%, $G$9) + CHOOSE(CONTROL!$C$38, 0.034, 0)</f>
        <v>25.567999999999998</v>
      </c>
      <c r="I339" s="17">
        <f>25.5356 * CHOOSE(CONTROL!$C$15, $E$9, 100%, $G$9) + CHOOSE(CONTROL!$C$38, 0.034, 0)</f>
        <v>25.569599999999998</v>
      </c>
      <c r="J339" s="44">
        <f>188.8877</f>
        <v>188.8877</v>
      </c>
    </row>
    <row r="340" spans="1:10" ht="15.75" x14ac:dyDescent="0.25">
      <c r="A340" s="14">
        <v>50921</v>
      </c>
      <c r="B340" s="17">
        <f>27.0171 * CHOOSE(CONTROL!$C$15, $E$9, 100%, $G$9) + CHOOSE(CONTROL!$C$38, 0.0355, 0)</f>
        <v>27.052599999999998</v>
      </c>
      <c r="C340" s="17">
        <f>24.7105 * CHOOSE(CONTROL!$C$15, $E$9, 100%, $G$9) + CHOOSE(CONTROL!$C$38, 0.0356, 0)</f>
        <v>24.746099999999998</v>
      </c>
      <c r="D340" s="17">
        <f>24.7027 * CHOOSE(CONTROL!$C$15, $E$9, 100%, $G$9) + CHOOSE(CONTROL!$C$38, 0.0356, 0)</f>
        <v>24.738299999999999</v>
      </c>
      <c r="E340" s="17">
        <f>24.7027 * CHOOSE(CONTROL!$C$15, $E$9, 100%, $G$9) + CHOOSE(CONTROL!$C$38, 0.0356, 0)</f>
        <v>24.738299999999999</v>
      </c>
      <c r="F340" s="45">
        <f>27.0171 * CHOOSE(CONTROL!$C$15, $E$9, 100%, $G$9) + CHOOSE(CONTROL!$C$38, 0.0355, 0)</f>
        <v>27.052599999999998</v>
      </c>
      <c r="G340" s="17">
        <f>24.7089 * CHOOSE(CONTROL!$C$15, $E$9, 100%, $G$9) + CHOOSE(CONTROL!$C$38, 0.0356, 0)</f>
        <v>24.744499999999999</v>
      </c>
      <c r="H340" s="17">
        <f>24.7089 * CHOOSE(CONTROL!$C$15, $E$9, 100%, $G$9) + CHOOSE(CONTROL!$C$38, 0.0356, 0)</f>
        <v>24.744499999999999</v>
      </c>
      <c r="I340" s="17">
        <f>24.7105 * CHOOSE(CONTROL!$C$15, $E$9, 100%, $G$9) + CHOOSE(CONTROL!$C$38, 0.0356, 0)</f>
        <v>24.746099999999998</v>
      </c>
      <c r="J340" s="44">
        <f>195.2264</f>
        <v>195.22640000000001</v>
      </c>
    </row>
    <row r="341" spans="1:10" ht="15.75" x14ac:dyDescent="0.25">
      <c r="A341" s="14">
        <v>50951</v>
      </c>
      <c r="B341" s="17">
        <f>26.4387 * CHOOSE(CONTROL!$C$15, $E$9, 100%, $G$9) + CHOOSE(CONTROL!$C$38, 0.0355, 0)</f>
        <v>26.4742</v>
      </c>
      <c r="C341" s="17">
        <f>24.1321 * CHOOSE(CONTROL!$C$15, $E$9, 100%, $G$9) + CHOOSE(CONTROL!$C$38, 0.0356, 0)</f>
        <v>24.1677</v>
      </c>
      <c r="D341" s="17">
        <f>24.1243 * CHOOSE(CONTROL!$C$15, $E$9, 100%, $G$9) + CHOOSE(CONTROL!$C$38, 0.0356, 0)</f>
        <v>24.1599</v>
      </c>
      <c r="E341" s="17">
        <f>24.1243 * CHOOSE(CONTROL!$C$15, $E$9, 100%, $G$9) + CHOOSE(CONTROL!$C$38, 0.0356, 0)</f>
        <v>24.1599</v>
      </c>
      <c r="F341" s="45">
        <f>26.4387 * CHOOSE(CONTROL!$C$15, $E$9, 100%, $G$9) + CHOOSE(CONTROL!$C$38, 0.0355, 0)</f>
        <v>26.4742</v>
      </c>
      <c r="G341" s="17">
        <f>24.1305 * CHOOSE(CONTROL!$C$15, $E$9, 100%, $G$9) + CHOOSE(CONTROL!$C$38, 0.0356, 0)</f>
        <v>24.1661</v>
      </c>
      <c r="H341" s="17">
        <f>24.1305 * CHOOSE(CONTROL!$C$15, $E$9, 100%, $G$9) + CHOOSE(CONTROL!$C$38, 0.0356, 0)</f>
        <v>24.1661</v>
      </c>
      <c r="I341" s="17">
        <f>24.1321 * CHOOSE(CONTROL!$C$15, $E$9, 100%, $G$9) + CHOOSE(CONTROL!$C$38, 0.0356, 0)</f>
        <v>24.1677</v>
      </c>
      <c r="J341" s="44">
        <f>198.0394</f>
        <v>198.0394</v>
      </c>
    </row>
    <row r="342" spans="1:10" ht="15.75" x14ac:dyDescent="0.25">
      <c r="A342" s="14">
        <v>50982</v>
      </c>
      <c r="B342" s="17">
        <f>26.1086 * CHOOSE(CONTROL!$C$15, $E$9, 100%, $G$9) + CHOOSE(CONTROL!$C$38, 0.0355, 0)</f>
        <v>26.144099999999998</v>
      </c>
      <c r="C342" s="17">
        <f>23.802 * CHOOSE(CONTROL!$C$15, $E$9, 100%, $G$9) + CHOOSE(CONTROL!$C$38, 0.0356, 0)</f>
        <v>23.837599999999998</v>
      </c>
      <c r="D342" s="17">
        <f>23.7941 * CHOOSE(CONTROL!$C$15, $E$9, 100%, $G$9) + CHOOSE(CONTROL!$C$38, 0.0356, 0)</f>
        <v>23.829699999999999</v>
      </c>
      <c r="E342" s="17">
        <f>23.7941 * CHOOSE(CONTROL!$C$15, $E$9, 100%, $G$9) + CHOOSE(CONTROL!$C$38, 0.0356, 0)</f>
        <v>23.829699999999999</v>
      </c>
      <c r="F342" s="45">
        <f>26.1086 * CHOOSE(CONTROL!$C$15, $E$9, 100%, $G$9) + CHOOSE(CONTROL!$C$38, 0.0355, 0)</f>
        <v>26.144099999999998</v>
      </c>
      <c r="G342" s="17">
        <f>23.8004 * CHOOSE(CONTROL!$C$15, $E$9, 100%, $G$9) + CHOOSE(CONTROL!$C$38, 0.0356, 0)</f>
        <v>23.835999999999999</v>
      </c>
      <c r="H342" s="17">
        <f>23.8004 * CHOOSE(CONTROL!$C$15, $E$9, 100%, $G$9) + CHOOSE(CONTROL!$C$38, 0.0356, 0)</f>
        <v>23.835999999999999</v>
      </c>
      <c r="I342" s="17">
        <f>23.802 * CHOOSE(CONTROL!$C$15, $E$9, 100%, $G$9) + CHOOSE(CONTROL!$C$38, 0.0356, 0)</f>
        <v>23.837599999999998</v>
      </c>
      <c r="J342" s="44">
        <f>197.1132</f>
        <v>197.11320000000001</v>
      </c>
    </row>
    <row r="343" spans="1:10" ht="15.75" x14ac:dyDescent="0.25">
      <c r="A343" s="14">
        <v>51013</v>
      </c>
      <c r="B343" s="17">
        <f>26.2715 * CHOOSE(CONTROL!$C$15, $E$9, 100%, $G$9) + CHOOSE(CONTROL!$C$38, 0.0355, 0)</f>
        <v>26.306999999999999</v>
      </c>
      <c r="C343" s="17">
        <f>23.9649 * CHOOSE(CONTROL!$C$15, $E$9, 100%, $G$9) + CHOOSE(CONTROL!$C$38, 0.0356, 0)</f>
        <v>24.000499999999999</v>
      </c>
      <c r="D343" s="17">
        <f>23.9571 * CHOOSE(CONTROL!$C$15, $E$9, 100%, $G$9) + CHOOSE(CONTROL!$C$38, 0.0356, 0)</f>
        <v>23.992699999999999</v>
      </c>
      <c r="E343" s="17">
        <f>23.9571 * CHOOSE(CONTROL!$C$15, $E$9, 100%, $G$9) + CHOOSE(CONTROL!$C$38, 0.0356, 0)</f>
        <v>23.992699999999999</v>
      </c>
      <c r="F343" s="45">
        <f>26.2715 * CHOOSE(CONTROL!$C$15, $E$9, 100%, $G$9) + CHOOSE(CONTROL!$C$38, 0.0355, 0)</f>
        <v>26.306999999999999</v>
      </c>
      <c r="G343" s="17">
        <f>23.9633 * CHOOSE(CONTROL!$C$15, $E$9, 100%, $G$9) + CHOOSE(CONTROL!$C$38, 0.0356, 0)</f>
        <v>23.998899999999999</v>
      </c>
      <c r="H343" s="17">
        <f>23.9633 * CHOOSE(CONTROL!$C$15, $E$9, 100%, $G$9) + CHOOSE(CONTROL!$C$38, 0.0356, 0)</f>
        <v>23.998899999999999</v>
      </c>
      <c r="I343" s="17">
        <f>23.9649 * CHOOSE(CONTROL!$C$15, $E$9, 100%, $G$9) + CHOOSE(CONTROL!$C$38, 0.0356, 0)</f>
        <v>24.000499999999999</v>
      </c>
      <c r="J343" s="44">
        <f>192.5245</f>
        <v>192.52449999999999</v>
      </c>
    </row>
    <row r="344" spans="1:10" ht="15.75" x14ac:dyDescent="0.25">
      <c r="A344" s="14">
        <v>51043</v>
      </c>
      <c r="B344" s="17">
        <f>26.714 * CHOOSE(CONTROL!$C$15, $E$9, 100%, $G$9) + CHOOSE(CONTROL!$C$38, 0.0355, 0)</f>
        <v>26.749499999999998</v>
      </c>
      <c r="C344" s="17">
        <f>24.4074 * CHOOSE(CONTROL!$C$15, $E$9, 100%, $G$9) + CHOOSE(CONTROL!$C$38, 0.0356, 0)</f>
        <v>24.442999999999998</v>
      </c>
      <c r="D344" s="17">
        <f>24.3996 * CHOOSE(CONTROL!$C$15, $E$9, 100%, $G$9) + CHOOSE(CONTROL!$C$38, 0.0356, 0)</f>
        <v>24.435199999999998</v>
      </c>
      <c r="E344" s="17">
        <f>24.3996 * CHOOSE(CONTROL!$C$15, $E$9, 100%, $G$9) + CHOOSE(CONTROL!$C$38, 0.0356, 0)</f>
        <v>24.435199999999998</v>
      </c>
      <c r="F344" s="45">
        <f>26.714 * CHOOSE(CONTROL!$C$15, $E$9, 100%, $G$9) + CHOOSE(CONTROL!$C$38, 0.0355, 0)</f>
        <v>26.749499999999998</v>
      </c>
      <c r="G344" s="17">
        <f>24.4058 * CHOOSE(CONTROL!$C$15, $E$9, 100%, $G$9) + CHOOSE(CONTROL!$C$38, 0.0356, 0)</f>
        <v>24.441399999999998</v>
      </c>
      <c r="H344" s="17">
        <f>24.4058 * CHOOSE(CONTROL!$C$15, $E$9, 100%, $G$9) + CHOOSE(CONTROL!$C$38, 0.0356, 0)</f>
        <v>24.441399999999998</v>
      </c>
      <c r="I344" s="17">
        <f>24.4074 * CHOOSE(CONTROL!$C$15, $E$9, 100%, $G$9) + CHOOSE(CONTROL!$C$38, 0.0356, 0)</f>
        <v>24.442999999999998</v>
      </c>
      <c r="J344" s="44">
        <f>186.1253</f>
        <v>186.12530000000001</v>
      </c>
    </row>
    <row r="345" spans="1:10" ht="15.75" x14ac:dyDescent="0.25">
      <c r="A345" s="14">
        <v>51074</v>
      </c>
      <c r="B345" s="17">
        <f>27.0846 * CHOOSE(CONTROL!$C$15, $E$9, 100%, $G$9) + CHOOSE(CONTROL!$C$38, 0.0339, 0)</f>
        <v>27.118499999999997</v>
      </c>
      <c r="C345" s="17">
        <f>24.778 * CHOOSE(CONTROL!$C$15, $E$9, 100%, $G$9) + CHOOSE(CONTROL!$C$38, 0.034, 0)</f>
        <v>24.811999999999998</v>
      </c>
      <c r="D345" s="17">
        <f>24.7702 * CHOOSE(CONTROL!$C$15, $E$9, 100%, $G$9) + CHOOSE(CONTROL!$C$38, 0.034, 0)</f>
        <v>24.804199999999998</v>
      </c>
      <c r="E345" s="17">
        <f>24.7702 * CHOOSE(CONTROL!$C$15, $E$9, 100%, $G$9) + CHOOSE(CONTROL!$C$38, 0.034, 0)</f>
        <v>24.804199999999998</v>
      </c>
      <c r="F345" s="45">
        <f>27.0846 * CHOOSE(CONTROL!$C$15, $E$9, 100%, $G$9) + CHOOSE(CONTROL!$C$38, 0.0339, 0)</f>
        <v>27.118499999999997</v>
      </c>
      <c r="G345" s="17">
        <f>24.7764 * CHOOSE(CONTROL!$C$15, $E$9, 100%, $G$9) + CHOOSE(CONTROL!$C$38, 0.034, 0)</f>
        <v>24.810399999999998</v>
      </c>
      <c r="H345" s="17">
        <f>24.7764 * CHOOSE(CONTROL!$C$15, $E$9, 100%, $G$9) + CHOOSE(CONTROL!$C$38, 0.034, 0)</f>
        <v>24.810399999999998</v>
      </c>
      <c r="I345" s="17">
        <f>24.778 * CHOOSE(CONTROL!$C$15, $E$9, 100%, $G$9) + CHOOSE(CONTROL!$C$38, 0.034, 0)</f>
        <v>24.811999999999998</v>
      </c>
      <c r="J345" s="44">
        <f>179.6889</f>
        <v>179.68889999999999</v>
      </c>
    </row>
    <row r="346" spans="1:10" ht="15.75" x14ac:dyDescent="0.25">
      <c r="A346" s="14">
        <v>51104</v>
      </c>
      <c r="B346" s="17">
        <f>27.3939 * CHOOSE(CONTROL!$C$15, $E$9, 100%, $G$9) + CHOOSE(CONTROL!$C$38, 0.0339, 0)</f>
        <v>27.427799999999998</v>
      </c>
      <c r="C346" s="17">
        <f>25.0872 * CHOOSE(CONTROL!$C$15, $E$9, 100%, $G$9) + CHOOSE(CONTROL!$C$38, 0.034, 0)</f>
        <v>25.121199999999998</v>
      </c>
      <c r="D346" s="17">
        <f>25.0794 * CHOOSE(CONTROL!$C$15, $E$9, 100%, $G$9) + CHOOSE(CONTROL!$C$38, 0.034, 0)</f>
        <v>25.113399999999999</v>
      </c>
      <c r="E346" s="17">
        <f>25.0794 * CHOOSE(CONTROL!$C$15, $E$9, 100%, $G$9) + CHOOSE(CONTROL!$C$38, 0.034, 0)</f>
        <v>25.113399999999999</v>
      </c>
      <c r="F346" s="45">
        <f>27.3939 * CHOOSE(CONTROL!$C$15, $E$9, 100%, $G$9) + CHOOSE(CONTROL!$C$38, 0.0339, 0)</f>
        <v>27.427799999999998</v>
      </c>
      <c r="G346" s="17">
        <f>25.0857 * CHOOSE(CONTROL!$C$15, $E$9, 100%, $G$9) + CHOOSE(CONTROL!$C$38, 0.034, 0)</f>
        <v>25.119699999999998</v>
      </c>
      <c r="H346" s="17">
        <f>25.0857 * CHOOSE(CONTROL!$C$15, $E$9, 100%, $G$9) + CHOOSE(CONTROL!$C$38, 0.034, 0)</f>
        <v>25.119699999999998</v>
      </c>
      <c r="I346" s="17">
        <f>25.0872 * CHOOSE(CONTROL!$C$15, $E$9, 100%, $G$9) + CHOOSE(CONTROL!$C$38, 0.034, 0)</f>
        <v>25.121199999999998</v>
      </c>
      <c r="J346" s="44">
        <f>178.4086</f>
        <v>178.40860000000001</v>
      </c>
    </row>
    <row r="347" spans="1:10" ht="15.75" x14ac:dyDescent="0.25">
      <c r="A347" s="14">
        <v>51135</v>
      </c>
      <c r="B347" s="17">
        <f>28.3468 * CHOOSE(CONTROL!$C$15, $E$9, 100%, $G$9) + CHOOSE(CONTROL!$C$38, 0.0339, 0)</f>
        <v>28.380700000000001</v>
      </c>
      <c r="C347" s="17">
        <f>26.0401 * CHOOSE(CONTROL!$C$15, $E$9, 100%, $G$9) + CHOOSE(CONTROL!$C$38, 0.034, 0)</f>
        <v>26.074099999999998</v>
      </c>
      <c r="D347" s="17">
        <f>26.0323 * CHOOSE(CONTROL!$C$15, $E$9, 100%, $G$9) + CHOOSE(CONTROL!$C$38, 0.034, 0)</f>
        <v>26.066299999999998</v>
      </c>
      <c r="E347" s="17">
        <f>26.0323 * CHOOSE(CONTROL!$C$15, $E$9, 100%, $G$9) + CHOOSE(CONTROL!$C$38, 0.034, 0)</f>
        <v>26.066299999999998</v>
      </c>
      <c r="F347" s="45">
        <f>28.3468 * CHOOSE(CONTROL!$C$15, $E$9, 100%, $G$9) + CHOOSE(CONTROL!$C$38, 0.0339, 0)</f>
        <v>28.380700000000001</v>
      </c>
      <c r="G347" s="17">
        <f>26.0386 * CHOOSE(CONTROL!$C$15, $E$9, 100%, $G$9) + CHOOSE(CONTROL!$C$38, 0.034, 0)</f>
        <v>26.072599999999998</v>
      </c>
      <c r="H347" s="17">
        <f>26.0386 * CHOOSE(CONTROL!$C$15, $E$9, 100%, $G$9) + CHOOSE(CONTROL!$C$38, 0.034, 0)</f>
        <v>26.072599999999998</v>
      </c>
      <c r="I347" s="17">
        <f>26.0401 * CHOOSE(CONTROL!$C$15, $E$9, 100%, $G$9) + CHOOSE(CONTROL!$C$38, 0.034, 0)</f>
        <v>26.074099999999998</v>
      </c>
      <c r="J347" s="44">
        <f>173.1143</f>
        <v>173.11429999999999</v>
      </c>
    </row>
    <row r="348" spans="1:10" ht="15.75" x14ac:dyDescent="0.25">
      <c r="A348" s="14">
        <v>51166</v>
      </c>
      <c r="B348" s="17">
        <f>29.134 * CHOOSE(CONTROL!$C$15, $E$9, 100%, $G$9) + CHOOSE(CONTROL!$C$38, 0.0339, 0)</f>
        <v>29.167899999999999</v>
      </c>
      <c r="C348" s="17">
        <f>26.8245 * CHOOSE(CONTROL!$C$15, $E$9, 100%, $G$9) + CHOOSE(CONTROL!$C$38, 0.034, 0)</f>
        <v>26.858499999999999</v>
      </c>
      <c r="D348" s="17">
        <f>26.8167 * CHOOSE(CONTROL!$C$15, $E$9, 100%, $G$9) + CHOOSE(CONTROL!$C$38, 0.034, 0)</f>
        <v>26.8507</v>
      </c>
      <c r="E348" s="17">
        <f>26.8167 * CHOOSE(CONTROL!$C$15, $E$9, 100%, $G$9) + CHOOSE(CONTROL!$C$38, 0.034, 0)</f>
        <v>26.8507</v>
      </c>
      <c r="F348" s="45">
        <f>29.134 * CHOOSE(CONTROL!$C$15, $E$9, 100%, $G$9) + CHOOSE(CONTROL!$C$38, 0.0339, 0)</f>
        <v>29.167899999999999</v>
      </c>
      <c r="G348" s="17">
        <f>26.8229 * CHOOSE(CONTROL!$C$15, $E$9, 100%, $G$9) + CHOOSE(CONTROL!$C$38, 0.034, 0)</f>
        <v>26.8569</v>
      </c>
      <c r="H348" s="17">
        <f>26.8229 * CHOOSE(CONTROL!$C$15, $E$9, 100%, $G$9) + CHOOSE(CONTROL!$C$38, 0.034, 0)</f>
        <v>26.8569</v>
      </c>
      <c r="I348" s="17">
        <f>26.8245 * CHOOSE(CONTROL!$C$15, $E$9, 100%, $G$9) + CHOOSE(CONTROL!$C$38, 0.034, 0)</f>
        <v>26.858499999999999</v>
      </c>
      <c r="J348" s="44">
        <f>170.5543</f>
        <v>170.55430000000001</v>
      </c>
    </row>
    <row r="349" spans="1:10" ht="15.75" x14ac:dyDescent="0.25">
      <c r="A349" s="14">
        <v>51194</v>
      </c>
      <c r="B349" s="17">
        <f>29.487 * CHOOSE(CONTROL!$C$15, $E$9, 100%, $G$9) + CHOOSE(CONTROL!$C$38, 0.0339, 0)</f>
        <v>29.520899999999997</v>
      </c>
      <c r="C349" s="17">
        <f>27.1774 * CHOOSE(CONTROL!$C$15, $E$9, 100%, $G$9) + CHOOSE(CONTROL!$C$38, 0.034, 0)</f>
        <v>27.211399999999998</v>
      </c>
      <c r="D349" s="17">
        <f>27.1696 * CHOOSE(CONTROL!$C$15, $E$9, 100%, $G$9) + CHOOSE(CONTROL!$C$38, 0.034, 0)</f>
        <v>27.203599999999998</v>
      </c>
      <c r="E349" s="17">
        <f>27.1696 * CHOOSE(CONTROL!$C$15, $E$9, 100%, $G$9) + CHOOSE(CONTROL!$C$38, 0.034, 0)</f>
        <v>27.203599999999998</v>
      </c>
      <c r="F349" s="45">
        <f>29.487 * CHOOSE(CONTROL!$C$15, $E$9, 100%, $G$9) + CHOOSE(CONTROL!$C$38, 0.0339, 0)</f>
        <v>29.520899999999997</v>
      </c>
      <c r="G349" s="17">
        <f>27.1759 * CHOOSE(CONTROL!$C$15, $E$9, 100%, $G$9) + CHOOSE(CONTROL!$C$38, 0.034, 0)</f>
        <v>27.209899999999998</v>
      </c>
      <c r="H349" s="17">
        <f>27.1759 * CHOOSE(CONTROL!$C$15, $E$9, 100%, $G$9) + CHOOSE(CONTROL!$C$38, 0.034, 0)</f>
        <v>27.209899999999998</v>
      </c>
      <c r="I349" s="17">
        <f>27.1774 * CHOOSE(CONTROL!$C$15, $E$9, 100%, $G$9) + CHOOSE(CONTROL!$C$38, 0.034, 0)</f>
        <v>27.211399999999998</v>
      </c>
      <c r="J349" s="44">
        <f>170.0802</f>
        <v>170.08019999999999</v>
      </c>
    </row>
    <row r="350" spans="1:10" ht="15.75" x14ac:dyDescent="0.25">
      <c r="A350" s="14">
        <v>51226</v>
      </c>
      <c r="B350" s="17">
        <f>28.67 * CHOOSE(CONTROL!$C$15, $E$9, 100%, $G$9) + CHOOSE(CONTROL!$C$38, 0.0339, 0)</f>
        <v>28.703900000000001</v>
      </c>
      <c r="C350" s="17">
        <f>26.3605 * CHOOSE(CONTROL!$C$15, $E$9, 100%, $G$9) + CHOOSE(CONTROL!$C$38, 0.034, 0)</f>
        <v>26.394499999999997</v>
      </c>
      <c r="D350" s="17">
        <f>26.3527 * CHOOSE(CONTROL!$C$15, $E$9, 100%, $G$9) + CHOOSE(CONTROL!$C$38, 0.034, 0)</f>
        <v>26.386699999999998</v>
      </c>
      <c r="E350" s="17">
        <f>26.3527 * CHOOSE(CONTROL!$C$15, $E$9, 100%, $G$9) + CHOOSE(CONTROL!$C$38, 0.034, 0)</f>
        <v>26.386699999999998</v>
      </c>
      <c r="F350" s="45">
        <f>28.67 * CHOOSE(CONTROL!$C$15, $E$9, 100%, $G$9) + CHOOSE(CONTROL!$C$38, 0.0339, 0)</f>
        <v>28.703900000000001</v>
      </c>
      <c r="G350" s="17">
        <f>26.3589 * CHOOSE(CONTROL!$C$15, $E$9, 100%, $G$9) + CHOOSE(CONTROL!$C$38, 0.034, 0)</f>
        <v>26.392899999999997</v>
      </c>
      <c r="H350" s="17">
        <f>26.3589 * CHOOSE(CONTROL!$C$15, $E$9, 100%, $G$9) + CHOOSE(CONTROL!$C$38, 0.034, 0)</f>
        <v>26.392899999999997</v>
      </c>
      <c r="I350" s="17">
        <f>26.3605 * CHOOSE(CONTROL!$C$15, $E$9, 100%, $G$9) + CHOOSE(CONTROL!$C$38, 0.034, 0)</f>
        <v>26.394499999999997</v>
      </c>
      <c r="J350" s="44">
        <f>179.0444</f>
        <v>179.0444</v>
      </c>
    </row>
    <row r="351" spans="1:10" ht="15.75" x14ac:dyDescent="0.25">
      <c r="A351" s="14">
        <v>51256</v>
      </c>
      <c r="B351" s="17">
        <f>27.8784 * CHOOSE(CONTROL!$C$15, $E$9, 100%, $G$9) + CHOOSE(CONTROL!$C$38, 0.0339, 0)</f>
        <v>27.912299999999998</v>
      </c>
      <c r="C351" s="17">
        <f>25.5688 * CHOOSE(CONTROL!$C$15, $E$9, 100%, $G$9) + CHOOSE(CONTROL!$C$38, 0.034, 0)</f>
        <v>25.602799999999998</v>
      </c>
      <c r="D351" s="17">
        <f>25.561 * CHOOSE(CONTROL!$C$15, $E$9, 100%, $G$9) + CHOOSE(CONTROL!$C$38, 0.034, 0)</f>
        <v>25.594999999999999</v>
      </c>
      <c r="E351" s="17">
        <f>25.561 * CHOOSE(CONTROL!$C$15, $E$9, 100%, $G$9) + CHOOSE(CONTROL!$C$38, 0.034, 0)</f>
        <v>25.594999999999999</v>
      </c>
      <c r="F351" s="45">
        <f>27.8784 * CHOOSE(CONTROL!$C$15, $E$9, 100%, $G$9) + CHOOSE(CONTROL!$C$38, 0.0339, 0)</f>
        <v>27.912299999999998</v>
      </c>
      <c r="G351" s="17">
        <f>25.5673 * CHOOSE(CONTROL!$C$15, $E$9, 100%, $G$9) + CHOOSE(CONTROL!$C$38, 0.034, 0)</f>
        <v>25.601299999999998</v>
      </c>
      <c r="H351" s="17">
        <f>25.5673 * CHOOSE(CONTROL!$C$15, $E$9, 100%, $G$9) + CHOOSE(CONTROL!$C$38, 0.034, 0)</f>
        <v>25.601299999999998</v>
      </c>
      <c r="I351" s="17">
        <f>25.5688 * CHOOSE(CONTROL!$C$15, $E$9, 100%, $G$9) + CHOOSE(CONTROL!$C$38, 0.034, 0)</f>
        <v>25.602799999999998</v>
      </c>
      <c r="J351" s="44">
        <f>190.6689</f>
        <v>190.66890000000001</v>
      </c>
    </row>
    <row r="352" spans="1:10" ht="15.75" x14ac:dyDescent="0.25">
      <c r="A352" s="14">
        <v>51287</v>
      </c>
      <c r="B352" s="17">
        <f>27.0533 * CHOOSE(CONTROL!$C$15, $E$9, 100%, $G$9) + CHOOSE(CONTROL!$C$38, 0.0355, 0)</f>
        <v>27.088799999999999</v>
      </c>
      <c r="C352" s="17">
        <f>24.7438 * CHOOSE(CONTROL!$C$15, $E$9, 100%, $G$9) + CHOOSE(CONTROL!$C$38, 0.0356, 0)</f>
        <v>24.779399999999999</v>
      </c>
      <c r="D352" s="17">
        <f>24.736 * CHOOSE(CONTROL!$C$15, $E$9, 100%, $G$9) + CHOOSE(CONTROL!$C$38, 0.0356, 0)</f>
        <v>24.771599999999999</v>
      </c>
      <c r="E352" s="17">
        <f>24.736 * CHOOSE(CONTROL!$C$15, $E$9, 100%, $G$9) + CHOOSE(CONTROL!$C$38, 0.0356, 0)</f>
        <v>24.771599999999999</v>
      </c>
      <c r="F352" s="45">
        <f>27.0533 * CHOOSE(CONTROL!$C$15, $E$9, 100%, $G$9) + CHOOSE(CONTROL!$C$38, 0.0355, 0)</f>
        <v>27.088799999999999</v>
      </c>
      <c r="G352" s="17">
        <f>24.7422 * CHOOSE(CONTROL!$C$15, $E$9, 100%, $G$9) + CHOOSE(CONTROL!$C$38, 0.0356, 0)</f>
        <v>24.777799999999999</v>
      </c>
      <c r="H352" s="17">
        <f>24.7422 * CHOOSE(CONTROL!$C$15, $E$9, 100%, $G$9) + CHOOSE(CONTROL!$C$38, 0.0356, 0)</f>
        <v>24.777799999999999</v>
      </c>
      <c r="I352" s="17">
        <f>24.7438 * CHOOSE(CONTROL!$C$15, $E$9, 100%, $G$9) + CHOOSE(CONTROL!$C$38, 0.0356, 0)</f>
        <v>24.779399999999999</v>
      </c>
      <c r="J352" s="44">
        <f>197.0674</f>
        <v>197.06739999999999</v>
      </c>
    </row>
    <row r="353" spans="1:10" ht="15.75" x14ac:dyDescent="0.25">
      <c r="A353" s="14">
        <v>51317</v>
      </c>
      <c r="B353" s="17">
        <f>26.4748 * CHOOSE(CONTROL!$C$15, $E$9, 100%, $G$9) + CHOOSE(CONTROL!$C$38, 0.0355, 0)</f>
        <v>26.510299999999997</v>
      </c>
      <c r="C353" s="17">
        <f>24.1653 * CHOOSE(CONTROL!$C$15, $E$9, 100%, $G$9) + CHOOSE(CONTROL!$C$38, 0.0356, 0)</f>
        <v>24.200899999999997</v>
      </c>
      <c r="D353" s="17">
        <f>24.1575 * CHOOSE(CONTROL!$C$15, $E$9, 100%, $G$9) + CHOOSE(CONTROL!$C$38, 0.0356, 0)</f>
        <v>24.193099999999998</v>
      </c>
      <c r="E353" s="17">
        <f>24.1575 * CHOOSE(CONTROL!$C$15, $E$9, 100%, $G$9) + CHOOSE(CONTROL!$C$38, 0.0356, 0)</f>
        <v>24.193099999999998</v>
      </c>
      <c r="F353" s="45">
        <f>26.4748 * CHOOSE(CONTROL!$C$15, $E$9, 100%, $G$9) + CHOOSE(CONTROL!$C$38, 0.0355, 0)</f>
        <v>26.510299999999997</v>
      </c>
      <c r="G353" s="17">
        <f>24.1638 * CHOOSE(CONTROL!$C$15, $E$9, 100%, $G$9) + CHOOSE(CONTROL!$C$38, 0.0356, 0)</f>
        <v>24.199399999999997</v>
      </c>
      <c r="H353" s="17">
        <f>24.1638 * CHOOSE(CONTROL!$C$15, $E$9, 100%, $G$9) + CHOOSE(CONTROL!$C$38, 0.0356, 0)</f>
        <v>24.199399999999997</v>
      </c>
      <c r="I353" s="17">
        <f>24.1653 * CHOOSE(CONTROL!$C$15, $E$9, 100%, $G$9) + CHOOSE(CONTROL!$C$38, 0.0356, 0)</f>
        <v>24.200899999999997</v>
      </c>
      <c r="J353" s="44">
        <f>199.9069</f>
        <v>199.90690000000001</v>
      </c>
    </row>
    <row r="354" spans="1:10" ht="15.75" x14ac:dyDescent="0.25">
      <c r="A354" s="14">
        <v>51348</v>
      </c>
      <c r="B354" s="17">
        <f>26.1447 * CHOOSE(CONTROL!$C$15, $E$9, 100%, $G$9) + CHOOSE(CONTROL!$C$38, 0.0355, 0)</f>
        <v>26.180199999999999</v>
      </c>
      <c r="C354" s="17">
        <f>23.8352 * CHOOSE(CONTROL!$C$15, $E$9, 100%, $G$9) + CHOOSE(CONTROL!$C$38, 0.0356, 0)</f>
        <v>23.870799999999999</v>
      </c>
      <c r="D354" s="17">
        <f>23.8274 * CHOOSE(CONTROL!$C$15, $E$9, 100%, $G$9) + CHOOSE(CONTROL!$C$38, 0.0356, 0)</f>
        <v>23.863</v>
      </c>
      <c r="E354" s="17">
        <f>23.8274 * CHOOSE(CONTROL!$C$15, $E$9, 100%, $G$9) + CHOOSE(CONTROL!$C$38, 0.0356, 0)</f>
        <v>23.863</v>
      </c>
      <c r="F354" s="45">
        <f>26.1447 * CHOOSE(CONTROL!$C$15, $E$9, 100%, $G$9) + CHOOSE(CONTROL!$C$38, 0.0355, 0)</f>
        <v>26.180199999999999</v>
      </c>
      <c r="G354" s="17">
        <f>23.8337 * CHOOSE(CONTROL!$C$15, $E$9, 100%, $G$9) + CHOOSE(CONTROL!$C$38, 0.0356, 0)</f>
        <v>23.869299999999999</v>
      </c>
      <c r="H354" s="17">
        <f>23.8337 * CHOOSE(CONTROL!$C$15, $E$9, 100%, $G$9) + CHOOSE(CONTROL!$C$38, 0.0356, 0)</f>
        <v>23.869299999999999</v>
      </c>
      <c r="I354" s="17">
        <f>23.8352 * CHOOSE(CONTROL!$C$15, $E$9, 100%, $G$9) + CHOOSE(CONTROL!$C$38, 0.0356, 0)</f>
        <v>23.870799999999999</v>
      </c>
      <c r="J354" s="44">
        <f>198.972</f>
        <v>198.97200000000001</v>
      </c>
    </row>
    <row r="355" spans="1:10" ht="15.75" x14ac:dyDescent="0.25">
      <c r="A355" s="14">
        <v>51379</v>
      </c>
      <c r="B355" s="17">
        <f>26.3077 * CHOOSE(CONTROL!$C$15, $E$9, 100%, $G$9) + CHOOSE(CONTROL!$C$38, 0.0355, 0)</f>
        <v>26.3432</v>
      </c>
      <c r="C355" s="17">
        <f>23.9981 * CHOOSE(CONTROL!$C$15, $E$9, 100%, $G$9) + CHOOSE(CONTROL!$C$38, 0.0356, 0)</f>
        <v>24.0337</v>
      </c>
      <c r="D355" s="17">
        <f>23.9903 * CHOOSE(CONTROL!$C$15, $E$9, 100%, $G$9) + CHOOSE(CONTROL!$C$38, 0.0356, 0)</f>
        <v>24.0259</v>
      </c>
      <c r="E355" s="17">
        <f>23.9903 * CHOOSE(CONTROL!$C$15, $E$9, 100%, $G$9) + CHOOSE(CONTROL!$C$38, 0.0356, 0)</f>
        <v>24.0259</v>
      </c>
      <c r="F355" s="45">
        <f>26.3077 * CHOOSE(CONTROL!$C$15, $E$9, 100%, $G$9) + CHOOSE(CONTROL!$C$38, 0.0355, 0)</f>
        <v>26.3432</v>
      </c>
      <c r="G355" s="17">
        <f>23.9966 * CHOOSE(CONTROL!$C$15, $E$9, 100%, $G$9) + CHOOSE(CONTROL!$C$38, 0.0356, 0)</f>
        <v>24.0322</v>
      </c>
      <c r="H355" s="17">
        <f>23.9966 * CHOOSE(CONTROL!$C$15, $E$9, 100%, $G$9) + CHOOSE(CONTROL!$C$38, 0.0356, 0)</f>
        <v>24.0322</v>
      </c>
      <c r="I355" s="17">
        <f>23.9981 * CHOOSE(CONTROL!$C$15, $E$9, 100%, $G$9) + CHOOSE(CONTROL!$C$38, 0.0356, 0)</f>
        <v>24.0337</v>
      </c>
      <c r="J355" s="44">
        <f>194.34</f>
        <v>194.34</v>
      </c>
    </row>
    <row r="356" spans="1:10" ht="15.75" x14ac:dyDescent="0.25">
      <c r="A356" s="14">
        <v>51409</v>
      </c>
      <c r="B356" s="17">
        <f>26.7502 * CHOOSE(CONTROL!$C$15, $E$9, 100%, $G$9) + CHOOSE(CONTROL!$C$38, 0.0355, 0)</f>
        <v>26.785699999999999</v>
      </c>
      <c r="C356" s="17">
        <f>24.4406 * CHOOSE(CONTROL!$C$15, $E$9, 100%, $G$9) + CHOOSE(CONTROL!$C$38, 0.0356, 0)</f>
        <v>24.476199999999999</v>
      </c>
      <c r="D356" s="17">
        <f>24.4328 * CHOOSE(CONTROL!$C$15, $E$9, 100%, $G$9) + CHOOSE(CONTROL!$C$38, 0.0356, 0)</f>
        <v>24.468399999999999</v>
      </c>
      <c r="E356" s="17">
        <f>24.4328 * CHOOSE(CONTROL!$C$15, $E$9, 100%, $G$9) + CHOOSE(CONTROL!$C$38, 0.0356, 0)</f>
        <v>24.468399999999999</v>
      </c>
      <c r="F356" s="45">
        <f>26.7502 * CHOOSE(CONTROL!$C$15, $E$9, 100%, $G$9) + CHOOSE(CONTROL!$C$38, 0.0355, 0)</f>
        <v>26.785699999999999</v>
      </c>
      <c r="G356" s="17">
        <f>24.4391 * CHOOSE(CONTROL!$C$15, $E$9, 100%, $G$9) + CHOOSE(CONTROL!$C$38, 0.0356, 0)</f>
        <v>24.474699999999999</v>
      </c>
      <c r="H356" s="17">
        <f>24.4391 * CHOOSE(CONTROL!$C$15, $E$9, 100%, $G$9) + CHOOSE(CONTROL!$C$38, 0.0356, 0)</f>
        <v>24.474699999999999</v>
      </c>
      <c r="I356" s="17">
        <f>24.4406 * CHOOSE(CONTROL!$C$15, $E$9, 100%, $G$9) + CHOOSE(CONTROL!$C$38, 0.0356, 0)</f>
        <v>24.476199999999999</v>
      </c>
      <c r="J356" s="44">
        <f>187.8805</f>
        <v>187.88050000000001</v>
      </c>
    </row>
    <row r="357" spans="1:10" ht="15.75" x14ac:dyDescent="0.25">
      <c r="A357" s="14">
        <v>51440</v>
      </c>
      <c r="B357" s="17">
        <f>27.1208 * CHOOSE(CONTROL!$C$15, $E$9, 100%, $G$9) + CHOOSE(CONTROL!$C$38, 0.0339, 0)</f>
        <v>27.154699999999998</v>
      </c>
      <c r="C357" s="17">
        <f>24.8112 * CHOOSE(CONTROL!$C$15, $E$9, 100%, $G$9) + CHOOSE(CONTROL!$C$38, 0.034, 0)</f>
        <v>24.845199999999998</v>
      </c>
      <c r="D357" s="17">
        <f>24.8034 * CHOOSE(CONTROL!$C$15, $E$9, 100%, $G$9) + CHOOSE(CONTROL!$C$38, 0.034, 0)</f>
        <v>24.837399999999999</v>
      </c>
      <c r="E357" s="17">
        <f>24.8034 * CHOOSE(CONTROL!$C$15, $E$9, 100%, $G$9) + CHOOSE(CONTROL!$C$38, 0.034, 0)</f>
        <v>24.837399999999999</v>
      </c>
      <c r="F357" s="45">
        <f>27.1208 * CHOOSE(CONTROL!$C$15, $E$9, 100%, $G$9) + CHOOSE(CONTROL!$C$38, 0.0339, 0)</f>
        <v>27.154699999999998</v>
      </c>
      <c r="G357" s="17">
        <f>24.8097 * CHOOSE(CONTROL!$C$15, $E$9, 100%, $G$9) + CHOOSE(CONTROL!$C$38, 0.034, 0)</f>
        <v>24.843699999999998</v>
      </c>
      <c r="H357" s="17">
        <f>24.8097 * CHOOSE(CONTROL!$C$15, $E$9, 100%, $G$9) + CHOOSE(CONTROL!$C$38, 0.034, 0)</f>
        <v>24.843699999999998</v>
      </c>
      <c r="I357" s="17">
        <f>24.8112 * CHOOSE(CONTROL!$C$15, $E$9, 100%, $G$9) + CHOOSE(CONTROL!$C$38, 0.034, 0)</f>
        <v>24.845199999999998</v>
      </c>
      <c r="J357" s="44">
        <f>181.3834</f>
        <v>181.38339999999999</v>
      </c>
    </row>
    <row r="358" spans="1:10" ht="15.75" x14ac:dyDescent="0.25">
      <c r="A358" s="14">
        <v>51470</v>
      </c>
      <c r="B358" s="17">
        <f>27.43 * CHOOSE(CONTROL!$C$15, $E$9, 100%, $G$9) + CHOOSE(CONTROL!$C$38, 0.0339, 0)</f>
        <v>27.463899999999999</v>
      </c>
      <c r="C358" s="17">
        <f>25.1205 * CHOOSE(CONTROL!$C$15, $E$9, 100%, $G$9) + CHOOSE(CONTROL!$C$38, 0.034, 0)</f>
        <v>25.154499999999999</v>
      </c>
      <c r="D358" s="17">
        <f>25.1127 * CHOOSE(CONTROL!$C$15, $E$9, 100%, $G$9) + CHOOSE(CONTROL!$C$38, 0.034, 0)</f>
        <v>25.146699999999999</v>
      </c>
      <c r="E358" s="17">
        <f>25.1127 * CHOOSE(CONTROL!$C$15, $E$9, 100%, $G$9) + CHOOSE(CONTROL!$C$38, 0.034, 0)</f>
        <v>25.146699999999999</v>
      </c>
      <c r="F358" s="45">
        <f>27.43 * CHOOSE(CONTROL!$C$15, $E$9, 100%, $G$9) + CHOOSE(CONTROL!$C$38, 0.0339, 0)</f>
        <v>27.463899999999999</v>
      </c>
      <c r="G358" s="17">
        <f>25.1189 * CHOOSE(CONTROL!$C$15, $E$9, 100%, $G$9) + CHOOSE(CONTROL!$C$38, 0.034, 0)</f>
        <v>25.152899999999999</v>
      </c>
      <c r="H358" s="17">
        <f>25.1189 * CHOOSE(CONTROL!$C$15, $E$9, 100%, $G$9) + CHOOSE(CONTROL!$C$38, 0.034, 0)</f>
        <v>25.152899999999999</v>
      </c>
      <c r="I358" s="17">
        <f>25.1205 * CHOOSE(CONTROL!$C$15, $E$9, 100%, $G$9) + CHOOSE(CONTROL!$C$38, 0.034, 0)</f>
        <v>25.154499999999999</v>
      </c>
      <c r="J358" s="44">
        <f>180.091</f>
        <v>180.09100000000001</v>
      </c>
    </row>
    <row r="359" spans="1:10" ht="15.75" x14ac:dyDescent="0.25">
      <c r="A359" s="14">
        <v>51501</v>
      </c>
      <c r="B359" s="17">
        <f>28.3829 * CHOOSE(CONTROL!$C$15, $E$9, 100%, $G$9) + CHOOSE(CONTROL!$C$38, 0.0339, 0)</f>
        <v>28.416799999999999</v>
      </c>
      <c r="C359" s="17">
        <f>26.0734 * CHOOSE(CONTROL!$C$15, $E$9, 100%, $G$9) + CHOOSE(CONTROL!$C$38, 0.034, 0)</f>
        <v>26.107399999999998</v>
      </c>
      <c r="D359" s="17">
        <f>26.0656 * CHOOSE(CONTROL!$C$15, $E$9, 100%, $G$9) + CHOOSE(CONTROL!$C$38, 0.034, 0)</f>
        <v>26.099599999999999</v>
      </c>
      <c r="E359" s="17">
        <f>26.0656 * CHOOSE(CONTROL!$C$15, $E$9, 100%, $G$9) + CHOOSE(CONTROL!$C$38, 0.034, 0)</f>
        <v>26.099599999999999</v>
      </c>
      <c r="F359" s="45">
        <f>28.3829 * CHOOSE(CONTROL!$C$15, $E$9, 100%, $G$9) + CHOOSE(CONTROL!$C$38, 0.0339, 0)</f>
        <v>28.416799999999999</v>
      </c>
      <c r="G359" s="17">
        <f>26.0718 * CHOOSE(CONTROL!$C$15, $E$9, 100%, $G$9) + CHOOSE(CONTROL!$C$38, 0.034, 0)</f>
        <v>26.105799999999999</v>
      </c>
      <c r="H359" s="17">
        <f>26.0718 * CHOOSE(CONTROL!$C$15, $E$9, 100%, $G$9) + CHOOSE(CONTROL!$C$38, 0.034, 0)</f>
        <v>26.105799999999999</v>
      </c>
      <c r="I359" s="17">
        <f>26.0734 * CHOOSE(CONTROL!$C$15, $E$9, 100%, $G$9) + CHOOSE(CONTROL!$C$38, 0.034, 0)</f>
        <v>26.107399999999998</v>
      </c>
      <c r="J359" s="44">
        <f>174.7468</f>
        <v>174.74680000000001</v>
      </c>
    </row>
    <row r="360" spans="1:10" ht="15.75" x14ac:dyDescent="0.25">
      <c r="A360" s="14">
        <v>51532</v>
      </c>
      <c r="B360" s="17">
        <f>29.1702 * CHOOSE(CONTROL!$C$15, $E$9, 100%, $G$9) + CHOOSE(CONTROL!$C$38, 0.0339, 0)</f>
        <v>29.2041</v>
      </c>
      <c r="C360" s="17">
        <f>26.8578 * CHOOSE(CONTROL!$C$15, $E$9, 100%, $G$9) + CHOOSE(CONTROL!$C$38, 0.034, 0)</f>
        <v>26.8918</v>
      </c>
      <c r="D360" s="17">
        <f>26.85 * CHOOSE(CONTROL!$C$15, $E$9, 100%, $G$9) + CHOOSE(CONTROL!$C$38, 0.034, 0)</f>
        <v>26.884</v>
      </c>
      <c r="E360" s="17">
        <f>26.85 * CHOOSE(CONTROL!$C$15, $E$9, 100%, $G$9) + CHOOSE(CONTROL!$C$38, 0.034, 0)</f>
        <v>26.884</v>
      </c>
      <c r="F360" s="45">
        <f>29.1702 * CHOOSE(CONTROL!$C$15, $E$9, 100%, $G$9) + CHOOSE(CONTROL!$C$38, 0.0339, 0)</f>
        <v>29.2041</v>
      </c>
      <c r="G360" s="17">
        <f>26.8562 * CHOOSE(CONTROL!$C$15, $E$9, 100%, $G$9) + CHOOSE(CONTROL!$C$38, 0.034, 0)</f>
        <v>26.8902</v>
      </c>
      <c r="H360" s="17">
        <f>26.8562 * CHOOSE(CONTROL!$C$15, $E$9, 100%, $G$9) + CHOOSE(CONTROL!$C$38, 0.034, 0)</f>
        <v>26.8902</v>
      </c>
      <c r="I360" s="17">
        <f>26.8578 * CHOOSE(CONTROL!$C$15, $E$9, 100%, $G$9) + CHOOSE(CONTROL!$C$38, 0.034, 0)</f>
        <v>26.8918</v>
      </c>
      <c r="J360" s="44">
        <f>172.1626</f>
        <v>172.1626</v>
      </c>
    </row>
    <row r="361" spans="1:10" ht="15.75" x14ac:dyDescent="0.25">
      <c r="A361" s="14">
        <v>51560</v>
      </c>
      <c r="B361" s="17">
        <f>29.5231 * CHOOSE(CONTROL!$C$15, $E$9, 100%, $G$9) + CHOOSE(CONTROL!$C$38, 0.0339, 0)</f>
        <v>29.556999999999999</v>
      </c>
      <c r="C361" s="17">
        <f>27.2107 * CHOOSE(CONTROL!$C$15, $E$9, 100%, $G$9) + CHOOSE(CONTROL!$C$38, 0.034, 0)</f>
        <v>27.244699999999998</v>
      </c>
      <c r="D361" s="17">
        <f>27.2029 * CHOOSE(CONTROL!$C$15, $E$9, 100%, $G$9) + CHOOSE(CONTROL!$C$38, 0.034, 0)</f>
        <v>27.236899999999999</v>
      </c>
      <c r="E361" s="17">
        <f>27.2029 * CHOOSE(CONTROL!$C$15, $E$9, 100%, $G$9) + CHOOSE(CONTROL!$C$38, 0.034, 0)</f>
        <v>27.236899999999999</v>
      </c>
      <c r="F361" s="45">
        <f>29.5231 * CHOOSE(CONTROL!$C$15, $E$9, 100%, $G$9) + CHOOSE(CONTROL!$C$38, 0.0339, 0)</f>
        <v>29.556999999999999</v>
      </c>
      <c r="G361" s="17">
        <f>27.2092 * CHOOSE(CONTROL!$C$15, $E$9, 100%, $G$9) + CHOOSE(CONTROL!$C$38, 0.034, 0)</f>
        <v>27.243199999999998</v>
      </c>
      <c r="H361" s="17">
        <f>27.2092 * CHOOSE(CONTROL!$C$15, $E$9, 100%, $G$9) + CHOOSE(CONTROL!$C$38, 0.034, 0)</f>
        <v>27.243199999999998</v>
      </c>
      <c r="I361" s="17">
        <f>27.2107 * CHOOSE(CONTROL!$C$15, $E$9, 100%, $G$9) + CHOOSE(CONTROL!$C$38, 0.034, 0)</f>
        <v>27.244699999999998</v>
      </c>
      <c r="J361" s="44">
        <f>171.6841</f>
        <v>171.6841</v>
      </c>
    </row>
    <row r="362" spans="1:10" ht="15.75" x14ac:dyDescent="0.25">
      <c r="A362" s="14">
        <v>51591</v>
      </c>
      <c r="B362" s="17">
        <f>28.7062 * CHOOSE(CONTROL!$C$15, $E$9, 100%, $G$9) + CHOOSE(CONTROL!$C$38, 0.0339, 0)</f>
        <v>28.740099999999998</v>
      </c>
      <c r="C362" s="17">
        <f>26.3938 * CHOOSE(CONTROL!$C$15, $E$9, 100%, $G$9) + CHOOSE(CONTROL!$C$38, 0.034, 0)</f>
        <v>26.427799999999998</v>
      </c>
      <c r="D362" s="17">
        <f>26.386 * CHOOSE(CONTROL!$C$15, $E$9, 100%, $G$9) + CHOOSE(CONTROL!$C$38, 0.034, 0)</f>
        <v>26.419999999999998</v>
      </c>
      <c r="E362" s="17">
        <f>26.386 * CHOOSE(CONTROL!$C$15, $E$9, 100%, $G$9) + CHOOSE(CONTROL!$C$38, 0.034, 0)</f>
        <v>26.419999999999998</v>
      </c>
      <c r="F362" s="45">
        <f>28.7062 * CHOOSE(CONTROL!$C$15, $E$9, 100%, $G$9) + CHOOSE(CONTROL!$C$38, 0.0339, 0)</f>
        <v>28.740099999999998</v>
      </c>
      <c r="G362" s="17">
        <f>26.3922 * CHOOSE(CONTROL!$C$15, $E$9, 100%, $G$9) + CHOOSE(CONTROL!$C$38, 0.034, 0)</f>
        <v>26.426199999999998</v>
      </c>
      <c r="H362" s="17">
        <f>26.3922 * CHOOSE(CONTROL!$C$15, $E$9, 100%, $G$9) + CHOOSE(CONTROL!$C$38, 0.034, 0)</f>
        <v>26.426199999999998</v>
      </c>
      <c r="I362" s="17">
        <f>26.3938 * CHOOSE(CONTROL!$C$15, $E$9, 100%, $G$9) + CHOOSE(CONTROL!$C$38, 0.034, 0)</f>
        <v>26.427799999999998</v>
      </c>
      <c r="J362" s="44">
        <f>180.7328</f>
        <v>180.7328</v>
      </c>
    </row>
    <row r="363" spans="1:10" ht="15.75" x14ac:dyDescent="0.25">
      <c r="A363" s="14">
        <v>51621</v>
      </c>
      <c r="B363" s="17">
        <f>27.9146 * CHOOSE(CONTROL!$C$15, $E$9, 100%, $G$9) + CHOOSE(CONTROL!$C$38, 0.0339, 0)</f>
        <v>27.948499999999999</v>
      </c>
      <c r="C363" s="17">
        <f>25.6021 * CHOOSE(CONTROL!$C$15, $E$9, 100%, $G$9) + CHOOSE(CONTROL!$C$38, 0.034, 0)</f>
        <v>25.636099999999999</v>
      </c>
      <c r="D363" s="17">
        <f>25.5943 * CHOOSE(CONTROL!$C$15, $E$9, 100%, $G$9) + CHOOSE(CONTROL!$C$38, 0.034, 0)</f>
        <v>25.628299999999999</v>
      </c>
      <c r="E363" s="17">
        <f>25.5943 * CHOOSE(CONTROL!$C$15, $E$9, 100%, $G$9) + CHOOSE(CONTROL!$C$38, 0.034, 0)</f>
        <v>25.628299999999999</v>
      </c>
      <c r="F363" s="45">
        <f>27.9146 * CHOOSE(CONTROL!$C$15, $E$9, 100%, $G$9) + CHOOSE(CONTROL!$C$38, 0.0339, 0)</f>
        <v>27.948499999999999</v>
      </c>
      <c r="G363" s="17">
        <f>25.6006 * CHOOSE(CONTROL!$C$15, $E$9, 100%, $G$9) + CHOOSE(CONTROL!$C$38, 0.034, 0)</f>
        <v>25.634599999999999</v>
      </c>
      <c r="H363" s="17">
        <f>25.6006 * CHOOSE(CONTROL!$C$15, $E$9, 100%, $G$9) + CHOOSE(CONTROL!$C$38, 0.034, 0)</f>
        <v>25.634599999999999</v>
      </c>
      <c r="I363" s="17">
        <f>25.6021 * CHOOSE(CONTROL!$C$15, $E$9, 100%, $G$9) + CHOOSE(CONTROL!$C$38, 0.034, 0)</f>
        <v>25.636099999999999</v>
      </c>
      <c r="J363" s="44">
        <f>192.4669</f>
        <v>192.46690000000001</v>
      </c>
    </row>
    <row r="364" spans="1:10" ht="15.75" x14ac:dyDescent="0.25">
      <c r="A364" s="14">
        <v>51652</v>
      </c>
      <c r="B364" s="17">
        <f>27.0895 * CHOOSE(CONTROL!$C$15, $E$9, 100%, $G$9) + CHOOSE(CONTROL!$C$38, 0.0355, 0)</f>
        <v>27.125</v>
      </c>
      <c r="C364" s="17">
        <f>24.7771 * CHOOSE(CONTROL!$C$15, $E$9, 100%, $G$9) + CHOOSE(CONTROL!$C$38, 0.0356, 0)</f>
        <v>24.8127</v>
      </c>
      <c r="D364" s="17">
        <f>24.7693 * CHOOSE(CONTROL!$C$15, $E$9, 100%, $G$9) + CHOOSE(CONTROL!$C$38, 0.0356, 0)</f>
        <v>24.8049</v>
      </c>
      <c r="E364" s="17">
        <f>24.7693 * CHOOSE(CONTROL!$C$15, $E$9, 100%, $G$9) + CHOOSE(CONTROL!$C$38, 0.0356, 0)</f>
        <v>24.8049</v>
      </c>
      <c r="F364" s="45">
        <f>27.0895 * CHOOSE(CONTROL!$C$15, $E$9, 100%, $G$9) + CHOOSE(CONTROL!$C$38, 0.0355, 0)</f>
        <v>27.125</v>
      </c>
      <c r="G364" s="17">
        <f>24.7755 * CHOOSE(CONTROL!$C$15, $E$9, 100%, $G$9) + CHOOSE(CONTROL!$C$38, 0.0356, 0)</f>
        <v>24.8111</v>
      </c>
      <c r="H364" s="17">
        <f>24.7755 * CHOOSE(CONTROL!$C$15, $E$9, 100%, $G$9) + CHOOSE(CONTROL!$C$38, 0.0356, 0)</f>
        <v>24.8111</v>
      </c>
      <c r="I364" s="17">
        <f>24.7771 * CHOOSE(CONTROL!$C$15, $E$9, 100%, $G$9) + CHOOSE(CONTROL!$C$38, 0.0356, 0)</f>
        <v>24.8127</v>
      </c>
      <c r="J364" s="44">
        <f>198.9257</f>
        <v>198.92570000000001</v>
      </c>
    </row>
    <row r="365" spans="1:10" ht="15.75" x14ac:dyDescent="0.25">
      <c r="A365" s="14">
        <v>51682</v>
      </c>
      <c r="B365" s="17">
        <f>26.511 * CHOOSE(CONTROL!$C$15, $E$9, 100%, $G$9) + CHOOSE(CONTROL!$C$38, 0.0355, 0)</f>
        <v>26.546499999999998</v>
      </c>
      <c r="C365" s="17">
        <f>24.1986 * CHOOSE(CONTROL!$C$15, $E$9, 100%, $G$9) + CHOOSE(CONTROL!$C$38, 0.0356, 0)</f>
        <v>24.234199999999998</v>
      </c>
      <c r="D365" s="17">
        <f>24.1908 * CHOOSE(CONTROL!$C$15, $E$9, 100%, $G$9) + CHOOSE(CONTROL!$C$38, 0.0356, 0)</f>
        <v>24.226399999999998</v>
      </c>
      <c r="E365" s="17">
        <f>24.1908 * CHOOSE(CONTROL!$C$15, $E$9, 100%, $G$9) + CHOOSE(CONTROL!$C$38, 0.0356, 0)</f>
        <v>24.226399999999998</v>
      </c>
      <c r="F365" s="45">
        <f>26.511 * CHOOSE(CONTROL!$C$15, $E$9, 100%, $G$9) + CHOOSE(CONTROL!$C$38, 0.0355, 0)</f>
        <v>26.546499999999998</v>
      </c>
      <c r="G365" s="17">
        <f>24.1971 * CHOOSE(CONTROL!$C$15, $E$9, 100%, $G$9) + CHOOSE(CONTROL!$C$38, 0.0356, 0)</f>
        <v>24.232699999999998</v>
      </c>
      <c r="H365" s="17">
        <f>24.1971 * CHOOSE(CONTROL!$C$15, $E$9, 100%, $G$9) + CHOOSE(CONTROL!$C$38, 0.0356, 0)</f>
        <v>24.232699999999998</v>
      </c>
      <c r="I365" s="17">
        <f>24.1986 * CHOOSE(CONTROL!$C$15, $E$9, 100%, $G$9) + CHOOSE(CONTROL!$C$38, 0.0356, 0)</f>
        <v>24.234199999999998</v>
      </c>
      <c r="J365" s="44">
        <f>201.792</f>
        <v>201.792</v>
      </c>
    </row>
    <row r="366" spans="1:10" ht="15.75" x14ac:dyDescent="0.25">
      <c r="A366" s="14">
        <v>51713</v>
      </c>
      <c r="B366" s="17">
        <f>26.1809 * CHOOSE(CONTROL!$C$15, $E$9, 100%, $G$9) + CHOOSE(CONTROL!$C$38, 0.0355, 0)</f>
        <v>26.2164</v>
      </c>
      <c r="C366" s="17">
        <f>23.8685 * CHOOSE(CONTROL!$C$15, $E$9, 100%, $G$9) + CHOOSE(CONTROL!$C$38, 0.0356, 0)</f>
        <v>23.9041</v>
      </c>
      <c r="D366" s="17">
        <f>23.8607 * CHOOSE(CONTROL!$C$15, $E$9, 100%, $G$9) + CHOOSE(CONTROL!$C$38, 0.0356, 0)</f>
        <v>23.8963</v>
      </c>
      <c r="E366" s="17">
        <f>23.8607 * CHOOSE(CONTROL!$C$15, $E$9, 100%, $G$9) + CHOOSE(CONTROL!$C$38, 0.0356, 0)</f>
        <v>23.8963</v>
      </c>
      <c r="F366" s="45">
        <f>26.1809 * CHOOSE(CONTROL!$C$15, $E$9, 100%, $G$9) + CHOOSE(CONTROL!$C$38, 0.0355, 0)</f>
        <v>26.2164</v>
      </c>
      <c r="G366" s="17">
        <f>23.867 * CHOOSE(CONTROL!$C$15, $E$9, 100%, $G$9) + CHOOSE(CONTROL!$C$38, 0.0356, 0)</f>
        <v>23.9026</v>
      </c>
      <c r="H366" s="17">
        <f>23.867 * CHOOSE(CONTROL!$C$15, $E$9, 100%, $G$9) + CHOOSE(CONTROL!$C$38, 0.0356, 0)</f>
        <v>23.9026</v>
      </c>
      <c r="I366" s="17">
        <f>23.8685 * CHOOSE(CONTROL!$C$15, $E$9, 100%, $G$9) + CHOOSE(CONTROL!$C$38, 0.0356, 0)</f>
        <v>23.9041</v>
      </c>
      <c r="J366" s="44">
        <f>200.8483</f>
        <v>200.84829999999999</v>
      </c>
    </row>
    <row r="367" spans="1:10" ht="15.75" x14ac:dyDescent="0.25">
      <c r="A367" s="14">
        <v>51744</v>
      </c>
      <c r="B367" s="17">
        <f>26.3438 * CHOOSE(CONTROL!$C$15, $E$9, 100%, $G$9) + CHOOSE(CONTROL!$C$38, 0.0355, 0)</f>
        <v>26.379300000000001</v>
      </c>
      <c r="C367" s="17">
        <f>24.0314 * CHOOSE(CONTROL!$C$15, $E$9, 100%, $G$9) + CHOOSE(CONTROL!$C$38, 0.0356, 0)</f>
        <v>24.067</v>
      </c>
      <c r="D367" s="17">
        <f>24.0236 * CHOOSE(CONTROL!$C$15, $E$9, 100%, $G$9) + CHOOSE(CONTROL!$C$38, 0.0356, 0)</f>
        <v>24.059199999999997</v>
      </c>
      <c r="E367" s="17">
        <f>24.0236 * CHOOSE(CONTROL!$C$15, $E$9, 100%, $G$9) + CHOOSE(CONTROL!$C$38, 0.0356, 0)</f>
        <v>24.059199999999997</v>
      </c>
      <c r="F367" s="45">
        <f>26.3438 * CHOOSE(CONTROL!$C$15, $E$9, 100%, $G$9) + CHOOSE(CONTROL!$C$38, 0.0355, 0)</f>
        <v>26.379300000000001</v>
      </c>
      <c r="G367" s="17">
        <f>24.0299 * CHOOSE(CONTROL!$C$15, $E$9, 100%, $G$9) + CHOOSE(CONTROL!$C$38, 0.0356, 0)</f>
        <v>24.0655</v>
      </c>
      <c r="H367" s="17">
        <f>24.0299 * CHOOSE(CONTROL!$C$15, $E$9, 100%, $G$9) + CHOOSE(CONTROL!$C$38, 0.0356, 0)</f>
        <v>24.0655</v>
      </c>
      <c r="I367" s="17">
        <f>24.0314 * CHOOSE(CONTROL!$C$15, $E$9, 100%, $G$9) + CHOOSE(CONTROL!$C$38, 0.0356, 0)</f>
        <v>24.067</v>
      </c>
      <c r="J367" s="44">
        <f>196.1726</f>
        <v>196.17259999999999</v>
      </c>
    </row>
    <row r="368" spans="1:10" ht="15.75" x14ac:dyDescent="0.25">
      <c r="A368" s="14">
        <v>51774</v>
      </c>
      <c r="B368" s="17">
        <f>26.7863 * CHOOSE(CONTROL!$C$15, $E$9, 100%, $G$9) + CHOOSE(CONTROL!$C$38, 0.0355, 0)</f>
        <v>26.8218</v>
      </c>
      <c r="C368" s="17">
        <f>24.4739 * CHOOSE(CONTROL!$C$15, $E$9, 100%, $G$9) + CHOOSE(CONTROL!$C$38, 0.0356, 0)</f>
        <v>24.509499999999999</v>
      </c>
      <c r="D368" s="17">
        <f>24.4661 * CHOOSE(CONTROL!$C$15, $E$9, 100%, $G$9) + CHOOSE(CONTROL!$C$38, 0.0356, 0)</f>
        <v>24.5017</v>
      </c>
      <c r="E368" s="17">
        <f>24.4661 * CHOOSE(CONTROL!$C$15, $E$9, 100%, $G$9) + CHOOSE(CONTROL!$C$38, 0.0356, 0)</f>
        <v>24.5017</v>
      </c>
      <c r="F368" s="45">
        <f>26.7863 * CHOOSE(CONTROL!$C$15, $E$9, 100%, $G$9) + CHOOSE(CONTROL!$C$38, 0.0355, 0)</f>
        <v>26.8218</v>
      </c>
      <c r="G368" s="17">
        <f>24.4724 * CHOOSE(CONTROL!$C$15, $E$9, 100%, $G$9) + CHOOSE(CONTROL!$C$38, 0.0356, 0)</f>
        <v>24.507999999999999</v>
      </c>
      <c r="H368" s="17">
        <f>24.4724 * CHOOSE(CONTROL!$C$15, $E$9, 100%, $G$9) + CHOOSE(CONTROL!$C$38, 0.0356, 0)</f>
        <v>24.507999999999999</v>
      </c>
      <c r="I368" s="17">
        <f>24.4739 * CHOOSE(CONTROL!$C$15, $E$9, 100%, $G$9) + CHOOSE(CONTROL!$C$38, 0.0356, 0)</f>
        <v>24.509499999999999</v>
      </c>
      <c r="J368" s="44">
        <f>189.6522</f>
        <v>189.65219999999999</v>
      </c>
    </row>
    <row r="369" spans="1:10" ht="15.75" x14ac:dyDescent="0.25">
      <c r="A369" s="14">
        <v>51805</v>
      </c>
      <c r="B369" s="17">
        <f>27.1569 * CHOOSE(CONTROL!$C$15, $E$9, 100%, $G$9) + CHOOSE(CONTROL!$C$38, 0.0339, 0)</f>
        <v>27.190799999999999</v>
      </c>
      <c r="C369" s="17">
        <f>24.8445 * CHOOSE(CONTROL!$C$15, $E$9, 100%, $G$9) + CHOOSE(CONTROL!$C$38, 0.034, 0)</f>
        <v>24.878499999999999</v>
      </c>
      <c r="D369" s="17">
        <f>24.8367 * CHOOSE(CONTROL!$C$15, $E$9, 100%, $G$9) + CHOOSE(CONTROL!$C$38, 0.034, 0)</f>
        <v>24.870699999999999</v>
      </c>
      <c r="E369" s="17">
        <f>24.8367 * CHOOSE(CONTROL!$C$15, $E$9, 100%, $G$9) + CHOOSE(CONTROL!$C$38, 0.034, 0)</f>
        <v>24.870699999999999</v>
      </c>
      <c r="F369" s="45">
        <f>27.1569 * CHOOSE(CONTROL!$C$15, $E$9, 100%, $G$9) + CHOOSE(CONTROL!$C$38, 0.0339, 0)</f>
        <v>27.190799999999999</v>
      </c>
      <c r="G369" s="17">
        <f>24.843 * CHOOSE(CONTROL!$C$15, $E$9, 100%, $G$9) + CHOOSE(CONTROL!$C$38, 0.034, 0)</f>
        <v>24.876999999999999</v>
      </c>
      <c r="H369" s="17">
        <f>24.843 * CHOOSE(CONTROL!$C$15, $E$9, 100%, $G$9) + CHOOSE(CONTROL!$C$38, 0.034, 0)</f>
        <v>24.876999999999999</v>
      </c>
      <c r="I369" s="17">
        <f>24.8445 * CHOOSE(CONTROL!$C$15, $E$9, 100%, $G$9) + CHOOSE(CONTROL!$C$38, 0.034, 0)</f>
        <v>24.878499999999999</v>
      </c>
      <c r="J369" s="44">
        <f>183.0938</f>
        <v>183.09379999999999</v>
      </c>
    </row>
    <row r="370" spans="1:10" ht="15.75" x14ac:dyDescent="0.25">
      <c r="A370" s="14">
        <v>51835</v>
      </c>
      <c r="B370" s="17">
        <f>27.4662 * CHOOSE(CONTROL!$C$15, $E$9, 100%, $G$9) + CHOOSE(CONTROL!$C$38, 0.0339, 0)</f>
        <v>27.5001</v>
      </c>
      <c r="C370" s="17">
        <f>25.1538 * CHOOSE(CONTROL!$C$15, $E$9, 100%, $G$9) + CHOOSE(CONTROL!$C$38, 0.034, 0)</f>
        <v>25.187799999999999</v>
      </c>
      <c r="D370" s="17">
        <f>25.146 * CHOOSE(CONTROL!$C$15, $E$9, 100%, $G$9) + CHOOSE(CONTROL!$C$38, 0.034, 0)</f>
        <v>25.18</v>
      </c>
      <c r="E370" s="17">
        <f>25.146 * CHOOSE(CONTROL!$C$15, $E$9, 100%, $G$9) + CHOOSE(CONTROL!$C$38, 0.034, 0)</f>
        <v>25.18</v>
      </c>
      <c r="F370" s="45">
        <f>27.4662 * CHOOSE(CONTROL!$C$15, $E$9, 100%, $G$9) + CHOOSE(CONTROL!$C$38, 0.0339, 0)</f>
        <v>27.5001</v>
      </c>
      <c r="G370" s="17">
        <f>25.1522 * CHOOSE(CONTROL!$C$15, $E$9, 100%, $G$9) + CHOOSE(CONTROL!$C$38, 0.034, 0)</f>
        <v>25.186199999999999</v>
      </c>
      <c r="H370" s="17">
        <f>25.1522 * CHOOSE(CONTROL!$C$15, $E$9, 100%, $G$9) + CHOOSE(CONTROL!$C$38, 0.034, 0)</f>
        <v>25.186199999999999</v>
      </c>
      <c r="I370" s="17">
        <f>25.1538 * CHOOSE(CONTROL!$C$15, $E$9, 100%, $G$9) + CHOOSE(CONTROL!$C$38, 0.034, 0)</f>
        <v>25.187799999999999</v>
      </c>
      <c r="J370" s="44">
        <f>181.7892</f>
        <v>181.78919999999999</v>
      </c>
    </row>
    <row r="371" spans="1:10" ht="15.75" x14ac:dyDescent="0.25">
      <c r="A371" s="14">
        <v>51866</v>
      </c>
      <c r="B371" s="17">
        <f>28.4191 * CHOOSE(CONTROL!$C$15, $E$9, 100%, $G$9) + CHOOSE(CONTROL!$C$38, 0.0339, 0)</f>
        <v>28.452999999999999</v>
      </c>
      <c r="C371" s="17">
        <f>26.1067 * CHOOSE(CONTROL!$C$15, $E$9, 100%, $G$9) + CHOOSE(CONTROL!$C$38, 0.034, 0)</f>
        <v>26.140699999999999</v>
      </c>
      <c r="D371" s="17">
        <f>26.0989 * CHOOSE(CONTROL!$C$15, $E$9, 100%, $G$9) + CHOOSE(CONTROL!$C$38, 0.034, 0)</f>
        <v>26.132899999999999</v>
      </c>
      <c r="E371" s="17">
        <f>26.0989 * CHOOSE(CONTROL!$C$15, $E$9, 100%, $G$9) + CHOOSE(CONTROL!$C$38, 0.034, 0)</f>
        <v>26.132899999999999</v>
      </c>
      <c r="F371" s="45">
        <f>28.4191 * CHOOSE(CONTROL!$C$15, $E$9, 100%, $G$9) + CHOOSE(CONTROL!$C$38, 0.0339, 0)</f>
        <v>28.452999999999999</v>
      </c>
      <c r="G371" s="17">
        <f>26.1051 * CHOOSE(CONTROL!$C$15, $E$9, 100%, $G$9) + CHOOSE(CONTROL!$C$38, 0.034, 0)</f>
        <v>26.139099999999999</v>
      </c>
      <c r="H371" s="17">
        <f>26.1051 * CHOOSE(CONTROL!$C$15, $E$9, 100%, $G$9) + CHOOSE(CONTROL!$C$38, 0.034, 0)</f>
        <v>26.139099999999999</v>
      </c>
      <c r="I371" s="17">
        <f>26.1067 * CHOOSE(CONTROL!$C$15, $E$9, 100%, $G$9) + CHOOSE(CONTROL!$C$38, 0.034, 0)</f>
        <v>26.140699999999999</v>
      </c>
      <c r="J371" s="44">
        <f>176.3946</f>
        <v>176.3946</v>
      </c>
    </row>
    <row r="372" spans="1:10" ht="15.75" x14ac:dyDescent="0.25">
      <c r="A372" s="14">
        <v>51897</v>
      </c>
      <c r="B372" s="17">
        <f>29.2065 * CHOOSE(CONTROL!$C$15, $E$9, 100%, $G$9) + CHOOSE(CONTROL!$C$38, 0.0339, 0)</f>
        <v>29.240399999999998</v>
      </c>
      <c r="C372" s="17">
        <f>26.8912 * CHOOSE(CONTROL!$C$15, $E$9, 100%, $G$9) + CHOOSE(CONTROL!$C$38, 0.034, 0)</f>
        <v>26.9252</v>
      </c>
      <c r="D372" s="17">
        <f>26.8833 * CHOOSE(CONTROL!$C$15, $E$9, 100%, $G$9) + CHOOSE(CONTROL!$C$38, 0.034, 0)</f>
        <v>26.917299999999997</v>
      </c>
      <c r="E372" s="17">
        <f>26.8833 * CHOOSE(CONTROL!$C$15, $E$9, 100%, $G$9) + CHOOSE(CONTROL!$C$38, 0.034, 0)</f>
        <v>26.917299999999997</v>
      </c>
      <c r="F372" s="45">
        <f>29.2065 * CHOOSE(CONTROL!$C$15, $E$9, 100%, $G$9) + CHOOSE(CONTROL!$C$38, 0.0339, 0)</f>
        <v>29.240399999999998</v>
      </c>
      <c r="G372" s="17">
        <f>26.8896 * CHOOSE(CONTROL!$C$15, $E$9, 100%, $G$9) + CHOOSE(CONTROL!$C$38, 0.034, 0)</f>
        <v>26.9236</v>
      </c>
      <c r="H372" s="17">
        <f>26.8896 * CHOOSE(CONTROL!$C$15, $E$9, 100%, $G$9) + CHOOSE(CONTROL!$C$38, 0.034, 0)</f>
        <v>26.9236</v>
      </c>
      <c r="I372" s="17">
        <f>26.8912 * CHOOSE(CONTROL!$C$15, $E$9, 100%, $G$9) + CHOOSE(CONTROL!$C$38, 0.034, 0)</f>
        <v>26.9252</v>
      </c>
      <c r="J372" s="44">
        <f>173.7861</f>
        <v>173.7861</v>
      </c>
    </row>
    <row r="373" spans="1:10" ht="15.75" x14ac:dyDescent="0.25">
      <c r="A373" s="14">
        <v>51925</v>
      </c>
      <c r="B373" s="17">
        <f>29.5594 * CHOOSE(CONTROL!$C$15, $E$9, 100%, $G$9) + CHOOSE(CONTROL!$C$38, 0.0339, 0)</f>
        <v>29.593299999999999</v>
      </c>
      <c r="C373" s="17">
        <f>27.2441 * CHOOSE(CONTROL!$C$15, $E$9, 100%, $G$9) + CHOOSE(CONTROL!$C$38, 0.034, 0)</f>
        <v>27.278099999999998</v>
      </c>
      <c r="D373" s="17">
        <f>27.2363 * CHOOSE(CONTROL!$C$15, $E$9, 100%, $G$9) + CHOOSE(CONTROL!$C$38, 0.034, 0)</f>
        <v>27.270299999999999</v>
      </c>
      <c r="E373" s="17">
        <f>27.2363 * CHOOSE(CONTROL!$C$15, $E$9, 100%, $G$9) + CHOOSE(CONTROL!$C$38, 0.034, 0)</f>
        <v>27.270299999999999</v>
      </c>
      <c r="F373" s="45">
        <f>29.5594 * CHOOSE(CONTROL!$C$15, $E$9, 100%, $G$9) + CHOOSE(CONTROL!$C$38, 0.0339, 0)</f>
        <v>29.593299999999999</v>
      </c>
      <c r="G373" s="17">
        <f>27.2425 * CHOOSE(CONTROL!$C$15, $E$9, 100%, $G$9) + CHOOSE(CONTROL!$C$38, 0.034, 0)</f>
        <v>27.276499999999999</v>
      </c>
      <c r="H373" s="17">
        <f>27.2425 * CHOOSE(CONTROL!$C$15, $E$9, 100%, $G$9) + CHOOSE(CONTROL!$C$38, 0.034, 0)</f>
        <v>27.276499999999999</v>
      </c>
      <c r="I373" s="17">
        <f>27.2441 * CHOOSE(CONTROL!$C$15, $E$9, 100%, $G$9) + CHOOSE(CONTROL!$C$38, 0.034, 0)</f>
        <v>27.278099999999998</v>
      </c>
      <c r="J373" s="44">
        <f>173.3031</f>
        <v>173.3031</v>
      </c>
    </row>
    <row r="374" spans="1:10" ht="15.75" x14ac:dyDescent="0.25">
      <c r="A374" s="14">
        <v>51956</v>
      </c>
      <c r="B374" s="17">
        <f>28.7424 * CHOOSE(CONTROL!$C$15, $E$9, 100%, $G$9) + CHOOSE(CONTROL!$C$38, 0.0339, 0)</f>
        <v>28.776299999999999</v>
      </c>
      <c r="C374" s="17">
        <f>26.4271 * CHOOSE(CONTROL!$C$15, $E$9, 100%, $G$9) + CHOOSE(CONTROL!$C$38, 0.034, 0)</f>
        <v>26.461099999999998</v>
      </c>
      <c r="D374" s="17">
        <f>26.4193 * CHOOSE(CONTROL!$C$15, $E$9, 100%, $G$9) + CHOOSE(CONTROL!$C$38, 0.034, 0)</f>
        <v>26.453299999999999</v>
      </c>
      <c r="E374" s="17">
        <f>26.4193 * CHOOSE(CONTROL!$C$15, $E$9, 100%, $G$9) + CHOOSE(CONTROL!$C$38, 0.034, 0)</f>
        <v>26.453299999999999</v>
      </c>
      <c r="F374" s="45">
        <f>28.7424 * CHOOSE(CONTROL!$C$15, $E$9, 100%, $G$9) + CHOOSE(CONTROL!$C$38, 0.0339, 0)</f>
        <v>28.776299999999999</v>
      </c>
      <c r="G374" s="17">
        <f>26.4255 * CHOOSE(CONTROL!$C$15, $E$9, 100%, $G$9) + CHOOSE(CONTROL!$C$38, 0.034, 0)</f>
        <v>26.459499999999998</v>
      </c>
      <c r="H374" s="17">
        <f>26.4255 * CHOOSE(CONTROL!$C$15, $E$9, 100%, $G$9) + CHOOSE(CONTROL!$C$38, 0.034, 0)</f>
        <v>26.459499999999998</v>
      </c>
      <c r="I374" s="17">
        <f>26.4271 * CHOOSE(CONTROL!$C$15, $E$9, 100%, $G$9) + CHOOSE(CONTROL!$C$38, 0.034, 0)</f>
        <v>26.461099999999998</v>
      </c>
      <c r="J374" s="44">
        <f>182.4371</f>
        <v>182.43709999999999</v>
      </c>
    </row>
    <row r="375" spans="1:10" ht="15.75" x14ac:dyDescent="0.25">
      <c r="A375" s="14">
        <v>51986</v>
      </c>
      <c r="B375" s="17">
        <f>27.9508 * CHOOSE(CONTROL!$C$15, $E$9, 100%, $G$9) + CHOOSE(CONTROL!$C$38, 0.0339, 0)</f>
        <v>27.9847</v>
      </c>
      <c r="C375" s="17">
        <f>25.6355 * CHOOSE(CONTROL!$C$15, $E$9, 100%, $G$9) + CHOOSE(CONTROL!$C$38, 0.034, 0)</f>
        <v>25.669499999999999</v>
      </c>
      <c r="D375" s="17">
        <f>25.6277 * CHOOSE(CONTROL!$C$15, $E$9, 100%, $G$9) + CHOOSE(CONTROL!$C$38, 0.034, 0)</f>
        <v>25.6617</v>
      </c>
      <c r="E375" s="17">
        <f>25.6277 * CHOOSE(CONTROL!$C$15, $E$9, 100%, $G$9) + CHOOSE(CONTROL!$C$38, 0.034, 0)</f>
        <v>25.6617</v>
      </c>
      <c r="F375" s="45">
        <f>27.9508 * CHOOSE(CONTROL!$C$15, $E$9, 100%, $G$9) + CHOOSE(CONTROL!$C$38, 0.0339, 0)</f>
        <v>27.9847</v>
      </c>
      <c r="G375" s="17">
        <f>25.6339 * CHOOSE(CONTROL!$C$15, $E$9, 100%, $G$9) + CHOOSE(CONTROL!$C$38, 0.034, 0)</f>
        <v>25.667899999999999</v>
      </c>
      <c r="H375" s="17">
        <f>25.6339 * CHOOSE(CONTROL!$C$15, $E$9, 100%, $G$9) + CHOOSE(CONTROL!$C$38, 0.034, 0)</f>
        <v>25.667899999999999</v>
      </c>
      <c r="I375" s="17">
        <f>25.6355 * CHOOSE(CONTROL!$C$15, $E$9, 100%, $G$9) + CHOOSE(CONTROL!$C$38, 0.034, 0)</f>
        <v>25.669499999999999</v>
      </c>
      <c r="J375" s="44">
        <f>194.2819</f>
        <v>194.28190000000001</v>
      </c>
    </row>
    <row r="376" spans="1:10" ht="15.75" x14ac:dyDescent="0.25">
      <c r="A376" s="14">
        <v>52017</v>
      </c>
      <c r="B376" s="17">
        <f>27.1257 * CHOOSE(CONTROL!$C$15, $E$9, 100%, $G$9) + CHOOSE(CONTROL!$C$38, 0.0355, 0)</f>
        <v>27.161199999999997</v>
      </c>
      <c r="C376" s="17">
        <f>24.8104 * CHOOSE(CONTROL!$C$15, $E$9, 100%, $G$9) + CHOOSE(CONTROL!$C$38, 0.0356, 0)</f>
        <v>24.846</v>
      </c>
      <c r="D376" s="17">
        <f>24.8026 * CHOOSE(CONTROL!$C$15, $E$9, 100%, $G$9) + CHOOSE(CONTROL!$C$38, 0.0356, 0)</f>
        <v>24.838200000000001</v>
      </c>
      <c r="E376" s="17">
        <f>24.8026 * CHOOSE(CONTROL!$C$15, $E$9, 100%, $G$9) + CHOOSE(CONTROL!$C$38, 0.0356, 0)</f>
        <v>24.838200000000001</v>
      </c>
      <c r="F376" s="45">
        <f>27.1257 * CHOOSE(CONTROL!$C$15, $E$9, 100%, $G$9) + CHOOSE(CONTROL!$C$38, 0.0355, 0)</f>
        <v>27.161199999999997</v>
      </c>
      <c r="G376" s="17">
        <f>24.8088 * CHOOSE(CONTROL!$C$15, $E$9, 100%, $G$9) + CHOOSE(CONTROL!$C$38, 0.0356, 0)</f>
        <v>24.8444</v>
      </c>
      <c r="H376" s="17">
        <f>24.8088 * CHOOSE(CONTROL!$C$15, $E$9, 100%, $G$9) + CHOOSE(CONTROL!$C$38, 0.0356, 0)</f>
        <v>24.8444</v>
      </c>
      <c r="I376" s="17">
        <f>24.8104 * CHOOSE(CONTROL!$C$15, $E$9, 100%, $G$9) + CHOOSE(CONTROL!$C$38, 0.0356, 0)</f>
        <v>24.846</v>
      </c>
      <c r="J376" s="44">
        <f>200.8016</f>
        <v>200.80160000000001</v>
      </c>
    </row>
    <row r="377" spans="1:10" ht="15.75" x14ac:dyDescent="0.25">
      <c r="A377" s="14">
        <v>52047</v>
      </c>
      <c r="B377" s="17">
        <f>26.5473 * CHOOSE(CONTROL!$C$15, $E$9, 100%, $G$9) + CHOOSE(CONTROL!$C$38, 0.0355, 0)</f>
        <v>26.582799999999999</v>
      </c>
      <c r="C377" s="17">
        <f>24.232 * CHOOSE(CONTROL!$C$15, $E$9, 100%, $G$9) + CHOOSE(CONTROL!$C$38, 0.0356, 0)</f>
        <v>24.267599999999998</v>
      </c>
      <c r="D377" s="17">
        <f>24.2241 * CHOOSE(CONTROL!$C$15, $E$9, 100%, $G$9) + CHOOSE(CONTROL!$C$38, 0.0356, 0)</f>
        <v>24.259699999999999</v>
      </c>
      <c r="E377" s="17">
        <f>24.2241 * CHOOSE(CONTROL!$C$15, $E$9, 100%, $G$9) + CHOOSE(CONTROL!$C$38, 0.0356, 0)</f>
        <v>24.259699999999999</v>
      </c>
      <c r="F377" s="45">
        <f>26.5473 * CHOOSE(CONTROL!$C$15, $E$9, 100%, $G$9) + CHOOSE(CONTROL!$C$38, 0.0355, 0)</f>
        <v>26.582799999999999</v>
      </c>
      <c r="G377" s="17">
        <f>24.2304 * CHOOSE(CONTROL!$C$15, $E$9, 100%, $G$9) + CHOOSE(CONTROL!$C$38, 0.0356, 0)</f>
        <v>24.265999999999998</v>
      </c>
      <c r="H377" s="17">
        <f>24.2304 * CHOOSE(CONTROL!$C$15, $E$9, 100%, $G$9) + CHOOSE(CONTROL!$C$38, 0.0356, 0)</f>
        <v>24.265999999999998</v>
      </c>
      <c r="I377" s="17">
        <f>24.232 * CHOOSE(CONTROL!$C$15, $E$9, 100%, $G$9) + CHOOSE(CONTROL!$C$38, 0.0356, 0)</f>
        <v>24.267599999999998</v>
      </c>
      <c r="J377" s="44">
        <f>203.6949</f>
        <v>203.69489999999999</v>
      </c>
    </row>
    <row r="378" spans="1:10" ht="15.75" x14ac:dyDescent="0.25">
      <c r="A378" s="14">
        <v>52078</v>
      </c>
      <c r="B378" s="17">
        <f>26.2172 * CHOOSE(CONTROL!$C$15, $E$9, 100%, $G$9) + CHOOSE(CONTROL!$C$38, 0.0355, 0)</f>
        <v>26.252699999999997</v>
      </c>
      <c r="C378" s="17">
        <f>23.9019 * CHOOSE(CONTROL!$C$15, $E$9, 100%, $G$9) + CHOOSE(CONTROL!$C$38, 0.0356, 0)</f>
        <v>23.9375</v>
      </c>
      <c r="D378" s="17">
        <f>23.894 * CHOOSE(CONTROL!$C$15, $E$9, 100%, $G$9) + CHOOSE(CONTROL!$C$38, 0.0356, 0)</f>
        <v>23.929599999999997</v>
      </c>
      <c r="E378" s="17">
        <f>23.894 * CHOOSE(CONTROL!$C$15, $E$9, 100%, $G$9) + CHOOSE(CONTROL!$C$38, 0.0356, 0)</f>
        <v>23.929599999999997</v>
      </c>
      <c r="F378" s="45">
        <f>26.2172 * CHOOSE(CONTROL!$C$15, $E$9, 100%, $G$9) + CHOOSE(CONTROL!$C$38, 0.0355, 0)</f>
        <v>26.252699999999997</v>
      </c>
      <c r="G378" s="17">
        <f>23.9003 * CHOOSE(CONTROL!$C$15, $E$9, 100%, $G$9) + CHOOSE(CONTROL!$C$38, 0.0356, 0)</f>
        <v>23.9359</v>
      </c>
      <c r="H378" s="17">
        <f>23.9003 * CHOOSE(CONTROL!$C$15, $E$9, 100%, $G$9) + CHOOSE(CONTROL!$C$38, 0.0356, 0)</f>
        <v>23.9359</v>
      </c>
      <c r="I378" s="17">
        <f>23.9019 * CHOOSE(CONTROL!$C$15, $E$9, 100%, $G$9) + CHOOSE(CONTROL!$C$38, 0.0356, 0)</f>
        <v>23.9375</v>
      </c>
      <c r="J378" s="44">
        <f>202.7423</f>
        <v>202.7423</v>
      </c>
    </row>
    <row r="379" spans="1:10" ht="15.75" x14ac:dyDescent="0.25">
      <c r="A379" s="14">
        <v>52109</v>
      </c>
      <c r="B379" s="17">
        <f>26.3801 * CHOOSE(CONTROL!$C$15, $E$9, 100%, $G$9) + CHOOSE(CONTROL!$C$38, 0.0355, 0)</f>
        <v>26.415599999999998</v>
      </c>
      <c r="C379" s="17">
        <f>24.0648 * CHOOSE(CONTROL!$C$15, $E$9, 100%, $G$9) + CHOOSE(CONTROL!$C$38, 0.0356, 0)</f>
        <v>24.1004</v>
      </c>
      <c r="D379" s="17">
        <f>24.057 * CHOOSE(CONTROL!$C$15, $E$9, 100%, $G$9) + CHOOSE(CONTROL!$C$38, 0.0356, 0)</f>
        <v>24.092599999999997</v>
      </c>
      <c r="E379" s="17">
        <f>24.057 * CHOOSE(CONTROL!$C$15, $E$9, 100%, $G$9) + CHOOSE(CONTROL!$C$38, 0.0356, 0)</f>
        <v>24.092599999999997</v>
      </c>
      <c r="F379" s="45">
        <f>26.3801 * CHOOSE(CONTROL!$C$15, $E$9, 100%, $G$9) + CHOOSE(CONTROL!$C$38, 0.0355, 0)</f>
        <v>26.415599999999998</v>
      </c>
      <c r="G379" s="17">
        <f>24.0632 * CHOOSE(CONTROL!$C$15, $E$9, 100%, $G$9) + CHOOSE(CONTROL!$C$38, 0.0356, 0)</f>
        <v>24.098799999999997</v>
      </c>
      <c r="H379" s="17">
        <f>24.0632 * CHOOSE(CONTROL!$C$15, $E$9, 100%, $G$9) + CHOOSE(CONTROL!$C$38, 0.0356, 0)</f>
        <v>24.098799999999997</v>
      </c>
      <c r="I379" s="17">
        <f>24.0648 * CHOOSE(CONTROL!$C$15, $E$9, 100%, $G$9) + CHOOSE(CONTROL!$C$38, 0.0356, 0)</f>
        <v>24.1004</v>
      </c>
      <c r="J379" s="44">
        <f>198.0225</f>
        <v>198.02250000000001</v>
      </c>
    </row>
    <row r="380" spans="1:10" ht="15.75" x14ac:dyDescent="0.25">
      <c r="A380" s="14">
        <v>52139</v>
      </c>
      <c r="B380" s="17">
        <f>26.8226 * CHOOSE(CONTROL!$C$15, $E$9, 100%, $G$9) + CHOOSE(CONTROL!$C$38, 0.0355, 0)</f>
        <v>26.8581</v>
      </c>
      <c r="C380" s="17">
        <f>24.5073 * CHOOSE(CONTROL!$C$15, $E$9, 100%, $G$9) + CHOOSE(CONTROL!$C$38, 0.0356, 0)</f>
        <v>24.542899999999999</v>
      </c>
      <c r="D380" s="17">
        <f>24.4995 * CHOOSE(CONTROL!$C$15, $E$9, 100%, $G$9) + CHOOSE(CONTROL!$C$38, 0.0356, 0)</f>
        <v>24.5351</v>
      </c>
      <c r="E380" s="17">
        <f>24.4995 * CHOOSE(CONTROL!$C$15, $E$9, 100%, $G$9) + CHOOSE(CONTROL!$C$38, 0.0356, 0)</f>
        <v>24.5351</v>
      </c>
      <c r="F380" s="45">
        <f>26.8226 * CHOOSE(CONTROL!$C$15, $E$9, 100%, $G$9) + CHOOSE(CONTROL!$C$38, 0.0355, 0)</f>
        <v>26.8581</v>
      </c>
      <c r="G380" s="17">
        <f>24.5057 * CHOOSE(CONTROL!$C$15, $E$9, 100%, $G$9) + CHOOSE(CONTROL!$C$38, 0.0356, 0)</f>
        <v>24.5413</v>
      </c>
      <c r="H380" s="17">
        <f>24.5057 * CHOOSE(CONTROL!$C$15, $E$9, 100%, $G$9) + CHOOSE(CONTROL!$C$38, 0.0356, 0)</f>
        <v>24.5413</v>
      </c>
      <c r="I380" s="17">
        <f>24.5073 * CHOOSE(CONTROL!$C$15, $E$9, 100%, $G$9) + CHOOSE(CONTROL!$C$38, 0.0356, 0)</f>
        <v>24.542899999999999</v>
      </c>
      <c r="J380" s="44">
        <f>191.4406</f>
        <v>191.44059999999999</v>
      </c>
    </row>
    <row r="381" spans="1:10" ht="15.75" x14ac:dyDescent="0.25">
      <c r="A381" s="14">
        <v>52170</v>
      </c>
      <c r="B381" s="17">
        <f>27.1932 * CHOOSE(CONTROL!$C$15, $E$9, 100%, $G$9) + CHOOSE(CONTROL!$C$38, 0.0339, 0)</f>
        <v>27.2271</v>
      </c>
      <c r="C381" s="17">
        <f>24.8779 * CHOOSE(CONTROL!$C$15, $E$9, 100%, $G$9) + CHOOSE(CONTROL!$C$38, 0.034, 0)</f>
        <v>24.911899999999999</v>
      </c>
      <c r="D381" s="17">
        <f>24.8701 * CHOOSE(CONTROL!$C$15, $E$9, 100%, $G$9) + CHOOSE(CONTROL!$C$38, 0.034, 0)</f>
        <v>24.9041</v>
      </c>
      <c r="E381" s="17">
        <f>24.8701 * CHOOSE(CONTROL!$C$15, $E$9, 100%, $G$9) + CHOOSE(CONTROL!$C$38, 0.034, 0)</f>
        <v>24.9041</v>
      </c>
      <c r="F381" s="45">
        <f>27.1932 * CHOOSE(CONTROL!$C$15, $E$9, 100%, $G$9) + CHOOSE(CONTROL!$C$38, 0.0339, 0)</f>
        <v>27.2271</v>
      </c>
      <c r="G381" s="17">
        <f>24.8763 * CHOOSE(CONTROL!$C$15, $E$9, 100%, $G$9) + CHOOSE(CONTROL!$C$38, 0.034, 0)</f>
        <v>24.910299999999999</v>
      </c>
      <c r="H381" s="17">
        <f>24.8763 * CHOOSE(CONTROL!$C$15, $E$9, 100%, $G$9) + CHOOSE(CONTROL!$C$38, 0.034, 0)</f>
        <v>24.910299999999999</v>
      </c>
      <c r="I381" s="17">
        <f>24.8779 * CHOOSE(CONTROL!$C$15, $E$9, 100%, $G$9) + CHOOSE(CONTROL!$C$38, 0.034, 0)</f>
        <v>24.911899999999999</v>
      </c>
      <c r="J381" s="44">
        <f>184.8204</f>
        <v>184.82040000000001</v>
      </c>
    </row>
    <row r="382" spans="1:10" ht="15.75" x14ac:dyDescent="0.25">
      <c r="A382" s="14">
        <v>52200</v>
      </c>
      <c r="B382" s="17">
        <f>27.5024 * CHOOSE(CONTROL!$C$15, $E$9, 100%, $G$9) + CHOOSE(CONTROL!$C$38, 0.0339, 0)</f>
        <v>27.536300000000001</v>
      </c>
      <c r="C382" s="17">
        <f>25.1871 * CHOOSE(CONTROL!$C$15, $E$9, 100%, $G$9) + CHOOSE(CONTROL!$C$38, 0.034, 0)</f>
        <v>25.2211</v>
      </c>
      <c r="D382" s="17">
        <f>25.1793 * CHOOSE(CONTROL!$C$15, $E$9, 100%, $G$9) + CHOOSE(CONTROL!$C$38, 0.034, 0)</f>
        <v>25.2133</v>
      </c>
      <c r="E382" s="17">
        <f>25.1793 * CHOOSE(CONTROL!$C$15, $E$9, 100%, $G$9) + CHOOSE(CONTROL!$C$38, 0.034, 0)</f>
        <v>25.2133</v>
      </c>
      <c r="F382" s="45">
        <f>27.5024 * CHOOSE(CONTROL!$C$15, $E$9, 100%, $G$9) + CHOOSE(CONTROL!$C$38, 0.0339, 0)</f>
        <v>27.536300000000001</v>
      </c>
      <c r="G382" s="17">
        <f>25.1856 * CHOOSE(CONTROL!$C$15, $E$9, 100%, $G$9) + CHOOSE(CONTROL!$C$38, 0.034, 0)</f>
        <v>25.2196</v>
      </c>
      <c r="H382" s="17">
        <f>25.1856 * CHOOSE(CONTROL!$C$15, $E$9, 100%, $G$9) + CHOOSE(CONTROL!$C$38, 0.034, 0)</f>
        <v>25.2196</v>
      </c>
      <c r="I382" s="17">
        <f>25.1871 * CHOOSE(CONTROL!$C$15, $E$9, 100%, $G$9) + CHOOSE(CONTROL!$C$38, 0.034, 0)</f>
        <v>25.2211</v>
      </c>
      <c r="J382" s="44">
        <f>183.5035</f>
        <v>183.5035</v>
      </c>
    </row>
    <row r="383" spans="1:10" ht="15.75" x14ac:dyDescent="0.25">
      <c r="A383" s="14">
        <v>52231</v>
      </c>
      <c r="B383" s="17">
        <f>28.4553 * CHOOSE(CONTROL!$C$15, $E$9, 100%, $G$9) + CHOOSE(CONTROL!$C$38, 0.0339, 0)</f>
        <v>28.4892</v>
      </c>
      <c r="C383" s="17">
        <f>26.14 * CHOOSE(CONTROL!$C$15, $E$9, 100%, $G$9) + CHOOSE(CONTROL!$C$38, 0.034, 0)</f>
        <v>26.173999999999999</v>
      </c>
      <c r="D383" s="17">
        <f>26.1322 * CHOOSE(CONTROL!$C$15, $E$9, 100%, $G$9) + CHOOSE(CONTROL!$C$38, 0.034, 0)</f>
        <v>26.1662</v>
      </c>
      <c r="E383" s="17">
        <f>26.1322 * CHOOSE(CONTROL!$C$15, $E$9, 100%, $G$9) + CHOOSE(CONTROL!$C$38, 0.034, 0)</f>
        <v>26.1662</v>
      </c>
      <c r="F383" s="45">
        <f>28.4553 * CHOOSE(CONTROL!$C$15, $E$9, 100%, $G$9) + CHOOSE(CONTROL!$C$38, 0.0339, 0)</f>
        <v>28.4892</v>
      </c>
      <c r="G383" s="17">
        <f>26.1385 * CHOOSE(CONTROL!$C$15, $E$9, 100%, $G$9) + CHOOSE(CONTROL!$C$38, 0.034, 0)</f>
        <v>26.172499999999999</v>
      </c>
      <c r="H383" s="17">
        <f>26.1385 * CHOOSE(CONTROL!$C$15, $E$9, 100%, $G$9) + CHOOSE(CONTROL!$C$38, 0.034, 0)</f>
        <v>26.172499999999999</v>
      </c>
      <c r="I383" s="17">
        <f>26.14 * CHOOSE(CONTROL!$C$15, $E$9, 100%, $G$9) + CHOOSE(CONTROL!$C$38, 0.034, 0)</f>
        <v>26.173999999999999</v>
      </c>
      <c r="J383" s="44">
        <f>178.058</f>
        <v>178.05799999999999</v>
      </c>
    </row>
    <row r="384" spans="1:10" ht="15.75" x14ac:dyDescent="0.25">
      <c r="A384" s="14">
        <v>52262</v>
      </c>
      <c r="B384" s="17">
        <f>29.2427 * CHOOSE(CONTROL!$C$15, $E$9, 100%, $G$9) + CHOOSE(CONTROL!$C$38, 0.0339, 0)</f>
        <v>29.276599999999998</v>
      </c>
      <c r="C384" s="17">
        <f>26.9245 * CHOOSE(CONTROL!$C$15, $E$9, 100%, $G$9) + CHOOSE(CONTROL!$C$38, 0.034, 0)</f>
        <v>26.958499999999997</v>
      </c>
      <c r="D384" s="17">
        <f>26.9167 * CHOOSE(CONTROL!$C$15, $E$9, 100%, $G$9) + CHOOSE(CONTROL!$C$38, 0.034, 0)</f>
        <v>26.950699999999998</v>
      </c>
      <c r="E384" s="17">
        <f>26.9167 * CHOOSE(CONTROL!$C$15, $E$9, 100%, $G$9) + CHOOSE(CONTROL!$C$38, 0.034, 0)</f>
        <v>26.950699999999998</v>
      </c>
      <c r="F384" s="45">
        <f>29.2427 * CHOOSE(CONTROL!$C$15, $E$9, 100%, $G$9) + CHOOSE(CONTROL!$C$38, 0.0339, 0)</f>
        <v>29.276599999999998</v>
      </c>
      <c r="G384" s="17">
        <f>26.923 * CHOOSE(CONTROL!$C$15, $E$9, 100%, $G$9) + CHOOSE(CONTROL!$C$38, 0.034, 0)</f>
        <v>26.956999999999997</v>
      </c>
      <c r="H384" s="17">
        <f>26.923 * CHOOSE(CONTROL!$C$15, $E$9, 100%, $G$9) + CHOOSE(CONTROL!$C$38, 0.034, 0)</f>
        <v>26.956999999999997</v>
      </c>
      <c r="I384" s="17">
        <f>26.9245 * CHOOSE(CONTROL!$C$15, $E$9, 100%, $G$9) + CHOOSE(CONTROL!$C$38, 0.034, 0)</f>
        <v>26.958499999999997</v>
      </c>
      <c r="J384" s="44">
        <f>175.4249</f>
        <v>175.42490000000001</v>
      </c>
    </row>
    <row r="385" spans="1:10" ht="15.75" x14ac:dyDescent="0.25">
      <c r="A385" s="14">
        <v>52290</v>
      </c>
      <c r="B385" s="17">
        <f>29.5957 * CHOOSE(CONTROL!$C$15, $E$9, 100%, $G$9) + CHOOSE(CONTROL!$C$38, 0.0339, 0)</f>
        <v>29.6296</v>
      </c>
      <c r="C385" s="17">
        <f>27.2775 * CHOOSE(CONTROL!$C$15, $E$9, 100%, $G$9) + CHOOSE(CONTROL!$C$38, 0.034, 0)</f>
        <v>27.311499999999999</v>
      </c>
      <c r="D385" s="17">
        <f>27.2696 * CHOOSE(CONTROL!$C$15, $E$9, 100%, $G$9) + CHOOSE(CONTROL!$C$38, 0.034, 0)</f>
        <v>27.303599999999999</v>
      </c>
      <c r="E385" s="17">
        <f>27.2696 * CHOOSE(CONTROL!$C$15, $E$9, 100%, $G$9) + CHOOSE(CONTROL!$C$38, 0.034, 0)</f>
        <v>27.303599999999999</v>
      </c>
      <c r="F385" s="45">
        <f>29.5957 * CHOOSE(CONTROL!$C$15, $E$9, 100%, $G$9) + CHOOSE(CONTROL!$C$38, 0.0339, 0)</f>
        <v>29.6296</v>
      </c>
      <c r="G385" s="17">
        <f>27.2759 * CHOOSE(CONTROL!$C$15, $E$9, 100%, $G$9) + CHOOSE(CONTROL!$C$38, 0.034, 0)</f>
        <v>27.309899999999999</v>
      </c>
      <c r="H385" s="17">
        <f>27.2759 * CHOOSE(CONTROL!$C$15, $E$9, 100%, $G$9) + CHOOSE(CONTROL!$C$38, 0.034, 0)</f>
        <v>27.309899999999999</v>
      </c>
      <c r="I385" s="17">
        <f>27.2775 * CHOOSE(CONTROL!$C$15, $E$9, 100%, $G$9) + CHOOSE(CONTROL!$C$38, 0.034, 0)</f>
        <v>27.311499999999999</v>
      </c>
      <c r="J385" s="44">
        <f>174.9373</f>
        <v>174.93729999999999</v>
      </c>
    </row>
    <row r="386" spans="1:10" ht="15.75" x14ac:dyDescent="0.25">
      <c r="A386" s="14">
        <v>52321</v>
      </c>
      <c r="B386" s="17">
        <f>28.7787 * CHOOSE(CONTROL!$C$15, $E$9, 100%, $G$9) + CHOOSE(CONTROL!$C$38, 0.0339, 0)</f>
        <v>28.8126</v>
      </c>
      <c r="C386" s="17">
        <f>26.4605 * CHOOSE(CONTROL!$C$15, $E$9, 100%, $G$9) + CHOOSE(CONTROL!$C$38, 0.034, 0)</f>
        <v>26.494499999999999</v>
      </c>
      <c r="D386" s="17">
        <f>26.4527 * CHOOSE(CONTROL!$C$15, $E$9, 100%, $G$9) + CHOOSE(CONTROL!$C$38, 0.034, 0)</f>
        <v>26.486699999999999</v>
      </c>
      <c r="E386" s="17">
        <f>26.4527 * CHOOSE(CONTROL!$C$15, $E$9, 100%, $G$9) + CHOOSE(CONTROL!$C$38, 0.034, 0)</f>
        <v>26.486699999999999</v>
      </c>
      <c r="F386" s="45">
        <f>28.7787 * CHOOSE(CONTROL!$C$15, $E$9, 100%, $G$9) + CHOOSE(CONTROL!$C$38, 0.0339, 0)</f>
        <v>28.8126</v>
      </c>
      <c r="G386" s="17">
        <f>26.4589 * CHOOSE(CONTROL!$C$15, $E$9, 100%, $G$9) + CHOOSE(CONTROL!$C$38, 0.034, 0)</f>
        <v>26.492899999999999</v>
      </c>
      <c r="H386" s="17">
        <f>26.4589 * CHOOSE(CONTROL!$C$15, $E$9, 100%, $G$9) + CHOOSE(CONTROL!$C$38, 0.034, 0)</f>
        <v>26.492899999999999</v>
      </c>
      <c r="I386" s="17">
        <f>26.4605 * CHOOSE(CONTROL!$C$15, $E$9, 100%, $G$9) + CHOOSE(CONTROL!$C$38, 0.034, 0)</f>
        <v>26.494499999999999</v>
      </c>
      <c r="J386" s="44">
        <f>184.1575</f>
        <v>184.1575</v>
      </c>
    </row>
    <row r="387" spans="1:10" ht="15.75" x14ac:dyDescent="0.25">
      <c r="A387" s="14">
        <v>52351</v>
      </c>
      <c r="B387" s="17">
        <f>27.9871 * CHOOSE(CONTROL!$C$15, $E$9, 100%, $G$9) + CHOOSE(CONTROL!$C$38, 0.0339, 0)</f>
        <v>28.021000000000001</v>
      </c>
      <c r="C387" s="17">
        <f>25.6689 * CHOOSE(CONTROL!$C$15, $E$9, 100%, $G$9) + CHOOSE(CONTROL!$C$38, 0.034, 0)</f>
        <v>25.7029</v>
      </c>
      <c r="D387" s="17">
        <f>25.6611 * CHOOSE(CONTROL!$C$15, $E$9, 100%, $G$9) + CHOOSE(CONTROL!$C$38, 0.034, 0)</f>
        <v>25.6951</v>
      </c>
      <c r="E387" s="17">
        <f>25.6611 * CHOOSE(CONTROL!$C$15, $E$9, 100%, $G$9) + CHOOSE(CONTROL!$C$38, 0.034, 0)</f>
        <v>25.6951</v>
      </c>
      <c r="F387" s="45">
        <f>27.9871 * CHOOSE(CONTROL!$C$15, $E$9, 100%, $G$9) + CHOOSE(CONTROL!$C$38, 0.0339, 0)</f>
        <v>28.021000000000001</v>
      </c>
      <c r="G387" s="17">
        <f>25.6673 * CHOOSE(CONTROL!$C$15, $E$9, 100%, $G$9) + CHOOSE(CONTROL!$C$38, 0.034, 0)</f>
        <v>25.7013</v>
      </c>
      <c r="H387" s="17">
        <f>25.6673 * CHOOSE(CONTROL!$C$15, $E$9, 100%, $G$9) + CHOOSE(CONTROL!$C$38, 0.034, 0)</f>
        <v>25.7013</v>
      </c>
      <c r="I387" s="17">
        <f>25.6689 * CHOOSE(CONTROL!$C$15, $E$9, 100%, $G$9) + CHOOSE(CONTROL!$C$38, 0.034, 0)</f>
        <v>25.7029</v>
      </c>
      <c r="J387" s="44">
        <f>196.1139</f>
        <v>196.1139</v>
      </c>
    </row>
    <row r="388" spans="1:10" ht="15.75" x14ac:dyDescent="0.25">
      <c r="A388" s="14">
        <v>52382</v>
      </c>
      <c r="B388" s="17">
        <f>27.162 * CHOOSE(CONTROL!$C$15, $E$9, 100%, $G$9) + CHOOSE(CONTROL!$C$38, 0.0355, 0)</f>
        <v>27.197499999999998</v>
      </c>
      <c r="C388" s="17">
        <f>24.8438 * CHOOSE(CONTROL!$C$15, $E$9, 100%, $G$9) + CHOOSE(CONTROL!$C$38, 0.0356, 0)</f>
        <v>24.8794</v>
      </c>
      <c r="D388" s="17">
        <f>24.836 * CHOOSE(CONTROL!$C$15, $E$9, 100%, $G$9) + CHOOSE(CONTROL!$C$38, 0.0356, 0)</f>
        <v>24.871599999999997</v>
      </c>
      <c r="E388" s="17">
        <f>24.836 * CHOOSE(CONTROL!$C$15, $E$9, 100%, $G$9) + CHOOSE(CONTROL!$C$38, 0.0356, 0)</f>
        <v>24.871599999999997</v>
      </c>
      <c r="F388" s="45">
        <f>27.162 * CHOOSE(CONTROL!$C$15, $E$9, 100%, $G$9) + CHOOSE(CONTROL!$C$38, 0.0355, 0)</f>
        <v>27.197499999999998</v>
      </c>
      <c r="G388" s="17">
        <f>24.8422 * CHOOSE(CONTROL!$C$15, $E$9, 100%, $G$9) + CHOOSE(CONTROL!$C$38, 0.0356, 0)</f>
        <v>24.877799999999997</v>
      </c>
      <c r="H388" s="17">
        <f>24.8422 * CHOOSE(CONTROL!$C$15, $E$9, 100%, $G$9) + CHOOSE(CONTROL!$C$38, 0.0356, 0)</f>
        <v>24.877799999999997</v>
      </c>
      <c r="I388" s="17">
        <f>24.8438 * CHOOSE(CONTROL!$C$15, $E$9, 100%, $G$9) + CHOOSE(CONTROL!$C$38, 0.0356, 0)</f>
        <v>24.8794</v>
      </c>
      <c r="J388" s="44">
        <f>202.6951</f>
        <v>202.6951</v>
      </c>
    </row>
    <row r="389" spans="1:10" ht="15.75" x14ac:dyDescent="0.25">
      <c r="A389" s="14">
        <v>52412</v>
      </c>
      <c r="B389" s="17">
        <f>26.5836 * CHOOSE(CONTROL!$C$15, $E$9, 100%, $G$9) + CHOOSE(CONTROL!$C$38, 0.0355, 0)</f>
        <v>26.6191</v>
      </c>
      <c r="C389" s="17">
        <f>24.2653 * CHOOSE(CONTROL!$C$15, $E$9, 100%, $G$9) + CHOOSE(CONTROL!$C$38, 0.0356, 0)</f>
        <v>24.300899999999999</v>
      </c>
      <c r="D389" s="17">
        <f>24.2575 * CHOOSE(CONTROL!$C$15, $E$9, 100%, $G$9) + CHOOSE(CONTROL!$C$38, 0.0356, 0)</f>
        <v>24.293099999999999</v>
      </c>
      <c r="E389" s="17">
        <f>24.2575 * CHOOSE(CONTROL!$C$15, $E$9, 100%, $G$9) + CHOOSE(CONTROL!$C$38, 0.0356, 0)</f>
        <v>24.293099999999999</v>
      </c>
      <c r="F389" s="45">
        <f>26.5836 * CHOOSE(CONTROL!$C$15, $E$9, 100%, $G$9) + CHOOSE(CONTROL!$C$38, 0.0355, 0)</f>
        <v>26.6191</v>
      </c>
      <c r="G389" s="17">
        <f>24.2638 * CHOOSE(CONTROL!$C$15, $E$9, 100%, $G$9) + CHOOSE(CONTROL!$C$38, 0.0356, 0)</f>
        <v>24.299399999999999</v>
      </c>
      <c r="H389" s="17">
        <f>24.2638 * CHOOSE(CONTROL!$C$15, $E$9, 100%, $G$9) + CHOOSE(CONTROL!$C$38, 0.0356, 0)</f>
        <v>24.299399999999999</v>
      </c>
      <c r="I389" s="17">
        <f>24.2653 * CHOOSE(CONTROL!$C$15, $E$9, 100%, $G$9) + CHOOSE(CONTROL!$C$38, 0.0356, 0)</f>
        <v>24.300899999999999</v>
      </c>
      <c r="J389" s="44">
        <f>205.6158</f>
        <v>205.61580000000001</v>
      </c>
    </row>
    <row r="390" spans="1:10" ht="15.75" x14ac:dyDescent="0.25">
      <c r="A390" s="14">
        <v>52443</v>
      </c>
      <c r="B390" s="17">
        <f>26.2535 * CHOOSE(CONTROL!$C$15, $E$9, 100%, $G$9) + CHOOSE(CONTROL!$C$38, 0.0355, 0)</f>
        <v>26.288999999999998</v>
      </c>
      <c r="C390" s="17">
        <f>23.9352 * CHOOSE(CONTROL!$C$15, $E$9, 100%, $G$9) + CHOOSE(CONTROL!$C$38, 0.0356, 0)</f>
        <v>23.970799999999997</v>
      </c>
      <c r="D390" s="17">
        <f>23.9274 * CHOOSE(CONTROL!$C$15, $E$9, 100%, $G$9) + CHOOSE(CONTROL!$C$38, 0.0356, 0)</f>
        <v>23.962999999999997</v>
      </c>
      <c r="E390" s="17">
        <f>23.9274 * CHOOSE(CONTROL!$C$15, $E$9, 100%, $G$9) + CHOOSE(CONTROL!$C$38, 0.0356, 0)</f>
        <v>23.962999999999997</v>
      </c>
      <c r="F390" s="45">
        <f>26.2535 * CHOOSE(CONTROL!$C$15, $E$9, 100%, $G$9) + CHOOSE(CONTROL!$C$38, 0.0355, 0)</f>
        <v>26.288999999999998</v>
      </c>
      <c r="G390" s="17">
        <f>23.9337 * CHOOSE(CONTROL!$C$15, $E$9, 100%, $G$9) + CHOOSE(CONTROL!$C$38, 0.0356, 0)</f>
        <v>23.9693</v>
      </c>
      <c r="H390" s="17">
        <f>23.9337 * CHOOSE(CONTROL!$C$15, $E$9, 100%, $G$9) + CHOOSE(CONTROL!$C$38, 0.0356, 0)</f>
        <v>23.9693</v>
      </c>
      <c r="I390" s="17">
        <f>23.9352 * CHOOSE(CONTROL!$C$15, $E$9, 100%, $G$9) + CHOOSE(CONTROL!$C$38, 0.0356, 0)</f>
        <v>23.970799999999997</v>
      </c>
      <c r="J390" s="44">
        <f>204.6541</f>
        <v>204.6541</v>
      </c>
    </row>
    <row r="391" spans="1:10" ht="15.75" x14ac:dyDescent="0.25">
      <c r="A391" s="14">
        <v>52474</v>
      </c>
      <c r="B391" s="17">
        <f>26.4164 * CHOOSE(CONTROL!$C$15, $E$9, 100%, $G$9) + CHOOSE(CONTROL!$C$38, 0.0355, 0)</f>
        <v>26.451899999999998</v>
      </c>
      <c r="C391" s="17">
        <f>24.0982 * CHOOSE(CONTROL!$C$15, $E$9, 100%, $G$9) + CHOOSE(CONTROL!$C$38, 0.0356, 0)</f>
        <v>24.133799999999997</v>
      </c>
      <c r="D391" s="17">
        <f>24.0903 * CHOOSE(CONTROL!$C$15, $E$9, 100%, $G$9) + CHOOSE(CONTROL!$C$38, 0.0356, 0)</f>
        <v>24.125899999999998</v>
      </c>
      <c r="E391" s="17">
        <f>24.0903 * CHOOSE(CONTROL!$C$15, $E$9, 100%, $G$9) + CHOOSE(CONTROL!$C$38, 0.0356, 0)</f>
        <v>24.125899999999998</v>
      </c>
      <c r="F391" s="45">
        <f>26.4164 * CHOOSE(CONTROL!$C$15, $E$9, 100%, $G$9) + CHOOSE(CONTROL!$C$38, 0.0355, 0)</f>
        <v>26.451899999999998</v>
      </c>
      <c r="G391" s="17">
        <f>24.0966 * CHOOSE(CONTROL!$C$15, $E$9, 100%, $G$9) + CHOOSE(CONTROL!$C$38, 0.0356, 0)</f>
        <v>24.132199999999997</v>
      </c>
      <c r="H391" s="17">
        <f>24.0966 * CHOOSE(CONTROL!$C$15, $E$9, 100%, $G$9) + CHOOSE(CONTROL!$C$38, 0.0356, 0)</f>
        <v>24.132199999999997</v>
      </c>
      <c r="I391" s="17">
        <f>24.0982 * CHOOSE(CONTROL!$C$15, $E$9, 100%, $G$9) + CHOOSE(CONTROL!$C$38, 0.0356, 0)</f>
        <v>24.133799999999997</v>
      </c>
      <c r="J391" s="44">
        <f>199.8899</f>
        <v>199.88990000000001</v>
      </c>
    </row>
    <row r="392" spans="1:10" ht="15.75" x14ac:dyDescent="0.25">
      <c r="A392" s="14">
        <v>52504</v>
      </c>
      <c r="B392" s="17">
        <f>26.8589 * CHOOSE(CONTROL!$C$15, $E$9, 100%, $G$9) + CHOOSE(CONTROL!$C$38, 0.0355, 0)</f>
        <v>26.894399999999997</v>
      </c>
      <c r="C392" s="17">
        <f>24.5407 * CHOOSE(CONTROL!$C$15, $E$9, 100%, $G$9) + CHOOSE(CONTROL!$C$38, 0.0356, 0)</f>
        <v>24.5763</v>
      </c>
      <c r="D392" s="17">
        <f>24.5329 * CHOOSE(CONTROL!$C$15, $E$9, 100%, $G$9) + CHOOSE(CONTROL!$C$38, 0.0356, 0)</f>
        <v>24.5685</v>
      </c>
      <c r="E392" s="17">
        <f>24.5329 * CHOOSE(CONTROL!$C$15, $E$9, 100%, $G$9) + CHOOSE(CONTROL!$C$38, 0.0356, 0)</f>
        <v>24.5685</v>
      </c>
      <c r="F392" s="45">
        <f>26.8589 * CHOOSE(CONTROL!$C$15, $E$9, 100%, $G$9) + CHOOSE(CONTROL!$C$38, 0.0355, 0)</f>
        <v>26.894399999999997</v>
      </c>
      <c r="G392" s="17">
        <f>24.5391 * CHOOSE(CONTROL!$C$15, $E$9, 100%, $G$9) + CHOOSE(CONTROL!$C$38, 0.0356, 0)</f>
        <v>24.5747</v>
      </c>
      <c r="H392" s="17">
        <f>24.5391 * CHOOSE(CONTROL!$C$15, $E$9, 100%, $G$9) + CHOOSE(CONTROL!$C$38, 0.0356, 0)</f>
        <v>24.5747</v>
      </c>
      <c r="I392" s="17">
        <f>24.5407 * CHOOSE(CONTROL!$C$15, $E$9, 100%, $G$9) + CHOOSE(CONTROL!$C$38, 0.0356, 0)</f>
        <v>24.5763</v>
      </c>
      <c r="J392" s="44">
        <f>193.2459</f>
        <v>193.24590000000001</v>
      </c>
    </row>
    <row r="393" spans="1:10" ht="15.75" x14ac:dyDescent="0.25">
      <c r="A393" s="14">
        <v>52535</v>
      </c>
      <c r="B393" s="17">
        <f>27.2295 * CHOOSE(CONTROL!$C$15, $E$9, 100%, $G$9) + CHOOSE(CONTROL!$C$38, 0.0339, 0)</f>
        <v>27.263400000000001</v>
      </c>
      <c r="C393" s="17">
        <f>24.9113 * CHOOSE(CONTROL!$C$15, $E$9, 100%, $G$9) + CHOOSE(CONTROL!$C$38, 0.034, 0)</f>
        <v>24.9453</v>
      </c>
      <c r="D393" s="17">
        <f>24.9035 * CHOOSE(CONTROL!$C$15, $E$9, 100%, $G$9) + CHOOSE(CONTROL!$C$38, 0.034, 0)</f>
        <v>24.9375</v>
      </c>
      <c r="E393" s="17">
        <f>24.9035 * CHOOSE(CONTROL!$C$15, $E$9, 100%, $G$9) + CHOOSE(CONTROL!$C$38, 0.034, 0)</f>
        <v>24.9375</v>
      </c>
      <c r="F393" s="45">
        <f>27.2295 * CHOOSE(CONTROL!$C$15, $E$9, 100%, $G$9) + CHOOSE(CONTROL!$C$38, 0.0339, 0)</f>
        <v>27.263400000000001</v>
      </c>
      <c r="G393" s="17">
        <f>24.9097 * CHOOSE(CONTROL!$C$15, $E$9, 100%, $G$9) + CHOOSE(CONTROL!$C$38, 0.034, 0)</f>
        <v>24.9437</v>
      </c>
      <c r="H393" s="17">
        <f>24.9097 * CHOOSE(CONTROL!$C$15, $E$9, 100%, $G$9) + CHOOSE(CONTROL!$C$38, 0.034, 0)</f>
        <v>24.9437</v>
      </c>
      <c r="I393" s="17">
        <f>24.9113 * CHOOSE(CONTROL!$C$15, $E$9, 100%, $G$9) + CHOOSE(CONTROL!$C$38, 0.034, 0)</f>
        <v>24.9453</v>
      </c>
      <c r="J393" s="44">
        <f>186.5632</f>
        <v>186.56319999999999</v>
      </c>
    </row>
    <row r="394" spans="1:10" ht="15.75" x14ac:dyDescent="0.25">
      <c r="A394" s="14">
        <v>52565</v>
      </c>
      <c r="B394" s="17">
        <f>27.5387 * CHOOSE(CONTROL!$C$15, $E$9, 100%, $G$9) + CHOOSE(CONTROL!$C$38, 0.0339, 0)</f>
        <v>27.572599999999998</v>
      </c>
      <c r="C394" s="17">
        <f>25.2205 * CHOOSE(CONTROL!$C$15, $E$9, 100%, $G$9) + CHOOSE(CONTROL!$C$38, 0.034, 0)</f>
        <v>25.2545</v>
      </c>
      <c r="D394" s="17">
        <f>25.2127 * CHOOSE(CONTROL!$C$15, $E$9, 100%, $G$9) + CHOOSE(CONTROL!$C$38, 0.034, 0)</f>
        <v>25.246700000000001</v>
      </c>
      <c r="E394" s="17">
        <f>25.2127 * CHOOSE(CONTROL!$C$15, $E$9, 100%, $G$9) + CHOOSE(CONTROL!$C$38, 0.034, 0)</f>
        <v>25.246700000000001</v>
      </c>
      <c r="F394" s="45">
        <f>27.5387 * CHOOSE(CONTROL!$C$15, $E$9, 100%, $G$9) + CHOOSE(CONTROL!$C$38, 0.0339, 0)</f>
        <v>27.572599999999998</v>
      </c>
      <c r="G394" s="17">
        <f>25.219 * CHOOSE(CONTROL!$C$15, $E$9, 100%, $G$9) + CHOOSE(CONTROL!$C$38, 0.034, 0)</f>
        <v>25.253</v>
      </c>
      <c r="H394" s="17">
        <f>25.219 * CHOOSE(CONTROL!$C$15, $E$9, 100%, $G$9) + CHOOSE(CONTROL!$C$38, 0.034, 0)</f>
        <v>25.253</v>
      </c>
      <c r="I394" s="17">
        <f>25.2205 * CHOOSE(CONTROL!$C$15, $E$9, 100%, $G$9) + CHOOSE(CONTROL!$C$38, 0.034, 0)</f>
        <v>25.2545</v>
      </c>
      <c r="J394" s="44">
        <f>185.2339</f>
        <v>185.23390000000001</v>
      </c>
    </row>
    <row r="395" spans="1:10" ht="15.75" x14ac:dyDescent="0.25">
      <c r="A395" s="14">
        <v>52596</v>
      </c>
      <c r="B395" s="17">
        <f>28.4916 * CHOOSE(CONTROL!$C$15, $E$9, 100%, $G$9) + CHOOSE(CONTROL!$C$38, 0.0339, 0)</f>
        <v>28.525499999999997</v>
      </c>
      <c r="C395" s="17">
        <f>26.1734 * CHOOSE(CONTROL!$C$15, $E$9, 100%, $G$9) + CHOOSE(CONTROL!$C$38, 0.034, 0)</f>
        <v>26.2074</v>
      </c>
      <c r="D395" s="17">
        <f>26.1656 * CHOOSE(CONTROL!$C$15, $E$9, 100%, $G$9) + CHOOSE(CONTROL!$C$38, 0.034, 0)</f>
        <v>26.1996</v>
      </c>
      <c r="E395" s="17">
        <f>26.1656 * CHOOSE(CONTROL!$C$15, $E$9, 100%, $G$9) + CHOOSE(CONTROL!$C$38, 0.034, 0)</f>
        <v>26.1996</v>
      </c>
      <c r="F395" s="45">
        <f>28.4916 * CHOOSE(CONTROL!$C$15, $E$9, 100%, $G$9) + CHOOSE(CONTROL!$C$38, 0.0339, 0)</f>
        <v>28.525499999999997</v>
      </c>
      <c r="G395" s="17">
        <f>26.1719 * CHOOSE(CONTROL!$C$15, $E$9, 100%, $G$9) + CHOOSE(CONTROL!$C$38, 0.034, 0)</f>
        <v>26.2059</v>
      </c>
      <c r="H395" s="17">
        <f>26.1719 * CHOOSE(CONTROL!$C$15, $E$9, 100%, $G$9) + CHOOSE(CONTROL!$C$38, 0.034, 0)</f>
        <v>26.2059</v>
      </c>
      <c r="I395" s="17">
        <f>26.1734 * CHOOSE(CONTROL!$C$15, $E$9, 100%, $G$9) + CHOOSE(CONTROL!$C$38, 0.034, 0)</f>
        <v>26.2074</v>
      </c>
      <c r="J395" s="44">
        <f>179.7371</f>
        <v>179.7371</v>
      </c>
    </row>
    <row r="396" spans="1:10" ht="15.75" x14ac:dyDescent="0.25">
      <c r="A396" s="14">
        <v>52627</v>
      </c>
      <c r="B396" s="17">
        <f>29.2791 * CHOOSE(CONTROL!$C$15, $E$9, 100%, $G$9) + CHOOSE(CONTROL!$C$38, 0.0339, 0)</f>
        <v>29.312999999999999</v>
      </c>
      <c r="C396" s="17">
        <f>26.958 * CHOOSE(CONTROL!$C$15, $E$9, 100%, $G$9) + CHOOSE(CONTROL!$C$38, 0.034, 0)</f>
        <v>26.991999999999997</v>
      </c>
      <c r="D396" s="17">
        <f>26.9502 * CHOOSE(CONTROL!$C$15, $E$9, 100%, $G$9) + CHOOSE(CONTROL!$C$38, 0.034, 0)</f>
        <v>26.984199999999998</v>
      </c>
      <c r="E396" s="17">
        <f>26.9502 * CHOOSE(CONTROL!$C$15, $E$9, 100%, $G$9) + CHOOSE(CONTROL!$C$38, 0.034, 0)</f>
        <v>26.984199999999998</v>
      </c>
      <c r="F396" s="45">
        <f>29.2791 * CHOOSE(CONTROL!$C$15, $E$9, 100%, $G$9) + CHOOSE(CONTROL!$C$38, 0.0339, 0)</f>
        <v>29.312999999999999</v>
      </c>
      <c r="G396" s="17">
        <f>26.9564 * CHOOSE(CONTROL!$C$15, $E$9, 100%, $G$9) + CHOOSE(CONTROL!$C$38, 0.034, 0)</f>
        <v>26.990399999999998</v>
      </c>
      <c r="H396" s="17">
        <f>26.9564 * CHOOSE(CONTROL!$C$15, $E$9, 100%, $G$9) + CHOOSE(CONTROL!$C$38, 0.034, 0)</f>
        <v>26.990399999999998</v>
      </c>
      <c r="I396" s="17">
        <f>26.958 * CHOOSE(CONTROL!$C$15, $E$9, 100%, $G$9) + CHOOSE(CONTROL!$C$38, 0.034, 0)</f>
        <v>26.991999999999997</v>
      </c>
      <c r="J396" s="44">
        <f>177.0792</f>
        <v>177.07919999999999</v>
      </c>
    </row>
    <row r="397" spans="1:10" ht="15.75" x14ac:dyDescent="0.25">
      <c r="A397" s="14">
        <v>52655</v>
      </c>
      <c r="B397" s="17">
        <f>29.632 * CHOOSE(CONTROL!$C$15, $E$9, 100%, $G$9) + CHOOSE(CONTROL!$C$38, 0.0339, 0)</f>
        <v>29.665900000000001</v>
      </c>
      <c r="C397" s="17">
        <f>27.3109 * CHOOSE(CONTROL!$C$15, $E$9, 100%, $G$9) + CHOOSE(CONTROL!$C$38, 0.034, 0)</f>
        <v>27.344899999999999</v>
      </c>
      <c r="D397" s="17">
        <f>27.3031 * CHOOSE(CONTROL!$C$15, $E$9, 100%, $G$9) + CHOOSE(CONTROL!$C$38, 0.034, 0)</f>
        <v>27.3371</v>
      </c>
      <c r="E397" s="17">
        <f>27.3031 * CHOOSE(CONTROL!$C$15, $E$9, 100%, $G$9) + CHOOSE(CONTROL!$C$38, 0.034, 0)</f>
        <v>27.3371</v>
      </c>
      <c r="F397" s="45">
        <f>29.632 * CHOOSE(CONTROL!$C$15, $E$9, 100%, $G$9) + CHOOSE(CONTROL!$C$38, 0.0339, 0)</f>
        <v>29.665900000000001</v>
      </c>
      <c r="G397" s="17">
        <f>27.3093 * CHOOSE(CONTROL!$C$15, $E$9, 100%, $G$9) + CHOOSE(CONTROL!$C$38, 0.034, 0)</f>
        <v>27.343299999999999</v>
      </c>
      <c r="H397" s="17">
        <f>27.3093 * CHOOSE(CONTROL!$C$15, $E$9, 100%, $G$9) + CHOOSE(CONTROL!$C$38, 0.034, 0)</f>
        <v>27.343299999999999</v>
      </c>
      <c r="I397" s="17">
        <f>27.3109 * CHOOSE(CONTROL!$C$15, $E$9, 100%, $G$9) + CHOOSE(CONTROL!$C$38, 0.034, 0)</f>
        <v>27.344899999999999</v>
      </c>
      <c r="J397" s="44">
        <f>176.587</f>
        <v>176.58699999999999</v>
      </c>
    </row>
    <row r="398" spans="1:10" ht="15.75" x14ac:dyDescent="0.25">
      <c r="A398" s="14">
        <v>52687</v>
      </c>
      <c r="B398" s="17">
        <f>28.815 * CHOOSE(CONTROL!$C$15, $E$9, 100%, $G$9) + CHOOSE(CONTROL!$C$38, 0.0339, 0)</f>
        <v>28.8489</v>
      </c>
      <c r="C398" s="17">
        <f>26.4939 * CHOOSE(CONTROL!$C$15, $E$9, 100%, $G$9) + CHOOSE(CONTROL!$C$38, 0.034, 0)</f>
        <v>26.527899999999999</v>
      </c>
      <c r="D398" s="17">
        <f>26.4861 * CHOOSE(CONTROL!$C$15, $E$9, 100%, $G$9) + CHOOSE(CONTROL!$C$38, 0.034, 0)</f>
        <v>26.520099999999999</v>
      </c>
      <c r="E398" s="17">
        <f>26.4861 * CHOOSE(CONTROL!$C$15, $E$9, 100%, $G$9) + CHOOSE(CONTROL!$C$38, 0.034, 0)</f>
        <v>26.520099999999999</v>
      </c>
      <c r="F398" s="45">
        <f>28.815 * CHOOSE(CONTROL!$C$15, $E$9, 100%, $G$9) + CHOOSE(CONTROL!$C$38, 0.0339, 0)</f>
        <v>28.8489</v>
      </c>
      <c r="G398" s="17">
        <f>26.4924 * CHOOSE(CONTROL!$C$15, $E$9, 100%, $G$9) + CHOOSE(CONTROL!$C$38, 0.034, 0)</f>
        <v>26.526399999999999</v>
      </c>
      <c r="H398" s="17">
        <f>26.4924 * CHOOSE(CONTROL!$C$15, $E$9, 100%, $G$9) + CHOOSE(CONTROL!$C$38, 0.034, 0)</f>
        <v>26.526399999999999</v>
      </c>
      <c r="I398" s="17">
        <f>26.4939 * CHOOSE(CONTROL!$C$15, $E$9, 100%, $G$9) + CHOOSE(CONTROL!$C$38, 0.034, 0)</f>
        <v>26.527899999999999</v>
      </c>
      <c r="J398" s="44">
        <f>185.8941</f>
        <v>185.89410000000001</v>
      </c>
    </row>
    <row r="399" spans="1:10" ht="15.75" x14ac:dyDescent="0.25">
      <c r="A399" s="14">
        <v>52717</v>
      </c>
      <c r="B399" s="17">
        <f>28.0234 * CHOOSE(CONTROL!$C$15, $E$9, 100%, $G$9) + CHOOSE(CONTROL!$C$38, 0.0339, 0)</f>
        <v>28.057299999999998</v>
      </c>
      <c r="C399" s="17">
        <f>25.7023 * CHOOSE(CONTROL!$C$15, $E$9, 100%, $G$9) + CHOOSE(CONTROL!$C$38, 0.034, 0)</f>
        <v>25.7363</v>
      </c>
      <c r="D399" s="17">
        <f>25.6945 * CHOOSE(CONTROL!$C$15, $E$9, 100%, $G$9) + CHOOSE(CONTROL!$C$38, 0.034, 0)</f>
        <v>25.7285</v>
      </c>
      <c r="E399" s="17">
        <f>25.6945 * CHOOSE(CONTROL!$C$15, $E$9, 100%, $G$9) + CHOOSE(CONTROL!$C$38, 0.034, 0)</f>
        <v>25.7285</v>
      </c>
      <c r="F399" s="45">
        <f>28.0234 * CHOOSE(CONTROL!$C$15, $E$9, 100%, $G$9) + CHOOSE(CONTROL!$C$38, 0.0339, 0)</f>
        <v>28.057299999999998</v>
      </c>
      <c r="G399" s="17">
        <f>25.7008 * CHOOSE(CONTROL!$C$15, $E$9, 100%, $G$9) + CHOOSE(CONTROL!$C$38, 0.034, 0)</f>
        <v>25.7348</v>
      </c>
      <c r="H399" s="17">
        <f>25.7008 * CHOOSE(CONTROL!$C$15, $E$9, 100%, $G$9) + CHOOSE(CONTROL!$C$38, 0.034, 0)</f>
        <v>25.7348</v>
      </c>
      <c r="I399" s="17">
        <f>25.7023 * CHOOSE(CONTROL!$C$15, $E$9, 100%, $G$9) + CHOOSE(CONTROL!$C$38, 0.034, 0)</f>
        <v>25.7363</v>
      </c>
      <c r="J399" s="44">
        <f>197.9633</f>
        <v>197.9633</v>
      </c>
    </row>
    <row r="400" spans="1:10" ht="15.75" x14ac:dyDescent="0.25">
      <c r="A400" s="14">
        <v>52748</v>
      </c>
      <c r="B400" s="17">
        <f>27.1983 * CHOOSE(CONTROL!$C$15, $E$9, 100%, $G$9) + CHOOSE(CONTROL!$C$38, 0.0355, 0)</f>
        <v>27.233799999999999</v>
      </c>
      <c r="C400" s="17">
        <f>24.8772 * CHOOSE(CONTROL!$C$15, $E$9, 100%, $G$9) + CHOOSE(CONTROL!$C$38, 0.0356, 0)</f>
        <v>24.912799999999997</v>
      </c>
      <c r="D400" s="17">
        <f>24.8694 * CHOOSE(CONTROL!$C$15, $E$9, 100%, $G$9) + CHOOSE(CONTROL!$C$38, 0.0356, 0)</f>
        <v>24.904999999999998</v>
      </c>
      <c r="E400" s="17">
        <f>24.8694 * CHOOSE(CONTROL!$C$15, $E$9, 100%, $G$9) + CHOOSE(CONTROL!$C$38, 0.0356, 0)</f>
        <v>24.904999999999998</v>
      </c>
      <c r="F400" s="45">
        <f>27.1983 * CHOOSE(CONTROL!$C$15, $E$9, 100%, $G$9) + CHOOSE(CONTROL!$C$38, 0.0355, 0)</f>
        <v>27.233799999999999</v>
      </c>
      <c r="G400" s="17">
        <f>24.8757 * CHOOSE(CONTROL!$C$15, $E$9, 100%, $G$9) + CHOOSE(CONTROL!$C$38, 0.0356, 0)</f>
        <v>24.911299999999997</v>
      </c>
      <c r="H400" s="17">
        <f>24.8757 * CHOOSE(CONTROL!$C$15, $E$9, 100%, $G$9) + CHOOSE(CONTROL!$C$38, 0.0356, 0)</f>
        <v>24.911299999999997</v>
      </c>
      <c r="I400" s="17">
        <f>24.8772 * CHOOSE(CONTROL!$C$15, $E$9, 100%, $G$9) + CHOOSE(CONTROL!$C$38, 0.0356, 0)</f>
        <v>24.912799999999997</v>
      </c>
      <c r="J400" s="44">
        <f>204.6065</f>
        <v>204.60650000000001</v>
      </c>
    </row>
    <row r="401" spans="1:10" ht="15.75" x14ac:dyDescent="0.25">
      <c r="A401" s="14">
        <v>52778</v>
      </c>
      <c r="B401" s="17">
        <f>26.6199 * CHOOSE(CONTROL!$C$15, $E$9, 100%, $G$9) + CHOOSE(CONTROL!$C$38, 0.0355, 0)</f>
        <v>26.6554</v>
      </c>
      <c r="C401" s="17">
        <f>24.2988 * CHOOSE(CONTROL!$C$15, $E$9, 100%, $G$9) + CHOOSE(CONTROL!$C$38, 0.0356, 0)</f>
        <v>24.334399999999999</v>
      </c>
      <c r="D401" s="17">
        <f>24.291 * CHOOSE(CONTROL!$C$15, $E$9, 100%, $G$9) + CHOOSE(CONTROL!$C$38, 0.0356, 0)</f>
        <v>24.326599999999999</v>
      </c>
      <c r="E401" s="17">
        <f>24.291 * CHOOSE(CONTROL!$C$15, $E$9, 100%, $G$9) + CHOOSE(CONTROL!$C$38, 0.0356, 0)</f>
        <v>24.326599999999999</v>
      </c>
      <c r="F401" s="45">
        <f>26.6199 * CHOOSE(CONTROL!$C$15, $E$9, 100%, $G$9) + CHOOSE(CONTROL!$C$38, 0.0355, 0)</f>
        <v>26.6554</v>
      </c>
      <c r="G401" s="17">
        <f>24.2972 * CHOOSE(CONTROL!$C$15, $E$9, 100%, $G$9) + CHOOSE(CONTROL!$C$38, 0.0356, 0)</f>
        <v>24.332799999999999</v>
      </c>
      <c r="H401" s="17">
        <f>24.2972 * CHOOSE(CONTROL!$C$15, $E$9, 100%, $G$9) + CHOOSE(CONTROL!$C$38, 0.0356, 0)</f>
        <v>24.332799999999999</v>
      </c>
      <c r="I401" s="17">
        <f>24.2988 * CHOOSE(CONTROL!$C$15, $E$9, 100%, $G$9) + CHOOSE(CONTROL!$C$38, 0.0356, 0)</f>
        <v>24.334399999999999</v>
      </c>
      <c r="J401" s="44">
        <f>207.5547</f>
        <v>207.5547</v>
      </c>
    </row>
    <row r="402" spans="1:10" ht="15.75" x14ac:dyDescent="0.25">
      <c r="A402" s="14">
        <v>52809</v>
      </c>
      <c r="B402" s="17">
        <f>26.2898 * CHOOSE(CONTROL!$C$15, $E$9, 100%, $G$9) + CHOOSE(CONTROL!$C$38, 0.0355, 0)</f>
        <v>26.325299999999999</v>
      </c>
      <c r="C402" s="17">
        <f>23.9687 * CHOOSE(CONTROL!$C$15, $E$9, 100%, $G$9) + CHOOSE(CONTROL!$C$38, 0.0356, 0)</f>
        <v>24.004299999999997</v>
      </c>
      <c r="D402" s="17">
        <f>23.9609 * CHOOSE(CONTROL!$C$15, $E$9, 100%, $G$9) + CHOOSE(CONTROL!$C$38, 0.0356, 0)</f>
        <v>23.996499999999997</v>
      </c>
      <c r="E402" s="17">
        <f>23.9609 * CHOOSE(CONTROL!$C$15, $E$9, 100%, $G$9) + CHOOSE(CONTROL!$C$38, 0.0356, 0)</f>
        <v>23.996499999999997</v>
      </c>
      <c r="F402" s="45">
        <f>26.2898 * CHOOSE(CONTROL!$C$15, $E$9, 100%, $G$9) + CHOOSE(CONTROL!$C$38, 0.0355, 0)</f>
        <v>26.325299999999999</v>
      </c>
      <c r="G402" s="17">
        <f>23.9671 * CHOOSE(CONTROL!$C$15, $E$9, 100%, $G$9) + CHOOSE(CONTROL!$C$38, 0.0356, 0)</f>
        <v>24.002699999999997</v>
      </c>
      <c r="H402" s="17">
        <f>23.9671 * CHOOSE(CONTROL!$C$15, $E$9, 100%, $G$9) + CHOOSE(CONTROL!$C$38, 0.0356, 0)</f>
        <v>24.002699999999997</v>
      </c>
      <c r="I402" s="17">
        <f>23.9687 * CHOOSE(CONTROL!$C$15, $E$9, 100%, $G$9) + CHOOSE(CONTROL!$C$38, 0.0356, 0)</f>
        <v>24.004299999999997</v>
      </c>
      <c r="J402" s="44">
        <f>206.584</f>
        <v>206.584</v>
      </c>
    </row>
    <row r="403" spans="1:10" ht="15.75" x14ac:dyDescent="0.25">
      <c r="A403" s="14">
        <v>52840</v>
      </c>
      <c r="B403" s="17">
        <f>26.4527 * CHOOSE(CONTROL!$C$15, $E$9, 100%, $G$9) + CHOOSE(CONTROL!$C$38, 0.0355, 0)</f>
        <v>26.488199999999999</v>
      </c>
      <c r="C403" s="17">
        <f>24.1316 * CHOOSE(CONTROL!$C$15, $E$9, 100%, $G$9) + CHOOSE(CONTROL!$C$38, 0.0356, 0)</f>
        <v>24.167199999999998</v>
      </c>
      <c r="D403" s="17">
        <f>24.1238 * CHOOSE(CONTROL!$C$15, $E$9, 100%, $G$9) + CHOOSE(CONTROL!$C$38, 0.0356, 0)</f>
        <v>24.159399999999998</v>
      </c>
      <c r="E403" s="17">
        <f>24.1238 * CHOOSE(CONTROL!$C$15, $E$9, 100%, $G$9) + CHOOSE(CONTROL!$C$38, 0.0356, 0)</f>
        <v>24.159399999999998</v>
      </c>
      <c r="F403" s="45">
        <f>26.4527 * CHOOSE(CONTROL!$C$15, $E$9, 100%, $G$9) + CHOOSE(CONTROL!$C$38, 0.0355, 0)</f>
        <v>26.488199999999999</v>
      </c>
      <c r="G403" s="17">
        <f>24.13 * CHOOSE(CONTROL!$C$15, $E$9, 100%, $G$9) + CHOOSE(CONTROL!$C$38, 0.0356, 0)</f>
        <v>24.165599999999998</v>
      </c>
      <c r="H403" s="17">
        <f>24.13 * CHOOSE(CONTROL!$C$15, $E$9, 100%, $G$9) + CHOOSE(CONTROL!$C$38, 0.0356, 0)</f>
        <v>24.165599999999998</v>
      </c>
      <c r="I403" s="17">
        <f>24.1316 * CHOOSE(CONTROL!$C$15, $E$9, 100%, $G$9) + CHOOSE(CONTROL!$C$38, 0.0356, 0)</f>
        <v>24.167199999999998</v>
      </c>
      <c r="J403" s="44">
        <f>201.7748</f>
        <v>201.7748</v>
      </c>
    </row>
    <row r="404" spans="1:10" ht="15.75" x14ac:dyDescent="0.25">
      <c r="A404" s="14">
        <v>52870</v>
      </c>
      <c r="B404" s="17">
        <f>26.8952 * CHOOSE(CONTROL!$C$15, $E$9, 100%, $G$9) + CHOOSE(CONTROL!$C$38, 0.0355, 0)</f>
        <v>26.930699999999998</v>
      </c>
      <c r="C404" s="17">
        <f>24.5741 * CHOOSE(CONTROL!$C$15, $E$9, 100%, $G$9) + CHOOSE(CONTROL!$C$38, 0.0356, 0)</f>
        <v>24.6097</v>
      </c>
      <c r="D404" s="17">
        <f>24.5663 * CHOOSE(CONTROL!$C$15, $E$9, 100%, $G$9) + CHOOSE(CONTROL!$C$38, 0.0356, 0)</f>
        <v>24.601899999999997</v>
      </c>
      <c r="E404" s="17">
        <f>24.5663 * CHOOSE(CONTROL!$C$15, $E$9, 100%, $G$9) + CHOOSE(CONTROL!$C$38, 0.0356, 0)</f>
        <v>24.601899999999997</v>
      </c>
      <c r="F404" s="45">
        <f>26.8952 * CHOOSE(CONTROL!$C$15, $E$9, 100%, $G$9) + CHOOSE(CONTROL!$C$38, 0.0355, 0)</f>
        <v>26.930699999999998</v>
      </c>
      <c r="G404" s="17">
        <f>24.5725 * CHOOSE(CONTROL!$C$15, $E$9, 100%, $G$9) + CHOOSE(CONTROL!$C$38, 0.0356, 0)</f>
        <v>24.6081</v>
      </c>
      <c r="H404" s="17">
        <f>24.5725 * CHOOSE(CONTROL!$C$15, $E$9, 100%, $G$9) + CHOOSE(CONTROL!$C$38, 0.0356, 0)</f>
        <v>24.6081</v>
      </c>
      <c r="I404" s="17">
        <f>24.5741 * CHOOSE(CONTROL!$C$15, $E$9, 100%, $G$9) + CHOOSE(CONTROL!$C$38, 0.0356, 0)</f>
        <v>24.6097</v>
      </c>
      <c r="J404" s="44">
        <f>195.0682</f>
        <v>195.06819999999999</v>
      </c>
    </row>
    <row r="405" spans="1:10" ht="15.75" x14ac:dyDescent="0.25">
      <c r="A405" s="14">
        <v>52901</v>
      </c>
      <c r="B405" s="17">
        <f>27.2658 * CHOOSE(CONTROL!$C$15, $E$9, 100%, $G$9) + CHOOSE(CONTROL!$C$38, 0.0339, 0)</f>
        <v>27.299699999999998</v>
      </c>
      <c r="C405" s="17">
        <f>24.9447 * CHOOSE(CONTROL!$C$15, $E$9, 100%, $G$9) + CHOOSE(CONTROL!$C$38, 0.034, 0)</f>
        <v>24.9787</v>
      </c>
      <c r="D405" s="17">
        <f>24.9369 * CHOOSE(CONTROL!$C$15, $E$9, 100%, $G$9) + CHOOSE(CONTROL!$C$38, 0.034, 0)</f>
        <v>24.9709</v>
      </c>
      <c r="E405" s="17">
        <f>24.9369 * CHOOSE(CONTROL!$C$15, $E$9, 100%, $G$9) + CHOOSE(CONTROL!$C$38, 0.034, 0)</f>
        <v>24.9709</v>
      </c>
      <c r="F405" s="45">
        <f>27.2658 * CHOOSE(CONTROL!$C$15, $E$9, 100%, $G$9) + CHOOSE(CONTROL!$C$38, 0.0339, 0)</f>
        <v>27.299699999999998</v>
      </c>
      <c r="G405" s="17">
        <f>24.9431 * CHOOSE(CONTROL!$C$15, $E$9, 100%, $G$9) + CHOOSE(CONTROL!$C$38, 0.034, 0)</f>
        <v>24.9771</v>
      </c>
      <c r="H405" s="17">
        <f>24.9431 * CHOOSE(CONTROL!$C$15, $E$9, 100%, $G$9) + CHOOSE(CONTROL!$C$38, 0.034, 0)</f>
        <v>24.9771</v>
      </c>
      <c r="I405" s="17">
        <f>24.9447 * CHOOSE(CONTROL!$C$15, $E$9, 100%, $G$9) + CHOOSE(CONTROL!$C$38, 0.034, 0)</f>
        <v>24.9787</v>
      </c>
      <c r="J405" s="44">
        <f>188.3225</f>
        <v>188.32249999999999</v>
      </c>
    </row>
    <row r="406" spans="1:10" ht="15.75" x14ac:dyDescent="0.25">
      <c r="A406" s="14">
        <v>52931</v>
      </c>
      <c r="B406" s="17">
        <f>27.5751 * CHOOSE(CONTROL!$C$15, $E$9, 100%, $G$9) + CHOOSE(CONTROL!$C$38, 0.0339, 0)</f>
        <v>27.608999999999998</v>
      </c>
      <c r="C406" s="17">
        <f>25.2539 * CHOOSE(CONTROL!$C$15, $E$9, 100%, $G$9) + CHOOSE(CONTROL!$C$38, 0.034, 0)</f>
        <v>25.2879</v>
      </c>
      <c r="D406" s="17">
        <f>25.2461 * CHOOSE(CONTROL!$C$15, $E$9, 100%, $G$9) + CHOOSE(CONTROL!$C$38, 0.034, 0)</f>
        <v>25.280099999999997</v>
      </c>
      <c r="E406" s="17">
        <f>25.2461 * CHOOSE(CONTROL!$C$15, $E$9, 100%, $G$9) + CHOOSE(CONTROL!$C$38, 0.034, 0)</f>
        <v>25.280099999999997</v>
      </c>
      <c r="F406" s="45">
        <f>27.5751 * CHOOSE(CONTROL!$C$15, $E$9, 100%, $G$9) + CHOOSE(CONTROL!$C$38, 0.0339, 0)</f>
        <v>27.608999999999998</v>
      </c>
      <c r="G406" s="17">
        <f>25.2524 * CHOOSE(CONTROL!$C$15, $E$9, 100%, $G$9) + CHOOSE(CONTROL!$C$38, 0.034, 0)</f>
        <v>25.2864</v>
      </c>
      <c r="H406" s="17">
        <f>25.2524 * CHOOSE(CONTROL!$C$15, $E$9, 100%, $G$9) + CHOOSE(CONTROL!$C$38, 0.034, 0)</f>
        <v>25.2864</v>
      </c>
      <c r="I406" s="17">
        <f>25.2539 * CHOOSE(CONTROL!$C$15, $E$9, 100%, $G$9) + CHOOSE(CONTROL!$C$38, 0.034, 0)</f>
        <v>25.2879</v>
      </c>
      <c r="J406" s="44">
        <f>186.9807</f>
        <v>186.98070000000001</v>
      </c>
    </row>
    <row r="407" spans="1:10" ht="15.75" x14ac:dyDescent="0.25">
      <c r="A407" s="14">
        <v>52962</v>
      </c>
      <c r="B407" s="17">
        <f>28.528 * CHOOSE(CONTROL!$C$15, $E$9, 100%, $G$9) + CHOOSE(CONTROL!$C$38, 0.0339, 0)</f>
        <v>28.561899999999998</v>
      </c>
      <c r="C407" s="17">
        <f>26.2069 * CHOOSE(CONTROL!$C$15, $E$9, 100%, $G$9) + CHOOSE(CONTROL!$C$38, 0.034, 0)</f>
        <v>26.2409</v>
      </c>
      <c r="D407" s="17">
        <f>26.199 * CHOOSE(CONTROL!$C$15, $E$9, 100%, $G$9) + CHOOSE(CONTROL!$C$38, 0.034, 0)</f>
        <v>26.233000000000001</v>
      </c>
      <c r="E407" s="17">
        <f>26.199 * CHOOSE(CONTROL!$C$15, $E$9, 100%, $G$9) + CHOOSE(CONTROL!$C$38, 0.034, 0)</f>
        <v>26.233000000000001</v>
      </c>
      <c r="F407" s="45">
        <f>28.528 * CHOOSE(CONTROL!$C$15, $E$9, 100%, $G$9) + CHOOSE(CONTROL!$C$38, 0.0339, 0)</f>
        <v>28.561899999999998</v>
      </c>
      <c r="G407" s="17">
        <f>26.2053 * CHOOSE(CONTROL!$C$15, $E$9, 100%, $G$9) + CHOOSE(CONTROL!$C$38, 0.034, 0)</f>
        <v>26.2393</v>
      </c>
      <c r="H407" s="17">
        <f>26.2053 * CHOOSE(CONTROL!$C$15, $E$9, 100%, $G$9) + CHOOSE(CONTROL!$C$38, 0.034, 0)</f>
        <v>26.2393</v>
      </c>
      <c r="I407" s="17">
        <f>26.2069 * CHOOSE(CONTROL!$C$15, $E$9, 100%, $G$9) + CHOOSE(CONTROL!$C$38, 0.034, 0)</f>
        <v>26.2409</v>
      </c>
      <c r="J407" s="44">
        <f>181.432</f>
        <v>181.43199999999999</v>
      </c>
    </row>
    <row r="408" spans="1:10" ht="15.75" x14ac:dyDescent="0.25">
      <c r="A408" s="14">
        <v>52993</v>
      </c>
      <c r="B408" s="17">
        <f>29.3155 * CHOOSE(CONTROL!$C$15, $E$9, 100%, $G$9) + CHOOSE(CONTROL!$C$38, 0.0339, 0)</f>
        <v>29.349399999999999</v>
      </c>
      <c r="C408" s="17">
        <f>26.9915 * CHOOSE(CONTROL!$C$15, $E$9, 100%, $G$9) + CHOOSE(CONTROL!$C$38, 0.034, 0)</f>
        <v>27.025499999999997</v>
      </c>
      <c r="D408" s="17">
        <f>26.9836 * CHOOSE(CONTROL!$C$15, $E$9, 100%, $G$9) + CHOOSE(CONTROL!$C$38, 0.034, 0)</f>
        <v>27.017599999999998</v>
      </c>
      <c r="E408" s="17">
        <f>26.9836 * CHOOSE(CONTROL!$C$15, $E$9, 100%, $G$9) + CHOOSE(CONTROL!$C$38, 0.034, 0)</f>
        <v>27.017599999999998</v>
      </c>
      <c r="F408" s="45">
        <f>29.3155 * CHOOSE(CONTROL!$C$15, $E$9, 100%, $G$9) + CHOOSE(CONTROL!$C$38, 0.0339, 0)</f>
        <v>29.349399999999999</v>
      </c>
      <c r="G408" s="17">
        <f>26.9899 * CHOOSE(CONTROL!$C$15, $E$9, 100%, $G$9) + CHOOSE(CONTROL!$C$38, 0.034, 0)</f>
        <v>27.023899999999998</v>
      </c>
      <c r="H408" s="17">
        <f>26.9899 * CHOOSE(CONTROL!$C$15, $E$9, 100%, $G$9) + CHOOSE(CONTROL!$C$38, 0.034, 0)</f>
        <v>27.023899999999998</v>
      </c>
      <c r="I408" s="17">
        <f>26.9915 * CHOOSE(CONTROL!$C$15, $E$9, 100%, $G$9) + CHOOSE(CONTROL!$C$38, 0.034, 0)</f>
        <v>27.025499999999997</v>
      </c>
      <c r="J408" s="44">
        <f>178.7491</f>
        <v>178.7491</v>
      </c>
    </row>
    <row r="409" spans="1:10" ht="15.75" x14ac:dyDescent="0.25">
      <c r="A409" s="14">
        <v>53021</v>
      </c>
      <c r="B409" s="17">
        <f>29.6684 * CHOOSE(CONTROL!$C$15, $E$9, 100%, $G$9) + CHOOSE(CONTROL!$C$38, 0.0339, 0)</f>
        <v>29.702299999999997</v>
      </c>
      <c r="C409" s="17">
        <f>27.3444 * CHOOSE(CONTROL!$C$15, $E$9, 100%, $G$9) + CHOOSE(CONTROL!$C$38, 0.034, 0)</f>
        <v>27.378399999999999</v>
      </c>
      <c r="D409" s="17">
        <f>27.3366 * CHOOSE(CONTROL!$C$15, $E$9, 100%, $G$9) + CHOOSE(CONTROL!$C$38, 0.034, 0)</f>
        <v>27.3706</v>
      </c>
      <c r="E409" s="17">
        <f>27.3366 * CHOOSE(CONTROL!$C$15, $E$9, 100%, $G$9) + CHOOSE(CONTROL!$C$38, 0.034, 0)</f>
        <v>27.3706</v>
      </c>
      <c r="F409" s="45">
        <f>29.6684 * CHOOSE(CONTROL!$C$15, $E$9, 100%, $G$9) + CHOOSE(CONTROL!$C$38, 0.0339, 0)</f>
        <v>29.702299999999997</v>
      </c>
      <c r="G409" s="17">
        <f>27.3428 * CHOOSE(CONTROL!$C$15, $E$9, 100%, $G$9) + CHOOSE(CONTROL!$C$38, 0.034, 0)</f>
        <v>27.376799999999999</v>
      </c>
      <c r="H409" s="17">
        <f>27.3428 * CHOOSE(CONTROL!$C$15, $E$9, 100%, $G$9) + CHOOSE(CONTROL!$C$38, 0.034, 0)</f>
        <v>27.376799999999999</v>
      </c>
      <c r="I409" s="17">
        <f>27.3444 * CHOOSE(CONTROL!$C$15, $E$9, 100%, $G$9) + CHOOSE(CONTROL!$C$38, 0.034, 0)</f>
        <v>27.378399999999999</v>
      </c>
      <c r="J409" s="44">
        <f>178.2522</f>
        <v>178.25219999999999</v>
      </c>
    </row>
    <row r="410" spans="1:10" ht="15.75" x14ac:dyDescent="0.25">
      <c r="A410" s="14">
        <v>53052</v>
      </c>
      <c r="B410" s="17">
        <f>28.8514 * CHOOSE(CONTROL!$C$15, $E$9, 100%, $G$9) + CHOOSE(CONTROL!$C$38, 0.0339, 0)</f>
        <v>28.885300000000001</v>
      </c>
      <c r="C410" s="17">
        <f>26.5274 * CHOOSE(CONTROL!$C$15, $E$9, 100%, $G$9) + CHOOSE(CONTROL!$C$38, 0.034, 0)</f>
        <v>26.561399999999999</v>
      </c>
      <c r="D410" s="17">
        <f>26.5196 * CHOOSE(CONTROL!$C$15, $E$9, 100%, $G$9) + CHOOSE(CONTROL!$C$38, 0.034, 0)</f>
        <v>26.553599999999999</v>
      </c>
      <c r="E410" s="17">
        <f>26.5196 * CHOOSE(CONTROL!$C$15, $E$9, 100%, $G$9) + CHOOSE(CONTROL!$C$38, 0.034, 0)</f>
        <v>26.553599999999999</v>
      </c>
      <c r="F410" s="45">
        <f>28.8514 * CHOOSE(CONTROL!$C$15, $E$9, 100%, $G$9) + CHOOSE(CONTROL!$C$38, 0.0339, 0)</f>
        <v>28.885300000000001</v>
      </c>
      <c r="G410" s="17">
        <f>26.5258 * CHOOSE(CONTROL!$C$15, $E$9, 100%, $G$9) + CHOOSE(CONTROL!$C$38, 0.034, 0)</f>
        <v>26.559799999999999</v>
      </c>
      <c r="H410" s="17">
        <f>26.5258 * CHOOSE(CONTROL!$C$15, $E$9, 100%, $G$9) + CHOOSE(CONTROL!$C$38, 0.034, 0)</f>
        <v>26.559799999999999</v>
      </c>
      <c r="I410" s="17">
        <f>26.5274 * CHOOSE(CONTROL!$C$15, $E$9, 100%, $G$9) + CHOOSE(CONTROL!$C$38, 0.034, 0)</f>
        <v>26.561399999999999</v>
      </c>
      <c r="J410" s="44">
        <f>187.6471</f>
        <v>187.64709999999999</v>
      </c>
    </row>
    <row r="411" spans="1:10" ht="15.75" x14ac:dyDescent="0.25">
      <c r="A411" s="14">
        <v>53082</v>
      </c>
      <c r="B411" s="17">
        <f>28.0598 * CHOOSE(CONTROL!$C$15, $E$9, 100%, $G$9) + CHOOSE(CONTROL!$C$38, 0.0339, 0)</f>
        <v>28.093699999999998</v>
      </c>
      <c r="C411" s="17">
        <f>25.7358 * CHOOSE(CONTROL!$C$15, $E$9, 100%, $G$9) + CHOOSE(CONTROL!$C$38, 0.034, 0)</f>
        <v>25.7698</v>
      </c>
      <c r="D411" s="17">
        <f>25.728 * CHOOSE(CONTROL!$C$15, $E$9, 100%, $G$9) + CHOOSE(CONTROL!$C$38, 0.034, 0)</f>
        <v>25.762</v>
      </c>
      <c r="E411" s="17">
        <f>25.728 * CHOOSE(CONTROL!$C$15, $E$9, 100%, $G$9) + CHOOSE(CONTROL!$C$38, 0.034, 0)</f>
        <v>25.762</v>
      </c>
      <c r="F411" s="45">
        <f>28.0598 * CHOOSE(CONTROL!$C$15, $E$9, 100%, $G$9) + CHOOSE(CONTROL!$C$38, 0.0339, 0)</f>
        <v>28.093699999999998</v>
      </c>
      <c r="G411" s="17">
        <f>25.7342 * CHOOSE(CONTROL!$C$15, $E$9, 100%, $G$9) + CHOOSE(CONTROL!$C$38, 0.034, 0)</f>
        <v>25.7682</v>
      </c>
      <c r="H411" s="17">
        <f>25.7342 * CHOOSE(CONTROL!$C$15, $E$9, 100%, $G$9) + CHOOSE(CONTROL!$C$38, 0.034, 0)</f>
        <v>25.7682</v>
      </c>
      <c r="I411" s="17">
        <f>25.7358 * CHOOSE(CONTROL!$C$15, $E$9, 100%, $G$9) + CHOOSE(CONTROL!$C$38, 0.034, 0)</f>
        <v>25.7698</v>
      </c>
      <c r="J411" s="44">
        <f>199.8301</f>
        <v>199.83009999999999</v>
      </c>
    </row>
    <row r="412" spans="1:10" ht="15.75" x14ac:dyDescent="0.25">
      <c r="A412" s="14">
        <v>53113</v>
      </c>
      <c r="B412" s="17">
        <f>27.2347 * CHOOSE(CONTROL!$C$15, $E$9, 100%, $G$9) + CHOOSE(CONTROL!$C$38, 0.0355, 0)</f>
        <v>27.270199999999999</v>
      </c>
      <c r="C412" s="17">
        <f>24.9107 * CHOOSE(CONTROL!$C$15, $E$9, 100%, $G$9) + CHOOSE(CONTROL!$C$38, 0.0356, 0)</f>
        <v>24.946299999999997</v>
      </c>
      <c r="D412" s="17">
        <f>24.9029 * CHOOSE(CONTROL!$C$15, $E$9, 100%, $G$9) + CHOOSE(CONTROL!$C$38, 0.0356, 0)</f>
        <v>24.938499999999998</v>
      </c>
      <c r="E412" s="17">
        <f>24.9029 * CHOOSE(CONTROL!$C$15, $E$9, 100%, $G$9) + CHOOSE(CONTROL!$C$38, 0.0356, 0)</f>
        <v>24.938499999999998</v>
      </c>
      <c r="F412" s="45">
        <f>27.2347 * CHOOSE(CONTROL!$C$15, $E$9, 100%, $G$9) + CHOOSE(CONTROL!$C$38, 0.0355, 0)</f>
        <v>27.270199999999999</v>
      </c>
      <c r="G412" s="17">
        <f>24.9091 * CHOOSE(CONTROL!$C$15, $E$9, 100%, $G$9) + CHOOSE(CONTROL!$C$38, 0.0356, 0)</f>
        <v>24.944699999999997</v>
      </c>
      <c r="H412" s="17">
        <f>24.9091 * CHOOSE(CONTROL!$C$15, $E$9, 100%, $G$9) + CHOOSE(CONTROL!$C$38, 0.0356, 0)</f>
        <v>24.944699999999997</v>
      </c>
      <c r="I412" s="17">
        <f>24.9107 * CHOOSE(CONTROL!$C$15, $E$9, 100%, $G$9) + CHOOSE(CONTROL!$C$38, 0.0356, 0)</f>
        <v>24.946299999999997</v>
      </c>
      <c r="J412" s="44">
        <f>206.536</f>
        <v>206.536</v>
      </c>
    </row>
    <row r="413" spans="1:10" ht="15.75" x14ac:dyDescent="0.25">
      <c r="A413" s="14">
        <v>53143</v>
      </c>
      <c r="B413" s="17">
        <f>26.6563 * CHOOSE(CONTROL!$C$15, $E$9, 100%, $G$9) + CHOOSE(CONTROL!$C$38, 0.0355, 0)</f>
        <v>26.691800000000001</v>
      </c>
      <c r="C413" s="17">
        <f>24.3323 * CHOOSE(CONTROL!$C$15, $E$9, 100%, $G$9) + CHOOSE(CONTROL!$C$38, 0.0356, 0)</f>
        <v>24.367899999999999</v>
      </c>
      <c r="D413" s="17">
        <f>24.3244 * CHOOSE(CONTROL!$C$15, $E$9, 100%, $G$9) + CHOOSE(CONTROL!$C$38, 0.0356, 0)</f>
        <v>24.36</v>
      </c>
      <c r="E413" s="17">
        <f>24.3244 * CHOOSE(CONTROL!$C$15, $E$9, 100%, $G$9) + CHOOSE(CONTROL!$C$38, 0.0356, 0)</f>
        <v>24.36</v>
      </c>
      <c r="F413" s="45">
        <f>26.6563 * CHOOSE(CONTROL!$C$15, $E$9, 100%, $G$9) + CHOOSE(CONTROL!$C$38, 0.0355, 0)</f>
        <v>26.691800000000001</v>
      </c>
      <c r="G413" s="17">
        <f>24.3307 * CHOOSE(CONTROL!$C$15, $E$9, 100%, $G$9) + CHOOSE(CONTROL!$C$38, 0.0356, 0)</f>
        <v>24.366299999999999</v>
      </c>
      <c r="H413" s="17">
        <f>24.3307 * CHOOSE(CONTROL!$C$15, $E$9, 100%, $G$9) + CHOOSE(CONTROL!$C$38, 0.0356, 0)</f>
        <v>24.366299999999999</v>
      </c>
      <c r="I413" s="17">
        <f>24.3323 * CHOOSE(CONTROL!$C$15, $E$9, 100%, $G$9) + CHOOSE(CONTROL!$C$38, 0.0356, 0)</f>
        <v>24.367899999999999</v>
      </c>
      <c r="J413" s="44">
        <f>209.5119</f>
        <v>209.5119</v>
      </c>
    </row>
    <row r="414" spans="1:10" ht="15.75" x14ac:dyDescent="0.25">
      <c r="A414" s="14">
        <v>53174</v>
      </c>
      <c r="B414" s="17">
        <f>26.3262 * CHOOSE(CONTROL!$C$15, $E$9, 100%, $G$9) + CHOOSE(CONTROL!$C$38, 0.0355, 0)</f>
        <v>26.361699999999999</v>
      </c>
      <c r="C414" s="17">
        <f>24.0022 * CHOOSE(CONTROL!$C$15, $E$9, 100%, $G$9) + CHOOSE(CONTROL!$C$38, 0.0356, 0)</f>
        <v>24.037799999999997</v>
      </c>
      <c r="D414" s="17">
        <f>23.9943 * CHOOSE(CONTROL!$C$15, $E$9, 100%, $G$9) + CHOOSE(CONTROL!$C$38, 0.0356, 0)</f>
        <v>24.029899999999998</v>
      </c>
      <c r="E414" s="17">
        <f>23.9943 * CHOOSE(CONTROL!$C$15, $E$9, 100%, $G$9) + CHOOSE(CONTROL!$C$38, 0.0356, 0)</f>
        <v>24.029899999999998</v>
      </c>
      <c r="F414" s="45">
        <f>26.3262 * CHOOSE(CONTROL!$C$15, $E$9, 100%, $G$9) + CHOOSE(CONTROL!$C$38, 0.0355, 0)</f>
        <v>26.361699999999999</v>
      </c>
      <c r="G414" s="17">
        <f>24.0006 * CHOOSE(CONTROL!$C$15, $E$9, 100%, $G$9) + CHOOSE(CONTROL!$C$38, 0.0356, 0)</f>
        <v>24.036199999999997</v>
      </c>
      <c r="H414" s="17">
        <f>24.0006 * CHOOSE(CONTROL!$C$15, $E$9, 100%, $G$9) + CHOOSE(CONTROL!$C$38, 0.0356, 0)</f>
        <v>24.036199999999997</v>
      </c>
      <c r="I414" s="17">
        <f>24.0022 * CHOOSE(CONTROL!$C$15, $E$9, 100%, $G$9) + CHOOSE(CONTROL!$C$38, 0.0356, 0)</f>
        <v>24.037799999999997</v>
      </c>
      <c r="J414" s="44">
        <f>208.5321</f>
        <v>208.53210000000001</v>
      </c>
    </row>
    <row r="415" spans="1:10" ht="15.75" x14ac:dyDescent="0.25">
      <c r="A415" s="14">
        <v>53205</v>
      </c>
      <c r="B415" s="17">
        <f>26.4891 * CHOOSE(CONTROL!$C$15, $E$9, 100%, $G$9) + CHOOSE(CONTROL!$C$38, 0.0355, 0)</f>
        <v>26.5246</v>
      </c>
      <c r="C415" s="17">
        <f>24.1651 * CHOOSE(CONTROL!$C$15, $E$9, 100%, $G$9) + CHOOSE(CONTROL!$C$38, 0.0356, 0)</f>
        <v>24.200699999999998</v>
      </c>
      <c r="D415" s="17">
        <f>24.1573 * CHOOSE(CONTROL!$C$15, $E$9, 100%, $G$9) + CHOOSE(CONTROL!$C$38, 0.0356, 0)</f>
        <v>24.192899999999998</v>
      </c>
      <c r="E415" s="17">
        <f>24.1573 * CHOOSE(CONTROL!$C$15, $E$9, 100%, $G$9) + CHOOSE(CONTROL!$C$38, 0.0356, 0)</f>
        <v>24.192899999999998</v>
      </c>
      <c r="F415" s="45">
        <f>26.4891 * CHOOSE(CONTROL!$C$15, $E$9, 100%, $G$9) + CHOOSE(CONTROL!$C$38, 0.0355, 0)</f>
        <v>26.5246</v>
      </c>
      <c r="G415" s="17">
        <f>24.1635 * CHOOSE(CONTROL!$C$15, $E$9, 100%, $G$9) + CHOOSE(CONTROL!$C$38, 0.0356, 0)</f>
        <v>24.199099999999998</v>
      </c>
      <c r="H415" s="17">
        <f>24.1635 * CHOOSE(CONTROL!$C$15, $E$9, 100%, $G$9) + CHOOSE(CONTROL!$C$38, 0.0356, 0)</f>
        <v>24.199099999999998</v>
      </c>
      <c r="I415" s="17">
        <f>24.1651 * CHOOSE(CONTROL!$C$15, $E$9, 100%, $G$9) + CHOOSE(CONTROL!$C$38, 0.0356, 0)</f>
        <v>24.200699999999998</v>
      </c>
      <c r="J415" s="44">
        <f>203.6776</f>
        <v>203.67760000000001</v>
      </c>
    </row>
    <row r="416" spans="1:10" ht="15.75" x14ac:dyDescent="0.25">
      <c r="A416" s="14">
        <v>53235</v>
      </c>
      <c r="B416" s="17">
        <f>26.9316 * CHOOSE(CONTROL!$C$15, $E$9, 100%, $G$9) + CHOOSE(CONTROL!$C$38, 0.0355, 0)</f>
        <v>26.967099999999999</v>
      </c>
      <c r="C416" s="17">
        <f>24.6076 * CHOOSE(CONTROL!$C$15, $E$9, 100%, $G$9) + CHOOSE(CONTROL!$C$38, 0.0356, 0)</f>
        <v>24.6432</v>
      </c>
      <c r="D416" s="17">
        <f>24.5998 * CHOOSE(CONTROL!$C$15, $E$9, 100%, $G$9) + CHOOSE(CONTROL!$C$38, 0.0356, 0)</f>
        <v>24.635399999999997</v>
      </c>
      <c r="E416" s="17">
        <f>24.5998 * CHOOSE(CONTROL!$C$15, $E$9, 100%, $G$9) + CHOOSE(CONTROL!$C$38, 0.0356, 0)</f>
        <v>24.635399999999997</v>
      </c>
      <c r="F416" s="45">
        <f>26.9316 * CHOOSE(CONTROL!$C$15, $E$9, 100%, $G$9) + CHOOSE(CONTROL!$C$38, 0.0355, 0)</f>
        <v>26.967099999999999</v>
      </c>
      <c r="G416" s="17">
        <f>24.606 * CHOOSE(CONTROL!$C$15, $E$9, 100%, $G$9) + CHOOSE(CONTROL!$C$38, 0.0356, 0)</f>
        <v>24.6416</v>
      </c>
      <c r="H416" s="17">
        <f>24.606 * CHOOSE(CONTROL!$C$15, $E$9, 100%, $G$9) + CHOOSE(CONTROL!$C$38, 0.0356, 0)</f>
        <v>24.6416</v>
      </c>
      <c r="I416" s="17">
        <f>24.6076 * CHOOSE(CONTROL!$C$15, $E$9, 100%, $G$9) + CHOOSE(CONTROL!$C$38, 0.0356, 0)</f>
        <v>24.6432</v>
      </c>
      <c r="J416" s="44">
        <f>196.9077</f>
        <v>196.90770000000001</v>
      </c>
    </row>
    <row r="417" spans="1:10" ht="15.75" x14ac:dyDescent="0.25">
      <c r="A417" s="14">
        <v>53266</v>
      </c>
      <c r="B417" s="17">
        <f>27.3022 * CHOOSE(CONTROL!$C$15, $E$9, 100%, $G$9) + CHOOSE(CONTROL!$C$38, 0.0339, 0)</f>
        <v>27.336099999999998</v>
      </c>
      <c r="C417" s="17">
        <f>24.9782 * CHOOSE(CONTROL!$C$15, $E$9, 100%, $G$9) + CHOOSE(CONTROL!$C$38, 0.034, 0)</f>
        <v>25.0122</v>
      </c>
      <c r="D417" s="17">
        <f>24.9704 * CHOOSE(CONTROL!$C$15, $E$9, 100%, $G$9) + CHOOSE(CONTROL!$C$38, 0.034, 0)</f>
        <v>25.0044</v>
      </c>
      <c r="E417" s="17">
        <f>24.9704 * CHOOSE(CONTROL!$C$15, $E$9, 100%, $G$9) + CHOOSE(CONTROL!$C$38, 0.034, 0)</f>
        <v>25.0044</v>
      </c>
      <c r="F417" s="45">
        <f>27.3022 * CHOOSE(CONTROL!$C$15, $E$9, 100%, $G$9) + CHOOSE(CONTROL!$C$38, 0.0339, 0)</f>
        <v>27.336099999999998</v>
      </c>
      <c r="G417" s="17">
        <f>24.9766 * CHOOSE(CONTROL!$C$15, $E$9, 100%, $G$9) + CHOOSE(CONTROL!$C$38, 0.034, 0)</f>
        <v>25.0106</v>
      </c>
      <c r="H417" s="17">
        <f>24.9766 * CHOOSE(CONTROL!$C$15, $E$9, 100%, $G$9) + CHOOSE(CONTROL!$C$38, 0.034, 0)</f>
        <v>25.0106</v>
      </c>
      <c r="I417" s="17">
        <f>24.9782 * CHOOSE(CONTROL!$C$15, $E$9, 100%, $G$9) + CHOOSE(CONTROL!$C$38, 0.034, 0)</f>
        <v>25.0122</v>
      </c>
      <c r="J417" s="44">
        <f>190.0984</f>
        <v>190.0984</v>
      </c>
    </row>
    <row r="418" spans="1:10" ht="15.75" x14ac:dyDescent="0.25">
      <c r="A418" s="14">
        <v>53296</v>
      </c>
      <c r="B418" s="17">
        <f>27.6114 * CHOOSE(CONTROL!$C$15, $E$9, 100%, $G$9) + CHOOSE(CONTROL!$C$38, 0.0339, 0)</f>
        <v>27.645299999999999</v>
      </c>
      <c r="C418" s="17">
        <f>25.2874 * CHOOSE(CONTROL!$C$15, $E$9, 100%, $G$9) + CHOOSE(CONTROL!$C$38, 0.034, 0)</f>
        <v>25.321400000000001</v>
      </c>
      <c r="D418" s="17">
        <f>25.2796 * CHOOSE(CONTROL!$C$15, $E$9, 100%, $G$9) + CHOOSE(CONTROL!$C$38, 0.034, 0)</f>
        <v>25.313599999999997</v>
      </c>
      <c r="E418" s="17">
        <f>25.2796 * CHOOSE(CONTROL!$C$15, $E$9, 100%, $G$9) + CHOOSE(CONTROL!$C$38, 0.034, 0)</f>
        <v>25.313599999999997</v>
      </c>
      <c r="F418" s="45">
        <f>27.6114 * CHOOSE(CONTROL!$C$15, $E$9, 100%, $G$9) + CHOOSE(CONTROL!$C$38, 0.0339, 0)</f>
        <v>27.645299999999999</v>
      </c>
      <c r="G418" s="17">
        <f>25.2859 * CHOOSE(CONTROL!$C$15, $E$9, 100%, $G$9) + CHOOSE(CONTROL!$C$38, 0.034, 0)</f>
        <v>25.319900000000001</v>
      </c>
      <c r="H418" s="17">
        <f>25.2859 * CHOOSE(CONTROL!$C$15, $E$9, 100%, $G$9) + CHOOSE(CONTROL!$C$38, 0.034, 0)</f>
        <v>25.319900000000001</v>
      </c>
      <c r="I418" s="17">
        <f>25.2874 * CHOOSE(CONTROL!$C$15, $E$9, 100%, $G$9) + CHOOSE(CONTROL!$C$38, 0.034, 0)</f>
        <v>25.321400000000001</v>
      </c>
      <c r="J418" s="44">
        <f>188.7439</f>
        <v>188.7439</v>
      </c>
    </row>
    <row r="419" spans="1:10" ht="15.75" x14ac:dyDescent="0.25">
      <c r="A419" s="14">
        <v>53327</v>
      </c>
      <c r="B419" s="17">
        <f>28.5643 * CHOOSE(CONTROL!$C$15, $E$9, 100%, $G$9) + CHOOSE(CONTROL!$C$38, 0.0339, 0)</f>
        <v>28.598199999999999</v>
      </c>
      <c r="C419" s="17">
        <f>26.2403 * CHOOSE(CONTROL!$C$15, $E$9, 100%, $G$9) + CHOOSE(CONTROL!$C$38, 0.034, 0)</f>
        <v>26.2743</v>
      </c>
      <c r="D419" s="17">
        <f>26.2325 * CHOOSE(CONTROL!$C$15, $E$9, 100%, $G$9) + CHOOSE(CONTROL!$C$38, 0.034, 0)</f>
        <v>26.266500000000001</v>
      </c>
      <c r="E419" s="17">
        <f>26.2325 * CHOOSE(CONTROL!$C$15, $E$9, 100%, $G$9) + CHOOSE(CONTROL!$C$38, 0.034, 0)</f>
        <v>26.266500000000001</v>
      </c>
      <c r="F419" s="45">
        <f>28.5643 * CHOOSE(CONTROL!$C$15, $E$9, 100%, $G$9) + CHOOSE(CONTROL!$C$38, 0.0339, 0)</f>
        <v>28.598199999999999</v>
      </c>
      <c r="G419" s="17">
        <f>26.2388 * CHOOSE(CONTROL!$C$15, $E$9, 100%, $G$9) + CHOOSE(CONTROL!$C$38, 0.034, 0)</f>
        <v>26.2728</v>
      </c>
      <c r="H419" s="17">
        <f>26.2388 * CHOOSE(CONTROL!$C$15, $E$9, 100%, $G$9) + CHOOSE(CONTROL!$C$38, 0.034, 0)</f>
        <v>26.2728</v>
      </c>
      <c r="I419" s="17">
        <f>26.2403 * CHOOSE(CONTROL!$C$15, $E$9, 100%, $G$9) + CHOOSE(CONTROL!$C$38, 0.034, 0)</f>
        <v>26.2743</v>
      </c>
      <c r="J419" s="44">
        <f>183.1429</f>
        <v>183.1429</v>
      </c>
    </row>
    <row r="420" spans="1:10" ht="15.75" x14ac:dyDescent="0.25">
      <c r="A420" s="14">
        <v>53358</v>
      </c>
      <c r="B420" s="17">
        <f>29.3519 * CHOOSE(CONTROL!$C$15, $E$9, 100%, $G$9) + CHOOSE(CONTROL!$C$38, 0.0339, 0)</f>
        <v>29.3858</v>
      </c>
      <c r="C420" s="17">
        <f>27.025 * CHOOSE(CONTROL!$C$15, $E$9, 100%, $G$9) + CHOOSE(CONTROL!$C$38, 0.034, 0)</f>
        <v>27.058999999999997</v>
      </c>
      <c r="D420" s="17">
        <f>27.0172 * CHOOSE(CONTROL!$C$15, $E$9, 100%, $G$9) + CHOOSE(CONTROL!$C$38, 0.034, 0)</f>
        <v>27.051199999999998</v>
      </c>
      <c r="E420" s="17">
        <f>27.0172 * CHOOSE(CONTROL!$C$15, $E$9, 100%, $G$9) + CHOOSE(CONTROL!$C$38, 0.034, 0)</f>
        <v>27.051199999999998</v>
      </c>
      <c r="F420" s="45">
        <f>29.3519 * CHOOSE(CONTROL!$C$15, $E$9, 100%, $G$9) + CHOOSE(CONTROL!$C$38, 0.0339, 0)</f>
        <v>29.3858</v>
      </c>
      <c r="G420" s="17">
        <f>27.0234 * CHOOSE(CONTROL!$C$15, $E$9, 100%, $G$9) + CHOOSE(CONTROL!$C$38, 0.034, 0)</f>
        <v>27.057399999999998</v>
      </c>
      <c r="H420" s="17">
        <f>27.0234 * CHOOSE(CONTROL!$C$15, $E$9, 100%, $G$9) + CHOOSE(CONTROL!$C$38, 0.034, 0)</f>
        <v>27.057399999999998</v>
      </c>
      <c r="I420" s="17">
        <f>27.025 * CHOOSE(CONTROL!$C$15, $E$9, 100%, $G$9) + CHOOSE(CONTROL!$C$38, 0.034, 0)</f>
        <v>27.058999999999997</v>
      </c>
      <c r="J420" s="44">
        <f>180.4347</f>
        <v>180.43469999999999</v>
      </c>
    </row>
    <row r="421" spans="1:10" ht="15.75" x14ac:dyDescent="0.25">
      <c r="A421" s="14">
        <v>53386</v>
      </c>
      <c r="B421" s="17">
        <f>29.7048 * CHOOSE(CONTROL!$C$15, $E$9, 100%, $G$9) + CHOOSE(CONTROL!$C$38, 0.0339, 0)</f>
        <v>29.738699999999998</v>
      </c>
      <c r="C421" s="17">
        <f>27.3779 * CHOOSE(CONTROL!$C$15, $E$9, 100%, $G$9) + CHOOSE(CONTROL!$C$38, 0.034, 0)</f>
        <v>27.411899999999999</v>
      </c>
      <c r="D421" s="17">
        <f>27.3701 * CHOOSE(CONTROL!$C$15, $E$9, 100%, $G$9) + CHOOSE(CONTROL!$C$38, 0.034, 0)</f>
        <v>27.4041</v>
      </c>
      <c r="E421" s="17">
        <f>27.3701 * CHOOSE(CONTROL!$C$15, $E$9, 100%, $G$9) + CHOOSE(CONTROL!$C$38, 0.034, 0)</f>
        <v>27.4041</v>
      </c>
      <c r="F421" s="45">
        <f>29.7048 * CHOOSE(CONTROL!$C$15, $E$9, 100%, $G$9) + CHOOSE(CONTROL!$C$38, 0.0339, 0)</f>
        <v>29.738699999999998</v>
      </c>
      <c r="G421" s="17">
        <f>27.3763 * CHOOSE(CONTROL!$C$15, $E$9, 100%, $G$9) + CHOOSE(CONTROL!$C$38, 0.034, 0)</f>
        <v>27.410299999999999</v>
      </c>
      <c r="H421" s="17">
        <f>27.3763 * CHOOSE(CONTROL!$C$15, $E$9, 100%, $G$9) + CHOOSE(CONTROL!$C$38, 0.034, 0)</f>
        <v>27.410299999999999</v>
      </c>
      <c r="I421" s="17">
        <f>27.3779 * CHOOSE(CONTROL!$C$15, $E$9, 100%, $G$9) + CHOOSE(CONTROL!$C$38, 0.034, 0)</f>
        <v>27.411899999999999</v>
      </c>
      <c r="J421" s="44">
        <f>179.9331</f>
        <v>179.9331</v>
      </c>
    </row>
    <row r="422" spans="1:10" ht="15.75" x14ac:dyDescent="0.25">
      <c r="A422" s="14">
        <v>53417</v>
      </c>
      <c r="B422" s="17">
        <f>28.8879 * CHOOSE(CONTROL!$C$15, $E$9, 100%, $G$9) + CHOOSE(CONTROL!$C$38, 0.0339, 0)</f>
        <v>28.921799999999998</v>
      </c>
      <c r="C422" s="17">
        <f>26.5609 * CHOOSE(CONTROL!$C$15, $E$9, 100%, $G$9) + CHOOSE(CONTROL!$C$38, 0.034, 0)</f>
        <v>26.594899999999999</v>
      </c>
      <c r="D422" s="17">
        <f>26.5531 * CHOOSE(CONTROL!$C$15, $E$9, 100%, $G$9) + CHOOSE(CONTROL!$C$38, 0.034, 0)</f>
        <v>26.5871</v>
      </c>
      <c r="E422" s="17">
        <f>26.5531 * CHOOSE(CONTROL!$C$15, $E$9, 100%, $G$9) + CHOOSE(CONTROL!$C$38, 0.034, 0)</f>
        <v>26.5871</v>
      </c>
      <c r="F422" s="45">
        <f>28.8879 * CHOOSE(CONTROL!$C$15, $E$9, 100%, $G$9) + CHOOSE(CONTROL!$C$38, 0.0339, 0)</f>
        <v>28.921799999999998</v>
      </c>
      <c r="G422" s="17">
        <f>26.5594 * CHOOSE(CONTROL!$C$15, $E$9, 100%, $G$9) + CHOOSE(CONTROL!$C$38, 0.034, 0)</f>
        <v>26.593399999999999</v>
      </c>
      <c r="H422" s="17">
        <f>26.5594 * CHOOSE(CONTROL!$C$15, $E$9, 100%, $G$9) + CHOOSE(CONTROL!$C$38, 0.034, 0)</f>
        <v>26.593399999999999</v>
      </c>
      <c r="I422" s="17">
        <f>26.5609 * CHOOSE(CONTROL!$C$15, $E$9, 100%, $G$9) + CHOOSE(CONTROL!$C$38, 0.034, 0)</f>
        <v>26.594899999999999</v>
      </c>
      <c r="J422" s="44">
        <f>189.4166</f>
        <v>189.41659999999999</v>
      </c>
    </row>
    <row r="423" spans="1:10" ht="15.75" x14ac:dyDescent="0.25">
      <c r="A423" s="14">
        <v>53447</v>
      </c>
      <c r="B423" s="17">
        <f>28.0962 * CHOOSE(CONTROL!$C$15, $E$9, 100%, $G$9) + CHOOSE(CONTROL!$C$38, 0.0339, 0)</f>
        <v>28.130099999999999</v>
      </c>
      <c r="C423" s="17">
        <f>25.7693 * CHOOSE(CONTROL!$C$15, $E$9, 100%, $G$9) + CHOOSE(CONTROL!$C$38, 0.034, 0)</f>
        <v>25.8033</v>
      </c>
      <c r="D423" s="17">
        <f>25.7615 * CHOOSE(CONTROL!$C$15, $E$9, 100%, $G$9) + CHOOSE(CONTROL!$C$38, 0.034, 0)</f>
        <v>25.795500000000001</v>
      </c>
      <c r="E423" s="17">
        <f>25.7615 * CHOOSE(CONTROL!$C$15, $E$9, 100%, $G$9) + CHOOSE(CONTROL!$C$38, 0.034, 0)</f>
        <v>25.795500000000001</v>
      </c>
      <c r="F423" s="45">
        <f>28.0962 * CHOOSE(CONTROL!$C$15, $E$9, 100%, $G$9) + CHOOSE(CONTROL!$C$38, 0.0339, 0)</f>
        <v>28.130099999999999</v>
      </c>
      <c r="G423" s="17">
        <f>25.7678 * CHOOSE(CONTROL!$C$15, $E$9, 100%, $G$9) + CHOOSE(CONTROL!$C$38, 0.034, 0)</f>
        <v>25.8018</v>
      </c>
      <c r="H423" s="17">
        <f>25.7678 * CHOOSE(CONTROL!$C$15, $E$9, 100%, $G$9) + CHOOSE(CONTROL!$C$38, 0.034, 0)</f>
        <v>25.8018</v>
      </c>
      <c r="I423" s="17">
        <f>25.7693 * CHOOSE(CONTROL!$C$15, $E$9, 100%, $G$9) + CHOOSE(CONTROL!$C$38, 0.034, 0)</f>
        <v>25.8033</v>
      </c>
      <c r="J423" s="44">
        <f>201.7145</f>
        <v>201.71449999999999</v>
      </c>
    </row>
    <row r="424" spans="1:10" ht="15.75" x14ac:dyDescent="0.25">
      <c r="A424" s="14">
        <v>53478</v>
      </c>
      <c r="B424" s="17">
        <f>27.2712 * CHOOSE(CONTROL!$C$15, $E$9, 100%, $G$9) + CHOOSE(CONTROL!$C$38, 0.0355, 0)</f>
        <v>27.306699999999999</v>
      </c>
      <c r="C424" s="17">
        <f>24.9442 * CHOOSE(CONTROL!$C$15, $E$9, 100%, $G$9) + CHOOSE(CONTROL!$C$38, 0.0356, 0)</f>
        <v>24.979799999999997</v>
      </c>
      <c r="D424" s="17">
        <f>24.9364 * CHOOSE(CONTROL!$C$15, $E$9, 100%, $G$9) + CHOOSE(CONTROL!$C$38, 0.0356, 0)</f>
        <v>24.971999999999998</v>
      </c>
      <c r="E424" s="17">
        <f>24.9364 * CHOOSE(CONTROL!$C$15, $E$9, 100%, $G$9) + CHOOSE(CONTROL!$C$38, 0.0356, 0)</f>
        <v>24.971999999999998</v>
      </c>
      <c r="F424" s="45">
        <f>27.2712 * CHOOSE(CONTROL!$C$15, $E$9, 100%, $G$9) + CHOOSE(CONTROL!$C$38, 0.0355, 0)</f>
        <v>27.306699999999999</v>
      </c>
      <c r="G424" s="17">
        <f>24.9427 * CHOOSE(CONTROL!$C$15, $E$9, 100%, $G$9) + CHOOSE(CONTROL!$C$38, 0.0356, 0)</f>
        <v>24.978299999999997</v>
      </c>
      <c r="H424" s="17">
        <f>24.9427 * CHOOSE(CONTROL!$C$15, $E$9, 100%, $G$9) + CHOOSE(CONTROL!$C$38, 0.0356, 0)</f>
        <v>24.978299999999997</v>
      </c>
      <c r="I424" s="17">
        <f>24.9442 * CHOOSE(CONTROL!$C$15, $E$9, 100%, $G$9) + CHOOSE(CONTROL!$C$38, 0.0356, 0)</f>
        <v>24.979799999999997</v>
      </c>
      <c r="J424" s="44">
        <f>208.4836</f>
        <v>208.4836</v>
      </c>
    </row>
    <row r="425" spans="1:10" ht="15.75" x14ac:dyDescent="0.25">
      <c r="A425" s="14">
        <v>53508</v>
      </c>
      <c r="B425" s="17">
        <f>26.6927 * CHOOSE(CONTROL!$C$15, $E$9, 100%, $G$9) + CHOOSE(CONTROL!$C$38, 0.0355, 0)</f>
        <v>26.728199999999998</v>
      </c>
      <c r="C425" s="17">
        <f>24.3658 * CHOOSE(CONTROL!$C$15, $E$9, 100%, $G$9) + CHOOSE(CONTROL!$C$38, 0.0356, 0)</f>
        <v>24.401399999999999</v>
      </c>
      <c r="D425" s="17">
        <f>24.358 * CHOOSE(CONTROL!$C$15, $E$9, 100%, $G$9) + CHOOSE(CONTROL!$C$38, 0.0356, 0)</f>
        <v>24.393599999999999</v>
      </c>
      <c r="E425" s="17">
        <f>24.358 * CHOOSE(CONTROL!$C$15, $E$9, 100%, $G$9) + CHOOSE(CONTROL!$C$38, 0.0356, 0)</f>
        <v>24.393599999999999</v>
      </c>
      <c r="F425" s="45">
        <f>26.6927 * CHOOSE(CONTROL!$C$15, $E$9, 100%, $G$9) + CHOOSE(CONTROL!$C$38, 0.0355, 0)</f>
        <v>26.728199999999998</v>
      </c>
      <c r="G425" s="17">
        <f>24.3642 * CHOOSE(CONTROL!$C$15, $E$9, 100%, $G$9) + CHOOSE(CONTROL!$C$38, 0.0356, 0)</f>
        <v>24.399799999999999</v>
      </c>
      <c r="H425" s="17">
        <f>24.3642 * CHOOSE(CONTROL!$C$15, $E$9, 100%, $G$9) + CHOOSE(CONTROL!$C$38, 0.0356, 0)</f>
        <v>24.399799999999999</v>
      </c>
      <c r="I425" s="17">
        <f>24.3658 * CHOOSE(CONTROL!$C$15, $E$9, 100%, $G$9) + CHOOSE(CONTROL!$C$38, 0.0356, 0)</f>
        <v>24.401399999999999</v>
      </c>
      <c r="J425" s="44">
        <f>211.4876</f>
        <v>211.48759999999999</v>
      </c>
    </row>
    <row r="426" spans="1:10" ht="15.75" x14ac:dyDescent="0.25">
      <c r="A426" s="14">
        <v>53539</v>
      </c>
      <c r="B426" s="17">
        <f>26.3626 * CHOOSE(CONTROL!$C$15, $E$9, 100%, $G$9) + CHOOSE(CONTROL!$C$38, 0.0355, 0)</f>
        <v>26.398099999999999</v>
      </c>
      <c r="C426" s="17">
        <f>24.0357 * CHOOSE(CONTROL!$C$15, $E$9, 100%, $G$9) + CHOOSE(CONTROL!$C$38, 0.0356, 0)</f>
        <v>24.071299999999997</v>
      </c>
      <c r="D426" s="17">
        <f>24.0279 * CHOOSE(CONTROL!$C$15, $E$9, 100%, $G$9) + CHOOSE(CONTROL!$C$38, 0.0356, 0)</f>
        <v>24.063499999999998</v>
      </c>
      <c r="E426" s="17">
        <f>24.0279 * CHOOSE(CONTROL!$C$15, $E$9, 100%, $G$9) + CHOOSE(CONTROL!$C$38, 0.0356, 0)</f>
        <v>24.063499999999998</v>
      </c>
      <c r="F426" s="45">
        <f>26.3626 * CHOOSE(CONTROL!$C$15, $E$9, 100%, $G$9) + CHOOSE(CONTROL!$C$38, 0.0355, 0)</f>
        <v>26.398099999999999</v>
      </c>
      <c r="G426" s="17">
        <f>24.0341 * CHOOSE(CONTROL!$C$15, $E$9, 100%, $G$9) + CHOOSE(CONTROL!$C$38, 0.0356, 0)</f>
        <v>24.069699999999997</v>
      </c>
      <c r="H426" s="17">
        <f>24.0341 * CHOOSE(CONTROL!$C$15, $E$9, 100%, $G$9) + CHOOSE(CONTROL!$C$38, 0.0356, 0)</f>
        <v>24.069699999999997</v>
      </c>
      <c r="I426" s="17">
        <f>24.0357 * CHOOSE(CONTROL!$C$15, $E$9, 100%, $G$9) + CHOOSE(CONTROL!$C$38, 0.0356, 0)</f>
        <v>24.071299999999997</v>
      </c>
      <c r="J426" s="44">
        <f>210.4986</f>
        <v>210.49860000000001</v>
      </c>
    </row>
    <row r="427" spans="1:10" ht="15.75" x14ac:dyDescent="0.25">
      <c r="A427" s="14">
        <v>53570</v>
      </c>
      <c r="B427" s="17">
        <f>26.5255 * CHOOSE(CONTROL!$C$15, $E$9, 100%, $G$9) + CHOOSE(CONTROL!$C$38, 0.0355, 0)</f>
        <v>26.561</v>
      </c>
      <c r="C427" s="17">
        <f>24.1986 * CHOOSE(CONTROL!$C$15, $E$9, 100%, $G$9) + CHOOSE(CONTROL!$C$38, 0.0356, 0)</f>
        <v>24.234199999999998</v>
      </c>
      <c r="D427" s="17">
        <f>24.1908 * CHOOSE(CONTROL!$C$15, $E$9, 100%, $G$9) + CHOOSE(CONTROL!$C$38, 0.0356, 0)</f>
        <v>24.226399999999998</v>
      </c>
      <c r="E427" s="17">
        <f>24.1908 * CHOOSE(CONTROL!$C$15, $E$9, 100%, $G$9) + CHOOSE(CONTROL!$C$38, 0.0356, 0)</f>
        <v>24.226399999999998</v>
      </c>
      <c r="F427" s="45">
        <f>26.5255 * CHOOSE(CONTROL!$C$15, $E$9, 100%, $G$9) + CHOOSE(CONTROL!$C$38, 0.0355, 0)</f>
        <v>26.561</v>
      </c>
      <c r="G427" s="17">
        <f>24.197 * CHOOSE(CONTROL!$C$15, $E$9, 100%, $G$9) + CHOOSE(CONTROL!$C$38, 0.0356, 0)</f>
        <v>24.232599999999998</v>
      </c>
      <c r="H427" s="17">
        <f>24.197 * CHOOSE(CONTROL!$C$15, $E$9, 100%, $G$9) + CHOOSE(CONTROL!$C$38, 0.0356, 0)</f>
        <v>24.232599999999998</v>
      </c>
      <c r="I427" s="17">
        <f>24.1986 * CHOOSE(CONTROL!$C$15, $E$9, 100%, $G$9) + CHOOSE(CONTROL!$C$38, 0.0356, 0)</f>
        <v>24.234199999999998</v>
      </c>
      <c r="J427" s="44">
        <f>205.5983</f>
        <v>205.59829999999999</v>
      </c>
    </row>
    <row r="428" spans="1:10" ht="15.75" x14ac:dyDescent="0.25">
      <c r="A428" s="14">
        <v>53600</v>
      </c>
      <c r="B428" s="17">
        <f>26.968 * CHOOSE(CONTROL!$C$15, $E$9, 100%, $G$9) + CHOOSE(CONTROL!$C$38, 0.0355, 0)</f>
        <v>27.003499999999999</v>
      </c>
      <c r="C428" s="17">
        <f>24.6411 * CHOOSE(CONTROL!$C$15, $E$9, 100%, $G$9) + CHOOSE(CONTROL!$C$38, 0.0356, 0)</f>
        <v>24.6767</v>
      </c>
      <c r="D428" s="17">
        <f>24.6333 * CHOOSE(CONTROL!$C$15, $E$9, 100%, $G$9) + CHOOSE(CONTROL!$C$38, 0.0356, 0)</f>
        <v>24.668899999999997</v>
      </c>
      <c r="E428" s="17">
        <f>24.6333 * CHOOSE(CONTROL!$C$15, $E$9, 100%, $G$9) + CHOOSE(CONTROL!$C$38, 0.0356, 0)</f>
        <v>24.668899999999997</v>
      </c>
      <c r="F428" s="45">
        <f>26.968 * CHOOSE(CONTROL!$C$15, $E$9, 100%, $G$9) + CHOOSE(CONTROL!$C$38, 0.0355, 0)</f>
        <v>27.003499999999999</v>
      </c>
      <c r="G428" s="17">
        <f>24.6395 * CHOOSE(CONTROL!$C$15, $E$9, 100%, $G$9) + CHOOSE(CONTROL!$C$38, 0.0356, 0)</f>
        <v>24.6751</v>
      </c>
      <c r="H428" s="17">
        <f>24.6395 * CHOOSE(CONTROL!$C$15, $E$9, 100%, $G$9) + CHOOSE(CONTROL!$C$38, 0.0356, 0)</f>
        <v>24.6751</v>
      </c>
      <c r="I428" s="17">
        <f>24.6411 * CHOOSE(CONTROL!$C$15, $E$9, 100%, $G$9) + CHOOSE(CONTROL!$C$38, 0.0356, 0)</f>
        <v>24.6767</v>
      </c>
      <c r="J428" s="44">
        <f>198.7645</f>
        <v>198.7645</v>
      </c>
    </row>
    <row r="429" spans="1:10" ht="15.75" x14ac:dyDescent="0.25">
      <c r="A429" s="14">
        <v>53631</v>
      </c>
      <c r="B429" s="17">
        <f>27.3386 * CHOOSE(CONTROL!$C$15, $E$9, 100%, $G$9) + CHOOSE(CONTROL!$C$38, 0.0339, 0)</f>
        <v>27.372499999999999</v>
      </c>
      <c r="C429" s="17">
        <f>25.0117 * CHOOSE(CONTROL!$C$15, $E$9, 100%, $G$9) + CHOOSE(CONTROL!$C$38, 0.034, 0)</f>
        <v>25.0457</v>
      </c>
      <c r="D429" s="17">
        <f>25.0039 * CHOOSE(CONTROL!$C$15, $E$9, 100%, $G$9) + CHOOSE(CONTROL!$C$38, 0.034, 0)</f>
        <v>25.0379</v>
      </c>
      <c r="E429" s="17">
        <f>25.0039 * CHOOSE(CONTROL!$C$15, $E$9, 100%, $G$9) + CHOOSE(CONTROL!$C$38, 0.034, 0)</f>
        <v>25.0379</v>
      </c>
      <c r="F429" s="45">
        <f>27.3386 * CHOOSE(CONTROL!$C$15, $E$9, 100%, $G$9) + CHOOSE(CONTROL!$C$38, 0.0339, 0)</f>
        <v>27.372499999999999</v>
      </c>
      <c r="G429" s="17">
        <f>25.0101 * CHOOSE(CONTROL!$C$15, $E$9, 100%, $G$9) + CHOOSE(CONTROL!$C$38, 0.034, 0)</f>
        <v>25.0441</v>
      </c>
      <c r="H429" s="17">
        <f>25.0101 * CHOOSE(CONTROL!$C$15, $E$9, 100%, $G$9) + CHOOSE(CONTROL!$C$38, 0.034, 0)</f>
        <v>25.0441</v>
      </c>
      <c r="I429" s="17">
        <f>25.0117 * CHOOSE(CONTROL!$C$15, $E$9, 100%, $G$9) + CHOOSE(CONTROL!$C$38, 0.034, 0)</f>
        <v>25.0457</v>
      </c>
      <c r="J429" s="44">
        <f>191.891</f>
        <v>191.89099999999999</v>
      </c>
    </row>
    <row r="430" spans="1:10" ht="15.75" x14ac:dyDescent="0.25">
      <c r="A430" s="14">
        <v>53661</v>
      </c>
      <c r="B430" s="17">
        <f>27.6479 * CHOOSE(CONTROL!$C$15, $E$9, 100%, $G$9) + CHOOSE(CONTROL!$C$38, 0.0339, 0)</f>
        <v>27.681799999999999</v>
      </c>
      <c r="C430" s="17">
        <f>25.3209 * CHOOSE(CONTROL!$C$15, $E$9, 100%, $G$9) + CHOOSE(CONTROL!$C$38, 0.034, 0)</f>
        <v>25.354900000000001</v>
      </c>
      <c r="D430" s="17">
        <f>25.3131 * CHOOSE(CONTROL!$C$15, $E$9, 100%, $G$9) + CHOOSE(CONTROL!$C$38, 0.034, 0)</f>
        <v>25.347099999999998</v>
      </c>
      <c r="E430" s="17">
        <f>25.3131 * CHOOSE(CONTROL!$C$15, $E$9, 100%, $G$9) + CHOOSE(CONTROL!$C$38, 0.034, 0)</f>
        <v>25.347099999999998</v>
      </c>
      <c r="F430" s="45">
        <f>27.6479 * CHOOSE(CONTROL!$C$15, $E$9, 100%, $G$9) + CHOOSE(CONTROL!$C$38, 0.0339, 0)</f>
        <v>27.681799999999999</v>
      </c>
      <c r="G430" s="17">
        <f>25.3194 * CHOOSE(CONTROL!$C$15, $E$9, 100%, $G$9) + CHOOSE(CONTROL!$C$38, 0.034, 0)</f>
        <v>25.353400000000001</v>
      </c>
      <c r="H430" s="17">
        <f>25.3194 * CHOOSE(CONTROL!$C$15, $E$9, 100%, $G$9) + CHOOSE(CONTROL!$C$38, 0.034, 0)</f>
        <v>25.353400000000001</v>
      </c>
      <c r="I430" s="17">
        <f>25.3209 * CHOOSE(CONTROL!$C$15, $E$9, 100%, $G$9) + CHOOSE(CONTROL!$C$38, 0.034, 0)</f>
        <v>25.354900000000001</v>
      </c>
      <c r="J430" s="44">
        <f>190.5238</f>
        <v>190.52379999999999</v>
      </c>
    </row>
    <row r="431" spans="1:10" ht="15.75" x14ac:dyDescent="0.25">
      <c r="A431" s="14">
        <v>53692</v>
      </c>
      <c r="B431" s="17">
        <f>28.6008 * CHOOSE(CONTROL!$C$15, $E$9, 100%, $G$9) + CHOOSE(CONTROL!$C$38, 0.0339, 0)</f>
        <v>28.634699999999999</v>
      </c>
      <c r="C431" s="17">
        <f>26.2739 * CHOOSE(CONTROL!$C$15, $E$9, 100%, $G$9) + CHOOSE(CONTROL!$C$38, 0.034, 0)</f>
        <v>26.3079</v>
      </c>
      <c r="D431" s="17">
        <f>26.266 * CHOOSE(CONTROL!$C$15, $E$9, 100%, $G$9) + CHOOSE(CONTROL!$C$38, 0.034, 0)</f>
        <v>26.299999999999997</v>
      </c>
      <c r="E431" s="17">
        <f>26.266 * CHOOSE(CONTROL!$C$15, $E$9, 100%, $G$9) + CHOOSE(CONTROL!$C$38, 0.034, 0)</f>
        <v>26.299999999999997</v>
      </c>
      <c r="F431" s="45">
        <f>28.6008 * CHOOSE(CONTROL!$C$15, $E$9, 100%, $G$9) + CHOOSE(CONTROL!$C$38, 0.0339, 0)</f>
        <v>28.634699999999999</v>
      </c>
      <c r="G431" s="17">
        <f>26.2723 * CHOOSE(CONTROL!$C$15, $E$9, 100%, $G$9) + CHOOSE(CONTROL!$C$38, 0.034, 0)</f>
        <v>26.3063</v>
      </c>
      <c r="H431" s="17">
        <f>26.2723 * CHOOSE(CONTROL!$C$15, $E$9, 100%, $G$9) + CHOOSE(CONTROL!$C$38, 0.034, 0)</f>
        <v>26.3063</v>
      </c>
      <c r="I431" s="17">
        <f>26.2739 * CHOOSE(CONTROL!$C$15, $E$9, 100%, $G$9) + CHOOSE(CONTROL!$C$38, 0.034, 0)</f>
        <v>26.3079</v>
      </c>
      <c r="J431" s="44">
        <f>184.87</f>
        <v>184.87</v>
      </c>
    </row>
    <row r="432" spans="1:10" ht="15.75" x14ac:dyDescent="0.25">
      <c r="A432" s="14">
        <v>53723</v>
      </c>
      <c r="B432" s="17">
        <f>29.3884 * CHOOSE(CONTROL!$C$15, $E$9, 100%, $G$9) + CHOOSE(CONTROL!$C$38, 0.0339, 0)</f>
        <v>29.4223</v>
      </c>
      <c r="C432" s="17">
        <f>27.0585 * CHOOSE(CONTROL!$C$15, $E$9, 100%, $G$9) + CHOOSE(CONTROL!$C$38, 0.034, 0)</f>
        <v>27.092499999999998</v>
      </c>
      <c r="D432" s="17">
        <f>27.0507 * CHOOSE(CONTROL!$C$15, $E$9, 100%, $G$9) + CHOOSE(CONTROL!$C$38, 0.034, 0)</f>
        <v>27.084699999999998</v>
      </c>
      <c r="E432" s="17">
        <f>27.0507 * CHOOSE(CONTROL!$C$15, $E$9, 100%, $G$9) + CHOOSE(CONTROL!$C$38, 0.034, 0)</f>
        <v>27.084699999999998</v>
      </c>
      <c r="F432" s="45">
        <f>29.3884 * CHOOSE(CONTROL!$C$15, $E$9, 100%, $G$9) + CHOOSE(CONTROL!$C$38, 0.0339, 0)</f>
        <v>29.4223</v>
      </c>
      <c r="G432" s="17">
        <f>27.057 * CHOOSE(CONTROL!$C$15, $E$9, 100%, $G$9) + CHOOSE(CONTROL!$C$38, 0.034, 0)</f>
        <v>27.090999999999998</v>
      </c>
      <c r="H432" s="17">
        <f>27.057 * CHOOSE(CONTROL!$C$15, $E$9, 100%, $G$9) + CHOOSE(CONTROL!$C$38, 0.034, 0)</f>
        <v>27.090999999999998</v>
      </c>
      <c r="I432" s="17">
        <f>27.0585 * CHOOSE(CONTROL!$C$15, $E$9, 100%, $G$9) + CHOOSE(CONTROL!$C$38, 0.034, 0)</f>
        <v>27.092499999999998</v>
      </c>
      <c r="J432" s="44">
        <f>182.1362</f>
        <v>182.1362</v>
      </c>
    </row>
    <row r="433" spans="1:10" ht="15.75" x14ac:dyDescent="0.25">
      <c r="A433" s="14">
        <v>53751</v>
      </c>
      <c r="B433" s="17">
        <f>29.7413 * CHOOSE(CONTROL!$C$15, $E$9, 100%, $G$9) + CHOOSE(CONTROL!$C$38, 0.0339, 0)</f>
        <v>29.775199999999998</v>
      </c>
      <c r="C433" s="17">
        <f>27.4115 * CHOOSE(CONTROL!$C$15, $E$9, 100%, $G$9) + CHOOSE(CONTROL!$C$38, 0.034, 0)</f>
        <v>27.445499999999999</v>
      </c>
      <c r="D433" s="17">
        <f>27.4037 * CHOOSE(CONTROL!$C$15, $E$9, 100%, $G$9) + CHOOSE(CONTROL!$C$38, 0.034, 0)</f>
        <v>27.4377</v>
      </c>
      <c r="E433" s="17">
        <f>27.4037 * CHOOSE(CONTROL!$C$15, $E$9, 100%, $G$9) + CHOOSE(CONTROL!$C$38, 0.034, 0)</f>
        <v>27.4377</v>
      </c>
      <c r="F433" s="45">
        <f>29.7413 * CHOOSE(CONTROL!$C$15, $E$9, 100%, $G$9) + CHOOSE(CONTROL!$C$38, 0.0339, 0)</f>
        <v>29.775199999999998</v>
      </c>
      <c r="G433" s="17">
        <f>27.4099 * CHOOSE(CONTROL!$C$15, $E$9, 100%, $G$9) + CHOOSE(CONTROL!$C$38, 0.034, 0)</f>
        <v>27.443899999999999</v>
      </c>
      <c r="H433" s="17">
        <f>27.4099 * CHOOSE(CONTROL!$C$15, $E$9, 100%, $G$9) + CHOOSE(CONTROL!$C$38, 0.034, 0)</f>
        <v>27.443899999999999</v>
      </c>
      <c r="I433" s="17">
        <f>27.4115 * CHOOSE(CONTROL!$C$15, $E$9, 100%, $G$9) + CHOOSE(CONTROL!$C$38, 0.034, 0)</f>
        <v>27.445499999999999</v>
      </c>
      <c r="J433" s="44">
        <f>181.6299</f>
        <v>181.62989999999999</v>
      </c>
    </row>
    <row r="434" spans="1:10" ht="15.75" x14ac:dyDescent="0.25">
      <c r="A434" s="14">
        <v>53782</v>
      </c>
      <c r="B434" s="17">
        <f>28.9243 * CHOOSE(CONTROL!$C$15, $E$9, 100%, $G$9) + CHOOSE(CONTROL!$C$38, 0.0339, 0)</f>
        <v>28.958199999999998</v>
      </c>
      <c r="C434" s="17">
        <f>26.5945 * CHOOSE(CONTROL!$C$15, $E$9, 100%, $G$9) + CHOOSE(CONTROL!$C$38, 0.034, 0)</f>
        <v>26.628499999999999</v>
      </c>
      <c r="D434" s="17">
        <f>26.5867 * CHOOSE(CONTROL!$C$15, $E$9, 100%, $G$9) + CHOOSE(CONTROL!$C$38, 0.034, 0)</f>
        <v>26.620699999999999</v>
      </c>
      <c r="E434" s="17">
        <f>26.5867 * CHOOSE(CONTROL!$C$15, $E$9, 100%, $G$9) + CHOOSE(CONTROL!$C$38, 0.034, 0)</f>
        <v>26.620699999999999</v>
      </c>
      <c r="F434" s="45">
        <f>28.9243 * CHOOSE(CONTROL!$C$15, $E$9, 100%, $G$9) + CHOOSE(CONTROL!$C$38, 0.0339, 0)</f>
        <v>28.958199999999998</v>
      </c>
      <c r="G434" s="17">
        <f>26.5929 * CHOOSE(CONTROL!$C$15, $E$9, 100%, $G$9) + CHOOSE(CONTROL!$C$38, 0.034, 0)</f>
        <v>26.626899999999999</v>
      </c>
      <c r="H434" s="17">
        <f>26.5929 * CHOOSE(CONTROL!$C$15, $E$9, 100%, $G$9) + CHOOSE(CONTROL!$C$38, 0.034, 0)</f>
        <v>26.626899999999999</v>
      </c>
      <c r="I434" s="17">
        <f>26.5945 * CHOOSE(CONTROL!$C$15, $E$9, 100%, $G$9) + CHOOSE(CONTROL!$C$38, 0.034, 0)</f>
        <v>26.628499999999999</v>
      </c>
      <c r="J434" s="44">
        <f>191.2028</f>
        <v>191.2028</v>
      </c>
    </row>
    <row r="435" spans="1:10" ht="15.75" x14ac:dyDescent="0.25">
      <c r="A435" s="14">
        <v>53812</v>
      </c>
      <c r="B435" s="17">
        <f>28.1327 * CHOOSE(CONTROL!$C$15, $E$9, 100%, $G$9) + CHOOSE(CONTROL!$C$38, 0.0339, 0)</f>
        <v>28.166599999999999</v>
      </c>
      <c r="C435" s="17">
        <f>25.8029 * CHOOSE(CONTROL!$C$15, $E$9, 100%, $G$9) + CHOOSE(CONTROL!$C$38, 0.034, 0)</f>
        <v>25.8369</v>
      </c>
      <c r="D435" s="17">
        <f>25.7951 * CHOOSE(CONTROL!$C$15, $E$9, 100%, $G$9) + CHOOSE(CONTROL!$C$38, 0.034, 0)</f>
        <v>25.8291</v>
      </c>
      <c r="E435" s="17">
        <f>25.7951 * CHOOSE(CONTROL!$C$15, $E$9, 100%, $G$9) + CHOOSE(CONTROL!$C$38, 0.034, 0)</f>
        <v>25.8291</v>
      </c>
      <c r="F435" s="45">
        <f>28.1327 * CHOOSE(CONTROL!$C$15, $E$9, 100%, $G$9) + CHOOSE(CONTROL!$C$38, 0.0339, 0)</f>
        <v>28.166599999999999</v>
      </c>
      <c r="G435" s="17">
        <f>25.8013 * CHOOSE(CONTROL!$C$15, $E$9, 100%, $G$9) + CHOOSE(CONTROL!$C$38, 0.034, 0)</f>
        <v>25.8353</v>
      </c>
      <c r="H435" s="17">
        <f>25.8013 * CHOOSE(CONTROL!$C$15, $E$9, 100%, $G$9) + CHOOSE(CONTROL!$C$38, 0.034, 0)</f>
        <v>25.8353</v>
      </c>
      <c r="I435" s="17">
        <f>25.8029 * CHOOSE(CONTROL!$C$15, $E$9, 100%, $G$9) + CHOOSE(CONTROL!$C$38, 0.034, 0)</f>
        <v>25.8369</v>
      </c>
      <c r="J435" s="44">
        <f>203.6167</f>
        <v>203.61670000000001</v>
      </c>
    </row>
    <row r="436" spans="1:10" ht="15.75" x14ac:dyDescent="0.25">
      <c r="A436" s="14">
        <v>53843</v>
      </c>
      <c r="B436" s="17">
        <f>27.3076 * CHOOSE(CONTROL!$C$15, $E$9, 100%, $G$9) + CHOOSE(CONTROL!$C$38, 0.0355, 0)</f>
        <v>27.3431</v>
      </c>
      <c r="C436" s="17">
        <f>24.9778 * CHOOSE(CONTROL!$C$15, $E$9, 100%, $G$9) + CHOOSE(CONTROL!$C$38, 0.0356, 0)</f>
        <v>25.013399999999997</v>
      </c>
      <c r="D436" s="17">
        <f>24.97 * CHOOSE(CONTROL!$C$15, $E$9, 100%, $G$9) + CHOOSE(CONTROL!$C$38, 0.0356, 0)</f>
        <v>25.005599999999998</v>
      </c>
      <c r="E436" s="17">
        <f>24.97 * CHOOSE(CONTROL!$C$15, $E$9, 100%, $G$9) + CHOOSE(CONTROL!$C$38, 0.0356, 0)</f>
        <v>25.005599999999998</v>
      </c>
      <c r="F436" s="45">
        <f>27.3076 * CHOOSE(CONTROL!$C$15, $E$9, 100%, $G$9) + CHOOSE(CONTROL!$C$38, 0.0355, 0)</f>
        <v>27.3431</v>
      </c>
      <c r="G436" s="17">
        <f>24.9762 * CHOOSE(CONTROL!$C$15, $E$9, 100%, $G$9) + CHOOSE(CONTROL!$C$38, 0.0356, 0)</f>
        <v>25.011799999999997</v>
      </c>
      <c r="H436" s="17">
        <f>24.9762 * CHOOSE(CONTROL!$C$15, $E$9, 100%, $G$9) + CHOOSE(CONTROL!$C$38, 0.0356, 0)</f>
        <v>25.011799999999997</v>
      </c>
      <c r="I436" s="17">
        <f>24.9778 * CHOOSE(CONTROL!$C$15, $E$9, 100%, $G$9) + CHOOSE(CONTROL!$C$38, 0.0356, 0)</f>
        <v>25.013399999999997</v>
      </c>
      <c r="J436" s="44">
        <f>210.4496</f>
        <v>210.4496</v>
      </c>
    </row>
    <row r="437" spans="1:10" ht="15.75" x14ac:dyDescent="0.25">
      <c r="A437" s="14">
        <v>53873</v>
      </c>
      <c r="B437" s="17">
        <f>26.7292 * CHOOSE(CONTROL!$C$15, $E$9, 100%, $G$9) + CHOOSE(CONTROL!$C$38, 0.0355, 0)</f>
        <v>26.764699999999998</v>
      </c>
      <c r="C437" s="17">
        <f>24.3994 * CHOOSE(CONTROL!$C$15, $E$9, 100%, $G$9) + CHOOSE(CONTROL!$C$38, 0.0356, 0)</f>
        <v>24.434999999999999</v>
      </c>
      <c r="D437" s="17">
        <f>24.3915 * CHOOSE(CONTROL!$C$15, $E$9, 100%, $G$9) + CHOOSE(CONTROL!$C$38, 0.0356, 0)</f>
        <v>24.427099999999999</v>
      </c>
      <c r="E437" s="17">
        <f>24.3915 * CHOOSE(CONTROL!$C$15, $E$9, 100%, $G$9) + CHOOSE(CONTROL!$C$38, 0.0356, 0)</f>
        <v>24.427099999999999</v>
      </c>
      <c r="F437" s="45">
        <f>26.7292 * CHOOSE(CONTROL!$C$15, $E$9, 100%, $G$9) + CHOOSE(CONTROL!$C$38, 0.0355, 0)</f>
        <v>26.764699999999998</v>
      </c>
      <c r="G437" s="17">
        <f>24.3978 * CHOOSE(CONTROL!$C$15, $E$9, 100%, $G$9) + CHOOSE(CONTROL!$C$38, 0.0356, 0)</f>
        <v>24.433399999999999</v>
      </c>
      <c r="H437" s="17">
        <f>24.3978 * CHOOSE(CONTROL!$C$15, $E$9, 100%, $G$9) + CHOOSE(CONTROL!$C$38, 0.0356, 0)</f>
        <v>24.433399999999999</v>
      </c>
      <c r="I437" s="17">
        <f>24.3994 * CHOOSE(CONTROL!$C$15, $E$9, 100%, $G$9) + CHOOSE(CONTROL!$C$38, 0.0356, 0)</f>
        <v>24.434999999999999</v>
      </c>
      <c r="J437" s="44">
        <f>213.482</f>
        <v>213.482</v>
      </c>
    </row>
    <row r="438" spans="1:10" ht="15.75" x14ac:dyDescent="0.25">
      <c r="A438" s="14">
        <v>53904</v>
      </c>
      <c r="B438" s="17">
        <f>26.3991 * CHOOSE(CONTROL!$C$15, $E$9, 100%, $G$9) + CHOOSE(CONTROL!$C$38, 0.0355, 0)</f>
        <v>26.4346</v>
      </c>
      <c r="C438" s="17">
        <f>24.0692 * CHOOSE(CONTROL!$C$15, $E$9, 100%, $G$9) + CHOOSE(CONTROL!$C$38, 0.0356, 0)</f>
        <v>24.104799999999997</v>
      </c>
      <c r="D438" s="17">
        <f>24.0614 * CHOOSE(CONTROL!$C$15, $E$9, 100%, $G$9) + CHOOSE(CONTROL!$C$38, 0.0356, 0)</f>
        <v>24.096999999999998</v>
      </c>
      <c r="E438" s="17">
        <f>24.0614 * CHOOSE(CONTROL!$C$15, $E$9, 100%, $G$9) + CHOOSE(CONTROL!$C$38, 0.0356, 0)</f>
        <v>24.096999999999998</v>
      </c>
      <c r="F438" s="45">
        <f>26.3991 * CHOOSE(CONTROL!$C$15, $E$9, 100%, $G$9) + CHOOSE(CONTROL!$C$38, 0.0355, 0)</f>
        <v>26.4346</v>
      </c>
      <c r="G438" s="17">
        <f>24.0677 * CHOOSE(CONTROL!$C$15, $E$9, 100%, $G$9) + CHOOSE(CONTROL!$C$38, 0.0356, 0)</f>
        <v>24.103299999999997</v>
      </c>
      <c r="H438" s="17">
        <f>24.0677 * CHOOSE(CONTROL!$C$15, $E$9, 100%, $G$9) + CHOOSE(CONTROL!$C$38, 0.0356, 0)</f>
        <v>24.103299999999997</v>
      </c>
      <c r="I438" s="17">
        <f>24.0692 * CHOOSE(CONTROL!$C$15, $E$9, 100%, $G$9) + CHOOSE(CONTROL!$C$38, 0.0356, 0)</f>
        <v>24.104799999999997</v>
      </c>
      <c r="J438" s="44">
        <f>212.4836</f>
        <v>212.4836</v>
      </c>
    </row>
    <row r="439" spans="1:10" ht="15.75" x14ac:dyDescent="0.25">
      <c r="A439" s="14">
        <v>53935</v>
      </c>
      <c r="B439" s="17">
        <f>26.562 * CHOOSE(CONTROL!$C$15, $E$9, 100%, $G$9) + CHOOSE(CONTROL!$C$38, 0.0355, 0)</f>
        <v>26.5975</v>
      </c>
      <c r="C439" s="17">
        <f>24.2322 * CHOOSE(CONTROL!$C$15, $E$9, 100%, $G$9) + CHOOSE(CONTROL!$C$38, 0.0356, 0)</f>
        <v>24.267799999999998</v>
      </c>
      <c r="D439" s="17">
        <f>24.2244 * CHOOSE(CONTROL!$C$15, $E$9, 100%, $G$9) + CHOOSE(CONTROL!$C$38, 0.0356, 0)</f>
        <v>24.259999999999998</v>
      </c>
      <c r="E439" s="17">
        <f>24.2244 * CHOOSE(CONTROL!$C$15, $E$9, 100%, $G$9) + CHOOSE(CONTROL!$C$38, 0.0356, 0)</f>
        <v>24.259999999999998</v>
      </c>
      <c r="F439" s="45">
        <f>26.562 * CHOOSE(CONTROL!$C$15, $E$9, 100%, $G$9) + CHOOSE(CONTROL!$C$38, 0.0355, 0)</f>
        <v>26.5975</v>
      </c>
      <c r="G439" s="17">
        <f>24.2306 * CHOOSE(CONTROL!$C$15, $E$9, 100%, $G$9) + CHOOSE(CONTROL!$C$38, 0.0356, 0)</f>
        <v>24.266199999999998</v>
      </c>
      <c r="H439" s="17">
        <f>24.2306 * CHOOSE(CONTROL!$C$15, $E$9, 100%, $G$9) + CHOOSE(CONTROL!$C$38, 0.0356, 0)</f>
        <v>24.266199999999998</v>
      </c>
      <c r="I439" s="17">
        <f>24.2322 * CHOOSE(CONTROL!$C$15, $E$9, 100%, $G$9) + CHOOSE(CONTROL!$C$38, 0.0356, 0)</f>
        <v>24.267799999999998</v>
      </c>
      <c r="J439" s="44">
        <f>207.5371</f>
        <v>207.53710000000001</v>
      </c>
    </row>
    <row r="440" spans="1:10" ht="15.75" x14ac:dyDescent="0.25">
      <c r="A440" s="14">
        <v>53965</v>
      </c>
      <c r="B440" s="17">
        <f>27.0045 * CHOOSE(CONTROL!$C$15, $E$9, 100%, $G$9) + CHOOSE(CONTROL!$C$38, 0.0355, 0)</f>
        <v>27.04</v>
      </c>
      <c r="C440" s="17">
        <f>24.6747 * CHOOSE(CONTROL!$C$15, $E$9, 100%, $G$9) + CHOOSE(CONTROL!$C$38, 0.0356, 0)</f>
        <v>24.7103</v>
      </c>
      <c r="D440" s="17">
        <f>24.6669 * CHOOSE(CONTROL!$C$15, $E$9, 100%, $G$9) + CHOOSE(CONTROL!$C$38, 0.0356, 0)</f>
        <v>24.702499999999997</v>
      </c>
      <c r="E440" s="17">
        <f>24.6669 * CHOOSE(CONTROL!$C$15, $E$9, 100%, $G$9) + CHOOSE(CONTROL!$C$38, 0.0356, 0)</f>
        <v>24.702499999999997</v>
      </c>
      <c r="F440" s="45">
        <f>27.0045 * CHOOSE(CONTROL!$C$15, $E$9, 100%, $G$9) + CHOOSE(CONTROL!$C$38, 0.0355, 0)</f>
        <v>27.04</v>
      </c>
      <c r="G440" s="17">
        <f>24.6731 * CHOOSE(CONTROL!$C$15, $E$9, 100%, $G$9) + CHOOSE(CONTROL!$C$38, 0.0356, 0)</f>
        <v>24.7087</v>
      </c>
      <c r="H440" s="17">
        <f>24.6731 * CHOOSE(CONTROL!$C$15, $E$9, 100%, $G$9) + CHOOSE(CONTROL!$C$38, 0.0356, 0)</f>
        <v>24.7087</v>
      </c>
      <c r="I440" s="17">
        <f>24.6747 * CHOOSE(CONTROL!$C$15, $E$9, 100%, $G$9) + CHOOSE(CONTROL!$C$38, 0.0356, 0)</f>
        <v>24.7103</v>
      </c>
      <c r="J440" s="44">
        <f>200.6389</f>
        <v>200.63890000000001</v>
      </c>
    </row>
    <row r="441" spans="1:10" ht="15.75" x14ac:dyDescent="0.25">
      <c r="A441" s="14">
        <v>53996</v>
      </c>
      <c r="B441" s="17">
        <f>27.3751 * CHOOSE(CONTROL!$C$15, $E$9, 100%, $G$9) + CHOOSE(CONTROL!$C$38, 0.0339, 0)</f>
        <v>27.408999999999999</v>
      </c>
      <c r="C441" s="17">
        <f>25.0453 * CHOOSE(CONTROL!$C$15, $E$9, 100%, $G$9) + CHOOSE(CONTROL!$C$38, 0.034, 0)</f>
        <v>25.0793</v>
      </c>
      <c r="D441" s="17">
        <f>25.0375 * CHOOSE(CONTROL!$C$15, $E$9, 100%, $G$9) + CHOOSE(CONTROL!$C$38, 0.034, 0)</f>
        <v>25.0715</v>
      </c>
      <c r="E441" s="17">
        <f>25.0375 * CHOOSE(CONTROL!$C$15, $E$9, 100%, $G$9) + CHOOSE(CONTROL!$C$38, 0.034, 0)</f>
        <v>25.0715</v>
      </c>
      <c r="F441" s="45">
        <f>27.3751 * CHOOSE(CONTROL!$C$15, $E$9, 100%, $G$9) + CHOOSE(CONTROL!$C$38, 0.0339, 0)</f>
        <v>27.408999999999999</v>
      </c>
      <c r="G441" s="17">
        <f>25.0437 * CHOOSE(CONTROL!$C$15, $E$9, 100%, $G$9) + CHOOSE(CONTROL!$C$38, 0.034, 0)</f>
        <v>25.0777</v>
      </c>
      <c r="H441" s="17">
        <f>25.0437 * CHOOSE(CONTROL!$C$15, $E$9, 100%, $G$9) + CHOOSE(CONTROL!$C$38, 0.034, 0)</f>
        <v>25.0777</v>
      </c>
      <c r="I441" s="17">
        <f>25.0453 * CHOOSE(CONTROL!$C$15, $E$9, 100%, $G$9) + CHOOSE(CONTROL!$C$38, 0.034, 0)</f>
        <v>25.0793</v>
      </c>
      <c r="J441" s="44">
        <f>193.7006</f>
        <v>193.70060000000001</v>
      </c>
    </row>
    <row r="442" spans="1:10" ht="15.75" x14ac:dyDescent="0.25">
      <c r="A442" s="14">
        <v>54026</v>
      </c>
      <c r="B442" s="17">
        <f>27.6844 * CHOOSE(CONTROL!$C$15, $E$9, 100%, $G$9) + CHOOSE(CONTROL!$C$38, 0.0339, 0)</f>
        <v>27.718299999999999</v>
      </c>
      <c r="C442" s="17">
        <f>25.3545 * CHOOSE(CONTROL!$C$15, $E$9, 100%, $G$9) + CHOOSE(CONTROL!$C$38, 0.034, 0)</f>
        <v>25.388500000000001</v>
      </c>
      <c r="D442" s="17">
        <f>25.3467 * CHOOSE(CONTROL!$C$15, $E$9, 100%, $G$9) + CHOOSE(CONTROL!$C$38, 0.034, 0)</f>
        <v>25.380699999999997</v>
      </c>
      <c r="E442" s="17">
        <f>25.3467 * CHOOSE(CONTROL!$C$15, $E$9, 100%, $G$9) + CHOOSE(CONTROL!$C$38, 0.034, 0)</f>
        <v>25.380699999999997</v>
      </c>
      <c r="F442" s="45">
        <f>27.6844 * CHOOSE(CONTROL!$C$15, $E$9, 100%, $G$9) + CHOOSE(CONTROL!$C$38, 0.0339, 0)</f>
        <v>27.718299999999999</v>
      </c>
      <c r="G442" s="17">
        <f>25.353 * CHOOSE(CONTROL!$C$15, $E$9, 100%, $G$9) + CHOOSE(CONTROL!$C$38, 0.034, 0)</f>
        <v>25.387</v>
      </c>
      <c r="H442" s="17">
        <f>25.353 * CHOOSE(CONTROL!$C$15, $E$9, 100%, $G$9) + CHOOSE(CONTROL!$C$38, 0.034, 0)</f>
        <v>25.387</v>
      </c>
      <c r="I442" s="17">
        <f>25.3545 * CHOOSE(CONTROL!$C$15, $E$9, 100%, $G$9) + CHOOSE(CONTROL!$C$38, 0.034, 0)</f>
        <v>25.388500000000001</v>
      </c>
      <c r="J442" s="44">
        <f>192.3204</f>
        <v>192.32040000000001</v>
      </c>
    </row>
    <row r="443" spans="1:10" ht="15.75" x14ac:dyDescent="0.25">
      <c r="A443" s="14">
        <v>54057</v>
      </c>
      <c r="B443" s="17">
        <f>28.6373 * CHOOSE(CONTROL!$C$15, $E$9, 100%, $G$9) + CHOOSE(CONTROL!$C$38, 0.0339, 0)</f>
        <v>28.671199999999999</v>
      </c>
      <c r="C443" s="17">
        <f>26.3074 * CHOOSE(CONTROL!$C$15, $E$9, 100%, $G$9) + CHOOSE(CONTROL!$C$38, 0.034, 0)</f>
        <v>26.3414</v>
      </c>
      <c r="D443" s="17">
        <f>26.2996 * CHOOSE(CONTROL!$C$15, $E$9, 100%, $G$9) + CHOOSE(CONTROL!$C$38, 0.034, 0)</f>
        <v>26.333600000000001</v>
      </c>
      <c r="E443" s="17">
        <f>26.2996 * CHOOSE(CONTROL!$C$15, $E$9, 100%, $G$9) + CHOOSE(CONTROL!$C$38, 0.034, 0)</f>
        <v>26.333600000000001</v>
      </c>
      <c r="F443" s="45">
        <f>28.6373 * CHOOSE(CONTROL!$C$15, $E$9, 100%, $G$9) + CHOOSE(CONTROL!$C$38, 0.0339, 0)</f>
        <v>28.671199999999999</v>
      </c>
      <c r="G443" s="17">
        <f>26.3059 * CHOOSE(CONTROL!$C$15, $E$9, 100%, $G$9) + CHOOSE(CONTROL!$C$38, 0.034, 0)</f>
        <v>26.3399</v>
      </c>
      <c r="H443" s="17">
        <f>26.3059 * CHOOSE(CONTROL!$C$15, $E$9, 100%, $G$9) + CHOOSE(CONTROL!$C$38, 0.034, 0)</f>
        <v>26.3399</v>
      </c>
      <c r="I443" s="17">
        <f>26.3074 * CHOOSE(CONTROL!$C$15, $E$9, 100%, $G$9) + CHOOSE(CONTROL!$C$38, 0.034, 0)</f>
        <v>26.3414</v>
      </c>
      <c r="J443" s="44">
        <f>186.6133</f>
        <v>186.61330000000001</v>
      </c>
    </row>
    <row r="444" spans="1:10" ht="15.75" x14ac:dyDescent="0.25">
      <c r="A444" s="14">
        <v>54088</v>
      </c>
      <c r="B444" s="17">
        <f>29.4249 * CHOOSE(CONTROL!$C$15, $E$9, 100%, $G$9) + CHOOSE(CONTROL!$C$38, 0.0339, 0)</f>
        <v>29.4588</v>
      </c>
      <c r="C444" s="17">
        <f>27.0922 * CHOOSE(CONTROL!$C$15, $E$9, 100%, $G$9) + CHOOSE(CONTROL!$C$38, 0.034, 0)</f>
        <v>27.126199999999997</v>
      </c>
      <c r="D444" s="17">
        <f>27.0843 * CHOOSE(CONTROL!$C$15, $E$9, 100%, $G$9) + CHOOSE(CONTROL!$C$38, 0.034, 0)</f>
        <v>27.118299999999998</v>
      </c>
      <c r="E444" s="17">
        <f>27.0843 * CHOOSE(CONTROL!$C$15, $E$9, 100%, $G$9) + CHOOSE(CONTROL!$C$38, 0.034, 0)</f>
        <v>27.118299999999998</v>
      </c>
      <c r="F444" s="45">
        <f>29.4249 * CHOOSE(CONTROL!$C$15, $E$9, 100%, $G$9) + CHOOSE(CONTROL!$C$38, 0.0339, 0)</f>
        <v>29.4588</v>
      </c>
      <c r="G444" s="17">
        <f>27.0906 * CHOOSE(CONTROL!$C$15, $E$9, 100%, $G$9) + CHOOSE(CONTROL!$C$38, 0.034, 0)</f>
        <v>27.124599999999997</v>
      </c>
      <c r="H444" s="17">
        <f>27.0906 * CHOOSE(CONTROL!$C$15, $E$9, 100%, $G$9) + CHOOSE(CONTROL!$C$38, 0.034, 0)</f>
        <v>27.124599999999997</v>
      </c>
      <c r="I444" s="17">
        <f>27.0922 * CHOOSE(CONTROL!$C$15, $E$9, 100%, $G$9) + CHOOSE(CONTROL!$C$38, 0.034, 0)</f>
        <v>27.126199999999997</v>
      </c>
      <c r="J444" s="44">
        <f>183.8537</f>
        <v>183.8537</v>
      </c>
    </row>
    <row r="445" spans="1:10" ht="15.75" x14ac:dyDescent="0.25">
      <c r="A445" s="14">
        <v>54116</v>
      </c>
      <c r="B445" s="17">
        <f>29.7778 * CHOOSE(CONTROL!$C$15, $E$9, 100%, $G$9) + CHOOSE(CONTROL!$C$38, 0.0339, 0)</f>
        <v>29.811699999999998</v>
      </c>
      <c r="C445" s="17">
        <f>27.4451 * CHOOSE(CONTROL!$C$15, $E$9, 100%, $G$9) + CHOOSE(CONTROL!$C$38, 0.034, 0)</f>
        <v>27.479099999999999</v>
      </c>
      <c r="D445" s="17">
        <f>27.4373 * CHOOSE(CONTROL!$C$15, $E$9, 100%, $G$9) + CHOOSE(CONTROL!$C$38, 0.034, 0)</f>
        <v>27.471299999999999</v>
      </c>
      <c r="E445" s="17">
        <f>27.4373 * CHOOSE(CONTROL!$C$15, $E$9, 100%, $G$9) + CHOOSE(CONTROL!$C$38, 0.034, 0)</f>
        <v>27.471299999999999</v>
      </c>
      <c r="F445" s="45">
        <f>29.7778 * CHOOSE(CONTROL!$C$15, $E$9, 100%, $G$9) + CHOOSE(CONTROL!$C$38, 0.0339, 0)</f>
        <v>29.811699999999998</v>
      </c>
      <c r="G445" s="17">
        <f>27.4435 * CHOOSE(CONTROL!$C$15, $E$9, 100%, $G$9) + CHOOSE(CONTROL!$C$38, 0.034, 0)</f>
        <v>27.477499999999999</v>
      </c>
      <c r="H445" s="17">
        <f>27.4435 * CHOOSE(CONTROL!$C$15, $E$9, 100%, $G$9) + CHOOSE(CONTROL!$C$38, 0.034, 0)</f>
        <v>27.477499999999999</v>
      </c>
      <c r="I445" s="17">
        <f>27.4451 * CHOOSE(CONTROL!$C$15, $E$9, 100%, $G$9) + CHOOSE(CONTROL!$C$38, 0.034, 0)</f>
        <v>27.479099999999999</v>
      </c>
      <c r="J445" s="44">
        <f>183.3427</f>
        <v>183.34270000000001</v>
      </c>
    </row>
    <row r="446" spans="1:10" ht="15.75" x14ac:dyDescent="0.25">
      <c r="A446" s="14">
        <v>54148</v>
      </c>
      <c r="B446" s="17">
        <f>28.9609 * CHOOSE(CONTROL!$C$15, $E$9, 100%, $G$9) + CHOOSE(CONTROL!$C$38, 0.0339, 0)</f>
        <v>28.994799999999998</v>
      </c>
      <c r="C446" s="17">
        <f>26.6281 * CHOOSE(CONTROL!$C$15, $E$9, 100%, $G$9) + CHOOSE(CONTROL!$C$38, 0.034, 0)</f>
        <v>26.662099999999999</v>
      </c>
      <c r="D446" s="17">
        <f>26.6203 * CHOOSE(CONTROL!$C$15, $E$9, 100%, $G$9) + CHOOSE(CONTROL!$C$38, 0.034, 0)</f>
        <v>26.654299999999999</v>
      </c>
      <c r="E446" s="17">
        <f>26.6203 * CHOOSE(CONTROL!$C$15, $E$9, 100%, $G$9) + CHOOSE(CONTROL!$C$38, 0.034, 0)</f>
        <v>26.654299999999999</v>
      </c>
      <c r="F446" s="45">
        <f>28.9609 * CHOOSE(CONTROL!$C$15, $E$9, 100%, $G$9) + CHOOSE(CONTROL!$C$38, 0.0339, 0)</f>
        <v>28.994799999999998</v>
      </c>
      <c r="G446" s="17">
        <f>26.6266 * CHOOSE(CONTROL!$C$15, $E$9, 100%, $G$9) + CHOOSE(CONTROL!$C$38, 0.034, 0)</f>
        <v>26.660599999999999</v>
      </c>
      <c r="H446" s="17">
        <f>26.6266 * CHOOSE(CONTROL!$C$15, $E$9, 100%, $G$9) + CHOOSE(CONTROL!$C$38, 0.034, 0)</f>
        <v>26.660599999999999</v>
      </c>
      <c r="I446" s="17">
        <f>26.6281 * CHOOSE(CONTROL!$C$15, $E$9, 100%, $G$9) + CHOOSE(CONTROL!$C$38, 0.034, 0)</f>
        <v>26.662099999999999</v>
      </c>
      <c r="J446" s="44">
        <f>193.0059</f>
        <v>193.0059</v>
      </c>
    </row>
    <row r="447" spans="1:10" ht="15.75" x14ac:dyDescent="0.25">
      <c r="A447" s="14">
        <v>54178</v>
      </c>
      <c r="B447" s="17">
        <f>28.1693 * CHOOSE(CONTROL!$C$15, $E$9, 100%, $G$9) + CHOOSE(CONTROL!$C$38, 0.0339, 0)</f>
        <v>28.203199999999999</v>
      </c>
      <c r="C447" s="17">
        <f>25.8365 * CHOOSE(CONTROL!$C$15, $E$9, 100%, $G$9) + CHOOSE(CONTROL!$C$38, 0.034, 0)</f>
        <v>25.8705</v>
      </c>
      <c r="D447" s="17">
        <f>25.8287 * CHOOSE(CONTROL!$C$15, $E$9, 100%, $G$9) + CHOOSE(CONTROL!$C$38, 0.034, 0)</f>
        <v>25.8627</v>
      </c>
      <c r="E447" s="17">
        <f>25.8287 * CHOOSE(CONTROL!$C$15, $E$9, 100%, $G$9) + CHOOSE(CONTROL!$C$38, 0.034, 0)</f>
        <v>25.8627</v>
      </c>
      <c r="F447" s="45">
        <f>28.1693 * CHOOSE(CONTROL!$C$15, $E$9, 100%, $G$9) + CHOOSE(CONTROL!$C$38, 0.0339, 0)</f>
        <v>28.203199999999999</v>
      </c>
      <c r="G447" s="17">
        <f>25.8349 * CHOOSE(CONTROL!$C$15, $E$9, 100%, $G$9) + CHOOSE(CONTROL!$C$38, 0.034, 0)</f>
        <v>25.8689</v>
      </c>
      <c r="H447" s="17">
        <f>25.8349 * CHOOSE(CONTROL!$C$15, $E$9, 100%, $G$9) + CHOOSE(CONTROL!$C$38, 0.034, 0)</f>
        <v>25.8689</v>
      </c>
      <c r="I447" s="17">
        <f>25.8365 * CHOOSE(CONTROL!$C$15, $E$9, 100%, $G$9) + CHOOSE(CONTROL!$C$38, 0.034, 0)</f>
        <v>25.8705</v>
      </c>
      <c r="J447" s="44">
        <f>205.5368</f>
        <v>205.5368</v>
      </c>
    </row>
    <row r="448" spans="1:10" ht="15.75" x14ac:dyDescent="0.25">
      <c r="A448" s="14">
        <v>54209</v>
      </c>
      <c r="B448" s="17">
        <f>27.3442 * CHOOSE(CONTROL!$C$15, $E$9, 100%, $G$9) + CHOOSE(CONTROL!$C$38, 0.0355, 0)</f>
        <v>27.3797</v>
      </c>
      <c r="C448" s="17">
        <f>25.0114 * CHOOSE(CONTROL!$C$15, $E$9, 100%, $G$9) + CHOOSE(CONTROL!$C$38, 0.0356, 0)</f>
        <v>25.046999999999997</v>
      </c>
      <c r="D448" s="17">
        <f>25.0036 * CHOOSE(CONTROL!$C$15, $E$9, 100%, $G$9) + CHOOSE(CONTROL!$C$38, 0.0356, 0)</f>
        <v>25.039199999999997</v>
      </c>
      <c r="E448" s="17">
        <f>25.0036 * CHOOSE(CONTROL!$C$15, $E$9, 100%, $G$9) + CHOOSE(CONTROL!$C$38, 0.0356, 0)</f>
        <v>25.039199999999997</v>
      </c>
      <c r="F448" s="45">
        <f>27.3442 * CHOOSE(CONTROL!$C$15, $E$9, 100%, $G$9) + CHOOSE(CONTROL!$C$38, 0.0355, 0)</f>
        <v>27.3797</v>
      </c>
      <c r="G448" s="17">
        <f>25.0098 * CHOOSE(CONTROL!$C$15, $E$9, 100%, $G$9) + CHOOSE(CONTROL!$C$38, 0.0356, 0)</f>
        <v>25.045399999999997</v>
      </c>
      <c r="H448" s="17">
        <f>25.0098 * CHOOSE(CONTROL!$C$15, $E$9, 100%, $G$9) + CHOOSE(CONTROL!$C$38, 0.0356, 0)</f>
        <v>25.045399999999997</v>
      </c>
      <c r="I448" s="17">
        <f>25.0114 * CHOOSE(CONTROL!$C$15, $E$9, 100%, $G$9) + CHOOSE(CONTROL!$C$38, 0.0356, 0)</f>
        <v>25.046999999999997</v>
      </c>
      <c r="J448" s="44">
        <f>212.4342</f>
        <v>212.4342</v>
      </c>
    </row>
    <row r="449" spans="1:10" ht="15.75" x14ac:dyDescent="0.25">
      <c r="A449" s="14">
        <v>54239</v>
      </c>
      <c r="B449" s="17">
        <f>26.7657 * CHOOSE(CONTROL!$C$15, $E$9, 100%, $G$9) + CHOOSE(CONTROL!$C$38, 0.0355, 0)</f>
        <v>26.801199999999998</v>
      </c>
      <c r="C449" s="17">
        <f>24.433 * CHOOSE(CONTROL!$C$15, $E$9, 100%, $G$9) + CHOOSE(CONTROL!$C$38, 0.0356, 0)</f>
        <v>24.468599999999999</v>
      </c>
      <c r="D449" s="17">
        <f>24.4252 * CHOOSE(CONTROL!$C$15, $E$9, 100%, $G$9) + CHOOSE(CONTROL!$C$38, 0.0356, 0)</f>
        <v>24.460799999999999</v>
      </c>
      <c r="E449" s="17">
        <f>24.4252 * CHOOSE(CONTROL!$C$15, $E$9, 100%, $G$9) + CHOOSE(CONTROL!$C$38, 0.0356, 0)</f>
        <v>24.460799999999999</v>
      </c>
      <c r="F449" s="45">
        <f>26.7657 * CHOOSE(CONTROL!$C$15, $E$9, 100%, $G$9) + CHOOSE(CONTROL!$C$38, 0.0355, 0)</f>
        <v>26.801199999999998</v>
      </c>
      <c r="G449" s="17">
        <f>24.4314 * CHOOSE(CONTROL!$C$15, $E$9, 100%, $G$9) + CHOOSE(CONTROL!$C$38, 0.0356, 0)</f>
        <v>24.466999999999999</v>
      </c>
      <c r="H449" s="17">
        <f>24.4314 * CHOOSE(CONTROL!$C$15, $E$9, 100%, $G$9) + CHOOSE(CONTROL!$C$38, 0.0356, 0)</f>
        <v>24.466999999999999</v>
      </c>
      <c r="I449" s="17">
        <f>24.433 * CHOOSE(CONTROL!$C$15, $E$9, 100%, $G$9) + CHOOSE(CONTROL!$C$38, 0.0356, 0)</f>
        <v>24.468599999999999</v>
      </c>
      <c r="J449" s="44">
        <f>215.4951</f>
        <v>215.49510000000001</v>
      </c>
    </row>
    <row r="450" spans="1:10" ht="15.75" x14ac:dyDescent="0.25">
      <c r="A450" s="14">
        <v>54270</v>
      </c>
      <c r="B450" s="17">
        <f>26.4356 * CHOOSE(CONTROL!$C$15, $E$9, 100%, $G$9) + CHOOSE(CONTROL!$C$38, 0.0355, 0)</f>
        <v>26.4711</v>
      </c>
      <c r="C450" s="17">
        <f>24.1029 * CHOOSE(CONTROL!$C$15, $E$9, 100%, $G$9) + CHOOSE(CONTROL!$C$38, 0.0356, 0)</f>
        <v>24.138500000000001</v>
      </c>
      <c r="D450" s="17">
        <f>24.095 * CHOOSE(CONTROL!$C$15, $E$9, 100%, $G$9) + CHOOSE(CONTROL!$C$38, 0.0356, 0)</f>
        <v>24.130599999999998</v>
      </c>
      <c r="E450" s="17">
        <f>24.095 * CHOOSE(CONTROL!$C$15, $E$9, 100%, $G$9) + CHOOSE(CONTROL!$C$38, 0.0356, 0)</f>
        <v>24.130599999999998</v>
      </c>
      <c r="F450" s="45">
        <f>26.4356 * CHOOSE(CONTROL!$C$15, $E$9, 100%, $G$9) + CHOOSE(CONTROL!$C$38, 0.0355, 0)</f>
        <v>26.4711</v>
      </c>
      <c r="G450" s="17">
        <f>24.1013 * CHOOSE(CONTROL!$C$15, $E$9, 100%, $G$9) + CHOOSE(CONTROL!$C$38, 0.0356, 0)</f>
        <v>24.136899999999997</v>
      </c>
      <c r="H450" s="17">
        <f>24.1013 * CHOOSE(CONTROL!$C$15, $E$9, 100%, $G$9) + CHOOSE(CONTROL!$C$38, 0.0356, 0)</f>
        <v>24.136899999999997</v>
      </c>
      <c r="I450" s="17">
        <f>24.1029 * CHOOSE(CONTROL!$C$15, $E$9, 100%, $G$9) + CHOOSE(CONTROL!$C$38, 0.0356, 0)</f>
        <v>24.138500000000001</v>
      </c>
      <c r="J450" s="44">
        <f>214.4873</f>
        <v>214.4873</v>
      </c>
    </row>
    <row r="451" spans="1:10" ht="15.75" x14ac:dyDescent="0.25">
      <c r="A451" s="14">
        <v>54301</v>
      </c>
      <c r="B451" s="17">
        <f>26.5985 * CHOOSE(CONTROL!$C$15, $E$9, 100%, $G$9) + CHOOSE(CONTROL!$C$38, 0.0355, 0)</f>
        <v>26.634</v>
      </c>
      <c r="C451" s="17">
        <f>24.2658 * CHOOSE(CONTROL!$C$15, $E$9, 100%, $G$9) + CHOOSE(CONTROL!$C$38, 0.0356, 0)</f>
        <v>24.301399999999997</v>
      </c>
      <c r="D451" s="17">
        <f>24.258 * CHOOSE(CONTROL!$C$15, $E$9, 100%, $G$9) + CHOOSE(CONTROL!$C$38, 0.0356, 0)</f>
        <v>24.293599999999998</v>
      </c>
      <c r="E451" s="17">
        <f>24.258 * CHOOSE(CONTROL!$C$15, $E$9, 100%, $G$9) + CHOOSE(CONTROL!$C$38, 0.0356, 0)</f>
        <v>24.293599999999998</v>
      </c>
      <c r="F451" s="45">
        <f>26.5985 * CHOOSE(CONTROL!$C$15, $E$9, 100%, $G$9) + CHOOSE(CONTROL!$C$38, 0.0355, 0)</f>
        <v>26.634</v>
      </c>
      <c r="G451" s="17">
        <f>24.2642 * CHOOSE(CONTROL!$C$15, $E$9, 100%, $G$9) + CHOOSE(CONTROL!$C$38, 0.0356, 0)</f>
        <v>24.299799999999998</v>
      </c>
      <c r="H451" s="17">
        <f>24.2642 * CHOOSE(CONTROL!$C$15, $E$9, 100%, $G$9) + CHOOSE(CONTROL!$C$38, 0.0356, 0)</f>
        <v>24.299799999999998</v>
      </c>
      <c r="I451" s="17">
        <f>24.2658 * CHOOSE(CONTROL!$C$15, $E$9, 100%, $G$9) + CHOOSE(CONTROL!$C$38, 0.0356, 0)</f>
        <v>24.301399999999997</v>
      </c>
      <c r="J451" s="44">
        <f>209.4941</f>
        <v>209.4941</v>
      </c>
    </row>
    <row r="452" spans="1:10" ht="15.75" x14ac:dyDescent="0.25">
      <c r="A452" s="14">
        <v>54331</v>
      </c>
      <c r="B452" s="17">
        <f>27.041 * CHOOSE(CONTROL!$C$15, $E$9, 100%, $G$9) + CHOOSE(CONTROL!$C$38, 0.0355, 0)</f>
        <v>27.076499999999999</v>
      </c>
      <c r="C452" s="17">
        <f>24.7083 * CHOOSE(CONTROL!$C$15, $E$9, 100%, $G$9) + CHOOSE(CONTROL!$C$38, 0.0356, 0)</f>
        <v>24.7439</v>
      </c>
      <c r="D452" s="17">
        <f>24.7005 * CHOOSE(CONTROL!$C$15, $E$9, 100%, $G$9) + CHOOSE(CONTROL!$C$38, 0.0356, 0)</f>
        <v>24.7361</v>
      </c>
      <c r="E452" s="17">
        <f>24.7005 * CHOOSE(CONTROL!$C$15, $E$9, 100%, $G$9) + CHOOSE(CONTROL!$C$38, 0.0356, 0)</f>
        <v>24.7361</v>
      </c>
      <c r="F452" s="45">
        <f>27.041 * CHOOSE(CONTROL!$C$15, $E$9, 100%, $G$9) + CHOOSE(CONTROL!$C$38, 0.0355, 0)</f>
        <v>27.076499999999999</v>
      </c>
      <c r="G452" s="17">
        <f>24.7067 * CHOOSE(CONTROL!$C$15, $E$9, 100%, $G$9) + CHOOSE(CONTROL!$C$38, 0.0356, 0)</f>
        <v>24.7423</v>
      </c>
      <c r="H452" s="17">
        <f>24.7067 * CHOOSE(CONTROL!$C$15, $E$9, 100%, $G$9) + CHOOSE(CONTROL!$C$38, 0.0356, 0)</f>
        <v>24.7423</v>
      </c>
      <c r="I452" s="17">
        <f>24.7083 * CHOOSE(CONTROL!$C$15, $E$9, 100%, $G$9) + CHOOSE(CONTROL!$C$38, 0.0356, 0)</f>
        <v>24.7439</v>
      </c>
      <c r="J452" s="44">
        <f>202.5309</f>
        <v>202.5309</v>
      </c>
    </row>
    <row r="453" spans="1:10" ht="15.75" x14ac:dyDescent="0.25">
      <c r="A453" s="14">
        <v>54362</v>
      </c>
      <c r="B453" s="17">
        <f>27.4116 * CHOOSE(CONTROL!$C$15, $E$9, 100%, $G$9) + CHOOSE(CONTROL!$C$38, 0.0339, 0)</f>
        <v>27.445499999999999</v>
      </c>
      <c r="C453" s="17">
        <f>25.0789 * CHOOSE(CONTROL!$C$15, $E$9, 100%, $G$9) + CHOOSE(CONTROL!$C$38, 0.034, 0)</f>
        <v>25.1129</v>
      </c>
      <c r="D453" s="17">
        <f>25.0711 * CHOOSE(CONTROL!$C$15, $E$9, 100%, $G$9) + CHOOSE(CONTROL!$C$38, 0.034, 0)</f>
        <v>25.1051</v>
      </c>
      <c r="E453" s="17">
        <f>25.0711 * CHOOSE(CONTROL!$C$15, $E$9, 100%, $G$9) + CHOOSE(CONTROL!$C$38, 0.034, 0)</f>
        <v>25.1051</v>
      </c>
      <c r="F453" s="45">
        <f>27.4116 * CHOOSE(CONTROL!$C$15, $E$9, 100%, $G$9) + CHOOSE(CONTROL!$C$38, 0.0339, 0)</f>
        <v>27.445499999999999</v>
      </c>
      <c r="G453" s="17">
        <f>25.0773 * CHOOSE(CONTROL!$C$15, $E$9, 100%, $G$9) + CHOOSE(CONTROL!$C$38, 0.034, 0)</f>
        <v>25.1113</v>
      </c>
      <c r="H453" s="17">
        <f>25.0773 * CHOOSE(CONTROL!$C$15, $E$9, 100%, $G$9) + CHOOSE(CONTROL!$C$38, 0.034, 0)</f>
        <v>25.1113</v>
      </c>
      <c r="I453" s="17">
        <f>25.0789 * CHOOSE(CONTROL!$C$15, $E$9, 100%, $G$9) + CHOOSE(CONTROL!$C$38, 0.034, 0)</f>
        <v>25.1129</v>
      </c>
      <c r="J453" s="44">
        <f>195.5272</f>
        <v>195.52719999999999</v>
      </c>
    </row>
    <row r="454" spans="1:10" ht="15.75" x14ac:dyDescent="0.25">
      <c r="A454" s="14">
        <v>54392</v>
      </c>
      <c r="B454" s="17">
        <f>27.7209 * CHOOSE(CONTROL!$C$15, $E$9, 100%, $G$9) + CHOOSE(CONTROL!$C$38, 0.0339, 0)</f>
        <v>27.754799999999999</v>
      </c>
      <c r="C454" s="17">
        <f>25.3881 * CHOOSE(CONTROL!$C$15, $E$9, 100%, $G$9) + CHOOSE(CONTROL!$C$38, 0.034, 0)</f>
        <v>25.4221</v>
      </c>
      <c r="D454" s="17">
        <f>25.3803 * CHOOSE(CONTROL!$C$15, $E$9, 100%, $G$9) + CHOOSE(CONTROL!$C$38, 0.034, 0)</f>
        <v>25.414299999999997</v>
      </c>
      <c r="E454" s="17">
        <f>25.3803 * CHOOSE(CONTROL!$C$15, $E$9, 100%, $G$9) + CHOOSE(CONTROL!$C$38, 0.034, 0)</f>
        <v>25.414299999999997</v>
      </c>
      <c r="F454" s="45">
        <f>27.7209 * CHOOSE(CONTROL!$C$15, $E$9, 100%, $G$9) + CHOOSE(CONTROL!$C$38, 0.0339, 0)</f>
        <v>27.754799999999999</v>
      </c>
      <c r="G454" s="17">
        <f>25.3866 * CHOOSE(CONTROL!$C$15, $E$9, 100%, $G$9) + CHOOSE(CONTROL!$C$38, 0.034, 0)</f>
        <v>25.4206</v>
      </c>
      <c r="H454" s="17">
        <f>25.3866 * CHOOSE(CONTROL!$C$15, $E$9, 100%, $G$9) + CHOOSE(CONTROL!$C$38, 0.034, 0)</f>
        <v>25.4206</v>
      </c>
      <c r="I454" s="17">
        <f>25.3881 * CHOOSE(CONTROL!$C$15, $E$9, 100%, $G$9) + CHOOSE(CONTROL!$C$38, 0.034, 0)</f>
        <v>25.4221</v>
      </c>
      <c r="J454" s="44">
        <f>194.134</f>
        <v>194.13399999999999</v>
      </c>
    </row>
    <row r="455" spans="1:10" ht="15.75" x14ac:dyDescent="0.25">
      <c r="A455" s="14">
        <v>54423</v>
      </c>
      <c r="B455" s="17">
        <f>28.6738 * CHOOSE(CONTROL!$C$15, $E$9, 100%, $G$9) + CHOOSE(CONTROL!$C$38, 0.0339, 0)</f>
        <v>28.707699999999999</v>
      </c>
      <c r="C455" s="17">
        <f>26.341 * CHOOSE(CONTROL!$C$15, $E$9, 100%, $G$9) + CHOOSE(CONTROL!$C$38, 0.034, 0)</f>
        <v>26.375</v>
      </c>
      <c r="D455" s="17">
        <f>26.3332 * CHOOSE(CONTROL!$C$15, $E$9, 100%, $G$9) + CHOOSE(CONTROL!$C$38, 0.034, 0)</f>
        <v>26.3672</v>
      </c>
      <c r="E455" s="17">
        <f>26.3332 * CHOOSE(CONTROL!$C$15, $E$9, 100%, $G$9) + CHOOSE(CONTROL!$C$38, 0.034, 0)</f>
        <v>26.3672</v>
      </c>
      <c r="F455" s="45">
        <f>28.6738 * CHOOSE(CONTROL!$C$15, $E$9, 100%, $G$9) + CHOOSE(CONTROL!$C$38, 0.0339, 0)</f>
        <v>28.707699999999999</v>
      </c>
      <c r="G455" s="17">
        <f>26.3395 * CHOOSE(CONTROL!$C$15, $E$9, 100%, $G$9) + CHOOSE(CONTROL!$C$38, 0.034, 0)</f>
        <v>26.3735</v>
      </c>
      <c r="H455" s="17">
        <f>26.3395 * CHOOSE(CONTROL!$C$15, $E$9, 100%, $G$9) + CHOOSE(CONTROL!$C$38, 0.034, 0)</f>
        <v>26.3735</v>
      </c>
      <c r="I455" s="17">
        <f>26.341 * CHOOSE(CONTROL!$C$15, $E$9, 100%, $G$9) + CHOOSE(CONTROL!$C$38, 0.034, 0)</f>
        <v>26.375</v>
      </c>
      <c r="J455" s="44">
        <f>188.3731</f>
        <v>188.37309999999999</v>
      </c>
    </row>
    <row r="456" spans="1:10" ht="15.75" x14ac:dyDescent="0.25">
      <c r="A456" s="14">
        <v>54454</v>
      </c>
      <c r="B456" s="17">
        <f>29.4615 * CHOOSE(CONTROL!$C$15, $E$9, 100%, $G$9) + CHOOSE(CONTROL!$C$38, 0.0339, 0)</f>
        <v>29.4954</v>
      </c>
      <c r="C456" s="17">
        <f>27.1258 * CHOOSE(CONTROL!$C$15, $E$9, 100%, $G$9) + CHOOSE(CONTROL!$C$38, 0.034, 0)</f>
        <v>27.159800000000001</v>
      </c>
      <c r="D456" s="17">
        <f>27.118 * CHOOSE(CONTROL!$C$15, $E$9, 100%, $G$9) + CHOOSE(CONTROL!$C$38, 0.034, 0)</f>
        <v>27.151999999999997</v>
      </c>
      <c r="E456" s="17">
        <f>27.118 * CHOOSE(CONTROL!$C$15, $E$9, 100%, $G$9) + CHOOSE(CONTROL!$C$38, 0.034, 0)</f>
        <v>27.151999999999997</v>
      </c>
      <c r="F456" s="45">
        <f>29.4615 * CHOOSE(CONTROL!$C$15, $E$9, 100%, $G$9) + CHOOSE(CONTROL!$C$38, 0.0339, 0)</f>
        <v>29.4954</v>
      </c>
      <c r="G456" s="17">
        <f>27.1243 * CHOOSE(CONTROL!$C$15, $E$9, 100%, $G$9) + CHOOSE(CONTROL!$C$38, 0.034, 0)</f>
        <v>27.158300000000001</v>
      </c>
      <c r="H456" s="17">
        <f>27.1243 * CHOOSE(CONTROL!$C$15, $E$9, 100%, $G$9) + CHOOSE(CONTROL!$C$38, 0.034, 0)</f>
        <v>27.158300000000001</v>
      </c>
      <c r="I456" s="17">
        <f>27.1258 * CHOOSE(CONTROL!$C$15, $E$9, 100%, $G$9) + CHOOSE(CONTROL!$C$38, 0.034, 0)</f>
        <v>27.159800000000001</v>
      </c>
      <c r="J456" s="44">
        <f>185.5874</f>
        <v>185.5874</v>
      </c>
    </row>
    <row r="457" spans="1:10" ht="15.75" x14ac:dyDescent="0.25">
      <c r="A457" s="14">
        <v>54482</v>
      </c>
      <c r="B457" s="17">
        <f>29.8144 * CHOOSE(CONTROL!$C$15, $E$9, 100%, $G$9) + CHOOSE(CONTROL!$C$38, 0.0339, 0)</f>
        <v>29.848299999999998</v>
      </c>
      <c r="C457" s="17">
        <f>27.4787 * CHOOSE(CONTROL!$C$15, $E$9, 100%, $G$9) + CHOOSE(CONTROL!$C$38, 0.034, 0)</f>
        <v>27.512699999999999</v>
      </c>
      <c r="D457" s="17">
        <f>27.4709 * CHOOSE(CONTROL!$C$15, $E$9, 100%, $G$9) + CHOOSE(CONTROL!$C$38, 0.034, 0)</f>
        <v>27.504899999999999</v>
      </c>
      <c r="E457" s="17">
        <f>27.4709 * CHOOSE(CONTROL!$C$15, $E$9, 100%, $G$9) + CHOOSE(CONTROL!$C$38, 0.034, 0)</f>
        <v>27.504899999999999</v>
      </c>
      <c r="F457" s="45">
        <f>29.8144 * CHOOSE(CONTROL!$C$15, $E$9, 100%, $G$9) + CHOOSE(CONTROL!$C$38, 0.0339, 0)</f>
        <v>29.848299999999998</v>
      </c>
      <c r="G457" s="17">
        <f>27.4772 * CHOOSE(CONTROL!$C$15, $E$9, 100%, $G$9) + CHOOSE(CONTROL!$C$38, 0.034, 0)</f>
        <v>27.511199999999999</v>
      </c>
      <c r="H457" s="17">
        <f>27.4772 * CHOOSE(CONTROL!$C$15, $E$9, 100%, $G$9) + CHOOSE(CONTROL!$C$38, 0.034, 0)</f>
        <v>27.511199999999999</v>
      </c>
      <c r="I457" s="17">
        <f>27.4787 * CHOOSE(CONTROL!$C$15, $E$9, 100%, $G$9) + CHOOSE(CONTROL!$C$38, 0.034, 0)</f>
        <v>27.512699999999999</v>
      </c>
      <c r="J457" s="44">
        <f>185.0716</f>
        <v>185.07159999999999</v>
      </c>
    </row>
    <row r="458" spans="1:10" ht="15.75" x14ac:dyDescent="0.25">
      <c r="A458" s="14">
        <v>54513</v>
      </c>
      <c r="B458" s="17">
        <f>28.9975 * CHOOSE(CONTROL!$C$15, $E$9, 100%, $G$9) + CHOOSE(CONTROL!$C$38, 0.0339, 0)</f>
        <v>29.031399999999998</v>
      </c>
      <c r="C458" s="17">
        <f>26.6618 * CHOOSE(CONTROL!$C$15, $E$9, 100%, $G$9) + CHOOSE(CONTROL!$C$38, 0.034, 0)</f>
        <v>26.695799999999998</v>
      </c>
      <c r="D458" s="17">
        <f>26.654 * CHOOSE(CONTROL!$C$15, $E$9, 100%, $G$9) + CHOOSE(CONTROL!$C$38, 0.034, 0)</f>
        <v>26.687999999999999</v>
      </c>
      <c r="E458" s="17">
        <f>26.654 * CHOOSE(CONTROL!$C$15, $E$9, 100%, $G$9) + CHOOSE(CONTROL!$C$38, 0.034, 0)</f>
        <v>26.687999999999999</v>
      </c>
      <c r="F458" s="45">
        <f>28.9975 * CHOOSE(CONTROL!$C$15, $E$9, 100%, $G$9) + CHOOSE(CONTROL!$C$38, 0.0339, 0)</f>
        <v>29.031399999999998</v>
      </c>
      <c r="G458" s="17">
        <f>26.6602 * CHOOSE(CONTROL!$C$15, $E$9, 100%, $G$9) + CHOOSE(CONTROL!$C$38, 0.034, 0)</f>
        <v>26.694199999999999</v>
      </c>
      <c r="H458" s="17">
        <f>26.6602 * CHOOSE(CONTROL!$C$15, $E$9, 100%, $G$9) + CHOOSE(CONTROL!$C$38, 0.034, 0)</f>
        <v>26.694199999999999</v>
      </c>
      <c r="I458" s="17">
        <f>26.6618 * CHOOSE(CONTROL!$C$15, $E$9, 100%, $G$9) + CHOOSE(CONTROL!$C$38, 0.034, 0)</f>
        <v>26.695799999999998</v>
      </c>
      <c r="J458" s="44">
        <f>194.8259</f>
        <v>194.82589999999999</v>
      </c>
    </row>
    <row r="459" spans="1:10" ht="15.75" x14ac:dyDescent="0.25">
      <c r="A459" s="14">
        <v>54543</v>
      </c>
      <c r="B459" s="17">
        <f>28.2058 * CHOOSE(CONTROL!$C$15, $E$9, 100%, $G$9) + CHOOSE(CONTROL!$C$38, 0.0339, 0)</f>
        <v>28.239699999999999</v>
      </c>
      <c r="C459" s="17">
        <f>25.8702 * CHOOSE(CONTROL!$C$15, $E$9, 100%, $G$9) + CHOOSE(CONTROL!$C$38, 0.034, 0)</f>
        <v>25.904199999999999</v>
      </c>
      <c r="D459" s="17">
        <f>25.8623 * CHOOSE(CONTROL!$C$15, $E$9, 100%, $G$9) + CHOOSE(CONTROL!$C$38, 0.034, 0)</f>
        <v>25.8963</v>
      </c>
      <c r="E459" s="17">
        <f>25.8623 * CHOOSE(CONTROL!$C$15, $E$9, 100%, $G$9) + CHOOSE(CONTROL!$C$38, 0.034, 0)</f>
        <v>25.8963</v>
      </c>
      <c r="F459" s="45">
        <f>28.2058 * CHOOSE(CONTROL!$C$15, $E$9, 100%, $G$9) + CHOOSE(CONTROL!$C$38, 0.0339, 0)</f>
        <v>28.239699999999999</v>
      </c>
      <c r="G459" s="17">
        <f>25.8686 * CHOOSE(CONTROL!$C$15, $E$9, 100%, $G$9) + CHOOSE(CONTROL!$C$38, 0.034, 0)</f>
        <v>25.9026</v>
      </c>
      <c r="H459" s="17">
        <f>25.8686 * CHOOSE(CONTROL!$C$15, $E$9, 100%, $G$9) + CHOOSE(CONTROL!$C$38, 0.034, 0)</f>
        <v>25.9026</v>
      </c>
      <c r="I459" s="17">
        <f>25.8702 * CHOOSE(CONTROL!$C$15, $E$9, 100%, $G$9) + CHOOSE(CONTROL!$C$38, 0.034, 0)</f>
        <v>25.904199999999999</v>
      </c>
      <c r="J459" s="44">
        <f>207.475</f>
        <v>207.47499999999999</v>
      </c>
    </row>
    <row r="460" spans="1:10" ht="15.75" x14ac:dyDescent="0.25">
      <c r="A460" s="14">
        <v>54574</v>
      </c>
      <c r="B460" s="17">
        <f>27.3808 * CHOOSE(CONTROL!$C$15, $E$9, 100%, $G$9) + CHOOSE(CONTROL!$C$38, 0.0355, 0)</f>
        <v>27.4163</v>
      </c>
      <c r="C460" s="17">
        <f>25.0451 * CHOOSE(CONTROL!$C$15, $E$9, 100%, $G$9) + CHOOSE(CONTROL!$C$38, 0.0356, 0)</f>
        <v>25.0807</v>
      </c>
      <c r="D460" s="17">
        <f>25.0373 * CHOOSE(CONTROL!$C$15, $E$9, 100%, $G$9) + CHOOSE(CONTROL!$C$38, 0.0356, 0)</f>
        <v>25.072899999999997</v>
      </c>
      <c r="E460" s="17">
        <f>25.0373 * CHOOSE(CONTROL!$C$15, $E$9, 100%, $G$9) + CHOOSE(CONTROL!$C$38, 0.0356, 0)</f>
        <v>25.072899999999997</v>
      </c>
      <c r="F460" s="45">
        <f>27.3808 * CHOOSE(CONTROL!$C$15, $E$9, 100%, $G$9) + CHOOSE(CONTROL!$C$38, 0.0355, 0)</f>
        <v>27.4163</v>
      </c>
      <c r="G460" s="17">
        <f>25.0435 * CHOOSE(CONTROL!$C$15, $E$9, 100%, $G$9) + CHOOSE(CONTROL!$C$38, 0.0356, 0)</f>
        <v>25.0791</v>
      </c>
      <c r="H460" s="17">
        <f>25.0435 * CHOOSE(CONTROL!$C$15, $E$9, 100%, $G$9) + CHOOSE(CONTROL!$C$38, 0.0356, 0)</f>
        <v>25.0791</v>
      </c>
      <c r="I460" s="17">
        <f>25.0451 * CHOOSE(CONTROL!$C$15, $E$9, 100%, $G$9) + CHOOSE(CONTROL!$C$38, 0.0356, 0)</f>
        <v>25.0807</v>
      </c>
      <c r="J460" s="44">
        <f>214.4374</f>
        <v>214.4374</v>
      </c>
    </row>
    <row r="461" spans="1:10" ht="15.75" x14ac:dyDescent="0.25">
      <c r="A461" s="14">
        <v>54604</v>
      </c>
      <c r="B461" s="17">
        <f>26.8023 * CHOOSE(CONTROL!$C$15, $E$9, 100%, $G$9) + CHOOSE(CONTROL!$C$38, 0.0355, 0)</f>
        <v>26.837799999999998</v>
      </c>
      <c r="C461" s="17">
        <f>24.4666 * CHOOSE(CONTROL!$C$15, $E$9, 100%, $G$9) + CHOOSE(CONTROL!$C$38, 0.0356, 0)</f>
        <v>24.502199999999998</v>
      </c>
      <c r="D461" s="17">
        <f>24.4588 * CHOOSE(CONTROL!$C$15, $E$9, 100%, $G$9) + CHOOSE(CONTROL!$C$38, 0.0356, 0)</f>
        <v>24.494399999999999</v>
      </c>
      <c r="E461" s="17">
        <f>24.4588 * CHOOSE(CONTROL!$C$15, $E$9, 100%, $G$9) + CHOOSE(CONTROL!$C$38, 0.0356, 0)</f>
        <v>24.494399999999999</v>
      </c>
      <c r="F461" s="45">
        <f>26.8023 * CHOOSE(CONTROL!$C$15, $E$9, 100%, $G$9) + CHOOSE(CONTROL!$C$38, 0.0355, 0)</f>
        <v>26.837799999999998</v>
      </c>
      <c r="G461" s="17">
        <f>24.4651 * CHOOSE(CONTROL!$C$15, $E$9, 100%, $G$9) + CHOOSE(CONTROL!$C$38, 0.0356, 0)</f>
        <v>24.500699999999998</v>
      </c>
      <c r="H461" s="17">
        <f>24.4651 * CHOOSE(CONTROL!$C$15, $E$9, 100%, $G$9) + CHOOSE(CONTROL!$C$38, 0.0356, 0)</f>
        <v>24.500699999999998</v>
      </c>
      <c r="I461" s="17">
        <f>24.4666 * CHOOSE(CONTROL!$C$15, $E$9, 100%, $G$9) + CHOOSE(CONTROL!$C$38, 0.0356, 0)</f>
        <v>24.502199999999998</v>
      </c>
      <c r="J461" s="44">
        <f>217.5272</f>
        <v>217.52719999999999</v>
      </c>
    </row>
    <row r="462" spans="1:10" ht="15.75" x14ac:dyDescent="0.25">
      <c r="A462" s="14">
        <v>54635</v>
      </c>
      <c r="B462" s="17">
        <f>26.4722 * CHOOSE(CONTROL!$C$15, $E$9, 100%, $G$9) + CHOOSE(CONTROL!$C$38, 0.0355, 0)</f>
        <v>26.5077</v>
      </c>
      <c r="C462" s="17">
        <f>24.1365 * CHOOSE(CONTROL!$C$15, $E$9, 100%, $G$9) + CHOOSE(CONTROL!$C$38, 0.0356, 0)</f>
        <v>24.1721</v>
      </c>
      <c r="D462" s="17">
        <f>24.1287 * CHOOSE(CONTROL!$C$15, $E$9, 100%, $G$9) + CHOOSE(CONTROL!$C$38, 0.0356, 0)</f>
        <v>24.164299999999997</v>
      </c>
      <c r="E462" s="17">
        <f>24.1287 * CHOOSE(CONTROL!$C$15, $E$9, 100%, $G$9) + CHOOSE(CONTROL!$C$38, 0.0356, 0)</f>
        <v>24.164299999999997</v>
      </c>
      <c r="F462" s="45">
        <f>26.4722 * CHOOSE(CONTROL!$C$15, $E$9, 100%, $G$9) + CHOOSE(CONTROL!$C$38, 0.0355, 0)</f>
        <v>26.5077</v>
      </c>
      <c r="G462" s="17">
        <f>24.135 * CHOOSE(CONTROL!$C$15, $E$9, 100%, $G$9) + CHOOSE(CONTROL!$C$38, 0.0356, 0)</f>
        <v>24.1706</v>
      </c>
      <c r="H462" s="17">
        <f>24.135 * CHOOSE(CONTROL!$C$15, $E$9, 100%, $G$9) + CHOOSE(CONTROL!$C$38, 0.0356, 0)</f>
        <v>24.1706</v>
      </c>
      <c r="I462" s="17">
        <f>24.1365 * CHOOSE(CONTROL!$C$15, $E$9, 100%, $G$9) + CHOOSE(CONTROL!$C$38, 0.0356, 0)</f>
        <v>24.1721</v>
      </c>
      <c r="J462" s="44">
        <f>216.5099</f>
        <v>216.50989999999999</v>
      </c>
    </row>
    <row r="463" spans="1:10" ht="15.75" x14ac:dyDescent="0.25">
      <c r="A463" s="14">
        <v>54666</v>
      </c>
      <c r="B463" s="17">
        <f>26.6351 * CHOOSE(CONTROL!$C$15, $E$9, 100%, $G$9) + CHOOSE(CONTROL!$C$38, 0.0355, 0)</f>
        <v>26.6706</v>
      </c>
      <c r="C463" s="17">
        <f>24.2994 * CHOOSE(CONTROL!$C$15, $E$9, 100%, $G$9) + CHOOSE(CONTROL!$C$38, 0.0356, 0)</f>
        <v>24.334999999999997</v>
      </c>
      <c r="D463" s="17">
        <f>24.2916 * CHOOSE(CONTROL!$C$15, $E$9, 100%, $G$9) + CHOOSE(CONTROL!$C$38, 0.0356, 0)</f>
        <v>24.327199999999998</v>
      </c>
      <c r="E463" s="17">
        <f>24.2916 * CHOOSE(CONTROL!$C$15, $E$9, 100%, $G$9) + CHOOSE(CONTROL!$C$38, 0.0356, 0)</f>
        <v>24.327199999999998</v>
      </c>
      <c r="F463" s="45">
        <f>26.6351 * CHOOSE(CONTROL!$C$15, $E$9, 100%, $G$9) + CHOOSE(CONTROL!$C$38, 0.0355, 0)</f>
        <v>26.6706</v>
      </c>
      <c r="G463" s="17">
        <f>24.2979 * CHOOSE(CONTROL!$C$15, $E$9, 100%, $G$9) + CHOOSE(CONTROL!$C$38, 0.0356, 0)</f>
        <v>24.333499999999997</v>
      </c>
      <c r="H463" s="17">
        <f>24.2979 * CHOOSE(CONTROL!$C$15, $E$9, 100%, $G$9) + CHOOSE(CONTROL!$C$38, 0.0356, 0)</f>
        <v>24.333499999999997</v>
      </c>
      <c r="I463" s="17">
        <f>24.2994 * CHOOSE(CONTROL!$C$15, $E$9, 100%, $G$9) + CHOOSE(CONTROL!$C$38, 0.0356, 0)</f>
        <v>24.334999999999997</v>
      </c>
      <c r="J463" s="44">
        <f>211.4697</f>
        <v>211.46969999999999</v>
      </c>
    </row>
    <row r="464" spans="1:10" ht="15.75" x14ac:dyDescent="0.25">
      <c r="A464" s="14">
        <v>54696</v>
      </c>
      <c r="B464" s="17">
        <f>27.0776 * CHOOSE(CONTROL!$C$15, $E$9, 100%, $G$9) + CHOOSE(CONTROL!$C$38, 0.0355, 0)</f>
        <v>27.113099999999999</v>
      </c>
      <c r="C464" s="17">
        <f>24.7419 * CHOOSE(CONTROL!$C$15, $E$9, 100%, $G$9) + CHOOSE(CONTROL!$C$38, 0.0356, 0)</f>
        <v>24.7775</v>
      </c>
      <c r="D464" s="17">
        <f>24.7341 * CHOOSE(CONTROL!$C$15, $E$9, 100%, $G$9) + CHOOSE(CONTROL!$C$38, 0.0356, 0)</f>
        <v>24.7697</v>
      </c>
      <c r="E464" s="17">
        <f>24.7341 * CHOOSE(CONTROL!$C$15, $E$9, 100%, $G$9) + CHOOSE(CONTROL!$C$38, 0.0356, 0)</f>
        <v>24.7697</v>
      </c>
      <c r="F464" s="45">
        <f>27.0776 * CHOOSE(CONTROL!$C$15, $E$9, 100%, $G$9) + CHOOSE(CONTROL!$C$38, 0.0355, 0)</f>
        <v>27.113099999999999</v>
      </c>
      <c r="G464" s="17">
        <f>24.7404 * CHOOSE(CONTROL!$C$15, $E$9, 100%, $G$9) + CHOOSE(CONTROL!$C$38, 0.0356, 0)</f>
        <v>24.776</v>
      </c>
      <c r="H464" s="17">
        <f>24.7404 * CHOOSE(CONTROL!$C$15, $E$9, 100%, $G$9) + CHOOSE(CONTROL!$C$38, 0.0356, 0)</f>
        <v>24.776</v>
      </c>
      <c r="I464" s="17">
        <f>24.7419 * CHOOSE(CONTROL!$C$15, $E$9, 100%, $G$9) + CHOOSE(CONTROL!$C$38, 0.0356, 0)</f>
        <v>24.7775</v>
      </c>
      <c r="J464" s="44">
        <f>204.4408</f>
        <v>204.4408</v>
      </c>
    </row>
    <row r="465" spans="1:10" ht="15.75" x14ac:dyDescent="0.25">
      <c r="A465" s="14">
        <v>54727</v>
      </c>
      <c r="B465" s="17">
        <f>27.4482 * CHOOSE(CONTROL!$C$15, $E$9, 100%, $G$9) + CHOOSE(CONTROL!$C$38, 0.0339, 0)</f>
        <v>27.482099999999999</v>
      </c>
      <c r="C465" s="17">
        <f>25.1125 * CHOOSE(CONTROL!$C$15, $E$9, 100%, $G$9) + CHOOSE(CONTROL!$C$38, 0.034, 0)</f>
        <v>25.1465</v>
      </c>
      <c r="D465" s="17">
        <f>25.1047 * CHOOSE(CONTROL!$C$15, $E$9, 100%, $G$9) + CHOOSE(CONTROL!$C$38, 0.034, 0)</f>
        <v>25.1387</v>
      </c>
      <c r="E465" s="17">
        <f>25.1047 * CHOOSE(CONTROL!$C$15, $E$9, 100%, $G$9) + CHOOSE(CONTROL!$C$38, 0.034, 0)</f>
        <v>25.1387</v>
      </c>
      <c r="F465" s="45">
        <f>27.4482 * CHOOSE(CONTROL!$C$15, $E$9, 100%, $G$9) + CHOOSE(CONTROL!$C$38, 0.0339, 0)</f>
        <v>27.482099999999999</v>
      </c>
      <c r="G465" s="17">
        <f>25.111 * CHOOSE(CONTROL!$C$15, $E$9, 100%, $G$9) + CHOOSE(CONTROL!$C$38, 0.034, 0)</f>
        <v>25.145</v>
      </c>
      <c r="H465" s="17">
        <f>25.111 * CHOOSE(CONTROL!$C$15, $E$9, 100%, $G$9) + CHOOSE(CONTROL!$C$38, 0.034, 0)</f>
        <v>25.145</v>
      </c>
      <c r="I465" s="17">
        <f>25.1125 * CHOOSE(CONTROL!$C$15, $E$9, 100%, $G$9) + CHOOSE(CONTROL!$C$38, 0.034, 0)</f>
        <v>25.1465</v>
      </c>
      <c r="J465" s="44">
        <f>197.371</f>
        <v>197.37100000000001</v>
      </c>
    </row>
    <row r="466" spans="1:10" ht="15.75" x14ac:dyDescent="0.25">
      <c r="A466" s="14">
        <v>54757</v>
      </c>
      <c r="B466" s="17">
        <f>27.7575 * CHOOSE(CONTROL!$C$15, $E$9, 100%, $G$9) + CHOOSE(CONTROL!$C$38, 0.0339, 0)</f>
        <v>27.791399999999999</v>
      </c>
      <c r="C466" s="17">
        <f>25.4218 * CHOOSE(CONTROL!$C$15, $E$9, 100%, $G$9) + CHOOSE(CONTROL!$C$38, 0.034, 0)</f>
        <v>25.4558</v>
      </c>
      <c r="D466" s="17">
        <f>25.414 * CHOOSE(CONTROL!$C$15, $E$9, 100%, $G$9) + CHOOSE(CONTROL!$C$38, 0.034, 0)</f>
        <v>25.448</v>
      </c>
      <c r="E466" s="17">
        <f>25.414 * CHOOSE(CONTROL!$C$15, $E$9, 100%, $G$9) + CHOOSE(CONTROL!$C$38, 0.034, 0)</f>
        <v>25.448</v>
      </c>
      <c r="F466" s="45">
        <f>27.7575 * CHOOSE(CONTROL!$C$15, $E$9, 100%, $G$9) + CHOOSE(CONTROL!$C$38, 0.0339, 0)</f>
        <v>27.791399999999999</v>
      </c>
      <c r="G466" s="17">
        <f>25.4202 * CHOOSE(CONTROL!$C$15, $E$9, 100%, $G$9) + CHOOSE(CONTROL!$C$38, 0.034, 0)</f>
        <v>25.4542</v>
      </c>
      <c r="H466" s="17">
        <f>25.4202 * CHOOSE(CONTROL!$C$15, $E$9, 100%, $G$9) + CHOOSE(CONTROL!$C$38, 0.034, 0)</f>
        <v>25.4542</v>
      </c>
      <c r="I466" s="17">
        <f>25.4218 * CHOOSE(CONTROL!$C$15, $E$9, 100%, $G$9) + CHOOSE(CONTROL!$C$38, 0.034, 0)</f>
        <v>25.4558</v>
      </c>
      <c r="J466" s="44">
        <f>195.9647</f>
        <v>195.96469999999999</v>
      </c>
    </row>
    <row r="467" spans="1:10" ht="15.75" x14ac:dyDescent="0.25">
      <c r="A467" s="14">
        <v>54788</v>
      </c>
      <c r="B467" s="17">
        <f>28.7104 * CHOOSE(CONTROL!$C$15, $E$9, 100%, $G$9) + CHOOSE(CONTROL!$C$38, 0.0339, 0)</f>
        <v>28.744299999999999</v>
      </c>
      <c r="C467" s="17">
        <f>26.3747 * CHOOSE(CONTROL!$C$15, $E$9, 100%, $G$9) + CHOOSE(CONTROL!$C$38, 0.034, 0)</f>
        <v>26.4087</v>
      </c>
      <c r="D467" s="17">
        <f>26.3669 * CHOOSE(CONTROL!$C$15, $E$9, 100%, $G$9) + CHOOSE(CONTROL!$C$38, 0.034, 0)</f>
        <v>26.4009</v>
      </c>
      <c r="E467" s="17">
        <f>26.3669 * CHOOSE(CONTROL!$C$15, $E$9, 100%, $G$9) + CHOOSE(CONTROL!$C$38, 0.034, 0)</f>
        <v>26.4009</v>
      </c>
      <c r="F467" s="45">
        <f>28.7104 * CHOOSE(CONTROL!$C$15, $E$9, 100%, $G$9) + CHOOSE(CONTROL!$C$38, 0.0339, 0)</f>
        <v>28.744299999999999</v>
      </c>
      <c r="G467" s="17">
        <f>26.3731 * CHOOSE(CONTROL!$C$15, $E$9, 100%, $G$9) + CHOOSE(CONTROL!$C$38, 0.034, 0)</f>
        <v>26.4071</v>
      </c>
      <c r="H467" s="17">
        <f>26.3731 * CHOOSE(CONTROL!$C$15, $E$9, 100%, $G$9) + CHOOSE(CONTROL!$C$38, 0.034, 0)</f>
        <v>26.4071</v>
      </c>
      <c r="I467" s="17">
        <f>26.3747 * CHOOSE(CONTROL!$C$15, $E$9, 100%, $G$9) + CHOOSE(CONTROL!$C$38, 0.034, 0)</f>
        <v>26.4087</v>
      </c>
      <c r="J467" s="44">
        <f>190.1494</f>
        <v>190.14940000000001</v>
      </c>
    </row>
    <row r="468" spans="1:10" ht="15.75" x14ac:dyDescent="0.25">
      <c r="A468" s="14">
        <v>54819</v>
      </c>
      <c r="B468" s="17">
        <f>29.4981 * CHOOSE(CONTROL!$C$15, $E$9, 100%, $G$9) + CHOOSE(CONTROL!$C$38, 0.0339, 0)</f>
        <v>29.532</v>
      </c>
      <c r="C468" s="17">
        <f>27.1595 * CHOOSE(CONTROL!$C$15, $E$9, 100%, $G$9) + CHOOSE(CONTROL!$C$38, 0.034, 0)</f>
        <v>27.1935</v>
      </c>
      <c r="D468" s="17">
        <f>27.1517 * CHOOSE(CONTROL!$C$15, $E$9, 100%, $G$9) + CHOOSE(CONTROL!$C$38, 0.034, 0)</f>
        <v>27.185700000000001</v>
      </c>
      <c r="E468" s="17">
        <f>27.1517 * CHOOSE(CONTROL!$C$15, $E$9, 100%, $G$9) + CHOOSE(CONTROL!$C$38, 0.034, 0)</f>
        <v>27.185700000000001</v>
      </c>
      <c r="F468" s="45">
        <f>29.4981 * CHOOSE(CONTROL!$C$15, $E$9, 100%, $G$9) + CHOOSE(CONTROL!$C$38, 0.0339, 0)</f>
        <v>29.532</v>
      </c>
      <c r="G468" s="17">
        <f>27.158 * CHOOSE(CONTROL!$C$15, $E$9, 100%, $G$9) + CHOOSE(CONTROL!$C$38, 0.034, 0)</f>
        <v>27.192</v>
      </c>
      <c r="H468" s="17">
        <f>27.158 * CHOOSE(CONTROL!$C$15, $E$9, 100%, $G$9) + CHOOSE(CONTROL!$C$38, 0.034, 0)</f>
        <v>27.192</v>
      </c>
      <c r="I468" s="17">
        <f>27.1595 * CHOOSE(CONTROL!$C$15, $E$9, 100%, $G$9) + CHOOSE(CONTROL!$C$38, 0.034, 0)</f>
        <v>27.1935</v>
      </c>
      <c r="J468" s="44">
        <f>187.3375</f>
        <v>187.33750000000001</v>
      </c>
    </row>
    <row r="469" spans="1:10" ht="15.75" x14ac:dyDescent="0.25">
      <c r="A469" s="14">
        <v>54847</v>
      </c>
      <c r="B469" s="17">
        <f>29.851 * CHOOSE(CONTROL!$C$15, $E$9, 100%, $G$9) + CHOOSE(CONTROL!$C$38, 0.0339, 0)</f>
        <v>29.884899999999998</v>
      </c>
      <c r="C469" s="17">
        <f>27.5124 * CHOOSE(CONTROL!$C$15, $E$9, 100%, $G$9) + CHOOSE(CONTROL!$C$38, 0.034, 0)</f>
        <v>27.546399999999998</v>
      </c>
      <c r="D469" s="17">
        <f>27.5046 * CHOOSE(CONTROL!$C$15, $E$9, 100%, $G$9) + CHOOSE(CONTROL!$C$38, 0.034, 0)</f>
        <v>27.538599999999999</v>
      </c>
      <c r="E469" s="17">
        <f>27.5046 * CHOOSE(CONTROL!$C$15, $E$9, 100%, $G$9) + CHOOSE(CONTROL!$C$38, 0.034, 0)</f>
        <v>27.538599999999999</v>
      </c>
      <c r="F469" s="45">
        <f>29.851 * CHOOSE(CONTROL!$C$15, $E$9, 100%, $G$9) + CHOOSE(CONTROL!$C$38, 0.0339, 0)</f>
        <v>29.884899999999998</v>
      </c>
      <c r="G469" s="17">
        <f>27.5109 * CHOOSE(CONTROL!$C$15, $E$9, 100%, $G$9) + CHOOSE(CONTROL!$C$38, 0.034, 0)</f>
        <v>27.544899999999998</v>
      </c>
      <c r="H469" s="17">
        <f>27.5109 * CHOOSE(CONTROL!$C$15, $E$9, 100%, $G$9) + CHOOSE(CONTROL!$C$38, 0.034, 0)</f>
        <v>27.544899999999998</v>
      </c>
      <c r="I469" s="17">
        <f>27.5124 * CHOOSE(CONTROL!$C$15, $E$9, 100%, $G$9) + CHOOSE(CONTROL!$C$38, 0.034, 0)</f>
        <v>27.546399999999998</v>
      </c>
      <c r="J469" s="44">
        <f>186.8168</f>
        <v>186.8168</v>
      </c>
    </row>
    <row r="470" spans="1:10" ht="15.75" x14ac:dyDescent="0.25">
      <c r="A470" s="14">
        <v>54878</v>
      </c>
      <c r="B470" s="17">
        <f>29.0341 * CHOOSE(CONTROL!$C$15, $E$9, 100%, $G$9) + CHOOSE(CONTROL!$C$38, 0.0339, 0)</f>
        <v>29.067999999999998</v>
      </c>
      <c r="C470" s="17">
        <f>26.6955 * CHOOSE(CONTROL!$C$15, $E$9, 100%, $G$9) + CHOOSE(CONTROL!$C$38, 0.034, 0)</f>
        <v>26.729499999999998</v>
      </c>
      <c r="D470" s="17">
        <f>26.6877 * CHOOSE(CONTROL!$C$15, $E$9, 100%, $G$9) + CHOOSE(CONTROL!$C$38, 0.034, 0)</f>
        <v>26.721699999999998</v>
      </c>
      <c r="E470" s="17">
        <f>26.6877 * CHOOSE(CONTROL!$C$15, $E$9, 100%, $G$9) + CHOOSE(CONTROL!$C$38, 0.034, 0)</f>
        <v>26.721699999999998</v>
      </c>
      <c r="F470" s="45">
        <f>29.0341 * CHOOSE(CONTROL!$C$15, $E$9, 100%, $G$9) + CHOOSE(CONTROL!$C$38, 0.0339, 0)</f>
        <v>29.067999999999998</v>
      </c>
      <c r="G470" s="17">
        <f>26.6939 * CHOOSE(CONTROL!$C$15, $E$9, 100%, $G$9) + CHOOSE(CONTROL!$C$38, 0.034, 0)</f>
        <v>26.727899999999998</v>
      </c>
      <c r="H470" s="17">
        <f>26.6939 * CHOOSE(CONTROL!$C$15, $E$9, 100%, $G$9) + CHOOSE(CONTROL!$C$38, 0.034, 0)</f>
        <v>26.727899999999998</v>
      </c>
      <c r="I470" s="17">
        <f>26.6955 * CHOOSE(CONTROL!$C$15, $E$9, 100%, $G$9) + CHOOSE(CONTROL!$C$38, 0.034, 0)</f>
        <v>26.729499999999998</v>
      </c>
      <c r="J470" s="44">
        <f>196.6631</f>
        <v>196.66309999999999</v>
      </c>
    </row>
    <row r="471" spans="1:10" ht="15.75" x14ac:dyDescent="0.25">
      <c r="A471" s="14">
        <v>54908</v>
      </c>
      <c r="B471" s="17">
        <f>28.2425 * CHOOSE(CONTROL!$C$15, $E$9, 100%, $G$9) + CHOOSE(CONTROL!$C$38, 0.0339, 0)</f>
        <v>28.276399999999999</v>
      </c>
      <c r="C471" s="17">
        <f>25.9039 * CHOOSE(CONTROL!$C$15, $E$9, 100%, $G$9) + CHOOSE(CONTROL!$C$38, 0.034, 0)</f>
        <v>25.937899999999999</v>
      </c>
      <c r="D471" s="17">
        <f>25.896 * CHOOSE(CONTROL!$C$15, $E$9, 100%, $G$9) + CHOOSE(CONTROL!$C$38, 0.034, 0)</f>
        <v>25.93</v>
      </c>
      <c r="E471" s="17">
        <f>25.896 * CHOOSE(CONTROL!$C$15, $E$9, 100%, $G$9) + CHOOSE(CONTROL!$C$38, 0.034, 0)</f>
        <v>25.93</v>
      </c>
      <c r="F471" s="45">
        <f>28.2425 * CHOOSE(CONTROL!$C$15, $E$9, 100%, $G$9) + CHOOSE(CONTROL!$C$38, 0.0339, 0)</f>
        <v>28.276399999999999</v>
      </c>
      <c r="G471" s="17">
        <f>25.9023 * CHOOSE(CONTROL!$C$15, $E$9, 100%, $G$9) + CHOOSE(CONTROL!$C$38, 0.034, 0)</f>
        <v>25.936299999999999</v>
      </c>
      <c r="H471" s="17">
        <f>25.9023 * CHOOSE(CONTROL!$C$15, $E$9, 100%, $G$9) + CHOOSE(CONTROL!$C$38, 0.034, 0)</f>
        <v>25.936299999999999</v>
      </c>
      <c r="I471" s="17">
        <f>25.9039 * CHOOSE(CONTROL!$C$15, $E$9, 100%, $G$9) + CHOOSE(CONTROL!$C$38, 0.034, 0)</f>
        <v>25.937899999999999</v>
      </c>
      <c r="J471" s="44">
        <f>209.4315</f>
        <v>209.4315</v>
      </c>
    </row>
    <row r="472" spans="1:10" ht="15.75" x14ac:dyDescent="0.25">
      <c r="A472" s="14">
        <v>54939</v>
      </c>
      <c r="B472" s="17">
        <f>27.4174 * CHOOSE(CONTROL!$C$15, $E$9, 100%, $G$9) + CHOOSE(CONTROL!$C$38, 0.0355, 0)</f>
        <v>27.4529</v>
      </c>
      <c r="C472" s="17">
        <f>25.0788 * CHOOSE(CONTROL!$C$15, $E$9, 100%, $G$9) + CHOOSE(CONTROL!$C$38, 0.0356, 0)</f>
        <v>25.1144</v>
      </c>
      <c r="D472" s="17">
        <f>25.071 * CHOOSE(CONTROL!$C$15, $E$9, 100%, $G$9) + CHOOSE(CONTROL!$C$38, 0.0356, 0)</f>
        <v>25.1066</v>
      </c>
      <c r="E472" s="17">
        <f>25.071 * CHOOSE(CONTROL!$C$15, $E$9, 100%, $G$9) + CHOOSE(CONTROL!$C$38, 0.0356, 0)</f>
        <v>25.1066</v>
      </c>
      <c r="F472" s="45">
        <f>27.4174 * CHOOSE(CONTROL!$C$15, $E$9, 100%, $G$9) + CHOOSE(CONTROL!$C$38, 0.0355, 0)</f>
        <v>27.4529</v>
      </c>
      <c r="G472" s="17">
        <f>25.0772 * CHOOSE(CONTROL!$C$15, $E$9, 100%, $G$9) + CHOOSE(CONTROL!$C$38, 0.0356, 0)</f>
        <v>25.1128</v>
      </c>
      <c r="H472" s="17">
        <f>25.0772 * CHOOSE(CONTROL!$C$15, $E$9, 100%, $G$9) + CHOOSE(CONTROL!$C$38, 0.0356, 0)</f>
        <v>25.1128</v>
      </c>
      <c r="I472" s="17">
        <f>25.0788 * CHOOSE(CONTROL!$C$15, $E$9, 100%, $G$9) + CHOOSE(CONTROL!$C$38, 0.0356, 0)</f>
        <v>25.1144</v>
      </c>
      <c r="J472" s="44">
        <f>216.4596</f>
        <v>216.45959999999999</v>
      </c>
    </row>
    <row r="473" spans="1:10" ht="15.75" x14ac:dyDescent="0.25">
      <c r="A473" s="14">
        <v>54969</v>
      </c>
      <c r="B473" s="17">
        <f>26.8389 * CHOOSE(CONTROL!$C$15, $E$9, 100%, $G$9) + CHOOSE(CONTROL!$C$38, 0.0355, 0)</f>
        <v>26.874399999999998</v>
      </c>
      <c r="C473" s="17">
        <f>24.5003 * CHOOSE(CONTROL!$C$15, $E$9, 100%, $G$9) + CHOOSE(CONTROL!$C$38, 0.0356, 0)</f>
        <v>24.535899999999998</v>
      </c>
      <c r="D473" s="17">
        <f>24.4925 * CHOOSE(CONTROL!$C$15, $E$9, 100%, $G$9) + CHOOSE(CONTROL!$C$38, 0.0356, 0)</f>
        <v>24.528099999999998</v>
      </c>
      <c r="E473" s="17">
        <f>24.4925 * CHOOSE(CONTROL!$C$15, $E$9, 100%, $G$9) + CHOOSE(CONTROL!$C$38, 0.0356, 0)</f>
        <v>24.528099999999998</v>
      </c>
      <c r="F473" s="45">
        <f>26.8389 * CHOOSE(CONTROL!$C$15, $E$9, 100%, $G$9) + CHOOSE(CONTROL!$C$38, 0.0355, 0)</f>
        <v>26.874399999999998</v>
      </c>
      <c r="G473" s="17">
        <f>24.4988 * CHOOSE(CONTROL!$C$15, $E$9, 100%, $G$9) + CHOOSE(CONTROL!$C$38, 0.0356, 0)</f>
        <v>24.534399999999998</v>
      </c>
      <c r="H473" s="17">
        <f>24.4988 * CHOOSE(CONTROL!$C$15, $E$9, 100%, $G$9) + CHOOSE(CONTROL!$C$38, 0.0356, 0)</f>
        <v>24.534399999999998</v>
      </c>
      <c r="I473" s="17">
        <f>24.5003 * CHOOSE(CONTROL!$C$15, $E$9, 100%, $G$9) + CHOOSE(CONTROL!$C$38, 0.0356, 0)</f>
        <v>24.535899999999998</v>
      </c>
      <c r="J473" s="44">
        <f>219.5785</f>
        <v>219.57849999999999</v>
      </c>
    </row>
    <row r="474" spans="1:10" ht="15.75" x14ac:dyDescent="0.25">
      <c r="A474" s="14">
        <v>55000</v>
      </c>
      <c r="B474" s="17">
        <f>26.5088 * CHOOSE(CONTROL!$C$15, $E$9, 100%, $G$9) + CHOOSE(CONTROL!$C$38, 0.0355, 0)</f>
        <v>26.5443</v>
      </c>
      <c r="C474" s="17">
        <f>24.1702 * CHOOSE(CONTROL!$C$15, $E$9, 100%, $G$9) + CHOOSE(CONTROL!$C$38, 0.0356, 0)</f>
        <v>24.2058</v>
      </c>
      <c r="D474" s="17">
        <f>24.1624 * CHOOSE(CONTROL!$C$15, $E$9, 100%, $G$9) + CHOOSE(CONTROL!$C$38, 0.0356, 0)</f>
        <v>24.198</v>
      </c>
      <c r="E474" s="17">
        <f>24.1624 * CHOOSE(CONTROL!$C$15, $E$9, 100%, $G$9) + CHOOSE(CONTROL!$C$38, 0.0356, 0)</f>
        <v>24.198</v>
      </c>
      <c r="F474" s="45">
        <f>26.5088 * CHOOSE(CONTROL!$C$15, $E$9, 100%, $G$9) + CHOOSE(CONTROL!$C$38, 0.0355, 0)</f>
        <v>26.5443</v>
      </c>
      <c r="G474" s="17">
        <f>24.1687 * CHOOSE(CONTROL!$C$15, $E$9, 100%, $G$9) + CHOOSE(CONTROL!$C$38, 0.0356, 0)</f>
        <v>24.2043</v>
      </c>
      <c r="H474" s="17">
        <f>24.1687 * CHOOSE(CONTROL!$C$15, $E$9, 100%, $G$9) + CHOOSE(CONTROL!$C$38, 0.0356, 0)</f>
        <v>24.2043</v>
      </c>
      <c r="I474" s="17">
        <f>24.1702 * CHOOSE(CONTROL!$C$15, $E$9, 100%, $G$9) + CHOOSE(CONTROL!$C$38, 0.0356, 0)</f>
        <v>24.2058</v>
      </c>
      <c r="J474" s="44">
        <f>218.5516</f>
        <v>218.55160000000001</v>
      </c>
    </row>
    <row r="475" spans="1:10" ht="15.75" x14ac:dyDescent="0.25">
      <c r="A475" s="14">
        <v>55031</v>
      </c>
      <c r="B475" s="17">
        <f>26.6718 * CHOOSE(CONTROL!$C$15, $E$9, 100%, $G$9) + CHOOSE(CONTROL!$C$38, 0.0355, 0)</f>
        <v>26.7073</v>
      </c>
      <c r="C475" s="17">
        <f>24.3331 * CHOOSE(CONTROL!$C$15, $E$9, 100%, $G$9) + CHOOSE(CONTROL!$C$38, 0.0356, 0)</f>
        <v>24.3687</v>
      </c>
      <c r="D475" s="17">
        <f>24.3253 * CHOOSE(CONTROL!$C$15, $E$9, 100%, $G$9) + CHOOSE(CONTROL!$C$38, 0.0356, 0)</f>
        <v>24.360899999999997</v>
      </c>
      <c r="E475" s="17">
        <f>24.3253 * CHOOSE(CONTROL!$C$15, $E$9, 100%, $G$9) + CHOOSE(CONTROL!$C$38, 0.0356, 0)</f>
        <v>24.360899999999997</v>
      </c>
      <c r="F475" s="45">
        <f>26.6718 * CHOOSE(CONTROL!$C$15, $E$9, 100%, $G$9) + CHOOSE(CONTROL!$C$38, 0.0355, 0)</f>
        <v>26.7073</v>
      </c>
      <c r="G475" s="17">
        <f>24.3316 * CHOOSE(CONTROL!$C$15, $E$9, 100%, $G$9) + CHOOSE(CONTROL!$C$38, 0.0356, 0)</f>
        <v>24.3672</v>
      </c>
      <c r="H475" s="17">
        <f>24.3316 * CHOOSE(CONTROL!$C$15, $E$9, 100%, $G$9) + CHOOSE(CONTROL!$C$38, 0.0356, 0)</f>
        <v>24.3672</v>
      </c>
      <c r="I475" s="17">
        <f>24.3331 * CHOOSE(CONTROL!$C$15, $E$9, 100%, $G$9) + CHOOSE(CONTROL!$C$38, 0.0356, 0)</f>
        <v>24.3687</v>
      </c>
      <c r="J475" s="44">
        <f>213.4638</f>
        <v>213.46379999999999</v>
      </c>
    </row>
    <row r="476" spans="1:10" ht="15.75" x14ac:dyDescent="0.25">
      <c r="A476" s="14">
        <v>55061</v>
      </c>
      <c r="B476" s="17">
        <f>27.1143 * CHOOSE(CONTROL!$C$15, $E$9, 100%, $G$9) + CHOOSE(CONTROL!$C$38, 0.0355, 0)</f>
        <v>27.149799999999999</v>
      </c>
      <c r="C476" s="17">
        <f>24.7756 * CHOOSE(CONTROL!$C$15, $E$9, 100%, $G$9) + CHOOSE(CONTROL!$C$38, 0.0356, 0)</f>
        <v>24.811199999999999</v>
      </c>
      <c r="D476" s="17">
        <f>24.7678 * CHOOSE(CONTROL!$C$15, $E$9, 100%, $G$9) + CHOOSE(CONTROL!$C$38, 0.0356, 0)</f>
        <v>24.8034</v>
      </c>
      <c r="E476" s="17">
        <f>24.7678 * CHOOSE(CONTROL!$C$15, $E$9, 100%, $G$9) + CHOOSE(CONTROL!$C$38, 0.0356, 0)</f>
        <v>24.8034</v>
      </c>
      <c r="F476" s="45">
        <f>27.1143 * CHOOSE(CONTROL!$C$15, $E$9, 100%, $G$9) + CHOOSE(CONTROL!$C$38, 0.0355, 0)</f>
        <v>27.149799999999999</v>
      </c>
      <c r="G476" s="17">
        <f>24.7741 * CHOOSE(CONTROL!$C$15, $E$9, 100%, $G$9) + CHOOSE(CONTROL!$C$38, 0.0356, 0)</f>
        <v>24.809699999999999</v>
      </c>
      <c r="H476" s="17">
        <f>24.7741 * CHOOSE(CONTROL!$C$15, $E$9, 100%, $G$9) + CHOOSE(CONTROL!$C$38, 0.0356, 0)</f>
        <v>24.809699999999999</v>
      </c>
      <c r="I476" s="17">
        <f>24.7756 * CHOOSE(CONTROL!$C$15, $E$9, 100%, $G$9) + CHOOSE(CONTROL!$C$38, 0.0356, 0)</f>
        <v>24.811199999999999</v>
      </c>
      <c r="J476" s="44">
        <f>206.3686</f>
        <v>206.36859999999999</v>
      </c>
    </row>
    <row r="477" spans="1:10" ht="15.75" x14ac:dyDescent="0.25">
      <c r="A477" s="14">
        <v>55092</v>
      </c>
      <c r="B477" s="17">
        <f>27.4849 * CHOOSE(CONTROL!$C$15, $E$9, 100%, $G$9) + CHOOSE(CONTROL!$C$38, 0.0339, 0)</f>
        <v>27.518799999999999</v>
      </c>
      <c r="C477" s="17">
        <f>25.1462 * CHOOSE(CONTROL!$C$15, $E$9, 100%, $G$9) + CHOOSE(CONTROL!$C$38, 0.034, 0)</f>
        <v>25.180199999999999</v>
      </c>
      <c r="D477" s="17">
        <f>25.1384 * CHOOSE(CONTROL!$C$15, $E$9, 100%, $G$9) + CHOOSE(CONTROL!$C$38, 0.034, 0)</f>
        <v>25.1724</v>
      </c>
      <c r="E477" s="17">
        <f>25.1384 * CHOOSE(CONTROL!$C$15, $E$9, 100%, $G$9) + CHOOSE(CONTROL!$C$38, 0.034, 0)</f>
        <v>25.1724</v>
      </c>
      <c r="F477" s="45">
        <f>27.4849 * CHOOSE(CONTROL!$C$15, $E$9, 100%, $G$9) + CHOOSE(CONTROL!$C$38, 0.0339, 0)</f>
        <v>27.518799999999999</v>
      </c>
      <c r="G477" s="17">
        <f>25.1447 * CHOOSE(CONTROL!$C$15, $E$9, 100%, $G$9) + CHOOSE(CONTROL!$C$38, 0.034, 0)</f>
        <v>25.178699999999999</v>
      </c>
      <c r="H477" s="17">
        <f>25.1447 * CHOOSE(CONTROL!$C$15, $E$9, 100%, $G$9) + CHOOSE(CONTROL!$C$38, 0.034, 0)</f>
        <v>25.178699999999999</v>
      </c>
      <c r="I477" s="17">
        <f>25.1462 * CHOOSE(CONTROL!$C$15, $E$9, 100%, $G$9) + CHOOSE(CONTROL!$C$38, 0.034, 0)</f>
        <v>25.180199999999999</v>
      </c>
      <c r="J477" s="44">
        <f>199.2322</f>
        <v>199.23220000000001</v>
      </c>
    </row>
    <row r="478" spans="1:10" ht="15.75" x14ac:dyDescent="0.25">
      <c r="A478" s="14">
        <v>55122</v>
      </c>
      <c r="B478" s="17">
        <f>27.7941 * CHOOSE(CONTROL!$C$15, $E$9, 100%, $G$9) + CHOOSE(CONTROL!$C$38, 0.0339, 0)</f>
        <v>27.827999999999999</v>
      </c>
      <c r="C478" s="17">
        <f>25.4555 * CHOOSE(CONTROL!$C$15, $E$9, 100%, $G$9) + CHOOSE(CONTROL!$C$38, 0.034, 0)</f>
        <v>25.4895</v>
      </c>
      <c r="D478" s="17">
        <f>25.4477 * CHOOSE(CONTROL!$C$15, $E$9, 100%, $G$9) + CHOOSE(CONTROL!$C$38, 0.034, 0)</f>
        <v>25.4817</v>
      </c>
      <c r="E478" s="17">
        <f>25.4477 * CHOOSE(CONTROL!$C$15, $E$9, 100%, $G$9) + CHOOSE(CONTROL!$C$38, 0.034, 0)</f>
        <v>25.4817</v>
      </c>
      <c r="F478" s="45">
        <f>27.7941 * CHOOSE(CONTROL!$C$15, $E$9, 100%, $G$9) + CHOOSE(CONTROL!$C$38, 0.0339, 0)</f>
        <v>27.827999999999999</v>
      </c>
      <c r="G478" s="17">
        <f>25.4539 * CHOOSE(CONTROL!$C$15, $E$9, 100%, $G$9) + CHOOSE(CONTROL!$C$38, 0.034, 0)</f>
        <v>25.4879</v>
      </c>
      <c r="H478" s="17">
        <f>25.4539 * CHOOSE(CONTROL!$C$15, $E$9, 100%, $G$9) + CHOOSE(CONTROL!$C$38, 0.034, 0)</f>
        <v>25.4879</v>
      </c>
      <c r="I478" s="17">
        <f>25.4555 * CHOOSE(CONTROL!$C$15, $E$9, 100%, $G$9) + CHOOSE(CONTROL!$C$38, 0.034, 0)</f>
        <v>25.4895</v>
      </c>
      <c r="J478" s="44">
        <f>197.8126</f>
        <v>197.8126</v>
      </c>
    </row>
    <row r="479" spans="1:10" ht="15.75" x14ac:dyDescent="0.25">
      <c r="A479" s="14">
        <v>55153</v>
      </c>
      <c r="B479" s="17">
        <f>28.747 * CHOOSE(CONTROL!$C$15, $E$9, 100%, $G$9) + CHOOSE(CONTROL!$C$38, 0.0339, 0)</f>
        <v>28.780899999999999</v>
      </c>
      <c r="C479" s="17">
        <f>26.4084 * CHOOSE(CONTROL!$C$15, $E$9, 100%, $G$9) + CHOOSE(CONTROL!$C$38, 0.034, 0)</f>
        <v>26.442399999999999</v>
      </c>
      <c r="D479" s="17">
        <f>26.4006 * CHOOSE(CONTROL!$C$15, $E$9, 100%, $G$9) + CHOOSE(CONTROL!$C$38, 0.034, 0)</f>
        <v>26.4346</v>
      </c>
      <c r="E479" s="17">
        <f>26.4006 * CHOOSE(CONTROL!$C$15, $E$9, 100%, $G$9) + CHOOSE(CONTROL!$C$38, 0.034, 0)</f>
        <v>26.4346</v>
      </c>
      <c r="F479" s="45">
        <f>28.747 * CHOOSE(CONTROL!$C$15, $E$9, 100%, $G$9) + CHOOSE(CONTROL!$C$38, 0.0339, 0)</f>
        <v>28.780899999999999</v>
      </c>
      <c r="G479" s="17">
        <f>26.4068 * CHOOSE(CONTROL!$C$15, $E$9, 100%, $G$9) + CHOOSE(CONTROL!$C$38, 0.034, 0)</f>
        <v>26.440799999999999</v>
      </c>
      <c r="H479" s="17">
        <f>26.4068 * CHOOSE(CONTROL!$C$15, $E$9, 100%, $G$9) + CHOOSE(CONTROL!$C$38, 0.034, 0)</f>
        <v>26.440799999999999</v>
      </c>
      <c r="I479" s="17">
        <f>26.4084 * CHOOSE(CONTROL!$C$15, $E$9, 100%, $G$9) + CHOOSE(CONTROL!$C$38, 0.034, 0)</f>
        <v>26.442399999999999</v>
      </c>
      <c r="J479" s="44">
        <f>191.9425</f>
        <v>191.9425</v>
      </c>
    </row>
    <row r="480" spans="1:10" ht="15.75" x14ac:dyDescent="0.25">
      <c r="A480" s="14">
        <v>55184</v>
      </c>
      <c r="B480" s="17">
        <f>29.5348 * CHOOSE(CONTROL!$C$15, $E$9, 100%, $G$9) + CHOOSE(CONTROL!$C$38, 0.0339, 0)</f>
        <v>29.5687</v>
      </c>
      <c r="C480" s="17">
        <f>27.1933 * CHOOSE(CONTROL!$C$15, $E$9, 100%, $G$9) + CHOOSE(CONTROL!$C$38, 0.034, 0)</f>
        <v>27.2273</v>
      </c>
      <c r="D480" s="17">
        <f>27.1855 * CHOOSE(CONTROL!$C$15, $E$9, 100%, $G$9) + CHOOSE(CONTROL!$C$38, 0.034, 0)</f>
        <v>27.2195</v>
      </c>
      <c r="E480" s="17">
        <f>27.1855 * CHOOSE(CONTROL!$C$15, $E$9, 100%, $G$9) + CHOOSE(CONTROL!$C$38, 0.034, 0)</f>
        <v>27.2195</v>
      </c>
      <c r="F480" s="45">
        <f>29.5348 * CHOOSE(CONTROL!$C$15, $E$9, 100%, $G$9) + CHOOSE(CONTROL!$C$38, 0.0339, 0)</f>
        <v>29.5687</v>
      </c>
      <c r="G480" s="17">
        <f>27.1917 * CHOOSE(CONTROL!$C$15, $E$9, 100%, $G$9) + CHOOSE(CONTROL!$C$38, 0.034, 0)</f>
        <v>27.2257</v>
      </c>
      <c r="H480" s="17">
        <f>27.1917 * CHOOSE(CONTROL!$C$15, $E$9, 100%, $G$9) + CHOOSE(CONTROL!$C$38, 0.034, 0)</f>
        <v>27.2257</v>
      </c>
      <c r="I480" s="17">
        <f>27.1933 * CHOOSE(CONTROL!$C$15, $E$9, 100%, $G$9) + CHOOSE(CONTROL!$C$38, 0.034, 0)</f>
        <v>27.2273</v>
      </c>
      <c r="J480" s="44">
        <f>189.1041</f>
        <v>189.10409999999999</v>
      </c>
    </row>
    <row r="481" spans="1:10" ht="15.75" x14ac:dyDescent="0.25">
      <c r="A481" s="14">
        <v>55212</v>
      </c>
      <c r="B481" s="17">
        <f>29.8877 * CHOOSE(CONTROL!$C$15, $E$9, 100%, $G$9) + CHOOSE(CONTROL!$C$38, 0.0339, 0)</f>
        <v>29.921599999999998</v>
      </c>
      <c r="C481" s="17">
        <f>27.5462 * CHOOSE(CONTROL!$C$15, $E$9, 100%, $G$9) + CHOOSE(CONTROL!$C$38, 0.034, 0)</f>
        <v>27.580199999999998</v>
      </c>
      <c r="D481" s="17">
        <f>27.5384 * CHOOSE(CONTROL!$C$15, $E$9, 100%, $G$9) + CHOOSE(CONTROL!$C$38, 0.034, 0)</f>
        <v>27.572399999999998</v>
      </c>
      <c r="E481" s="17">
        <f>27.5384 * CHOOSE(CONTROL!$C$15, $E$9, 100%, $G$9) + CHOOSE(CONTROL!$C$38, 0.034, 0)</f>
        <v>27.572399999999998</v>
      </c>
      <c r="F481" s="45">
        <f>29.8877 * CHOOSE(CONTROL!$C$15, $E$9, 100%, $G$9) + CHOOSE(CONTROL!$C$38, 0.0339, 0)</f>
        <v>29.921599999999998</v>
      </c>
      <c r="G481" s="17">
        <f>27.5446 * CHOOSE(CONTROL!$C$15, $E$9, 100%, $G$9) + CHOOSE(CONTROL!$C$38, 0.034, 0)</f>
        <v>27.578599999999998</v>
      </c>
      <c r="H481" s="17">
        <f>27.5446 * CHOOSE(CONTROL!$C$15, $E$9, 100%, $G$9) + CHOOSE(CONTROL!$C$38, 0.034, 0)</f>
        <v>27.578599999999998</v>
      </c>
      <c r="I481" s="17">
        <f>27.5462 * CHOOSE(CONTROL!$C$15, $E$9, 100%, $G$9) + CHOOSE(CONTROL!$C$38, 0.034, 0)</f>
        <v>27.580199999999998</v>
      </c>
      <c r="J481" s="44">
        <f>188.5785</f>
        <v>188.57849999999999</v>
      </c>
    </row>
    <row r="482" spans="1:10" ht="15.75" x14ac:dyDescent="0.25">
      <c r="A482" s="14">
        <v>55243</v>
      </c>
      <c r="B482" s="17">
        <f>29.0708 * CHOOSE(CONTROL!$C$15, $E$9, 100%, $G$9) + CHOOSE(CONTROL!$C$38, 0.0339, 0)</f>
        <v>29.104699999999998</v>
      </c>
      <c r="C482" s="17">
        <f>26.7292 * CHOOSE(CONTROL!$C$15, $E$9, 100%, $G$9) + CHOOSE(CONTROL!$C$38, 0.034, 0)</f>
        <v>26.763199999999998</v>
      </c>
      <c r="D482" s="17">
        <f>26.7214 * CHOOSE(CONTROL!$C$15, $E$9, 100%, $G$9) + CHOOSE(CONTROL!$C$38, 0.034, 0)</f>
        <v>26.755399999999998</v>
      </c>
      <c r="E482" s="17">
        <f>26.7214 * CHOOSE(CONTROL!$C$15, $E$9, 100%, $G$9) + CHOOSE(CONTROL!$C$38, 0.034, 0)</f>
        <v>26.755399999999998</v>
      </c>
      <c r="F482" s="45">
        <f>29.0708 * CHOOSE(CONTROL!$C$15, $E$9, 100%, $G$9) + CHOOSE(CONTROL!$C$38, 0.0339, 0)</f>
        <v>29.104699999999998</v>
      </c>
      <c r="G482" s="17">
        <f>26.7277 * CHOOSE(CONTROL!$C$15, $E$9, 100%, $G$9) + CHOOSE(CONTROL!$C$38, 0.034, 0)</f>
        <v>26.761699999999998</v>
      </c>
      <c r="H482" s="17">
        <f>26.7277 * CHOOSE(CONTROL!$C$15, $E$9, 100%, $G$9) + CHOOSE(CONTROL!$C$38, 0.034, 0)</f>
        <v>26.761699999999998</v>
      </c>
      <c r="I482" s="17">
        <f>26.7292 * CHOOSE(CONTROL!$C$15, $E$9, 100%, $G$9) + CHOOSE(CONTROL!$C$38, 0.034, 0)</f>
        <v>26.763199999999998</v>
      </c>
      <c r="J482" s="44">
        <f>198.5177</f>
        <v>198.51769999999999</v>
      </c>
    </row>
    <row r="483" spans="1:10" ht="15.75" x14ac:dyDescent="0.25">
      <c r="A483" s="14">
        <v>55273</v>
      </c>
      <c r="B483" s="17">
        <f>28.2791 * CHOOSE(CONTROL!$C$15, $E$9, 100%, $G$9) + CHOOSE(CONTROL!$C$38, 0.0339, 0)</f>
        <v>28.312999999999999</v>
      </c>
      <c r="C483" s="17">
        <f>25.9376 * CHOOSE(CONTROL!$C$15, $E$9, 100%, $G$9) + CHOOSE(CONTROL!$C$38, 0.034, 0)</f>
        <v>25.971599999999999</v>
      </c>
      <c r="D483" s="17">
        <f>25.9298 * CHOOSE(CONTROL!$C$15, $E$9, 100%, $G$9) + CHOOSE(CONTROL!$C$38, 0.034, 0)</f>
        <v>25.963799999999999</v>
      </c>
      <c r="E483" s="17">
        <f>25.9298 * CHOOSE(CONTROL!$C$15, $E$9, 100%, $G$9) + CHOOSE(CONTROL!$C$38, 0.034, 0)</f>
        <v>25.963799999999999</v>
      </c>
      <c r="F483" s="45">
        <f>28.2791 * CHOOSE(CONTROL!$C$15, $E$9, 100%, $G$9) + CHOOSE(CONTROL!$C$38, 0.0339, 0)</f>
        <v>28.312999999999999</v>
      </c>
      <c r="G483" s="17">
        <f>25.936 * CHOOSE(CONTROL!$C$15, $E$9, 100%, $G$9) + CHOOSE(CONTROL!$C$38, 0.034, 0)</f>
        <v>25.97</v>
      </c>
      <c r="H483" s="17">
        <f>25.936 * CHOOSE(CONTROL!$C$15, $E$9, 100%, $G$9) + CHOOSE(CONTROL!$C$38, 0.034, 0)</f>
        <v>25.97</v>
      </c>
      <c r="I483" s="17">
        <f>25.9376 * CHOOSE(CONTROL!$C$15, $E$9, 100%, $G$9) + CHOOSE(CONTROL!$C$38, 0.034, 0)</f>
        <v>25.971599999999999</v>
      </c>
      <c r="J483" s="44">
        <f>211.4064</f>
        <v>211.40639999999999</v>
      </c>
    </row>
    <row r="484" spans="1:10" ht="15.75" x14ac:dyDescent="0.25">
      <c r="A484" s="14">
        <v>55304</v>
      </c>
      <c r="B484" s="17">
        <f>27.4541 * CHOOSE(CONTROL!$C$15, $E$9, 100%, $G$9) + CHOOSE(CONTROL!$C$38, 0.0355, 0)</f>
        <v>27.489599999999999</v>
      </c>
      <c r="C484" s="17">
        <f>25.1125 * CHOOSE(CONTROL!$C$15, $E$9, 100%, $G$9) + CHOOSE(CONTROL!$C$38, 0.0356, 0)</f>
        <v>25.148099999999999</v>
      </c>
      <c r="D484" s="17">
        <f>25.1047 * CHOOSE(CONTROL!$C$15, $E$9, 100%, $G$9) + CHOOSE(CONTROL!$C$38, 0.0356, 0)</f>
        <v>25.1403</v>
      </c>
      <c r="E484" s="17">
        <f>25.1047 * CHOOSE(CONTROL!$C$15, $E$9, 100%, $G$9) + CHOOSE(CONTROL!$C$38, 0.0356, 0)</f>
        <v>25.1403</v>
      </c>
      <c r="F484" s="45">
        <f>27.4541 * CHOOSE(CONTROL!$C$15, $E$9, 100%, $G$9) + CHOOSE(CONTROL!$C$38, 0.0355, 0)</f>
        <v>27.489599999999999</v>
      </c>
      <c r="G484" s="17">
        <f>25.111 * CHOOSE(CONTROL!$C$15, $E$9, 100%, $G$9) + CHOOSE(CONTROL!$C$38, 0.0356, 0)</f>
        <v>25.146599999999999</v>
      </c>
      <c r="H484" s="17">
        <f>25.111 * CHOOSE(CONTROL!$C$15, $E$9, 100%, $G$9) + CHOOSE(CONTROL!$C$38, 0.0356, 0)</f>
        <v>25.146599999999999</v>
      </c>
      <c r="I484" s="17">
        <f>25.1125 * CHOOSE(CONTROL!$C$15, $E$9, 100%, $G$9) + CHOOSE(CONTROL!$C$38, 0.0356, 0)</f>
        <v>25.148099999999999</v>
      </c>
      <c r="J484" s="44">
        <f>218.5008</f>
        <v>218.5008</v>
      </c>
    </row>
    <row r="485" spans="1:10" ht="15.75" x14ac:dyDescent="0.25">
      <c r="A485" s="14">
        <v>55334</v>
      </c>
      <c r="B485" s="17">
        <f>26.8756 * CHOOSE(CONTROL!$C$15, $E$9, 100%, $G$9) + CHOOSE(CONTROL!$C$38, 0.0355, 0)</f>
        <v>26.911099999999998</v>
      </c>
      <c r="C485" s="17">
        <f>24.5341 * CHOOSE(CONTROL!$C$15, $E$9, 100%, $G$9) + CHOOSE(CONTROL!$C$38, 0.0356, 0)</f>
        <v>24.569699999999997</v>
      </c>
      <c r="D485" s="17">
        <f>24.5263 * CHOOSE(CONTROL!$C$15, $E$9, 100%, $G$9) + CHOOSE(CONTROL!$C$38, 0.0356, 0)</f>
        <v>24.561899999999998</v>
      </c>
      <c r="E485" s="17">
        <f>24.5263 * CHOOSE(CONTROL!$C$15, $E$9, 100%, $G$9) + CHOOSE(CONTROL!$C$38, 0.0356, 0)</f>
        <v>24.561899999999998</v>
      </c>
      <c r="F485" s="45">
        <f>26.8756 * CHOOSE(CONTROL!$C$15, $E$9, 100%, $G$9) + CHOOSE(CONTROL!$C$38, 0.0355, 0)</f>
        <v>26.911099999999998</v>
      </c>
      <c r="G485" s="17">
        <f>24.5325 * CHOOSE(CONTROL!$C$15, $E$9, 100%, $G$9) + CHOOSE(CONTROL!$C$38, 0.0356, 0)</f>
        <v>24.568099999999998</v>
      </c>
      <c r="H485" s="17">
        <f>24.5325 * CHOOSE(CONTROL!$C$15, $E$9, 100%, $G$9) + CHOOSE(CONTROL!$C$38, 0.0356, 0)</f>
        <v>24.568099999999998</v>
      </c>
      <c r="I485" s="17">
        <f>24.5341 * CHOOSE(CONTROL!$C$15, $E$9, 100%, $G$9) + CHOOSE(CONTROL!$C$38, 0.0356, 0)</f>
        <v>24.569699999999997</v>
      </c>
      <c r="J485" s="44">
        <f>221.6491</f>
        <v>221.6491</v>
      </c>
    </row>
    <row r="486" spans="1:10" ht="15.75" x14ac:dyDescent="0.25">
      <c r="A486" s="14">
        <v>55365</v>
      </c>
      <c r="B486" s="17">
        <f>26.5455 * CHOOSE(CONTROL!$C$15, $E$9, 100%, $G$9) + CHOOSE(CONTROL!$C$38, 0.0355, 0)</f>
        <v>26.581</v>
      </c>
      <c r="C486" s="17">
        <f>24.204 * CHOOSE(CONTROL!$C$15, $E$9, 100%, $G$9) + CHOOSE(CONTROL!$C$38, 0.0356, 0)</f>
        <v>24.239599999999999</v>
      </c>
      <c r="D486" s="17">
        <f>24.1962 * CHOOSE(CONTROL!$C$15, $E$9, 100%, $G$9) + CHOOSE(CONTROL!$C$38, 0.0356, 0)</f>
        <v>24.2318</v>
      </c>
      <c r="E486" s="17">
        <f>24.1962 * CHOOSE(CONTROL!$C$15, $E$9, 100%, $G$9) + CHOOSE(CONTROL!$C$38, 0.0356, 0)</f>
        <v>24.2318</v>
      </c>
      <c r="F486" s="45">
        <f>26.5455 * CHOOSE(CONTROL!$C$15, $E$9, 100%, $G$9) + CHOOSE(CONTROL!$C$38, 0.0355, 0)</f>
        <v>26.581</v>
      </c>
      <c r="G486" s="17">
        <f>24.2024 * CHOOSE(CONTROL!$C$15, $E$9, 100%, $G$9) + CHOOSE(CONTROL!$C$38, 0.0356, 0)</f>
        <v>24.238</v>
      </c>
      <c r="H486" s="17">
        <f>24.2024 * CHOOSE(CONTROL!$C$15, $E$9, 100%, $G$9) + CHOOSE(CONTROL!$C$38, 0.0356, 0)</f>
        <v>24.238</v>
      </c>
      <c r="I486" s="17">
        <f>24.204 * CHOOSE(CONTROL!$C$15, $E$9, 100%, $G$9) + CHOOSE(CONTROL!$C$38, 0.0356, 0)</f>
        <v>24.239599999999999</v>
      </c>
      <c r="J486" s="44">
        <f>220.6125</f>
        <v>220.61250000000001</v>
      </c>
    </row>
    <row r="487" spans="1:10" ht="15.75" x14ac:dyDescent="0.25">
      <c r="A487" s="14">
        <v>55396</v>
      </c>
      <c r="B487" s="17">
        <f>26.7084 * CHOOSE(CONTROL!$C$15, $E$9, 100%, $G$9) + CHOOSE(CONTROL!$C$38, 0.0355, 0)</f>
        <v>26.7439</v>
      </c>
      <c r="C487" s="17">
        <f>24.3669 * CHOOSE(CONTROL!$C$15, $E$9, 100%, $G$9) + CHOOSE(CONTROL!$C$38, 0.0356, 0)</f>
        <v>24.4025</v>
      </c>
      <c r="D487" s="17">
        <f>24.3591 * CHOOSE(CONTROL!$C$15, $E$9, 100%, $G$9) + CHOOSE(CONTROL!$C$38, 0.0356, 0)</f>
        <v>24.3947</v>
      </c>
      <c r="E487" s="17">
        <f>24.3591 * CHOOSE(CONTROL!$C$15, $E$9, 100%, $G$9) + CHOOSE(CONTROL!$C$38, 0.0356, 0)</f>
        <v>24.3947</v>
      </c>
      <c r="F487" s="45">
        <f>26.7084 * CHOOSE(CONTROL!$C$15, $E$9, 100%, $G$9) + CHOOSE(CONTROL!$C$38, 0.0355, 0)</f>
        <v>26.7439</v>
      </c>
      <c r="G487" s="17">
        <f>24.3653 * CHOOSE(CONTROL!$C$15, $E$9, 100%, $G$9) + CHOOSE(CONTROL!$C$38, 0.0356, 0)</f>
        <v>24.4009</v>
      </c>
      <c r="H487" s="17">
        <f>24.3653 * CHOOSE(CONTROL!$C$15, $E$9, 100%, $G$9) + CHOOSE(CONTROL!$C$38, 0.0356, 0)</f>
        <v>24.4009</v>
      </c>
      <c r="I487" s="17">
        <f>24.3669 * CHOOSE(CONTROL!$C$15, $E$9, 100%, $G$9) + CHOOSE(CONTROL!$C$38, 0.0356, 0)</f>
        <v>24.4025</v>
      </c>
      <c r="J487" s="44">
        <f>215.4768</f>
        <v>215.4768</v>
      </c>
    </row>
    <row r="488" spans="1:10" ht="15.75" x14ac:dyDescent="0.25">
      <c r="A488" s="14">
        <v>55426</v>
      </c>
      <c r="B488" s="17">
        <f>27.1509 * CHOOSE(CONTROL!$C$15, $E$9, 100%, $G$9) + CHOOSE(CONTROL!$C$38, 0.0355, 0)</f>
        <v>27.186399999999999</v>
      </c>
      <c r="C488" s="17">
        <f>24.8094 * CHOOSE(CONTROL!$C$15, $E$9, 100%, $G$9) + CHOOSE(CONTROL!$C$38, 0.0356, 0)</f>
        <v>24.844999999999999</v>
      </c>
      <c r="D488" s="17">
        <f>24.8016 * CHOOSE(CONTROL!$C$15, $E$9, 100%, $G$9) + CHOOSE(CONTROL!$C$38, 0.0356, 0)</f>
        <v>24.837199999999999</v>
      </c>
      <c r="E488" s="17">
        <f>24.8016 * CHOOSE(CONTROL!$C$15, $E$9, 100%, $G$9) + CHOOSE(CONTROL!$C$38, 0.0356, 0)</f>
        <v>24.837199999999999</v>
      </c>
      <c r="F488" s="45">
        <f>27.1509 * CHOOSE(CONTROL!$C$15, $E$9, 100%, $G$9) + CHOOSE(CONTROL!$C$38, 0.0355, 0)</f>
        <v>27.186399999999999</v>
      </c>
      <c r="G488" s="17">
        <f>24.8078 * CHOOSE(CONTROL!$C$15, $E$9, 100%, $G$9) + CHOOSE(CONTROL!$C$38, 0.0356, 0)</f>
        <v>24.843399999999999</v>
      </c>
      <c r="H488" s="17">
        <f>24.8078 * CHOOSE(CONTROL!$C$15, $E$9, 100%, $G$9) + CHOOSE(CONTROL!$C$38, 0.0356, 0)</f>
        <v>24.843399999999999</v>
      </c>
      <c r="I488" s="17">
        <f>24.8094 * CHOOSE(CONTROL!$C$15, $E$9, 100%, $G$9) + CHOOSE(CONTROL!$C$38, 0.0356, 0)</f>
        <v>24.844999999999999</v>
      </c>
      <c r="J488" s="44">
        <f>208.3147</f>
        <v>208.31469999999999</v>
      </c>
    </row>
    <row r="489" spans="1:10" ht="15.75" x14ac:dyDescent="0.25">
      <c r="A489" s="14">
        <v>55457</v>
      </c>
      <c r="B489" s="17">
        <f>27.5215 * CHOOSE(CONTROL!$C$15, $E$9, 100%, $G$9) + CHOOSE(CONTROL!$C$38, 0.0339, 0)</f>
        <v>27.555399999999999</v>
      </c>
      <c r="C489" s="17">
        <f>25.18 * CHOOSE(CONTROL!$C$15, $E$9, 100%, $G$9) + CHOOSE(CONTROL!$C$38, 0.034, 0)</f>
        <v>25.213999999999999</v>
      </c>
      <c r="D489" s="17">
        <f>25.1722 * CHOOSE(CONTROL!$C$15, $E$9, 100%, $G$9) + CHOOSE(CONTROL!$C$38, 0.034, 0)</f>
        <v>25.206199999999999</v>
      </c>
      <c r="E489" s="17">
        <f>25.1722 * CHOOSE(CONTROL!$C$15, $E$9, 100%, $G$9) + CHOOSE(CONTROL!$C$38, 0.034, 0)</f>
        <v>25.206199999999999</v>
      </c>
      <c r="F489" s="45">
        <f>27.5215 * CHOOSE(CONTROL!$C$15, $E$9, 100%, $G$9) + CHOOSE(CONTROL!$C$38, 0.0339, 0)</f>
        <v>27.555399999999999</v>
      </c>
      <c r="G489" s="17">
        <f>25.1784 * CHOOSE(CONTROL!$C$15, $E$9, 100%, $G$9) + CHOOSE(CONTROL!$C$38, 0.034, 0)</f>
        <v>25.212399999999999</v>
      </c>
      <c r="H489" s="17">
        <f>25.1784 * CHOOSE(CONTROL!$C$15, $E$9, 100%, $G$9) + CHOOSE(CONTROL!$C$38, 0.034, 0)</f>
        <v>25.212399999999999</v>
      </c>
      <c r="I489" s="17">
        <f>25.18 * CHOOSE(CONTROL!$C$15, $E$9, 100%, $G$9) + CHOOSE(CONTROL!$C$38, 0.034, 0)</f>
        <v>25.213999999999999</v>
      </c>
      <c r="J489" s="44">
        <f>201.111</f>
        <v>201.11099999999999</v>
      </c>
    </row>
    <row r="490" spans="1:10" ht="15.75" x14ac:dyDescent="0.25">
      <c r="A490" s="14">
        <v>55487</v>
      </c>
      <c r="B490" s="17">
        <f>27.8308 * CHOOSE(CONTROL!$C$15, $E$9, 100%, $G$9) + CHOOSE(CONTROL!$C$38, 0.0339, 0)</f>
        <v>27.864699999999999</v>
      </c>
      <c r="C490" s="17">
        <f>25.4892 * CHOOSE(CONTROL!$C$15, $E$9, 100%, $G$9) + CHOOSE(CONTROL!$C$38, 0.034, 0)</f>
        <v>25.523199999999999</v>
      </c>
      <c r="D490" s="17">
        <f>25.4814 * CHOOSE(CONTROL!$C$15, $E$9, 100%, $G$9) + CHOOSE(CONTROL!$C$38, 0.034, 0)</f>
        <v>25.5154</v>
      </c>
      <c r="E490" s="17">
        <f>25.4814 * CHOOSE(CONTROL!$C$15, $E$9, 100%, $G$9) + CHOOSE(CONTROL!$C$38, 0.034, 0)</f>
        <v>25.5154</v>
      </c>
      <c r="F490" s="45">
        <f>27.8308 * CHOOSE(CONTROL!$C$15, $E$9, 100%, $G$9) + CHOOSE(CONTROL!$C$38, 0.0339, 0)</f>
        <v>27.864699999999999</v>
      </c>
      <c r="G490" s="17">
        <f>25.4877 * CHOOSE(CONTROL!$C$15, $E$9, 100%, $G$9) + CHOOSE(CONTROL!$C$38, 0.034, 0)</f>
        <v>25.521699999999999</v>
      </c>
      <c r="H490" s="17">
        <f>25.4877 * CHOOSE(CONTROL!$C$15, $E$9, 100%, $G$9) + CHOOSE(CONTROL!$C$38, 0.034, 0)</f>
        <v>25.521699999999999</v>
      </c>
      <c r="I490" s="17">
        <f>25.4892 * CHOOSE(CONTROL!$C$15, $E$9, 100%, $G$9) + CHOOSE(CONTROL!$C$38, 0.034, 0)</f>
        <v>25.523199999999999</v>
      </c>
      <c r="J490" s="44">
        <f>199.678</f>
        <v>199.678</v>
      </c>
    </row>
    <row r="491" spans="1:10" ht="15.75" x14ac:dyDescent="0.25">
      <c r="A491" s="14">
        <v>55518</v>
      </c>
      <c r="B491" s="17">
        <f>28.7837 * CHOOSE(CONTROL!$C$15, $E$9, 100%, $G$9) + CHOOSE(CONTROL!$C$38, 0.0339, 0)</f>
        <v>28.817599999999999</v>
      </c>
      <c r="C491" s="17">
        <f>26.4421 * CHOOSE(CONTROL!$C$15, $E$9, 100%, $G$9) + CHOOSE(CONTROL!$C$38, 0.034, 0)</f>
        <v>26.476099999999999</v>
      </c>
      <c r="D491" s="17">
        <f>26.4343 * CHOOSE(CONTROL!$C$15, $E$9, 100%, $G$9) + CHOOSE(CONTROL!$C$38, 0.034, 0)</f>
        <v>26.468299999999999</v>
      </c>
      <c r="E491" s="17">
        <f>26.4343 * CHOOSE(CONTROL!$C$15, $E$9, 100%, $G$9) + CHOOSE(CONTROL!$C$38, 0.034, 0)</f>
        <v>26.468299999999999</v>
      </c>
      <c r="F491" s="45">
        <f>28.7837 * CHOOSE(CONTROL!$C$15, $E$9, 100%, $G$9) + CHOOSE(CONTROL!$C$38, 0.0339, 0)</f>
        <v>28.817599999999999</v>
      </c>
      <c r="G491" s="17">
        <f>26.4406 * CHOOSE(CONTROL!$C$15, $E$9, 100%, $G$9) + CHOOSE(CONTROL!$C$38, 0.034, 0)</f>
        <v>26.474599999999999</v>
      </c>
      <c r="H491" s="17">
        <f>26.4406 * CHOOSE(CONTROL!$C$15, $E$9, 100%, $G$9) + CHOOSE(CONTROL!$C$38, 0.034, 0)</f>
        <v>26.474599999999999</v>
      </c>
      <c r="I491" s="17">
        <f>26.4421 * CHOOSE(CONTROL!$C$15, $E$9, 100%, $G$9) + CHOOSE(CONTROL!$C$38, 0.034, 0)</f>
        <v>26.476099999999999</v>
      </c>
      <c r="J491" s="44">
        <f>193.7525</f>
        <v>193.7525</v>
      </c>
    </row>
    <row r="492" spans="1:10" ht="15.75" x14ac:dyDescent="0.25">
      <c r="A492" s="14">
        <v>55549</v>
      </c>
      <c r="B492" s="17">
        <f>29.5715 * CHOOSE(CONTROL!$C$15, $E$9, 100%, $G$9) + CHOOSE(CONTROL!$C$38, 0.0339, 0)</f>
        <v>29.605399999999999</v>
      </c>
      <c r="C492" s="17">
        <f>27.2271 * CHOOSE(CONTROL!$C$15, $E$9, 100%, $G$9) + CHOOSE(CONTROL!$C$38, 0.034, 0)</f>
        <v>27.261099999999999</v>
      </c>
      <c r="D492" s="17">
        <f>27.2192 * CHOOSE(CONTROL!$C$15, $E$9, 100%, $G$9) + CHOOSE(CONTROL!$C$38, 0.034, 0)</f>
        <v>27.2532</v>
      </c>
      <c r="E492" s="17">
        <f>27.2192 * CHOOSE(CONTROL!$C$15, $E$9, 100%, $G$9) + CHOOSE(CONTROL!$C$38, 0.034, 0)</f>
        <v>27.2532</v>
      </c>
      <c r="F492" s="45">
        <f>29.5715 * CHOOSE(CONTROL!$C$15, $E$9, 100%, $G$9) + CHOOSE(CONTROL!$C$38, 0.0339, 0)</f>
        <v>29.605399999999999</v>
      </c>
      <c r="G492" s="17">
        <f>27.2255 * CHOOSE(CONTROL!$C$15, $E$9, 100%, $G$9) + CHOOSE(CONTROL!$C$38, 0.034, 0)</f>
        <v>27.259499999999999</v>
      </c>
      <c r="H492" s="17">
        <f>27.2255 * CHOOSE(CONTROL!$C$15, $E$9, 100%, $G$9) + CHOOSE(CONTROL!$C$38, 0.034, 0)</f>
        <v>27.259499999999999</v>
      </c>
      <c r="I492" s="17">
        <f>27.2271 * CHOOSE(CONTROL!$C$15, $E$9, 100%, $G$9) + CHOOSE(CONTROL!$C$38, 0.034, 0)</f>
        <v>27.261099999999999</v>
      </c>
      <c r="J492" s="44">
        <f>190.8874</f>
        <v>190.88740000000001</v>
      </c>
    </row>
    <row r="493" spans="1:10" ht="15.75" x14ac:dyDescent="0.25">
      <c r="A493" s="14">
        <v>55577</v>
      </c>
      <c r="B493" s="17">
        <f>29.9245 * CHOOSE(CONTROL!$C$15, $E$9, 100%, $G$9) + CHOOSE(CONTROL!$C$38, 0.0339, 0)</f>
        <v>29.958399999999997</v>
      </c>
      <c r="C493" s="17">
        <f>27.58 * CHOOSE(CONTROL!$C$15, $E$9, 100%, $G$9) + CHOOSE(CONTROL!$C$38, 0.034, 0)</f>
        <v>27.613999999999997</v>
      </c>
      <c r="D493" s="17">
        <f>27.5722 * CHOOSE(CONTROL!$C$15, $E$9, 100%, $G$9) + CHOOSE(CONTROL!$C$38, 0.034, 0)</f>
        <v>27.606199999999998</v>
      </c>
      <c r="E493" s="17">
        <f>27.5722 * CHOOSE(CONTROL!$C$15, $E$9, 100%, $G$9) + CHOOSE(CONTROL!$C$38, 0.034, 0)</f>
        <v>27.606199999999998</v>
      </c>
      <c r="F493" s="45">
        <f>29.9245 * CHOOSE(CONTROL!$C$15, $E$9, 100%, $G$9) + CHOOSE(CONTROL!$C$38, 0.0339, 0)</f>
        <v>29.958399999999997</v>
      </c>
      <c r="G493" s="17">
        <f>27.5784 * CHOOSE(CONTROL!$C$15, $E$9, 100%, $G$9) + CHOOSE(CONTROL!$C$38, 0.034, 0)</f>
        <v>27.612399999999997</v>
      </c>
      <c r="H493" s="17">
        <f>27.5784 * CHOOSE(CONTROL!$C$15, $E$9, 100%, $G$9) + CHOOSE(CONTROL!$C$38, 0.034, 0)</f>
        <v>27.612399999999997</v>
      </c>
      <c r="I493" s="17">
        <f>27.58 * CHOOSE(CONTROL!$C$15, $E$9, 100%, $G$9) + CHOOSE(CONTROL!$C$38, 0.034, 0)</f>
        <v>27.613999999999997</v>
      </c>
      <c r="J493" s="44">
        <f>190.3568</f>
        <v>190.35679999999999</v>
      </c>
    </row>
    <row r="494" spans="1:10" ht="15.75" x14ac:dyDescent="0.25">
      <c r="A494" s="14">
        <v>55609</v>
      </c>
      <c r="B494" s="17">
        <f>29.1075 * CHOOSE(CONTROL!$C$15, $E$9, 100%, $G$9) + CHOOSE(CONTROL!$C$38, 0.0339, 0)</f>
        <v>29.141400000000001</v>
      </c>
      <c r="C494" s="17">
        <f>26.763 * CHOOSE(CONTROL!$C$15, $E$9, 100%, $G$9) + CHOOSE(CONTROL!$C$38, 0.034, 0)</f>
        <v>26.797000000000001</v>
      </c>
      <c r="D494" s="17">
        <f>26.7552 * CHOOSE(CONTROL!$C$15, $E$9, 100%, $G$9) + CHOOSE(CONTROL!$C$38, 0.034, 0)</f>
        <v>26.789199999999997</v>
      </c>
      <c r="E494" s="17">
        <f>26.7552 * CHOOSE(CONTROL!$C$15, $E$9, 100%, $G$9) + CHOOSE(CONTROL!$C$38, 0.034, 0)</f>
        <v>26.789199999999997</v>
      </c>
      <c r="F494" s="45">
        <f>29.1075 * CHOOSE(CONTROL!$C$15, $E$9, 100%, $G$9) + CHOOSE(CONTROL!$C$38, 0.0339, 0)</f>
        <v>29.141400000000001</v>
      </c>
      <c r="G494" s="17">
        <f>26.7615 * CHOOSE(CONTROL!$C$15, $E$9, 100%, $G$9) + CHOOSE(CONTROL!$C$38, 0.034, 0)</f>
        <v>26.795500000000001</v>
      </c>
      <c r="H494" s="17">
        <f>26.7615 * CHOOSE(CONTROL!$C$15, $E$9, 100%, $G$9) + CHOOSE(CONTROL!$C$38, 0.034, 0)</f>
        <v>26.795500000000001</v>
      </c>
      <c r="I494" s="17">
        <f>26.763 * CHOOSE(CONTROL!$C$15, $E$9, 100%, $G$9) + CHOOSE(CONTROL!$C$38, 0.034, 0)</f>
        <v>26.797000000000001</v>
      </c>
      <c r="J494" s="44">
        <f>200.3897</f>
        <v>200.3897</v>
      </c>
    </row>
    <row r="495" spans="1:10" ht="15.75" x14ac:dyDescent="0.25">
      <c r="A495" s="14">
        <v>55639</v>
      </c>
      <c r="B495" s="17">
        <f>28.3159 * CHOOSE(CONTROL!$C$15, $E$9, 100%, $G$9) + CHOOSE(CONTROL!$C$38, 0.0339, 0)</f>
        <v>28.349799999999998</v>
      </c>
      <c r="C495" s="17">
        <f>25.9714 * CHOOSE(CONTROL!$C$15, $E$9, 100%, $G$9) + CHOOSE(CONTROL!$C$38, 0.034, 0)</f>
        <v>26.005399999999998</v>
      </c>
      <c r="D495" s="17">
        <f>25.9636 * CHOOSE(CONTROL!$C$15, $E$9, 100%, $G$9) + CHOOSE(CONTROL!$C$38, 0.034, 0)</f>
        <v>25.997599999999998</v>
      </c>
      <c r="E495" s="17">
        <f>25.9636 * CHOOSE(CONTROL!$C$15, $E$9, 100%, $G$9) + CHOOSE(CONTROL!$C$38, 0.034, 0)</f>
        <v>25.997599999999998</v>
      </c>
      <c r="F495" s="45">
        <f>28.3159 * CHOOSE(CONTROL!$C$15, $E$9, 100%, $G$9) + CHOOSE(CONTROL!$C$38, 0.0339, 0)</f>
        <v>28.349799999999998</v>
      </c>
      <c r="G495" s="17">
        <f>25.9698 * CHOOSE(CONTROL!$C$15, $E$9, 100%, $G$9) + CHOOSE(CONTROL!$C$38, 0.034, 0)</f>
        <v>26.003799999999998</v>
      </c>
      <c r="H495" s="17">
        <f>25.9698 * CHOOSE(CONTROL!$C$15, $E$9, 100%, $G$9) + CHOOSE(CONTROL!$C$38, 0.034, 0)</f>
        <v>26.003799999999998</v>
      </c>
      <c r="I495" s="17">
        <f>25.9714 * CHOOSE(CONTROL!$C$15, $E$9, 100%, $G$9) + CHOOSE(CONTROL!$C$38, 0.034, 0)</f>
        <v>26.005399999999998</v>
      </c>
      <c r="J495" s="44">
        <f>213.4</f>
        <v>213.4</v>
      </c>
    </row>
    <row r="496" spans="1:10" ht="15.75" x14ac:dyDescent="0.25">
      <c r="A496" s="14">
        <v>55670</v>
      </c>
      <c r="B496" s="17">
        <f>27.4908 * CHOOSE(CONTROL!$C$15, $E$9, 100%, $G$9) + CHOOSE(CONTROL!$C$38, 0.0355, 0)</f>
        <v>27.526299999999999</v>
      </c>
      <c r="C496" s="17">
        <f>25.1463 * CHOOSE(CONTROL!$C$15, $E$9, 100%, $G$9) + CHOOSE(CONTROL!$C$38, 0.0356, 0)</f>
        <v>25.181899999999999</v>
      </c>
      <c r="D496" s="17">
        <f>25.1385 * CHOOSE(CONTROL!$C$15, $E$9, 100%, $G$9) + CHOOSE(CONTROL!$C$38, 0.0356, 0)</f>
        <v>25.174099999999999</v>
      </c>
      <c r="E496" s="17">
        <f>25.1385 * CHOOSE(CONTROL!$C$15, $E$9, 100%, $G$9) + CHOOSE(CONTROL!$C$38, 0.0356, 0)</f>
        <v>25.174099999999999</v>
      </c>
      <c r="F496" s="45">
        <f>27.4908 * CHOOSE(CONTROL!$C$15, $E$9, 100%, $G$9) + CHOOSE(CONTROL!$C$38, 0.0355, 0)</f>
        <v>27.526299999999999</v>
      </c>
      <c r="G496" s="17">
        <f>25.1448 * CHOOSE(CONTROL!$C$15, $E$9, 100%, $G$9) + CHOOSE(CONTROL!$C$38, 0.0356, 0)</f>
        <v>25.180399999999999</v>
      </c>
      <c r="H496" s="17">
        <f>25.1448 * CHOOSE(CONTROL!$C$15, $E$9, 100%, $G$9) + CHOOSE(CONTROL!$C$38, 0.0356, 0)</f>
        <v>25.180399999999999</v>
      </c>
      <c r="I496" s="17">
        <f>25.1463 * CHOOSE(CONTROL!$C$15, $E$9, 100%, $G$9) + CHOOSE(CONTROL!$C$38, 0.0356, 0)</f>
        <v>25.181899999999999</v>
      </c>
      <c r="J496" s="44">
        <f>220.5612</f>
        <v>220.56120000000001</v>
      </c>
    </row>
    <row r="497" spans="1:10" ht="15.75" x14ac:dyDescent="0.25">
      <c r="A497" s="14">
        <v>55700</v>
      </c>
      <c r="B497" s="17">
        <f>26.9123 * CHOOSE(CONTROL!$C$15, $E$9, 100%, $G$9) + CHOOSE(CONTROL!$C$38, 0.0355, 0)</f>
        <v>26.947799999999997</v>
      </c>
      <c r="C497" s="17">
        <f>24.5679 * CHOOSE(CONTROL!$C$15, $E$9, 100%, $G$9) + CHOOSE(CONTROL!$C$38, 0.0356, 0)</f>
        <v>24.6035</v>
      </c>
      <c r="D497" s="17">
        <f>24.5601 * CHOOSE(CONTROL!$C$15, $E$9, 100%, $G$9) + CHOOSE(CONTROL!$C$38, 0.0356, 0)</f>
        <v>24.595699999999997</v>
      </c>
      <c r="E497" s="17">
        <f>24.5601 * CHOOSE(CONTROL!$C$15, $E$9, 100%, $G$9) + CHOOSE(CONTROL!$C$38, 0.0356, 0)</f>
        <v>24.595699999999997</v>
      </c>
      <c r="F497" s="45">
        <f>26.9123 * CHOOSE(CONTROL!$C$15, $E$9, 100%, $G$9) + CHOOSE(CONTROL!$C$38, 0.0355, 0)</f>
        <v>26.947799999999997</v>
      </c>
      <c r="G497" s="17">
        <f>24.5663 * CHOOSE(CONTROL!$C$15, $E$9, 100%, $G$9) + CHOOSE(CONTROL!$C$38, 0.0356, 0)</f>
        <v>24.601899999999997</v>
      </c>
      <c r="H497" s="17">
        <f>24.5663 * CHOOSE(CONTROL!$C$15, $E$9, 100%, $G$9) + CHOOSE(CONTROL!$C$38, 0.0356, 0)</f>
        <v>24.601899999999997</v>
      </c>
      <c r="I497" s="17">
        <f>24.5679 * CHOOSE(CONTROL!$C$15, $E$9, 100%, $G$9) + CHOOSE(CONTROL!$C$38, 0.0356, 0)</f>
        <v>24.6035</v>
      </c>
      <c r="J497" s="44">
        <f>223.7393</f>
        <v>223.73929999999999</v>
      </c>
    </row>
    <row r="498" spans="1:10" ht="15.75" x14ac:dyDescent="0.25">
      <c r="A498" s="14">
        <v>55731</v>
      </c>
      <c r="B498" s="17">
        <f>26.5822 * CHOOSE(CONTROL!$C$15, $E$9, 100%, $G$9) + CHOOSE(CONTROL!$C$38, 0.0355, 0)</f>
        <v>26.617699999999999</v>
      </c>
      <c r="C498" s="17">
        <f>24.2378 * CHOOSE(CONTROL!$C$15, $E$9, 100%, $G$9) + CHOOSE(CONTROL!$C$38, 0.0356, 0)</f>
        <v>24.273399999999999</v>
      </c>
      <c r="D498" s="17">
        <f>24.23 * CHOOSE(CONTROL!$C$15, $E$9, 100%, $G$9) + CHOOSE(CONTROL!$C$38, 0.0356, 0)</f>
        <v>24.265599999999999</v>
      </c>
      <c r="E498" s="17">
        <f>24.23 * CHOOSE(CONTROL!$C$15, $E$9, 100%, $G$9) + CHOOSE(CONTROL!$C$38, 0.0356, 0)</f>
        <v>24.265599999999999</v>
      </c>
      <c r="F498" s="45">
        <f>26.5822 * CHOOSE(CONTROL!$C$15, $E$9, 100%, $G$9) + CHOOSE(CONTROL!$C$38, 0.0355, 0)</f>
        <v>26.617699999999999</v>
      </c>
      <c r="G498" s="17">
        <f>24.2362 * CHOOSE(CONTROL!$C$15, $E$9, 100%, $G$9) + CHOOSE(CONTROL!$C$38, 0.0356, 0)</f>
        <v>24.271799999999999</v>
      </c>
      <c r="H498" s="17">
        <f>24.2362 * CHOOSE(CONTROL!$C$15, $E$9, 100%, $G$9) + CHOOSE(CONTROL!$C$38, 0.0356, 0)</f>
        <v>24.271799999999999</v>
      </c>
      <c r="I498" s="17">
        <f>24.2378 * CHOOSE(CONTROL!$C$15, $E$9, 100%, $G$9) + CHOOSE(CONTROL!$C$38, 0.0356, 0)</f>
        <v>24.273399999999999</v>
      </c>
      <c r="J498" s="44">
        <f>222.6929</f>
        <v>222.69290000000001</v>
      </c>
    </row>
    <row r="499" spans="1:10" ht="15.75" x14ac:dyDescent="0.25">
      <c r="A499" s="14">
        <v>55762</v>
      </c>
      <c r="B499" s="17">
        <f>26.7452 * CHOOSE(CONTROL!$C$15, $E$9, 100%, $G$9) + CHOOSE(CONTROL!$C$38, 0.0355, 0)</f>
        <v>26.7807</v>
      </c>
      <c r="C499" s="17">
        <f>24.4007 * CHOOSE(CONTROL!$C$15, $E$9, 100%, $G$9) + CHOOSE(CONTROL!$C$38, 0.0356, 0)</f>
        <v>24.436299999999999</v>
      </c>
      <c r="D499" s="17">
        <f>24.3929 * CHOOSE(CONTROL!$C$15, $E$9, 100%, $G$9) + CHOOSE(CONTROL!$C$38, 0.0356, 0)</f>
        <v>24.4285</v>
      </c>
      <c r="E499" s="17">
        <f>24.3929 * CHOOSE(CONTROL!$C$15, $E$9, 100%, $G$9) + CHOOSE(CONTROL!$C$38, 0.0356, 0)</f>
        <v>24.4285</v>
      </c>
      <c r="F499" s="45">
        <f>26.7452 * CHOOSE(CONTROL!$C$15, $E$9, 100%, $G$9) + CHOOSE(CONTROL!$C$38, 0.0355, 0)</f>
        <v>26.7807</v>
      </c>
      <c r="G499" s="17">
        <f>24.3991 * CHOOSE(CONTROL!$C$15, $E$9, 100%, $G$9) + CHOOSE(CONTROL!$C$38, 0.0356, 0)</f>
        <v>24.434699999999999</v>
      </c>
      <c r="H499" s="17">
        <f>24.3991 * CHOOSE(CONTROL!$C$15, $E$9, 100%, $G$9) + CHOOSE(CONTROL!$C$38, 0.0356, 0)</f>
        <v>24.434699999999999</v>
      </c>
      <c r="I499" s="17">
        <f>24.4007 * CHOOSE(CONTROL!$C$15, $E$9, 100%, $G$9) + CHOOSE(CONTROL!$C$38, 0.0356, 0)</f>
        <v>24.436299999999999</v>
      </c>
      <c r="J499" s="44">
        <f>217.5087</f>
        <v>217.5087</v>
      </c>
    </row>
    <row r="500" spans="1:10" ht="15.75" x14ac:dyDescent="0.25">
      <c r="A500" s="14">
        <v>55792</v>
      </c>
      <c r="B500" s="17">
        <f>27.1877 * CHOOSE(CONTROL!$C$15, $E$9, 100%, $G$9) + CHOOSE(CONTROL!$C$38, 0.0355, 0)</f>
        <v>27.223199999999999</v>
      </c>
      <c r="C500" s="17">
        <f>24.8432 * CHOOSE(CONTROL!$C$15, $E$9, 100%, $G$9) + CHOOSE(CONTROL!$C$38, 0.0356, 0)</f>
        <v>24.878799999999998</v>
      </c>
      <c r="D500" s="17">
        <f>24.8354 * CHOOSE(CONTROL!$C$15, $E$9, 100%, $G$9) + CHOOSE(CONTROL!$C$38, 0.0356, 0)</f>
        <v>24.870999999999999</v>
      </c>
      <c r="E500" s="17">
        <f>24.8354 * CHOOSE(CONTROL!$C$15, $E$9, 100%, $G$9) + CHOOSE(CONTROL!$C$38, 0.0356, 0)</f>
        <v>24.870999999999999</v>
      </c>
      <c r="F500" s="45">
        <f>27.1877 * CHOOSE(CONTROL!$C$15, $E$9, 100%, $G$9) + CHOOSE(CONTROL!$C$38, 0.0355, 0)</f>
        <v>27.223199999999999</v>
      </c>
      <c r="G500" s="17">
        <f>24.8416 * CHOOSE(CONTROL!$C$15, $E$9, 100%, $G$9) + CHOOSE(CONTROL!$C$38, 0.0356, 0)</f>
        <v>24.877199999999998</v>
      </c>
      <c r="H500" s="17">
        <f>24.8416 * CHOOSE(CONTROL!$C$15, $E$9, 100%, $G$9) + CHOOSE(CONTROL!$C$38, 0.0356, 0)</f>
        <v>24.877199999999998</v>
      </c>
      <c r="I500" s="17">
        <f>24.8432 * CHOOSE(CONTROL!$C$15, $E$9, 100%, $G$9) + CHOOSE(CONTROL!$C$38, 0.0356, 0)</f>
        <v>24.878799999999998</v>
      </c>
      <c r="J500" s="44">
        <f>210.2791</f>
        <v>210.2791</v>
      </c>
    </row>
    <row r="501" spans="1:10" ht="15.75" x14ac:dyDescent="0.25">
      <c r="A501" s="14">
        <v>55823</v>
      </c>
      <c r="B501" s="17">
        <f>27.5583 * CHOOSE(CONTROL!$C$15, $E$9, 100%, $G$9) + CHOOSE(CONTROL!$C$38, 0.0339, 0)</f>
        <v>27.592199999999998</v>
      </c>
      <c r="C501" s="17">
        <f>25.2138 * CHOOSE(CONTROL!$C$15, $E$9, 100%, $G$9) + CHOOSE(CONTROL!$C$38, 0.034, 0)</f>
        <v>25.247799999999998</v>
      </c>
      <c r="D501" s="17">
        <f>25.206 * CHOOSE(CONTROL!$C$15, $E$9, 100%, $G$9) + CHOOSE(CONTROL!$C$38, 0.034, 0)</f>
        <v>25.24</v>
      </c>
      <c r="E501" s="17">
        <f>25.206 * CHOOSE(CONTROL!$C$15, $E$9, 100%, $G$9) + CHOOSE(CONTROL!$C$38, 0.034, 0)</f>
        <v>25.24</v>
      </c>
      <c r="F501" s="45">
        <f>27.5583 * CHOOSE(CONTROL!$C$15, $E$9, 100%, $G$9) + CHOOSE(CONTROL!$C$38, 0.0339, 0)</f>
        <v>27.592199999999998</v>
      </c>
      <c r="G501" s="17">
        <f>25.2122 * CHOOSE(CONTROL!$C$15, $E$9, 100%, $G$9) + CHOOSE(CONTROL!$C$38, 0.034, 0)</f>
        <v>25.246199999999998</v>
      </c>
      <c r="H501" s="17">
        <f>25.2122 * CHOOSE(CONTROL!$C$15, $E$9, 100%, $G$9) + CHOOSE(CONTROL!$C$38, 0.034, 0)</f>
        <v>25.246199999999998</v>
      </c>
      <c r="I501" s="17">
        <f>25.2138 * CHOOSE(CONTROL!$C$15, $E$9, 100%, $G$9) + CHOOSE(CONTROL!$C$38, 0.034, 0)</f>
        <v>25.247799999999998</v>
      </c>
      <c r="J501" s="44">
        <f>203.0074</f>
        <v>203.00739999999999</v>
      </c>
    </row>
    <row r="502" spans="1:10" ht="15.75" x14ac:dyDescent="0.25">
      <c r="A502" s="14">
        <v>55853</v>
      </c>
      <c r="B502" s="17">
        <f>27.8675 * CHOOSE(CONTROL!$C$15, $E$9, 100%, $G$9) + CHOOSE(CONTROL!$C$38, 0.0339, 0)</f>
        <v>27.901399999999999</v>
      </c>
      <c r="C502" s="17">
        <f>25.523 * CHOOSE(CONTROL!$C$15, $E$9, 100%, $G$9) + CHOOSE(CONTROL!$C$38, 0.034, 0)</f>
        <v>25.556999999999999</v>
      </c>
      <c r="D502" s="17">
        <f>25.5152 * CHOOSE(CONTROL!$C$15, $E$9, 100%, $G$9) + CHOOSE(CONTROL!$C$38, 0.034, 0)</f>
        <v>25.549199999999999</v>
      </c>
      <c r="E502" s="17">
        <f>25.5152 * CHOOSE(CONTROL!$C$15, $E$9, 100%, $G$9) + CHOOSE(CONTROL!$C$38, 0.034, 0)</f>
        <v>25.549199999999999</v>
      </c>
      <c r="F502" s="45">
        <f>27.8675 * CHOOSE(CONTROL!$C$15, $E$9, 100%, $G$9) + CHOOSE(CONTROL!$C$38, 0.0339, 0)</f>
        <v>27.901399999999999</v>
      </c>
      <c r="G502" s="17">
        <f>25.5215 * CHOOSE(CONTROL!$C$15, $E$9, 100%, $G$9) + CHOOSE(CONTROL!$C$38, 0.034, 0)</f>
        <v>25.555499999999999</v>
      </c>
      <c r="H502" s="17">
        <f>25.5215 * CHOOSE(CONTROL!$C$15, $E$9, 100%, $G$9) + CHOOSE(CONTROL!$C$38, 0.034, 0)</f>
        <v>25.555499999999999</v>
      </c>
      <c r="I502" s="17">
        <f>25.523 * CHOOSE(CONTROL!$C$15, $E$9, 100%, $G$9) + CHOOSE(CONTROL!$C$38, 0.034, 0)</f>
        <v>25.556999999999999</v>
      </c>
      <c r="J502" s="44">
        <f>201.561</f>
        <v>201.56100000000001</v>
      </c>
    </row>
    <row r="503" spans="1:10" ht="15.75" x14ac:dyDescent="0.25">
      <c r="A503" s="14">
        <v>55884</v>
      </c>
      <c r="B503" s="17">
        <f>28.8204 * CHOOSE(CONTROL!$C$15, $E$9, 100%, $G$9) + CHOOSE(CONTROL!$C$38, 0.0339, 0)</f>
        <v>28.854299999999999</v>
      </c>
      <c r="C503" s="17">
        <f>26.4759 * CHOOSE(CONTROL!$C$15, $E$9, 100%, $G$9) + CHOOSE(CONTROL!$C$38, 0.034, 0)</f>
        <v>26.509899999999998</v>
      </c>
      <c r="D503" s="17">
        <f>26.4681 * CHOOSE(CONTROL!$C$15, $E$9, 100%, $G$9) + CHOOSE(CONTROL!$C$38, 0.034, 0)</f>
        <v>26.502099999999999</v>
      </c>
      <c r="E503" s="17">
        <f>26.4681 * CHOOSE(CONTROL!$C$15, $E$9, 100%, $G$9) + CHOOSE(CONTROL!$C$38, 0.034, 0)</f>
        <v>26.502099999999999</v>
      </c>
      <c r="F503" s="45">
        <f>28.8204 * CHOOSE(CONTROL!$C$15, $E$9, 100%, $G$9) + CHOOSE(CONTROL!$C$38, 0.0339, 0)</f>
        <v>28.854299999999999</v>
      </c>
      <c r="G503" s="17">
        <f>26.4744 * CHOOSE(CONTROL!$C$15, $E$9, 100%, $G$9) + CHOOSE(CONTROL!$C$38, 0.034, 0)</f>
        <v>26.508399999999998</v>
      </c>
      <c r="H503" s="17">
        <f>26.4744 * CHOOSE(CONTROL!$C$15, $E$9, 100%, $G$9) + CHOOSE(CONTROL!$C$38, 0.034, 0)</f>
        <v>26.508399999999998</v>
      </c>
      <c r="I503" s="17">
        <f>26.4759 * CHOOSE(CONTROL!$C$15, $E$9, 100%, $G$9) + CHOOSE(CONTROL!$C$38, 0.034, 0)</f>
        <v>26.509899999999998</v>
      </c>
      <c r="J503" s="44">
        <f>195.5796</f>
        <v>195.5796</v>
      </c>
    </row>
    <row r="504" spans="1:10" ht="15.75" x14ac:dyDescent="0.25">
      <c r="A504" s="14">
        <v>55915</v>
      </c>
      <c r="B504" s="17">
        <f>29.6083 * CHOOSE(CONTROL!$C$15, $E$9, 100%, $G$9) + CHOOSE(CONTROL!$C$38, 0.0339, 0)</f>
        <v>29.642199999999999</v>
      </c>
      <c r="C504" s="17">
        <f>27.2609 * CHOOSE(CONTROL!$C$15, $E$9, 100%, $G$9) + CHOOSE(CONTROL!$C$38, 0.034, 0)</f>
        <v>27.294899999999998</v>
      </c>
      <c r="D504" s="17">
        <f>27.2531 * CHOOSE(CONTROL!$C$15, $E$9, 100%, $G$9) + CHOOSE(CONTROL!$C$38, 0.034, 0)</f>
        <v>27.287099999999999</v>
      </c>
      <c r="E504" s="17">
        <f>27.2531 * CHOOSE(CONTROL!$C$15, $E$9, 100%, $G$9) + CHOOSE(CONTROL!$C$38, 0.034, 0)</f>
        <v>27.287099999999999</v>
      </c>
      <c r="F504" s="45">
        <f>29.6083 * CHOOSE(CONTROL!$C$15, $E$9, 100%, $G$9) + CHOOSE(CONTROL!$C$38, 0.0339, 0)</f>
        <v>29.642199999999999</v>
      </c>
      <c r="G504" s="17">
        <f>27.2593 * CHOOSE(CONTROL!$C$15, $E$9, 100%, $G$9) + CHOOSE(CONTROL!$C$38, 0.034, 0)</f>
        <v>27.293299999999999</v>
      </c>
      <c r="H504" s="17">
        <f>27.2593 * CHOOSE(CONTROL!$C$15, $E$9, 100%, $G$9) + CHOOSE(CONTROL!$C$38, 0.034, 0)</f>
        <v>27.293299999999999</v>
      </c>
      <c r="I504" s="17">
        <f>27.2609 * CHOOSE(CONTROL!$C$15, $E$9, 100%, $G$9) + CHOOSE(CONTROL!$C$38, 0.034, 0)</f>
        <v>27.294899999999998</v>
      </c>
      <c r="J504" s="44">
        <f>192.6874</f>
        <v>192.6874</v>
      </c>
    </row>
    <row r="505" spans="1:10" ht="15.75" x14ac:dyDescent="0.25">
      <c r="A505" s="14">
        <v>55943</v>
      </c>
      <c r="B505" s="17">
        <f>29.9612 * CHOOSE(CONTROL!$C$15, $E$9, 100%, $G$9) + CHOOSE(CONTROL!$C$38, 0.0339, 0)</f>
        <v>29.995100000000001</v>
      </c>
      <c r="C505" s="17">
        <f>27.6138 * CHOOSE(CONTROL!$C$15, $E$9, 100%, $G$9) + CHOOSE(CONTROL!$C$38, 0.034, 0)</f>
        <v>27.6478</v>
      </c>
      <c r="D505" s="17">
        <f>27.606 * CHOOSE(CONTROL!$C$15, $E$9, 100%, $G$9) + CHOOSE(CONTROL!$C$38, 0.034, 0)</f>
        <v>27.64</v>
      </c>
      <c r="E505" s="17">
        <f>27.606 * CHOOSE(CONTROL!$C$15, $E$9, 100%, $G$9) + CHOOSE(CONTROL!$C$38, 0.034, 0)</f>
        <v>27.64</v>
      </c>
      <c r="F505" s="45">
        <f>29.9612 * CHOOSE(CONTROL!$C$15, $E$9, 100%, $G$9) + CHOOSE(CONTROL!$C$38, 0.0339, 0)</f>
        <v>29.995100000000001</v>
      </c>
      <c r="G505" s="17">
        <f>27.6123 * CHOOSE(CONTROL!$C$15, $E$9, 100%, $G$9) + CHOOSE(CONTROL!$C$38, 0.034, 0)</f>
        <v>27.6463</v>
      </c>
      <c r="H505" s="17">
        <f>27.6123 * CHOOSE(CONTROL!$C$15, $E$9, 100%, $G$9) + CHOOSE(CONTROL!$C$38, 0.034, 0)</f>
        <v>27.6463</v>
      </c>
      <c r="I505" s="17">
        <f>27.6138 * CHOOSE(CONTROL!$C$15, $E$9, 100%, $G$9) + CHOOSE(CONTROL!$C$38, 0.034, 0)</f>
        <v>27.6478</v>
      </c>
      <c r="J505" s="44">
        <f>192.1518</f>
        <v>192.15180000000001</v>
      </c>
    </row>
    <row r="506" spans="1:10" ht="15.75" x14ac:dyDescent="0.25">
      <c r="A506" s="14">
        <v>55974</v>
      </c>
      <c r="B506" s="17">
        <f>29.1443 * CHOOSE(CONTROL!$C$15, $E$9, 100%, $G$9) + CHOOSE(CONTROL!$C$38, 0.0339, 0)</f>
        <v>29.1782</v>
      </c>
      <c r="C506" s="17">
        <f>26.7969 * CHOOSE(CONTROL!$C$15, $E$9, 100%, $G$9) + CHOOSE(CONTROL!$C$38, 0.034, 0)</f>
        <v>26.8309</v>
      </c>
      <c r="D506" s="17">
        <f>26.789 * CHOOSE(CONTROL!$C$15, $E$9, 100%, $G$9) + CHOOSE(CONTROL!$C$38, 0.034, 0)</f>
        <v>26.823</v>
      </c>
      <c r="E506" s="17">
        <f>26.789 * CHOOSE(CONTROL!$C$15, $E$9, 100%, $G$9) + CHOOSE(CONTROL!$C$38, 0.034, 0)</f>
        <v>26.823</v>
      </c>
      <c r="F506" s="45">
        <f>29.1443 * CHOOSE(CONTROL!$C$15, $E$9, 100%, $G$9) + CHOOSE(CONTROL!$C$38, 0.0339, 0)</f>
        <v>29.1782</v>
      </c>
      <c r="G506" s="17">
        <f>26.7953 * CHOOSE(CONTROL!$C$15, $E$9, 100%, $G$9) + CHOOSE(CONTROL!$C$38, 0.034, 0)</f>
        <v>26.8293</v>
      </c>
      <c r="H506" s="17">
        <f>26.7953 * CHOOSE(CONTROL!$C$15, $E$9, 100%, $G$9) + CHOOSE(CONTROL!$C$38, 0.034, 0)</f>
        <v>26.8293</v>
      </c>
      <c r="I506" s="17">
        <f>26.7969 * CHOOSE(CONTROL!$C$15, $E$9, 100%, $G$9) + CHOOSE(CONTROL!$C$38, 0.034, 0)</f>
        <v>26.8309</v>
      </c>
      <c r="J506" s="44">
        <f>202.2794</f>
        <v>202.27940000000001</v>
      </c>
    </row>
    <row r="507" spans="1:10" ht="15.75" x14ac:dyDescent="0.25">
      <c r="A507" s="14">
        <v>56004</v>
      </c>
      <c r="B507" s="17">
        <f>28.3527 * CHOOSE(CONTROL!$C$15, $E$9, 100%, $G$9) + CHOOSE(CONTROL!$C$38, 0.0339, 0)</f>
        <v>28.386599999999998</v>
      </c>
      <c r="C507" s="17">
        <f>26.0052 * CHOOSE(CONTROL!$C$15, $E$9, 100%, $G$9) + CHOOSE(CONTROL!$C$38, 0.034, 0)</f>
        <v>26.039199999999997</v>
      </c>
      <c r="D507" s="17">
        <f>25.9974 * CHOOSE(CONTROL!$C$15, $E$9, 100%, $G$9) + CHOOSE(CONTROL!$C$38, 0.034, 0)</f>
        <v>26.031399999999998</v>
      </c>
      <c r="E507" s="17">
        <f>25.9974 * CHOOSE(CONTROL!$C$15, $E$9, 100%, $G$9) + CHOOSE(CONTROL!$C$38, 0.034, 0)</f>
        <v>26.031399999999998</v>
      </c>
      <c r="F507" s="45">
        <f>28.3527 * CHOOSE(CONTROL!$C$15, $E$9, 100%, $G$9) + CHOOSE(CONTROL!$C$38, 0.0339, 0)</f>
        <v>28.386599999999998</v>
      </c>
      <c r="G507" s="17">
        <f>26.0037 * CHOOSE(CONTROL!$C$15, $E$9, 100%, $G$9) + CHOOSE(CONTROL!$C$38, 0.034, 0)</f>
        <v>26.037699999999997</v>
      </c>
      <c r="H507" s="17">
        <f>26.0037 * CHOOSE(CONTROL!$C$15, $E$9, 100%, $G$9) + CHOOSE(CONTROL!$C$38, 0.034, 0)</f>
        <v>26.037699999999997</v>
      </c>
      <c r="I507" s="17">
        <f>26.0052 * CHOOSE(CONTROL!$C$15, $E$9, 100%, $G$9) + CHOOSE(CONTROL!$C$38, 0.034, 0)</f>
        <v>26.039199999999997</v>
      </c>
      <c r="J507" s="44">
        <f>215.4123</f>
        <v>215.41229999999999</v>
      </c>
    </row>
    <row r="508" spans="1:10" ht="15.75" x14ac:dyDescent="0.25">
      <c r="A508" s="14">
        <v>56035</v>
      </c>
      <c r="B508" s="17">
        <f>27.5276 * CHOOSE(CONTROL!$C$15, $E$9, 100%, $G$9) + CHOOSE(CONTROL!$C$38, 0.0355, 0)</f>
        <v>27.563099999999999</v>
      </c>
      <c r="C508" s="17">
        <f>25.1802 * CHOOSE(CONTROL!$C$15, $E$9, 100%, $G$9) + CHOOSE(CONTROL!$C$38, 0.0356, 0)</f>
        <v>25.215799999999998</v>
      </c>
      <c r="D508" s="17">
        <f>25.1723 * CHOOSE(CONTROL!$C$15, $E$9, 100%, $G$9) + CHOOSE(CONTROL!$C$38, 0.0356, 0)</f>
        <v>25.207899999999999</v>
      </c>
      <c r="E508" s="17">
        <f>25.1723 * CHOOSE(CONTROL!$C$15, $E$9, 100%, $G$9) + CHOOSE(CONTROL!$C$38, 0.0356, 0)</f>
        <v>25.207899999999999</v>
      </c>
      <c r="F508" s="45">
        <f>27.5276 * CHOOSE(CONTROL!$C$15, $E$9, 100%, $G$9) + CHOOSE(CONTROL!$C$38, 0.0355, 0)</f>
        <v>27.563099999999999</v>
      </c>
      <c r="G508" s="17">
        <f>25.1786 * CHOOSE(CONTROL!$C$15, $E$9, 100%, $G$9) + CHOOSE(CONTROL!$C$38, 0.0356, 0)</f>
        <v>25.214199999999998</v>
      </c>
      <c r="H508" s="17">
        <f>25.1786 * CHOOSE(CONTROL!$C$15, $E$9, 100%, $G$9) + CHOOSE(CONTROL!$C$38, 0.0356, 0)</f>
        <v>25.214199999999998</v>
      </c>
      <c r="I508" s="17">
        <f>25.1802 * CHOOSE(CONTROL!$C$15, $E$9, 100%, $G$9) + CHOOSE(CONTROL!$C$38, 0.0356, 0)</f>
        <v>25.215799999999998</v>
      </c>
      <c r="J508" s="44">
        <f>222.6411</f>
        <v>222.64109999999999</v>
      </c>
    </row>
    <row r="509" spans="1:10" ht="15.75" x14ac:dyDescent="0.25">
      <c r="A509" s="14">
        <v>56065</v>
      </c>
      <c r="B509" s="17">
        <f>26.9491 * CHOOSE(CONTROL!$C$15, $E$9, 100%, $G$9) + CHOOSE(CONTROL!$C$38, 0.0355, 0)</f>
        <v>26.9846</v>
      </c>
      <c r="C509" s="17">
        <f>24.6017 * CHOOSE(CONTROL!$C$15, $E$9, 100%, $G$9) + CHOOSE(CONTROL!$C$38, 0.0356, 0)</f>
        <v>24.6373</v>
      </c>
      <c r="D509" s="17">
        <f>24.5939 * CHOOSE(CONTROL!$C$15, $E$9, 100%, $G$9) + CHOOSE(CONTROL!$C$38, 0.0356, 0)</f>
        <v>24.6295</v>
      </c>
      <c r="E509" s="17">
        <f>24.5939 * CHOOSE(CONTROL!$C$15, $E$9, 100%, $G$9) + CHOOSE(CONTROL!$C$38, 0.0356, 0)</f>
        <v>24.6295</v>
      </c>
      <c r="F509" s="45">
        <f>26.9491 * CHOOSE(CONTROL!$C$15, $E$9, 100%, $G$9) + CHOOSE(CONTROL!$C$38, 0.0355, 0)</f>
        <v>26.9846</v>
      </c>
      <c r="G509" s="17">
        <f>24.6001 * CHOOSE(CONTROL!$C$15, $E$9, 100%, $G$9) + CHOOSE(CONTROL!$C$38, 0.0356, 0)</f>
        <v>24.6357</v>
      </c>
      <c r="H509" s="17">
        <f>24.6001 * CHOOSE(CONTROL!$C$15, $E$9, 100%, $G$9) + CHOOSE(CONTROL!$C$38, 0.0356, 0)</f>
        <v>24.6357</v>
      </c>
      <c r="I509" s="17">
        <f>24.6017 * CHOOSE(CONTROL!$C$15, $E$9, 100%, $G$9) + CHOOSE(CONTROL!$C$38, 0.0356, 0)</f>
        <v>24.6373</v>
      </c>
      <c r="J509" s="44">
        <f>225.8491</f>
        <v>225.84909999999999</v>
      </c>
    </row>
    <row r="510" spans="1:10" ht="15.75" x14ac:dyDescent="0.25">
      <c r="A510" s="14">
        <v>56096</v>
      </c>
      <c r="B510" s="17">
        <f>26.619 * CHOOSE(CONTROL!$C$15, $E$9, 100%, $G$9) + CHOOSE(CONTROL!$C$38, 0.0355, 0)</f>
        <v>26.654499999999999</v>
      </c>
      <c r="C510" s="17">
        <f>24.2716 * CHOOSE(CONTROL!$C$15, $E$9, 100%, $G$9) + CHOOSE(CONTROL!$C$38, 0.0356, 0)</f>
        <v>24.307199999999998</v>
      </c>
      <c r="D510" s="17">
        <f>24.2638 * CHOOSE(CONTROL!$C$15, $E$9, 100%, $G$9) + CHOOSE(CONTROL!$C$38, 0.0356, 0)</f>
        <v>24.299399999999999</v>
      </c>
      <c r="E510" s="17">
        <f>24.2638 * CHOOSE(CONTROL!$C$15, $E$9, 100%, $G$9) + CHOOSE(CONTROL!$C$38, 0.0356, 0)</f>
        <v>24.299399999999999</v>
      </c>
      <c r="F510" s="45">
        <f>26.619 * CHOOSE(CONTROL!$C$15, $E$9, 100%, $G$9) + CHOOSE(CONTROL!$C$38, 0.0355, 0)</f>
        <v>26.654499999999999</v>
      </c>
      <c r="G510" s="17">
        <f>24.27 * CHOOSE(CONTROL!$C$15, $E$9, 100%, $G$9) + CHOOSE(CONTROL!$C$38, 0.0356, 0)</f>
        <v>24.305599999999998</v>
      </c>
      <c r="H510" s="17">
        <f>24.27 * CHOOSE(CONTROL!$C$15, $E$9, 100%, $G$9) + CHOOSE(CONTROL!$C$38, 0.0356, 0)</f>
        <v>24.305599999999998</v>
      </c>
      <c r="I510" s="17">
        <f>24.2716 * CHOOSE(CONTROL!$C$15, $E$9, 100%, $G$9) + CHOOSE(CONTROL!$C$38, 0.0356, 0)</f>
        <v>24.307199999999998</v>
      </c>
      <c r="J510" s="44">
        <f>224.7929</f>
        <v>224.7929</v>
      </c>
    </row>
    <row r="511" spans="1:10" ht="15.75" x14ac:dyDescent="0.25">
      <c r="A511" s="14">
        <v>56127</v>
      </c>
      <c r="B511" s="17">
        <f>26.7819 * CHOOSE(CONTROL!$C$15, $E$9, 100%, $G$9) + CHOOSE(CONTROL!$C$38, 0.0355, 0)</f>
        <v>26.817399999999999</v>
      </c>
      <c r="C511" s="17">
        <f>24.4345 * CHOOSE(CONTROL!$C$15, $E$9, 100%, $G$9) + CHOOSE(CONTROL!$C$38, 0.0356, 0)</f>
        <v>24.470099999999999</v>
      </c>
      <c r="D511" s="17">
        <f>24.4267 * CHOOSE(CONTROL!$C$15, $E$9, 100%, $G$9) + CHOOSE(CONTROL!$C$38, 0.0356, 0)</f>
        <v>24.462299999999999</v>
      </c>
      <c r="E511" s="17">
        <f>24.4267 * CHOOSE(CONTROL!$C$15, $E$9, 100%, $G$9) + CHOOSE(CONTROL!$C$38, 0.0356, 0)</f>
        <v>24.462299999999999</v>
      </c>
      <c r="F511" s="45">
        <f>26.7819 * CHOOSE(CONTROL!$C$15, $E$9, 100%, $G$9) + CHOOSE(CONTROL!$C$38, 0.0355, 0)</f>
        <v>26.817399999999999</v>
      </c>
      <c r="G511" s="17">
        <f>24.433 * CHOOSE(CONTROL!$C$15, $E$9, 100%, $G$9) + CHOOSE(CONTROL!$C$38, 0.0356, 0)</f>
        <v>24.468599999999999</v>
      </c>
      <c r="H511" s="17">
        <f>24.433 * CHOOSE(CONTROL!$C$15, $E$9, 100%, $G$9) + CHOOSE(CONTROL!$C$38, 0.0356, 0)</f>
        <v>24.468599999999999</v>
      </c>
      <c r="I511" s="17">
        <f>24.4345 * CHOOSE(CONTROL!$C$15, $E$9, 100%, $G$9) + CHOOSE(CONTROL!$C$38, 0.0356, 0)</f>
        <v>24.470099999999999</v>
      </c>
      <c r="J511" s="44">
        <f>219.5598</f>
        <v>219.5598</v>
      </c>
    </row>
    <row r="512" spans="1:10" ht="15.75" x14ac:dyDescent="0.25">
      <c r="A512" s="14">
        <v>56157</v>
      </c>
      <c r="B512" s="17">
        <f>27.2244 * CHOOSE(CONTROL!$C$15, $E$9, 100%, $G$9) + CHOOSE(CONTROL!$C$38, 0.0355, 0)</f>
        <v>27.259899999999998</v>
      </c>
      <c r="C512" s="17">
        <f>24.877 * CHOOSE(CONTROL!$C$15, $E$9, 100%, $G$9) + CHOOSE(CONTROL!$C$38, 0.0356, 0)</f>
        <v>24.912599999999998</v>
      </c>
      <c r="D512" s="17">
        <f>24.8692 * CHOOSE(CONTROL!$C$15, $E$9, 100%, $G$9) + CHOOSE(CONTROL!$C$38, 0.0356, 0)</f>
        <v>24.904799999999998</v>
      </c>
      <c r="E512" s="17">
        <f>24.8692 * CHOOSE(CONTROL!$C$15, $E$9, 100%, $G$9) + CHOOSE(CONTROL!$C$38, 0.0356, 0)</f>
        <v>24.904799999999998</v>
      </c>
      <c r="F512" s="45">
        <f>27.2244 * CHOOSE(CONTROL!$C$15, $E$9, 100%, $G$9) + CHOOSE(CONTROL!$C$38, 0.0355, 0)</f>
        <v>27.259899999999998</v>
      </c>
      <c r="G512" s="17">
        <f>24.8755 * CHOOSE(CONTROL!$C$15, $E$9, 100%, $G$9) + CHOOSE(CONTROL!$C$38, 0.0356, 0)</f>
        <v>24.911099999999998</v>
      </c>
      <c r="H512" s="17">
        <f>24.8755 * CHOOSE(CONTROL!$C$15, $E$9, 100%, $G$9) + CHOOSE(CONTROL!$C$38, 0.0356, 0)</f>
        <v>24.911099999999998</v>
      </c>
      <c r="I512" s="17">
        <f>24.877 * CHOOSE(CONTROL!$C$15, $E$9, 100%, $G$9) + CHOOSE(CONTROL!$C$38, 0.0356, 0)</f>
        <v>24.912599999999998</v>
      </c>
      <c r="J512" s="44">
        <f>212.262</f>
        <v>212.262</v>
      </c>
    </row>
    <row r="513" spans="1:10" ht="15.75" x14ac:dyDescent="0.25">
      <c r="A513" s="14">
        <v>56188</v>
      </c>
      <c r="B513" s="17">
        <f>27.595 * CHOOSE(CONTROL!$C$15, $E$9, 100%, $G$9) + CHOOSE(CONTROL!$C$38, 0.0339, 0)</f>
        <v>27.628899999999998</v>
      </c>
      <c r="C513" s="17">
        <f>25.2476 * CHOOSE(CONTROL!$C$15, $E$9, 100%, $G$9) + CHOOSE(CONTROL!$C$38, 0.034, 0)</f>
        <v>25.281599999999997</v>
      </c>
      <c r="D513" s="17">
        <f>25.2398 * CHOOSE(CONTROL!$C$15, $E$9, 100%, $G$9) + CHOOSE(CONTROL!$C$38, 0.034, 0)</f>
        <v>25.273799999999998</v>
      </c>
      <c r="E513" s="17">
        <f>25.2398 * CHOOSE(CONTROL!$C$15, $E$9, 100%, $G$9) + CHOOSE(CONTROL!$C$38, 0.034, 0)</f>
        <v>25.273799999999998</v>
      </c>
      <c r="F513" s="45">
        <f>27.595 * CHOOSE(CONTROL!$C$15, $E$9, 100%, $G$9) + CHOOSE(CONTROL!$C$38, 0.0339, 0)</f>
        <v>27.628899999999998</v>
      </c>
      <c r="G513" s="17">
        <f>25.2461 * CHOOSE(CONTROL!$C$15, $E$9, 100%, $G$9) + CHOOSE(CONTROL!$C$38, 0.034, 0)</f>
        <v>25.280099999999997</v>
      </c>
      <c r="H513" s="17">
        <f>25.2461 * CHOOSE(CONTROL!$C$15, $E$9, 100%, $G$9) + CHOOSE(CONTROL!$C$38, 0.034, 0)</f>
        <v>25.280099999999997</v>
      </c>
      <c r="I513" s="17">
        <f>25.2476 * CHOOSE(CONTROL!$C$15, $E$9, 100%, $G$9) + CHOOSE(CONTROL!$C$38, 0.034, 0)</f>
        <v>25.281599999999997</v>
      </c>
      <c r="J513" s="44">
        <f>204.9218</f>
        <v>204.92179999999999</v>
      </c>
    </row>
    <row r="514" spans="1:10" ht="15.75" x14ac:dyDescent="0.25">
      <c r="A514" s="14">
        <v>56218</v>
      </c>
      <c r="B514" s="17">
        <f>27.9043 * CHOOSE(CONTROL!$C$15, $E$9, 100%, $G$9) + CHOOSE(CONTROL!$C$38, 0.0339, 0)</f>
        <v>27.938199999999998</v>
      </c>
      <c r="C514" s="17">
        <f>25.5569 * CHOOSE(CONTROL!$C$15, $E$9, 100%, $G$9) + CHOOSE(CONTROL!$C$38, 0.034, 0)</f>
        <v>25.590899999999998</v>
      </c>
      <c r="D514" s="17">
        <f>25.5491 * CHOOSE(CONTROL!$C$15, $E$9, 100%, $G$9) + CHOOSE(CONTROL!$C$38, 0.034, 0)</f>
        <v>25.583099999999998</v>
      </c>
      <c r="E514" s="17">
        <f>25.5491 * CHOOSE(CONTROL!$C$15, $E$9, 100%, $G$9) + CHOOSE(CONTROL!$C$38, 0.034, 0)</f>
        <v>25.583099999999998</v>
      </c>
      <c r="F514" s="45">
        <f>27.9043 * CHOOSE(CONTROL!$C$15, $E$9, 100%, $G$9) + CHOOSE(CONTROL!$C$38, 0.0339, 0)</f>
        <v>27.938199999999998</v>
      </c>
      <c r="G514" s="17">
        <f>25.5553 * CHOOSE(CONTROL!$C$15, $E$9, 100%, $G$9) + CHOOSE(CONTROL!$C$38, 0.034, 0)</f>
        <v>25.589299999999998</v>
      </c>
      <c r="H514" s="17">
        <f>25.5553 * CHOOSE(CONTROL!$C$15, $E$9, 100%, $G$9) + CHOOSE(CONTROL!$C$38, 0.034, 0)</f>
        <v>25.589299999999998</v>
      </c>
      <c r="I514" s="17">
        <f>25.5569 * CHOOSE(CONTROL!$C$15, $E$9, 100%, $G$9) + CHOOSE(CONTROL!$C$38, 0.034, 0)</f>
        <v>25.590899999999998</v>
      </c>
      <c r="J514" s="44">
        <f>203.4617</f>
        <v>203.46170000000001</v>
      </c>
    </row>
    <row r="515" spans="1:10" ht="15.75" x14ac:dyDescent="0.25">
      <c r="A515" s="14">
        <v>56249</v>
      </c>
      <c r="B515" s="17">
        <f>28.8572 * CHOOSE(CONTROL!$C$15, $E$9, 100%, $G$9) + CHOOSE(CONTROL!$C$38, 0.0339, 0)</f>
        <v>28.891099999999998</v>
      </c>
      <c r="C515" s="17">
        <f>26.5098 * CHOOSE(CONTROL!$C$15, $E$9, 100%, $G$9) + CHOOSE(CONTROL!$C$38, 0.034, 0)</f>
        <v>26.543799999999997</v>
      </c>
      <c r="D515" s="17">
        <f>26.502 * CHOOSE(CONTROL!$C$15, $E$9, 100%, $G$9) + CHOOSE(CONTROL!$C$38, 0.034, 0)</f>
        <v>26.535999999999998</v>
      </c>
      <c r="E515" s="17">
        <f>26.502 * CHOOSE(CONTROL!$C$15, $E$9, 100%, $G$9) + CHOOSE(CONTROL!$C$38, 0.034, 0)</f>
        <v>26.535999999999998</v>
      </c>
      <c r="F515" s="45">
        <f>28.8572 * CHOOSE(CONTROL!$C$15, $E$9, 100%, $G$9) + CHOOSE(CONTROL!$C$38, 0.0339, 0)</f>
        <v>28.891099999999998</v>
      </c>
      <c r="G515" s="17">
        <f>26.5082 * CHOOSE(CONTROL!$C$15, $E$9, 100%, $G$9) + CHOOSE(CONTROL!$C$38, 0.034, 0)</f>
        <v>26.542199999999998</v>
      </c>
      <c r="H515" s="17">
        <f>26.5082 * CHOOSE(CONTROL!$C$15, $E$9, 100%, $G$9) + CHOOSE(CONTROL!$C$38, 0.034, 0)</f>
        <v>26.542199999999998</v>
      </c>
      <c r="I515" s="17">
        <f>26.5098 * CHOOSE(CONTROL!$C$15, $E$9, 100%, $G$9) + CHOOSE(CONTROL!$C$38, 0.034, 0)</f>
        <v>26.543799999999997</v>
      </c>
      <c r="J515" s="44">
        <f>197.4239</f>
        <v>197.4239</v>
      </c>
    </row>
    <row r="516" spans="1:10" ht="15.75" x14ac:dyDescent="0.25">
      <c r="A516" s="14">
        <v>56280</v>
      </c>
      <c r="B516" s="17">
        <f>29.6451 * CHOOSE(CONTROL!$C$15, $E$9, 100%, $G$9) + CHOOSE(CONTROL!$C$38, 0.0339, 0)</f>
        <v>29.678999999999998</v>
      </c>
      <c r="C516" s="17">
        <f>27.2948 * CHOOSE(CONTROL!$C$15, $E$9, 100%, $G$9) + CHOOSE(CONTROL!$C$38, 0.034, 0)</f>
        <v>27.328799999999998</v>
      </c>
      <c r="D516" s="17">
        <f>27.287 * CHOOSE(CONTROL!$C$15, $E$9, 100%, $G$9) + CHOOSE(CONTROL!$C$38, 0.034, 0)</f>
        <v>27.320999999999998</v>
      </c>
      <c r="E516" s="17">
        <f>27.287 * CHOOSE(CONTROL!$C$15, $E$9, 100%, $G$9) + CHOOSE(CONTROL!$C$38, 0.034, 0)</f>
        <v>27.320999999999998</v>
      </c>
      <c r="F516" s="45">
        <f>29.6451 * CHOOSE(CONTROL!$C$15, $E$9, 100%, $G$9) + CHOOSE(CONTROL!$C$38, 0.0339, 0)</f>
        <v>29.678999999999998</v>
      </c>
      <c r="G516" s="17">
        <f>27.2932 * CHOOSE(CONTROL!$C$15, $E$9, 100%, $G$9) + CHOOSE(CONTROL!$C$38, 0.034, 0)</f>
        <v>27.327199999999998</v>
      </c>
      <c r="H516" s="17">
        <f>27.2932 * CHOOSE(CONTROL!$C$15, $E$9, 100%, $G$9) + CHOOSE(CONTROL!$C$38, 0.034, 0)</f>
        <v>27.327199999999998</v>
      </c>
      <c r="I516" s="17">
        <f>27.2948 * CHOOSE(CONTROL!$C$15, $E$9, 100%, $G$9) + CHOOSE(CONTROL!$C$38, 0.034, 0)</f>
        <v>27.328799999999998</v>
      </c>
      <c r="J516" s="44">
        <f>194.5045</f>
        <v>194.50450000000001</v>
      </c>
    </row>
    <row r="517" spans="1:10" ht="15.75" x14ac:dyDescent="0.25">
      <c r="A517" s="14">
        <v>56308</v>
      </c>
      <c r="B517" s="17">
        <f>29.9981 * CHOOSE(CONTROL!$C$15, $E$9, 100%, $G$9) + CHOOSE(CONTROL!$C$38, 0.0339, 0)</f>
        <v>30.032</v>
      </c>
      <c r="C517" s="17">
        <f>27.6477 * CHOOSE(CONTROL!$C$15, $E$9, 100%, $G$9) + CHOOSE(CONTROL!$C$38, 0.034, 0)</f>
        <v>27.681699999999999</v>
      </c>
      <c r="D517" s="17">
        <f>27.6399 * CHOOSE(CONTROL!$C$15, $E$9, 100%, $G$9) + CHOOSE(CONTROL!$C$38, 0.034, 0)</f>
        <v>27.6739</v>
      </c>
      <c r="E517" s="17">
        <f>27.6399 * CHOOSE(CONTROL!$C$15, $E$9, 100%, $G$9) + CHOOSE(CONTROL!$C$38, 0.034, 0)</f>
        <v>27.6739</v>
      </c>
      <c r="F517" s="45">
        <f>29.9981 * CHOOSE(CONTROL!$C$15, $E$9, 100%, $G$9) + CHOOSE(CONTROL!$C$38, 0.0339, 0)</f>
        <v>30.032</v>
      </c>
      <c r="G517" s="17">
        <f>27.6461 * CHOOSE(CONTROL!$C$15, $E$9, 100%, $G$9) + CHOOSE(CONTROL!$C$38, 0.034, 0)</f>
        <v>27.680099999999999</v>
      </c>
      <c r="H517" s="17">
        <f>27.6461 * CHOOSE(CONTROL!$C$15, $E$9, 100%, $G$9) + CHOOSE(CONTROL!$C$38, 0.034, 0)</f>
        <v>27.680099999999999</v>
      </c>
      <c r="I517" s="17">
        <f>27.6477 * CHOOSE(CONTROL!$C$15, $E$9, 100%, $G$9) + CHOOSE(CONTROL!$C$38, 0.034, 0)</f>
        <v>27.681699999999999</v>
      </c>
      <c r="J517" s="44">
        <f>193.9638</f>
        <v>193.96379999999999</v>
      </c>
    </row>
    <row r="518" spans="1:10" ht="15.75" x14ac:dyDescent="0.25">
      <c r="A518" s="14">
        <v>56339</v>
      </c>
      <c r="B518" s="17">
        <f>29.1811 * CHOOSE(CONTROL!$C$15, $E$9, 100%, $G$9) + CHOOSE(CONTROL!$C$38, 0.0339, 0)</f>
        <v>29.215</v>
      </c>
      <c r="C518" s="17">
        <f>26.8307 * CHOOSE(CONTROL!$C$15, $E$9, 100%, $G$9) + CHOOSE(CONTROL!$C$38, 0.034, 0)</f>
        <v>26.864699999999999</v>
      </c>
      <c r="D518" s="17">
        <f>26.8229 * CHOOSE(CONTROL!$C$15, $E$9, 100%, $G$9) + CHOOSE(CONTROL!$C$38, 0.034, 0)</f>
        <v>26.8569</v>
      </c>
      <c r="E518" s="17">
        <f>26.8229 * CHOOSE(CONTROL!$C$15, $E$9, 100%, $G$9) + CHOOSE(CONTROL!$C$38, 0.034, 0)</f>
        <v>26.8569</v>
      </c>
      <c r="F518" s="45">
        <f>29.1811 * CHOOSE(CONTROL!$C$15, $E$9, 100%, $G$9) + CHOOSE(CONTROL!$C$38, 0.0339, 0)</f>
        <v>29.215</v>
      </c>
      <c r="G518" s="17">
        <f>26.8292 * CHOOSE(CONTROL!$C$15, $E$9, 100%, $G$9) + CHOOSE(CONTROL!$C$38, 0.034, 0)</f>
        <v>26.863199999999999</v>
      </c>
      <c r="H518" s="17">
        <f>26.8292 * CHOOSE(CONTROL!$C$15, $E$9, 100%, $G$9) + CHOOSE(CONTROL!$C$38, 0.034, 0)</f>
        <v>26.863199999999999</v>
      </c>
      <c r="I518" s="17">
        <f>26.8307 * CHOOSE(CONTROL!$C$15, $E$9, 100%, $G$9) + CHOOSE(CONTROL!$C$38, 0.034, 0)</f>
        <v>26.864699999999999</v>
      </c>
      <c r="J518" s="44">
        <f>204.1869</f>
        <v>204.18690000000001</v>
      </c>
    </row>
    <row r="519" spans="1:10" ht="15.75" x14ac:dyDescent="0.25">
      <c r="A519" s="14">
        <v>56369</v>
      </c>
      <c r="B519" s="17">
        <f>28.3895 * CHOOSE(CONTROL!$C$15, $E$9, 100%, $G$9) + CHOOSE(CONTROL!$C$38, 0.0339, 0)</f>
        <v>28.423400000000001</v>
      </c>
      <c r="C519" s="17">
        <f>26.0391 * CHOOSE(CONTROL!$C$15, $E$9, 100%, $G$9) + CHOOSE(CONTROL!$C$38, 0.034, 0)</f>
        <v>26.0731</v>
      </c>
      <c r="D519" s="17">
        <f>26.0313 * CHOOSE(CONTROL!$C$15, $E$9, 100%, $G$9) + CHOOSE(CONTROL!$C$38, 0.034, 0)</f>
        <v>26.065300000000001</v>
      </c>
      <c r="E519" s="17">
        <f>26.0313 * CHOOSE(CONTROL!$C$15, $E$9, 100%, $G$9) + CHOOSE(CONTROL!$C$38, 0.034, 0)</f>
        <v>26.065300000000001</v>
      </c>
      <c r="F519" s="45">
        <f>28.3895 * CHOOSE(CONTROL!$C$15, $E$9, 100%, $G$9) + CHOOSE(CONTROL!$C$38, 0.0339, 0)</f>
        <v>28.423400000000001</v>
      </c>
      <c r="G519" s="17">
        <f>26.0376 * CHOOSE(CONTROL!$C$15, $E$9, 100%, $G$9) + CHOOSE(CONTROL!$C$38, 0.034, 0)</f>
        <v>26.0716</v>
      </c>
      <c r="H519" s="17">
        <f>26.0376 * CHOOSE(CONTROL!$C$15, $E$9, 100%, $G$9) + CHOOSE(CONTROL!$C$38, 0.034, 0)</f>
        <v>26.0716</v>
      </c>
      <c r="I519" s="17">
        <f>26.0391 * CHOOSE(CONTROL!$C$15, $E$9, 100%, $G$9) + CHOOSE(CONTROL!$C$38, 0.034, 0)</f>
        <v>26.0731</v>
      </c>
      <c r="J519" s="44">
        <f>217.4437</f>
        <v>217.44370000000001</v>
      </c>
    </row>
    <row r="520" spans="1:10" ht="15.75" x14ac:dyDescent="0.25">
      <c r="A520" s="14">
        <v>56400</v>
      </c>
      <c r="B520" s="17">
        <f>27.5644 * CHOOSE(CONTROL!$C$15, $E$9, 100%, $G$9) + CHOOSE(CONTROL!$C$38, 0.0355, 0)</f>
        <v>27.599899999999998</v>
      </c>
      <c r="C520" s="17">
        <f>25.214 * CHOOSE(CONTROL!$C$15, $E$9, 100%, $G$9) + CHOOSE(CONTROL!$C$38, 0.0356, 0)</f>
        <v>25.249599999999997</v>
      </c>
      <c r="D520" s="17">
        <f>25.2062 * CHOOSE(CONTROL!$C$15, $E$9, 100%, $G$9) + CHOOSE(CONTROL!$C$38, 0.0356, 0)</f>
        <v>25.241799999999998</v>
      </c>
      <c r="E520" s="17">
        <f>25.2062 * CHOOSE(CONTROL!$C$15, $E$9, 100%, $G$9) + CHOOSE(CONTROL!$C$38, 0.0356, 0)</f>
        <v>25.241799999999998</v>
      </c>
      <c r="F520" s="45">
        <f>27.5644 * CHOOSE(CONTROL!$C$15, $E$9, 100%, $G$9) + CHOOSE(CONTROL!$C$38, 0.0355, 0)</f>
        <v>27.599899999999998</v>
      </c>
      <c r="G520" s="17">
        <f>25.2125 * CHOOSE(CONTROL!$C$15, $E$9, 100%, $G$9) + CHOOSE(CONTROL!$C$38, 0.0356, 0)</f>
        <v>25.248099999999997</v>
      </c>
      <c r="H520" s="17">
        <f>25.2125 * CHOOSE(CONTROL!$C$15, $E$9, 100%, $G$9) + CHOOSE(CONTROL!$C$38, 0.0356, 0)</f>
        <v>25.248099999999997</v>
      </c>
      <c r="I520" s="17">
        <f>25.214 * CHOOSE(CONTROL!$C$15, $E$9, 100%, $G$9) + CHOOSE(CONTROL!$C$38, 0.0356, 0)</f>
        <v>25.249599999999997</v>
      </c>
      <c r="J520" s="44">
        <f>224.7406</f>
        <v>224.7406</v>
      </c>
    </row>
    <row r="521" spans="1:10" ht="15.75" x14ac:dyDescent="0.25">
      <c r="A521" s="14">
        <v>56430</v>
      </c>
      <c r="B521" s="17">
        <f>26.9859 * CHOOSE(CONTROL!$C$15, $E$9, 100%, $G$9) + CHOOSE(CONTROL!$C$38, 0.0355, 0)</f>
        <v>27.0214</v>
      </c>
      <c r="C521" s="17">
        <f>24.6356 * CHOOSE(CONTROL!$C$15, $E$9, 100%, $G$9) + CHOOSE(CONTROL!$C$38, 0.0356, 0)</f>
        <v>24.671199999999999</v>
      </c>
      <c r="D521" s="17">
        <f>24.6278 * CHOOSE(CONTROL!$C$15, $E$9, 100%, $G$9) + CHOOSE(CONTROL!$C$38, 0.0356, 0)</f>
        <v>24.663399999999999</v>
      </c>
      <c r="E521" s="17">
        <f>24.6278 * CHOOSE(CONTROL!$C$15, $E$9, 100%, $G$9) + CHOOSE(CONTROL!$C$38, 0.0356, 0)</f>
        <v>24.663399999999999</v>
      </c>
      <c r="F521" s="45">
        <f>26.9859 * CHOOSE(CONTROL!$C$15, $E$9, 100%, $G$9) + CHOOSE(CONTROL!$C$38, 0.0355, 0)</f>
        <v>27.0214</v>
      </c>
      <c r="G521" s="17">
        <f>24.634 * CHOOSE(CONTROL!$C$15, $E$9, 100%, $G$9) + CHOOSE(CONTROL!$C$38, 0.0356, 0)</f>
        <v>24.669599999999999</v>
      </c>
      <c r="H521" s="17">
        <f>24.634 * CHOOSE(CONTROL!$C$15, $E$9, 100%, $G$9) + CHOOSE(CONTROL!$C$38, 0.0356, 0)</f>
        <v>24.669599999999999</v>
      </c>
      <c r="I521" s="17">
        <f>24.6356 * CHOOSE(CONTROL!$C$15, $E$9, 100%, $G$9) + CHOOSE(CONTROL!$C$38, 0.0356, 0)</f>
        <v>24.671199999999999</v>
      </c>
      <c r="J521" s="44">
        <f>227.9789</f>
        <v>227.97890000000001</v>
      </c>
    </row>
    <row r="522" spans="1:10" ht="15.75" x14ac:dyDescent="0.25">
      <c r="A522" s="14">
        <v>56461</v>
      </c>
      <c r="B522" s="17">
        <f>26.6558 * CHOOSE(CONTROL!$C$15, $E$9, 100%, $G$9) + CHOOSE(CONTROL!$C$38, 0.0355, 0)</f>
        <v>26.691299999999998</v>
      </c>
      <c r="C522" s="17">
        <f>24.3055 * CHOOSE(CONTROL!$C$15, $E$9, 100%, $G$9) + CHOOSE(CONTROL!$C$38, 0.0356, 0)</f>
        <v>24.341099999999997</v>
      </c>
      <c r="D522" s="17">
        <f>24.2977 * CHOOSE(CONTROL!$C$15, $E$9, 100%, $G$9) + CHOOSE(CONTROL!$C$38, 0.0356, 0)</f>
        <v>24.333299999999998</v>
      </c>
      <c r="E522" s="17">
        <f>24.2977 * CHOOSE(CONTROL!$C$15, $E$9, 100%, $G$9) + CHOOSE(CONTROL!$C$38, 0.0356, 0)</f>
        <v>24.333299999999998</v>
      </c>
      <c r="F522" s="45">
        <f>26.6558 * CHOOSE(CONTROL!$C$15, $E$9, 100%, $G$9) + CHOOSE(CONTROL!$C$38, 0.0355, 0)</f>
        <v>26.691299999999998</v>
      </c>
      <c r="G522" s="17">
        <f>24.3039 * CHOOSE(CONTROL!$C$15, $E$9, 100%, $G$9) + CHOOSE(CONTROL!$C$38, 0.0356, 0)</f>
        <v>24.339499999999997</v>
      </c>
      <c r="H522" s="17">
        <f>24.3039 * CHOOSE(CONTROL!$C$15, $E$9, 100%, $G$9) + CHOOSE(CONTROL!$C$38, 0.0356, 0)</f>
        <v>24.339499999999997</v>
      </c>
      <c r="I522" s="17">
        <f>24.3055 * CHOOSE(CONTROL!$C$15, $E$9, 100%, $G$9) + CHOOSE(CONTROL!$C$38, 0.0356, 0)</f>
        <v>24.341099999999997</v>
      </c>
      <c r="J522" s="44">
        <f>226.9127</f>
        <v>226.9127</v>
      </c>
    </row>
    <row r="523" spans="1:10" ht="15.75" x14ac:dyDescent="0.25">
      <c r="A523" s="14">
        <v>56492</v>
      </c>
      <c r="B523" s="17">
        <f>26.8188 * CHOOSE(CONTROL!$C$15, $E$9, 100%, $G$9) + CHOOSE(CONTROL!$C$38, 0.0355, 0)</f>
        <v>26.854299999999999</v>
      </c>
      <c r="C523" s="17">
        <f>24.4684 * CHOOSE(CONTROL!$C$15, $E$9, 100%, $G$9) + CHOOSE(CONTROL!$C$38, 0.0356, 0)</f>
        <v>24.503999999999998</v>
      </c>
      <c r="D523" s="17">
        <f>24.4606 * CHOOSE(CONTROL!$C$15, $E$9, 100%, $G$9) + CHOOSE(CONTROL!$C$38, 0.0356, 0)</f>
        <v>24.496199999999998</v>
      </c>
      <c r="E523" s="17">
        <f>24.4606 * CHOOSE(CONTROL!$C$15, $E$9, 100%, $G$9) + CHOOSE(CONTROL!$C$38, 0.0356, 0)</f>
        <v>24.496199999999998</v>
      </c>
      <c r="F523" s="45">
        <f>26.8188 * CHOOSE(CONTROL!$C$15, $E$9, 100%, $G$9) + CHOOSE(CONTROL!$C$38, 0.0355, 0)</f>
        <v>26.854299999999999</v>
      </c>
      <c r="G523" s="17">
        <f>24.4668 * CHOOSE(CONTROL!$C$15, $E$9, 100%, $G$9) + CHOOSE(CONTROL!$C$38, 0.0356, 0)</f>
        <v>24.502399999999998</v>
      </c>
      <c r="H523" s="17">
        <f>24.4668 * CHOOSE(CONTROL!$C$15, $E$9, 100%, $G$9) + CHOOSE(CONTROL!$C$38, 0.0356, 0)</f>
        <v>24.502399999999998</v>
      </c>
      <c r="I523" s="17">
        <f>24.4684 * CHOOSE(CONTROL!$C$15, $E$9, 100%, $G$9) + CHOOSE(CONTROL!$C$38, 0.0356, 0)</f>
        <v>24.503999999999998</v>
      </c>
      <c r="J523" s="44">
        <f>221.6303</f>
        <v>221.63030000000001</v>
      </c>
    </row>
    <row r="524" spans="1:10" ht="15.75" x14ac:dyDescent="0.25">
      <c r="A524" s="14">
        <v>56522</v>
      </c>
      <c r="B524" s="17">
        <f>27.2613 * CHOOSE(CONTROL!$C$15, $E$9, 100%, $G$9) + CHOOSE(CONTROL!$C$38, 0.0355, 0)</f>
        <v>27.296799999999998</v>
      </c>
      <c r="C524" s="17">
        <f>24.9109 * CHOOSE(CONTROL!$C$15, $E$9, 100%, $G$9) + CHOOSE(CONTROL!$C$38, 0.0356, 0)</f>
        <v>24.9465</v>
      </c>
      <c r="D524" s="17">
        <f>24.9031 * CHOOSE(CONTROL!$C$15, $E$9, 100%, $G$9) + CHOOSE(CONTROL!$C$38, 0.0356, 0)</f>
        <v>24.938699999999997</v>
      </c>
      <c r="E524" s="17">
        <f>24.9031 * CHOOSE(CONTROL!$C$15, $E$9, 100%, $G$9) + CHOOSE(CONTROL!$C$38, 0.0356, 0)</f>
        <v>24.938699999999997</v>
      </c>
      <c r="F524" s="45">
        <f>27.2613 * CHOOSE(CONTROL!$C$15, $E$9, 100%, $G$9) + CHOOSE(CONTROL!$C$38, 0.0355, 0)</f>
        <v>27.296799999999998</v>
      </c>
      <c r="G524" s="17">
        <f>24.9093 * CHOOSE(CONTROL!$C$15, $E$9, 100%, $G$9) + CHOOSE(CONTROL!$C$38, 0.0356, 0)</f>
        <v>24.944900000000001</v>
      </c>
      <c r="H524" s="17">
        <f>24.9093 * CHOOSE(CONTROL!$C$15, $E$9, 100%, $G$9) + CHOOSE(CONTROL!$C$38, 0.0356, 0)</f>
        <v>24.944900000000001</v>
      </c>
      <c r="I524" s="17">
        <f>24.9109 * CHOOSE(CONTROL!$C$15, $E$9, 100%, $G$9) + CHOOSE(CONTROL!$C$38, 0.0356, 0)</f>
        <v>24.9465</v>
      </c>
      <c r="J524" s="44">
        <f>214.2637</f>
        <v>214.2637</v>
      </c>
    </row>
    <row r="525" spans="1:10" ht="15.75" x14ac:dyDescent="0.25">
      <c r="A525" s="14">
        <v>56553</v>
      </c>
      <c r="B525" s="17">
        <f>27.6319 * CHOOSE(CONTROL!$C$15, $E$9, 100%, $G$9) + CHOOSE(CONTROL!$C$38, 0.0339, 0)</f>
        <v>27.665800000000001</v>
      </c>
      <c r="C525" s="17">
        <f>25.2815 * CHOOSE(CONTROL!$C$15, $E$9, 100%, $G$9) + CHOOSE(CONTROL!$C$38, 0.034, 0)</f>
        <v>25.3155</v>
      </c>
      <c r="D525" s="17">
        <f>25.2737 * CHOOSE(CONTROL!$C$15, $E$9, 100%, $G$9) + CHOOSE(CONTROL!$C$38, 0.034, 0)</f>
        <v>25.307700000000001</v>
      </c>
      <c r="E525" s="17">
        <f>25.2737 * CHOOSE(CONTROL!$C$15, $E$9, 100%, $G$9) + CHOOSE(CONTROL!$C$38, 0.034, 0)</f>
        <v>25.307700000000001</v>
      </c>
      <c r="F525" s="45">
        <f>27.6319 * CHOOSE(CONTROL!$C$15, $E$9, 100%, $G$9) + CHOOSE(CONTROL!$C$38, 0.0339, 0)</f>
        <v>27.665800000000001</v>
      </c>
      <c r="G525" s="17">
        <f>25.2799 * CHOOSE(CONTROL!$C$15, $E$9, 100%, $G$9) + CHOOSE(CONTROL!$C$38, 0.034, 0)</f>
        <v>25.3139</v>
      </c>
      <c r="H525" s="17">
        <f>25.2799 * CHOOSE(CONTROL!$C$15, $E$9, 100%, $G$9) + CHOOSE(CONTROL!$C$38, 0.034, 0)</f>
        <v>25.3139</v>
      </c>
      <c r="I525" s="17">
        <f>25.2815 * CHOOSE(CONTROL!$C$15, $E$9, 100%, $G$9) + CHOOSE(CONTROL!$C$38, 0.034, 0)</f>
        <v>25.3155</v>
      </c>
      <c r="J525" s="44">
        <f>206.8542</f>
        <v>206.85419999999999</v>
      </c>
    </row>
    <row r="526" spans="1:10" ht="15.75" x14ac:dyDescent="0.25">
      <c r="A526" s="14">
        <v>56583</v>
      </c>
      <c r="B526" s="17">
        <f>27.9411 * CHOOSE(CONTROL!$C$15, $E$9, 100%, $G$9) + CHOOSE(CONTROL!$C$38, 0.0339, 0)</f>
        <v>27.974999999999998</v>
      </c>
      <c r="C526" s="17">
        <f>25.5908 * CHOOSE(CONTROL!$C$15, $E$9, 100%, $G$9) + CHOOSE(CONTROL!$C$38, 0.034, 0)</f>
        <v>25.6248</v>
      </c>
      <c r="D526" s="17">
        <f>25.5829 * CHOOSE(CONTROL!$C$15, $E$9, 100%, $G$9) + CHOOSE(CONTROL!$C$38, 0.034, 0)</f>
        <v>25.616899999999998</v>
      </c>
      <c r="E526" s="17">
        <f>25.5829 * CHOOSE(CONTROL!$C$15, $E$9, 100%, $G$9) + CHOOSE(CONTROL!$C$38, 0.034, 0)</f>
        <v>25.616899999999998</v>
      </c>
      <c r="F526" s="45">
        <f>27.9411 * CHOOSE(CONTROL!$C$15, $E$9, 100%, $G$9) + CHOOSE(CONTROL!$C$38, 0.0339, 0)</f>
        <v>27.974999999999998</v>
      </c>
      <c r="G526" s="17">
        <f>25.5892 * CHOOSE(CONTROL!$C$15, $E$9, 100%, $G$9) + CHOOSE(CONTROL!$C$38, 0.034, 0)</f>
        <v>25.623200000000001</v>
      </c>
      <c r="H526" s="17">
        <f>25.5892 * CHOOSE(CONTROL!$C$15, $E$9, 100%, $G$9) + CHOOSE(CONTROL!$C$38, 0.034, 0)</f>
        <v>25.623200000000001</v>
      </c>
      <c r="I526" s="17">
        <f>25.5908 * CHOOSE(CONTROL!$C$15, $E$9, 100%, $G$9) + CHOOSE(CONTROL!$C$38, 0.034, 0)</f>
        <v>25.6248</v>
      </c>
      <c r="J526" s="44">
        <f>205.3803</f>
        <v>205.38030000000001</v>
      </c>
    </row>
    <row r="527" spans="1:10" ht="15.75" x14ac:dyDescent="0.25">
      <c r="A527" s="14">
        <v>56614</v>
      </c>
      <c r="B527" s="17">
        <f>28.894 * CHOOSE(CONTROL!$C$15, $E$9, 100%, $G$9) + CHOOSE(CONTROL!$C$38, 0.0339, 0)</f>
        <v>28.927899999999998</v>
      </c>
      <c r="C527" s="17">
        <f>26.5437 * CHOOSE(CONTROL!$C$15, $E$9, 100%, $G$9) + CHOOSE(CONTROL!$C$38, 0.034, 0)</f>
        <v>26.5777</v>
      </c>
      <c r="D527" s="17">
        <f>26.5359 * CHOOSE(CONTROL!$C$15, $E$9, 100%, $G$9) + CHOOSE(CONTROL!$C$38, 0.034, 0)</f>
        <v>26.569900000000001</v>
      </c>
      <c r="E527" s="17">
        <f>26.5359 * CHOOSE(CONTROL!$C$15, $E$9, 100%, $G$9) + CHOOSE(CONTROL!$C$38, 0.034, 0)</f>
        <v>26.569900000000001</v>
      </c>
      <c r="F527" s="45">
        <f>28.894 * CHOOSE(CONTROL!$C$15, $E$9, 100%, $G$9) + CHOOSE(CONTROL!$C$38, 0.0339, 0)</f>
        <v>28.927899999999998</v>
      </c>
      <c r="G527" s="17">
        <f>26.5421 * CHOOSE(CONTROL!$C$15, $E$9, 100%, $G$9) + CHOOSE(CONTROL!$C$38, 0.034, 0)</f>
        <v>26.5761</v>
      </c>
      <c r="H527" s="17">
        <f>26.5421 * CHOOSE(CONTROL!$C$15, $E$9, 100%, $G$9) + CHOOSE(CONTROL!$C$38, 0.034, 0)</f>
        <v>26.5761</v>
      </c>
      <c r="I527" s="17">
        <f>26.5437 * CHOOSE(CONTROL!$C$15, $E$9, 100%, $G$9) + CHOOSE(CONTROL!$C$38, 0.034, 0)</f>
        <v>26.5777</v>
      </c>
      <c r="J527" s="44">
        <f>199.2857</f>
        <v>199.28569999999999</v>
      </c>
    </row>
    <row r="528" spans="1:10" ht="15.75" x14ac:dyDescent="0.25">
      <c r="A528" s="13">
        <v>56645</v>
      </c>
      <c r="B528" s="17">
        <f>29.682 * CHOOSE(CONTROL!$C$15, $E$9, 100%, $G$9) + CHOOSE(CONTROL!$C$38, 0.0339, 0)</f>
        <v>29.715899999999998</v>
      </c>
      <c r="C528" s="17">
        <f>27.3287 * CHOOSE(CONTROL!$C$15, $E$9, 100%, $G$9) + CHOOSE(CONTROL!$C$38, 0.034, 0)</f>
        <v>27.3627</v>
      </c>
      <c r="D528" s="17">
        <f>27.3209 * CHOOSE(CONTROL!$C$15, $E$9, 100%, $G$9) + CHOOSE(CONTROL!$C$38, 0.034, 0)</f>
        <v>27.354900000000001</v>
      </c>
      <c r="E528" s="17">
        <f>27.3209 * CHOOSE(CONTROL!$C$15, $E$9, 100%, $G$9) + CHOOSE(CONTROL!$C$38, 0.034, 0)</f>
        <v>27.354900000000001</v>
      </c>
      <c r="F528" s="45">
        <f>29.682 * CHOOSE(CONTROL!$C$15, $E$9, 100%, $G$9) + CHOOSE(CONTROL!$C$38, 0.0339, 0)</f>
        <v>29.715899999999998</v>
      </c>
      <c r="G528" s="17">
        <f>27.3272 * CHOOSE(CONTROL!$C$15, $E$9, 100%, $G$9) + CHOOSE(CONTROL!$C$38, 0.034, 0)</f>
        <v>27.3612</v>
      </c>
      <c r="H528" s="17">
        <f>27.3272 * CHOOSE(CONTROL!$C$15, $E$9, 100%, $G$9) + CHOOSE(CONTROL!$C$38, 0.034, 0)</f>
        <v>27.3612</v>
      </c>
      <c r="I528" s="17">
        <f>27.3287 * CHOOSE(CONTROL!$C$15, $E$9, 100%, $G$9) + CHOOSE(CONTROL!$C$38, 0.034, 0)</f>
        <v>27.3627</v>
      </c>
      <c r="J528" s="44">
        <f>196.3387</f>
        <v>196.33869999999999</v>
      </c>
    </row>
    <row r="529" spans="1:10" ht="15.75" x14ac:dyDescent="0.25">
      <c r="A529" s="13">
        <v>56673</v>
      </c>
      <c r="B529" s="17">
        <f>30.0349 * CHOOSE(CONTROL!$C$15, $E$9, 100%, $G$9) + CHOOSE(CONTROL!$C$38, 0.0339, 0)</f>
        <v>30.0688</v>
      </c>
      <c r="C529" s="17">
        <f>27.6816 * CHOOSE(CONTROL!$C$15, $E$9, 100%, $G$9) + CHOOSE(CONTROL!$C$38, 0.034, 0)</f>
        <v>27.715599999999998</v>
      </c>
      <c r="D529" s="17">
        <f>27.6738 * CHOOSE(CONTROL!$C$15, $E$9, 100%, $G$9) + CHOOSE(CONTROL!$C$38, 0.034, 0)</f>
        <v>27.707799999999999</v>
      </c>
      <c r="E529" s="17">
        <f>27.6738 * CHOOSE(CONTROL!$C$15, $E$9, 100%, $G$9) + CHOOSE(CONTROL!$C$38, 0.034, 0)</f>
        <v>27.707799999999999</v>
      </c>
      <c r="F529" s="45">
        <f>30.0349 * CHOOSE(CONTROL!$C$15, $E$9, 100%, $G$9) + CHOOSE(CONTROL!$C$38, 0.0339, 0)</f>
        <v>30.0688</v>
      </c>
      <c r="G529" s="17">
        <f>27.6801 * CHOOSE(CONTROL!$C$15, $E$9, 100%, $G$9) + CHOOSE(CONTROL!$C$38, 0.034, 0)</f>
        <v>27.714099999999998</v>
      </c>
      <c r="H529" s="17">
        <f>27.6801 * CHOOSE(CONTROL!$C$15, $E$9, 100%, $G$9) + CHOOSE(CONTROL!$C$38, 0.034, 0)</f>
        <v>27.714099999999998</v>
      </c>
      <c r="I529" s="17">
        <f>27.6816 * CHOOSE(CONTROL!$C$15, $E$9, 100%, $G$9) + CHOOSE(CONTROL!$C$38, 0.034, 0)</f>
        <v>27.715599999999998</v>
      </c>
      <c r="J529" s="44">
        <f>195.7929</f>
        <v>195.7929</v>
      </c>
    </row>
    <row r="530" spans="1:10" ht="15.75" x14ac:dyDescent="0.25">
      <c r="A530" s="13">
        <v>56704</v>
      </c>
      <c r="B530" s="17">
        <f>29.218 * CHOOSE(CONTROL!$C$15, $E$9, 100%, $G$9) + CHOOSE(CONTROL!$C$38, 0.0339, 0)</f>
        <v>29.251899999999999</v>
      </c>
      <c r="C530" s="17">
        <f>26.8647 * CHOOSE(CONTROL!$C$15, $E$9, 100%, $G$9) + CHOOSE(CONTROL!$C$38, 0.034, 0)</f>
        <v>26.898699999999998</v>
      </c>
      <c r="D530" s="17">
        <f>26.8569 * CHOOSE(CONTROL!$C$15, $E$9, 100%, $G$9) + CHOOSE(CONTROL!$C$38, 0.034, 0)</f>
        <v>26.890899999999998</v>
      </c>
      <c r="E530" s="17">
        <f>26.8569 * CHOOSE(CONTROL!$C$15, $E$9, 100%, $G$9) + CHOOSE(CONTROL!$C$38, 0.034, 0)</f>
        <v>26.890899999999998</v>
      </c>
      <c r="F530" s="45">
        <f>29.218 * CHOOSE(CONTROL!$C$15, $E$9, 100%, $G$9) + CHOOSE(CONTROL!$C$38, 0.0339, 0)</f>
        <v>29.251899999999999</v>
      </c>
      <c r="G530" s="17">
        <f>26.8631 * CHOOSE(CONTROL!$C$15, $E$9, 100%, $G$9) + CHOOSE(CONTROL!$C$38, 0.034, 0)</f>
        <v>26.897099999999998</v>
      </c>
      <c r="H530" s="17">
        <f>26.8631 * CHOOSE(CONTROL!$C$15, $E$9, 100%, $G$9) + CHOOSE(CONTROL!$C$38, 0.034, 0)</f>
        <v>26.897099999999998</v>
      </c>
      <c r="I530" s="17">
        <f>26.8647 * CHOOSE(CONTROL!$C$15, $E$9, 100%, $G$9) + CHOOSE(CONTROL!$C$38, 0.034, 0)</f>
        <v>26.898699999999998</v>
      </c>
      <c r="J530" s="44">
        <f>206.1123</f>
        <v>206.1123</v>
      </c>
    </row>
    <row r="531" spans="1:10" ht="15.75" x14ac:dyDescent="0.25">
      <c r="A531" s="13">
        <v>56734</v>
      </c>
      <c r="B531" s="17">
        <f>28.4264 * CHOOSE(CONTROL!$C$15, $E$9, 100%, $G$9) + CHOOSE(CONTROL!$C$38, 0.0339, 0)</f>
        <v>28.4603</v>
      </c>
      <c r="C531" s="17">
        <f>26.0731 * CHOOSE(CONTROL!$C$15, $E$9, 100%, $G$9) + CHOOSE(CONTROL!$C$38, 0.034, 0)</f>
        <v>26.107099999999999</v>
      </c>
      <c r="D531" s="17">
        <f>26.0652 * CHOOSE(CONTROL!$C$15, $E$9, 100%, $G$9) + CHOOSE(CONTROL!$C$38, 0.034, 0)</f>
        <v>26.0992</v>
      </c>
      <c r="E531" s="17">
        <f>26.0652 * CHOOSE(CONTROL!$C$15, $E$9, 100%, $G$9) + CHOOSE(CONTROL!$C$38, 0.034, 0)</f>
        <v>26.0992</v>
      </c>
      <c r="F531" s="45">
        <f>28.4264 * CHOOSE(CONTROL!$C$15, $E$9, 100%, $G$9) + CHOOSE(CONTROL!$C$38, 0.0339, 0)</f>
        <v>28.4603</v>
      </c>
      <c r="G531" s="17">
        <f>26.0715 * CHOOSE(CONTROL!$C$15, $E$9, 100%, $G$9) + CHOOSE(CONTROL!$C$38, 0.034, 0)</f>
        <v>26.105499999999999</v>
      </c>
      <c r="H531" s="17">
        <f>26.0715 * CHOOSE(CONTROL!$C$15, $E$9, 100%, $G$9) + CHOOSE(CONTROL!$C$38, 0.034, 0)</f>
        <v>26.105499999999999</v>
      </c>
      <c r="I531" s="17">
        <f>26.0731 * CHOOSE(CONTROL!$C$15, $E$9, 100%, $G$9) + CHOOSE(CONTROL!$C$38, 0.034, 0)</f>
        <v>26.107099999999999</v>
      </c>
      <c r="J531" s="44">
        <f>219.4942</f>
        <v>219.49420000000001</v>
      </c>
    </row>
    <row r="532" spans="1:10" ht="15.75" x14ac:dyDescent="0.25">
      <c r="A532" s="13">
        <v>56765</v>
      </c>
      <c r="B532" s="17">
        <f>27.6013 * CHOOSE(CONTROL!$C$15, $E$9, 100%, $G$9) + CHOOSE(CONTROL!$C$38, 0.0355, 0)</f>
        <v>27.636799999999997</v>
      </c>
      <c r="C532" s="17">
        <f>25.248 * CHOOSE(CONTROL!$C$15, $E$9, 100%, $G$9) + CHOOSE(CONTROL!$C$38, 0.0356, 0)</f>
        <v>25.2836</v>
      </c>
      <c r="D532" s="17">
        <f>25.2402 * CHOOSE(CONTROL!$C$15, $E$9, 100%, $G$9) + CHOOSE(CONTROL!$C$38, 0.0356, 0)</f>
        <v>25.2758</v>
      </c>
      <c r="E532" s="17">
        <f>25.2402 * CHOOSE(CONTROL!$C$15, $E$9, 100%, $G$9) + CHOOSE(CONTROL!$C$38, 0.0356, 0)</f>
        <v>25.2758</v>
      </c>
      <c r="F532" s="45">
        <f>27.6013 * CHOOSE(CONTROL!$C$15, $E$9, 100%, $G$9) + CHOOSE(CONTROL!$C$38, 0.0355, 0)</f>
        <v>27.636799999999997</v>
      </c>
      <c r="G532" s="17">
        <f>25.2464 * CHOOSE(CONTROL!$C$15, $E$9, 100%, $G$9) + CHOOSE(CONTROL!$C$38, 0.0356, 0)</f>
        <v>25.282</v>
      </c>
      <c r="H532" s="17">
        <f>25.2464 * CHOOSE(CONTROL!$C$15, $E$9, 100%, $G$9) + CHOOSE(CONTROL!$C$38, 0.0356, 0)</f>
        <v>25.282</v>
      </c>
      <c r="I532" s="17">
        <f>25.248 * CHOOSE(CONTROL!$C$15, $E$9, 100%, $G$9) + CHOOSE(CONTROL!$C$38, 0.0356, 0)</f>
        <v>25.2836</v>
      </c>
      <c r="J532" s="44">
        <f>226.8599</f>
        <v>226.85990000000001</v>
      </c>
    </row>
    <row r="533" spans="1:10" ht="15.75" x14ac:dyDescent="0.25">
      <c r="A533" s="13">
        <v>56795</v>
      </c>
      <c r="B533" s="17">
        <f>27.0228 * CHOOSE(CONTROL!$C$15, $E$9, 100%, $G$9) + CHOOSE(CONTROL!$C$38, 0.0355, 0)</f>
        <v>27.058299999999999</v>
      </c>
      <c r="C533" s="17">
        <f>24.6695 * CHOOSE(CONTROL!$C$15, $E$9, 100%, $G$9) + CHOOSE(CONTROL!$C$38, 0.0356, 0)</f>
        <v>24.705099999999998</v>
      </c>
      <c r="D533" s="17">
        <f>24.6617 * CHOOSE(CONTROL!$C$15, $E$9, 100%, $G$9) + CHOOSE(CONTROL!$C$38, 0.0356, 0)</f>
        <v>24.697299999999998</v>
      </c>
      <c r="E533" s="17">
        <f>24.6617 * CHOOSE(CONTROL!$C$15, $E$9, 100%, $G$9) + CHOOSE(CONTROL!$C$38, 0.0356, 0)</f>
        <v>24.697299999999998</v>
      </c>
      <c r="F533" s="45">
        <f>27.0228 * CHOOSE(CONTROL!$C$15, $E$9, 100%, $G$9) + CHOOSE(CONTROL!$C$38, 0.0355, 0)</f>
        <v>27.058299999999999</v>
      </c>
      <c r="G533" s="17">
        <f>24.668 * CHOOSE(CONTROL!$C$15, $E$9, 100%, $G$9) + CHOOSE(CONTROL!$C$38, 0.0356, 0)</f>
        <v>24.703599999999998</v>
      </c>
      <c r="H533" s="17">
        <f>24.668 * CHOOSE(CONTROL!$C$15, $E$9, 100%, $G$9) + CHOOSE(CONTROL!$C$38, 0.0356, 0)</f>
        <v>24.703599999999998</v>
      </c>
      <c r="I533" s="17">
        <f>24.6695 * CHOOSE(CONTROL!$C$15, $E$9, 100%, $G$9) + CHOOSE(CONTROL!$C$38, 0.0356, 0)</f>
        <v>24.705099999999998</v>
      </c>
      <c r="J533" s="44">
        <f>230.1287</f>
        <v>230.12870000000001</v>
      </c>
    </row>
    <row r="534" spans="1:10" ht="15.75" x14ac:dyDescent="0.25">
      <c r="A534" s="13">
        <v>56826</v>
      </c>
      <c r="B534" s="17">
        <f>26.6927 * CHOOSE(CONTROL!$C$15, $E$9, 100%, $G$9) + CHOOSE(CONTROL!$C$38, 0.0355, 0)</f>
        <v>26.728199999999998</v>
      </c>
      <c r="C534" s="17">
        <f>24.3394 * CHOOSE(CONTROL!$C$15, $E$9, 100%, $G$9) + CHOOSE(CONTROL!$C$38, 0.0356, 0)</f>
        <v>24.375</v>
      </c>
      <c r="D534" s="17">
        <f>24.3316 * CHOOSE(CONTROL!$C$15, $E$9, 100%, $G$9) + CHOOSE(CONTROL!$C$38, 0.0356, 0)</f>
        <v>24.3672</v>
      </c>
      <c r="E534" s="17">
        <f>24.3316 * CHOOSE(CONTROL!$C$15, $E$9, 100%, $G$9) + CHOOSE(CONTROL!$C$38, 0.0356, 0)</f>
        <v>24.3672</v>
      </c>
      <c r="F534" s="45">
        <f>26.6927 * CHOOSE(CONTROL!$C$15, $E$9, 100%, $G$9) + CHOOSE(CONTROL!$C$38, 0.0355, 0)</f>
        <v>26.728199999999998</v>
      </c>
      <c r="G534" s="17">
        <f>24.3379 * CHOOSE(CONTROL!$C$15, $E$9, 100%, $G$9) + CHOOSE(CONTROL!$C$38, 0.0356, 0)</f>
        <v>24.3735</v>
      </c>
      <c r="H534" s="17">
        <f>24.3379 * CHOOSE(CONTROL!$C$15, $E$9, 100%, $G$9) + CHOOSE(CONTROL!$C$38, 0.0356, 0)</f>
        <v>24.3735</v>
      </c>
      <c r="I534" s="17">
        <f>24.3394 * CHOOSE(CONTROL!$C$15, $E$9, 100%, $G$9) + CHOOSE(CONTROL!$C$38, 0.0356, 0)</f>
        <v>24.375</v>
      </c>
      <c r="J534" s="44">
        <f>229.0525</f>
        <v>229.05250000000001</v>
      </c>
    </row>
    <row r="535" spans="1:10" ht="15.75" x14ac:dyDescent="0.25">
      <c r="A535" s="13">
        <v>56857</v>
      </c>
      <c r="B535" s="17">
        <f>26.8556 * CHOOSE(CONTROL!$C$15, $E$9, 100%, $G$9) + CHOOSE(CONTROL!$C$38, 0.0355, 0)</f>
        <v>26.891099999999998</v>
      </c>
      <c r="C535" s="17">
        <f>24.5023 * CHOOSE(CONTROL!$C$15, $E$9, 100%, $G$9) + CHOOSE(CONTROL!$C$38, 0.0356, 0)</f>
        <v>24.5379</v>
      </c>
      <c r="D535" s="17">
        <f>24.4945 * CHOOSE(CONTROL!$C$15, $E$9, 100%, $G$9) + CHOOSE(CONTROL!$C$38, 0.0356, 0)</f>
        <v>24.530099999999997</v>
      </c>
      <c r="E535" s="17">
        <f>24.4945 * CHOOSE(CONTROL!$C$15, $E$9, 100%, $G$9) + CHOOSE(CONTROL!$C$38, 0.0356, 0)</f>
        <v>24.530099999999997</v>
      </c>
      <c r="F535" s="45">
        <f>26.8556 * CHOOSE(CONTROL!$C$15, $E$9, 100%, $G$9) + CHOOSE(CONTROL!$C$38, 0.0355, 0)</f>
        <v>26.891099999999998</v>
      </c>
      <c r="G535" s="17">
        <f>24.5008 * CHOOSE(CONTROL!$C$15, $E$9, 100%, $G$9) + CHOOSE(CONTROL!$C$38, 0.0356, 0)</f>
        <v>24.5364</v>
      </c>
      <c r="H535" s="17">
        <f>24.5008 * CHOOSE(CONTROL!$C$15, $E$9, 100%, $G$9) + CHOOSE(CONTROL!$C$38, 0.0356, 0)</f>
        <v>24.5364</v>
      </c>
      <c r="I535" s="17">
        <f>24.5023 * CHOOSE(CONTROL!$C$15, $E$9, 100%, $G$9) + CHOOSE(CONTROL!$C$38, 0.0356, 0)</f>
        <v>24.5379</v>
      </c>
      <c r="J535" s="44">
        <f>223.7203</f>
        <v>223.72030000000001</v>
      </c>
    </row>
    <row r="536" spans="1:10" ht="15.75" x14ac:dyDescent="0.25">
      <c r="A536" s="13">
        <v>56887</v>
      </c>
      <c r="B536" s="17">
        <f>27.2981 * CHOOSE(CONTROL!$C$15, $E$9, 100%, $G$9) + CHOOSE(CONTROL!$C$38, 0.0355, 0)</f>
        <v>27.333600000000001</v>
      </c>
      <c r="C536" s="17">
        <f>24.9448 * CHOOSE(CONTROL!$C$15, $E$9, 100%, $G$9) + CHOOSE(CONTROL!$C$38, 0.0356, 0)</f>
        <v>24.980399999999999</v>
      </c>
      <c r="D536" s="17">
        <f>24.937 * CHOOSE(CONTROL!$C$15, $E$9, 100%, $G$9) + CHOOSE(CONTROL!$C$38, 0.0356, 0)</f>
        <v>24.9726</v>
      </c>
      <c r="E536" s="17">
        <f>24.937 * CHOOSE(CONTROL!$C$15, $E$9, 100%, $G$9) + CHOOSE(CONTROL!$C$38, 0.0356, 0)</f>
        <v>24.9726</v>
      </c>
      <c r="F536" s="45">
        <f>27.2981 * CHOOSE(CONTROL!$C$15, $E$9, 100%, $G$9) + CHOOSE(CONTROL!$C$38, 0.0355, 0)</f>
        <v>27.333600000000001</v>
      </c>
      <c r="G536" s="17">
        <f>24.9433 * CHOOSE(CONTROL!$C$15, $E$9, 100%, $G$9) + CHOOSE(CONTROL!$C$38, 0.0356, 0)</f>
        <v>24.978899999999999</v>
      </c>
      <c r="H536" s="17">
        <f>24.9433 * CHOOSE(CONTROL!$C$15, $E$9, 100%, $G$9) + CHOOSE(CONTROL!$C$38, 0.0356, 0)</f>
        <v>24.978899999999999</v>
      </c>
      <c r="I536" s="17">
        <f>24.9448 * CHOOSE(CONTROL!$C$15, $E$9, 100%, $G$9) + CHOOSE(CONTROL!$C$38, 0.0356, 0)</f>
        <v>24.980399999999999</v>
      </c>
      <c r="J536" s="44">
        <f>216.2842</f>
        <v>216.2842</v>
      </c>
    </row>
    <row r="537" spans="1:10" ht="15.75" x14ac:dyDescent="0.25">
      <c r="A537" s="13">
        <v>56918</v>
      </c>
      <c r="B537" s="17">
        <f>27.6687 * CHOOSE(CONTROL!$C$15, $E$9, 100%, $G$9) + CHOOSE(CONTROL!$C$38, 0.0339, 0)</f>
        <v>27.7026</v>
      </c>
      <c r="C537" s="17">
        <f>25.3154 * CHOOSE(CONTROL!$C$15, $E$9, 100%, $G$9) + CHOOSE(CONTROL!$C$38, 0.034, 0)</f>
        <v>25.349399999999999</v>
      </c>
      <c r="D537" s="17">
        <f>25.3076 * CHOOSE(CONTROL!$C$15, $E$9, 100%, $G$9) + CHOOSE(CONTROL!$C$38, 0.034, 0)</f>
        <v>25.3416</v>
      </c>
      <c r="E537" s="17">
        <f>25.3076 * CHOOSE(CONTROL!$C$15, $E$9, 100%, $G$9) + CHOOSE(CONTROL!$C$38, 0.034, 0)</f>
        <v>25.3416</v>
      </c>
      <c r="F537" s="45">
        <f>27.6687 * CHOOSE(CONTROL!$C$15, $E$9, 100%, $G$9) + CHOOSE(CONTROL!$C$38, 0.0339, 0)</f>
        <v>27.7026</v>
      </c>
      <c r="G537" s="17">
        <f>25.3139 * CHOOSE(CONTROL!$C$15, $E$9, 100%, $G$9) + CHOOSE(CONTROL!$C$38, 0.034, 0)</f>
        <v>25.347899999999999</v>
      </c>
      <c r="H537" s="17">
        <f>25.3139 * CHOOSE(CONTROL!$C$15, $E$9, 100%, $G$9) + CHOOSE(CONTROL!$C$38, 0.034, 0)</f>
        <v>25.347899999999999</v>
      </c>
      <c r="I537" s="17">
        <f>25.3154 * CHOOSE(CONTROL!$C$15, $E$9, 100%, $G$9) + CHOOSE(CONTROL!$C$38, 0.034, 0)</f>
        <v>25.349399999999999</v>
      </c>
      <c r="J537" s="44">
        <f>208.8049</f>
        <v>208.8049</v>
      </c>
    </row>
    <row r="538" spans="1:10" ht="15.75" x14ac:dyDescent="0.25">
      <c r="A538" s="13">
        <v>56948</v>
      </c>
      <c r="B538" s="17">
        <f>27.978 * CHOOSE(CONTROL!$C$15, $E$9, 100%, $G$9) + CHOOSE(CONTROL!$C$38, 0.0339, 0)</f>
        <v>28.011900000000001</v>
      </c>
      <c r="C538" s="17">
        <f>25.6247 * CHOOSE(CONTROL!$C$15, $E$9, 100%, $G$9) + CHOOSE(CONTROL!$C$38, 0.034, 0)</f>
        <v>25.6587</v>
      </c>
      <c r="D538" s="17">
        <f>25.6169 * CHOOSE(CONTROL!$C$15, $E$9, 100%, $G$9) + CHOOSE(CONTROL!$C$38, 0.034, 0)</f>
        <v>25.6509</v>
      </c>
      <c r="E538" s="17">
        <f>25.6169 * CHOOSE(CONTROL!$C$15, $E$9, 100%, $G$9) + CHOOSE(CONTROL!$C$38, 0.034, 0)</f>
        <v>25.6509</v>
      </c>
      <c r="F538" s="45">
        <f>27.978 * CHOOSE(CONTROL!$C$15, $E$9, 100%, $G$9) + CHOOSE(CONTROL!$C$38, 0.0339, 0)</f>
        <v>28.011900000000001</v>
      </c>
      <c r="G538" s="17">
        <f>25.6231 * CHOOSE(CONTROL!$C$15, $E$9, 100%, $G$9) + CHOOSE(CONTROL!$C$38, 0.034, 0)</f>
        <v>25.6571</v>
      </c>
      <c r="H538" s="17">
        <f>25.6231 * CHOOSE(CONTROL!$C$15, $E$9, 100%, $G$9) + CHOOSE(CONTROL!$C$38, 0.034, 0)</f>
        <v>25.6571</v>
      </c>
      <c r="I538" s="17">
        <f>25.6247 * CHOOSE(CONTROL!$C$15, $E$9, 100%, $G$9) + CHOOSE(CONTROL!$C$38, 0.034, 0)</f>
        <v>25.6587</v>
      </c>
      <c r="J538" s="44">
        <f>207.3171</f>
        <v>207.31710000000001</v>
      </c>
    </row>
    <row r="539" spans="1:10" ht="15.75" x14ac:dyDescent="0.25">
      <c r="A539" s="13">
        <v>56979</v>
      </c>
      <c r="B539" s="17">
        <f>28.9309 * CHOOSE(CONTROL!$C$15, $E$9, 100%, $G$9) + CHOOSE(CONTROL!$C$38, 0.0339, 0)</f>
        <v>28.9648</v>
      </c>
      <c r="C539" s="17">
        <f>26.5776 * CHOOSE(CONTROL!$C$15, $E$9, 100%, $G$9) + CHOOSE(CONTROL!$C$38, 0.034, 0)</f>
        <v>26.611599999999999</v>
      </c>
      <c r="D539" s="17">
        <f>26.5698 * CHOOSE(CONTROL!$C$15, $E$9, 100%, $G$9) + CHOOSE(CONTROL!$C$38, 0.034, 0)</f>
        <v>26.6038</v>
      </c>
      <c r="E539" s="17">
        <f>26.5698 * CHOOSE(CONTROL!$C$15, $E$9, 100%, $G$9) + CHOOSE(CONTROL!$C$38, 0.034, 0)</f>
        <v>26.6038</v>
      </c>
      <c r="F539" s="45">
        <f>28.9309 * CHOOSE(CONTROL!$C$15, $E$9, 100%, $G$9) + CHOOSE(CONTROL!$C$38, 0.0339, 0)</f>
        <v>28.9648</v>
      </c>
      <c r="G539" s="17">
        <f>26.576 * CHOOSE(CONTROL!$C$15, $E$9, 100%, $G$9) + CHOOSE(CONTROL!$C$38, 0.034, 0)</f>
        <v>26.61</v>
      </c>
      <c r="H539" s="17">
        <f>26.576 * CHOOSE(CONTROL!$C$15, $E$9, 100%, $G$9) + CHOOSE(CONTROL!$C$38, 0.034, 0)</f>
        <v>26.61</v>
      </c>
      <c r="I539" s="17">
        <f>26.5776 * CHOOSE(CONTROL!$C$15, $E$9, 100%, $G$9) + CHOOSE(CONTROL!$C$38, 0.034, 0)</f>
        <v>26.611599999999999</v>
      </c>
      <c r="J539" s="44">
        <f>201.1649</f>
        <v>201.16489999999999</v>
      </c>
    </row>
    <row r="540" spans="1:10" ht="15.75" x14ac:dyDescent="0.25">
      <c r="A540" s="13">
        <v>57010</v>
      </c>
      <c r="B540" s="17">
        <f>29.7189 * CHOOSE(CONTROL!$C$15, $E$9, 100%, $G$9) + CHOOSE(CONTROL!$C$38, 0.0339, 0)</f>
        <v>29.752800000000001</v>
      </c>
      <c r="C540" s="17">
        <f>27.3627 * CHOOSE(CONTROL!$C$15, $E$9, 100%, $G$9) + CHOOSE(CONTROL!$C$38, 0.034, 0)</f>
        <v>27.396699999999999</v>
      </c>
      <c r="D540" s="17">
        <f>27.3549 * CHOOSE(CONTROL!$C$15, $E$9, 100%, $G$9) + CHOOSE(CONTROL!$C$38, 0.034, 0)</f>
        <v>27.3889</v>
      </c>
      <c r="E540" s="17">
        <f>27.3549 * CHOOSE(CONTROL!$C$15, $E$9, 100%, $G$9) + CHOOSE(CONTROL!$C$38, 0.034, 0)</f>
        <v>27.3889</v>
      </c>
      <c r="F540" s="45">
        <f>29.7189 * CHOOSE(CONTROL!$C$15, $E$9, 100%, $G$9) + CHOOSE(CONTROL!$C$38, 0.0339, 0)</f>
        <v>29.752800000000001</v>
      </c>
      <c r="G540" s="17">
        <f>27.3611 * CHOOSE(CONTROL!$C$15, $E$9, 100%, $G$9) + CHOOSE(CONTROL!$C$38, 0.034, 0)</f>
        <v>27.395099999999999</v>
      </c>
      <c r="H540" s="17">
        <f>27.3611 * CHOOSE(CONTROL!$C$15, $E$9, 100%, $G$9) + CHOOSE(CONTROL!$C$38, 0.034, 0)</f>
        <v>27.395099999999999</v>
      </c>
      <c r="I540" s="17">
        <f>27.3627 * CHOOSE(CONTROL!$C$15, $E$9, 100%, $G$9) + CHOOSE(CONTROL!$C$38, 0.034, 0)</f>
        <v>27.396699999999999</v>
      </c>
      <c r="J540" s="44">
        <f>198.1901</f>
        <v>198.1901</v>
      </c>
    </row>
    <row r="541" spans="1:10" ht="15.75" x14ac:dyDescent="0.25">
      <c r="A541" s="13">
        <v>57038</v>
      </c>
      <c r="B541" s="17">
        <f>30.0719 * CHOOSE(CONTROL!$C$15, $E$9, 100%, $G$9) + CHOOSE(CONTROL!$C$38, 0.0339, 0)</f>
        <v>30.105799999999999</v>
      </c>
      <c r="C541" s="17">
        <f>27.7156 * CHOOSE(CONTROL!$C$15, $E$9, 100%, $G$9) + CHOOSE(CONTROL!$C$38, 0.034, 0)</f>
        <v>27.749599999999997</v>
      </c>
      <c r="D541" s="17">
        <f>27.7078 * CHOOSE(CONTROL!$C$15, $E$9, 100%, $G$9) + CHOOSE(CONTROL!$C$38, 0.034, 0)</f>
        <v>27.741799999999998</v>
      </c>
      <c r="E541" s="17">
        <f>27.7078 * CHOOSE(CONTROL!$C$15, $E$9, 100%, $G$9) + CHOOSE(CONTROL!$C$38, 0.034, 0)</f>
        <v>27.741799999999998</v>
      </c>
      <c r="F541" s="45">
        <f>30.0719 * CHOOSE(CONTROL!$C$15, $E$9, 100%, $G$9) + CHOOSE(CONTROL!$C$38, 0.0339, 0)</f>
        <v>30.105799999999999</v>
      </c>
      <c r="G541" s="17">
        <f>27.714 * CHOOSE(CONTROL!$C$15, $E$9, 100%, $G$9) + CHOOSE(CONTROL!$C$38, 0.034, 0)</f>
        <v>27.747999999999998</v>
      </c>
      <c r="H541" s="17">
        <f>27.714 * CHOOSE(CONTROL!$C$15, $E$9, 100%, $G$9) + CHOOSE(CONTROL!$C$38, 0.034, 0)</f>
        <v>27.747999999999998</v>
      </c>
      <c r="I541" s="17">
        <f>27.7156 * CHOOSE(CONTROL!$C$15, $E$9, 100%, $G$9) + CHOOSE(CONTROL!$C$38, 0.034, 0)</f>
        <v>27.749599999999997</v>
      </c>
      <c r="J541" s="44">
        <f>197.6392</f>
        <v>197.63919999999999</v>
      </c>
    </row>
    <row r="542" spans="1:10" ht="15.75" x14ac:dyDescent="0.25">
      <c r="A542" s="13">
        <v>57070</v>
      </c>
      <c r="B542" s="17">
        <f>29.2549 * CHOOSE(CONTROL!$C$15, $E$9, 100%, $G$9) + CHOOSE(CONTROL!$C$38, 0.0339, 0)</f>
        <v>29.288799999999998</v>
      </c>
      <c r="C542" s="17">
        <f>26.8987 * CHOOSE(CONTROL!$C$15, $E$9, 100%, $G$9) + CHOOSE(CONTROL!$C$38, 0.034, 0)</f>
        <v>26.932700000000001</v>
      </c>
      <c r="D542" s="17">
        <f>26.8908 * CHOOSE(CONTROL!$C$15, $E$9, 100%, $G$9) + CHOOSE(CONTROL!$C$38, 0.034, 0)</f>
        <v>26.924799999999998</v>
      </c>
      <c r="E542" s="17">
        <f>26.8908 * CHOOSE(CONTROL!$C$15, $E$9, 100%, $G$9) + CHOOSE(CONTROL!$C$38, 0.034, 0)</f>
        <v>26.924799999999998</v>
      </c>
      <c r="F542" s="45">
        <f>29.2549 * CHOOSE(CONTROL!$C$15, $E$9, 100%, $G$9) + CHOOSE(CONTROL!$C$38, 0.0339, 0)</f>
        <v>29.288799999999998</v>
      </c>
      <c r="G542" s="17">
        <f>26.8971 * CHOOSE(CONTROL!$C$15, $E$9, 100%, $G$9) + CHOOSE(CONTROL!$C$38, 0.034, 0)</f>
        <v>26.931099999999997</v>
      </c>
      <c r="H542" s="17">
        <f>26.8971 * CHOOSE(CONTROL!$C$15, $E$9, 100%, $G$9) + CHOOSE(CONTROL!$C$38, 0.034, 0)</f>
        <v>26.931099999999997</v>
      </c>
      <c r="I542" s="17">
        <f>26.8987 * CHOOSE(CONTROL!$C$15, $E$9, 100%, $G$9) + CHOOSE(CONTROL!$C$38, 0.034, 0)</f>
        <v>26.932700000000001</v>
      </c>
      <c r="J542" s="44">
        <f>208.056</f>
        <v>208.05600000000001</v>
      </c>
    </row>
    <row r="543" spans="1:10" ht="15.75" x14ac:dyDescent="0.25">
      <c r="A543" s="13">
        <v>57100</v>
      </c>
      <c r="B543" s="17">
        <f>28.4633 * CHOOSE(CONTROL!$C$15, $E$9, 100%, $G$9) + CHOOSE(CONTROL!$C$38, 0.0339, 0)</f>
        <v>28.497199999999999</v>
      </c>
      <c r="C543" s="17">
        <f>26.107 * CHOOSE(CONTROL!$C$15, $E$9, 100%, $G$9) + CHOOSE(CONTROL!$C$38, 0.034, 0)</f>
        <v>26.140999999999998</v>
      </c>
      <c r="D543" s="17">
        <f>26.0992 * CHOOSE(CONTROL!$C$15, $E$9, 100%, $G$9) + CHOOSE(CONTROL!$C$38, 0.034, 0)</f>
        <v>26.133199999999999</v>
      </c>
      <c r="E543" s="17">
        <f>26.0992 * CHOOSE(CONTROL!$C$15, $E$9, 100%, $G$9) + CHOOSE(CONTROL!$C$38, 0.034, 0)</f>
        <v>26.133199999999999</v>
      </c>
      <c r="F543" s="45">
        <f>28.4633 * CHOOSE(CONTROL!$C$15, $E$9, 100%, $G$9) + CHOOSE(CONTROL!$C$38, 0.0339, 0)</f>
        <v>28.497199999999999</v>
      </c>
      <c r="G543" s="17">
        <f>26.1055 * CHOOSE(CONTROL!$C$15, $E$9, 100%, $G$9) + CHOOSE(CONTROL!$C$38, 0.034, 0)</f>
        <v>26.139499999999998</v>
      </c>
      <c r="H543" s="17">
        <f>26.1055 * CHOOSE(CONTROL!$C$15, $E$9, 100%, $G$9) + CHOOSE(CONTROL!$C$38, 0.034, 0)</f>
        <v>26.139499999999998</v>
      </c>
      <c r="I543" s="17">
        <f>26.107 * CHOOSE(CONTROL!$C$15, $E$9, 100%, $G$9) + CHOOSE(CONTROL!$C$38, 0.034, 0)</f>
        <v>26.140999999999998</v>
      </c>
      <c r="J543" s="44">
        <f>221.564</f>
        <v>221.56399999999999</v>
      </c>
    </row>
    <row r="544" spans="1:10" ht="15.75" x14ac:dyDescent="0.25">
      <c r="A544" s="13">
        <v>57131</v>
      </c>
      <c r="B544" s="17">
        <f>27.6382 * CHOOSE(CONTROL!$C$15, $E$9, 100%, $G$9) + CHOOSE(CONTROL!$C$38, 0.0355, 0)</f>
        <v>27.6737</v>
      </c>
      <c r="C544" s="17">
        <f>25.2819 * CHOOSE(CONTROL!$C$15, $E$9, 100%, $G$9) + CHOOSE(CONTROL!$C$38, 0.0356, 0)</f>
        <v>25.317499999999999</v>
      </c>
      <c r="D544" s="17">
        <f>25.2741 * CHOOSE(CONTROL!$C$15, $E$9, 100%, $G$9) + CHOOSE(CONTROL!$C$38, 0.0356, 0)</f>
        <v>25.309699999999999</v>
      </c>
      <c r="E544" s="17">
        <f>25.2741 * CHOOSE(CONTROL!$C$15, $E$9, 100%, $G$9) + CHOOSE(CONTROL!$C$38, 0.0356, 0)</f>
        <v>25.309699999999999</v>
      </c>
      <c r="F544" s="45">
        <f>27.6382 * CHOOSE(CONTROL!$C$15, $E$9, 100%, $G$9) + CHOOSE(CONTROL!$C$38, 0.0355, 0)</f>
        <v>27.6737</v>
      </c>
      <c r="G544" s="17">
        <f>25.2804 * CHOOSE(CONTROL!$C$15, $E$9, 100%, $G$9) + CHOOSE(CONTROL!$C$38, 0.0356, 0)</f>
        <v>25.315999999999999</v>
      </c>
      <c r="H544" s="17">
        <f>25.2804 * CHOOSE(CONTROL!$C$15, $E$9, 100%, $G$9) + CHOOSE(CONTROL!$C$38, 0.0356, 0)</f>
        <v>25.315999999999999</v>
      </c>
      <c r="I544" s="17">
        <f>25.2819 * CHOOSE(CONTROL!$C$15, $E$9, 100%, $G$9) + CHOOSE(CONTROL!$C$38, 0.0356, 0)</f>
        <v>25.317499999999999</v>
      </c>
      <c r="J544" s="44">
        <f>228.9992</f>
        <v>228.9992</v>
      </c>
    </row>
    <row r="545" spans="1:10" ht="15.75" x14ac:dyDescent="0.25">
      <c r="A545" s="13">
        <v>57161</v>
      </c>
      <c r="B545" s="17">
        <f>27.0598 * CHOOSE(CONTROL!$C$15, $E$9, 100%, $G$9) + CHOOSE(CONTROL!$C$38, 0.0355, 0)</f>
        <v>27.095299999999998</v>
      </c>
      <c r="C545" s="17">
        <f>24.7035 * CHOOSE(CONTROL!$C$15, $E$9, 100%, $G$9) + CHOOSE(CONTROL!$C$38, 0.0356, 0)</f>
        <v>24.739099999999997</v>
      </c>
      <c r="D545" s="17">
        <f>24.6957 * CHOOSE(CONTROL!$C$15, $E$9, 100%, $G$9) + CHOOSE(CONTROL!$C$38, 0.0356, 0)</f>
        <v>24.731299999999997</v>
      </c>
      <c r="E545" s="17">
        <f>24.6957 * CHOOSE(CONTROL!$C$15, $E$9, 100%, $G$9) + CHOOSE(CONTROL!$C$38, 0.0356, 0)</f>
        <v>24.731299999999997</v>
      </c>
      <c r="F545" s="45">
        <f>27.0598 * CHOOSE(CONTROL!$C$15, $E$9, 100%, $G$9) + CHOOSE(CONTROL!$C$38, 0.0355, 0)</f>
        <v>27.095299999999998</v>
      </c>
      <c r="G545" s="17">
        <f>24.7019 * CHOOSE(CONTROL!$C$15, $E$9, 100%, $G$9) + CHOOSE(CONTROL!$C$38, 0.0356, 0)</f>
        <v>24.737499999999997</v>
      </c>
      <c r="H545" s="17">
        <f>24.7019 * CHOOSE(CONTROL!$C$15, $E$9, 100%, $G$9) + CHOOSE(CONTROL!$C$38, 0.0356, 0)</f>
        <v>24.737499999999997</v>
      </c>
      <c r="I545" s="17">
        <f>24.7035 * CHOOSE(CONTROL!$C$15, $E$9, 100%, $G$9) + CHOOSE(CONTROL!$C$38, 0.0356, 0)</f>
        <v>24.739099999999997</v>
      </c>
      <c r="J545" s="44">
        <f>232.2989</f>
        <v>232.2989</v>
      </c>
    </row>
    <row r="546" spans="1:10" ht="15.75" x14ac:dyDescent="0.25">
      <c r="A546" s="13">
        <v>57192</v>
      </c>
      <c r="B546" s="17">
        <f>26.7296 * CHOOSE(CONTROL!$C$15, $E$9, 100%, $G$9) + CHOOSE(CONTROL!$C$38, 0.0355, 0)</f>
        <v>26.7651</v>
      </c>
      <c r="C546" s="17">
        <f>24.3734 * CHOOSE(CONTROL!$C$15, $E$9, 100%, $G$9) + CHOOSE(CONTROL!$C$38, 0.0356, 0)</f>
        <v>24.408999999999999</v>
      </c>
      <c r="D546" s="17">
        <f>24.3656 * CHOOSE(CONTROL!$C$15, $E$9, 100%, $G$9) + CHOOSE(CONTROL!$C$38, 0.0356, 0)</f>
        <v>24.401199999999999</v>
      </c>
      <c r="E546" s="17">
        <f>24.3656 * CHOOSE(CONTROL!$C$15, $E$9, 100%, $G$9) + CHOOSE(CONTROL!$C$38, 0.0356, 0)</f>
        <v>24.401199999999999</v>
      </c>
      <c r="F546" s="45">
        <f>26.7296 * CHOOSE(CONTROL!$C$15, $E$9, 100%, $G$9) + CHOOSE(CONTROL!$C$38, 0.0355, 0)</f>
        <v>26.7651</v>
      </c>
      <c r="G546" s="17">
        <f>24.3718 * CHOOSE(CONTROL!$C$15, $E$9, 100%, $G$9) + CHOOSE(CONTROL!$C$38, 0.0356, 0)</f>
        <v>24.407399999999999</v>
      </c>
      <c r="H546" s="17">
        <f>24.3718 * CHOOSE(CONTROL!$C$15, $E$9, 100%, $G$9) + CHOOSE(CONTROL!$C$38, 0.0356, 0)</f>
        <v>24.407399999999999</v>
      </c>
      <c r="I546" s="17">
        <f>24.3734 * CHOOSE(CONTROL!$C$15, $E$9, 100%, $G$9) + CHOOSE(CONTROL!$C$38, 0.0356, 0)</f>
        <v>24.408999999999999</v>
      </c>
      <c r="J546" s="44">
        <f>231.2125</f>
        <v>231.21250000000001</v>
      </c>
    </row>
    <row r="547" spans="1:10" ht="15.75" x14ac:dyDescent="0.25">
      <c r="A547" s="13">
        <v>57223</v>
      </c>
      <c r="B547" s="17">
        <f>26.8926 * CHOOSE(CONTROL!$C$15, $E$9, 100%, $G$9) + CHOOSE(CONTROL!$C$38, 0.0355, 0)</f>
        <v>26.928100000000001</v>
      </c>
      <c r="C547" s="17">
        <f>24.5363 * CHOOSE(CONTROL!$C$15, $E$9, 100%, $G$9) + CHOOSE(CONTROL!$C$38, 0.0356, 0)</f>
        <v>24.571899999999999</v>
      </c>
      <c r="D547" s="17">
        <f>24.5285 * CHOOSE(CONTROL!$C$15, $E$9, 100%, $G$9) + CHOOSE(CONTROL!$C$38, 0.0356, 0)</f>
        <v>24.5641</v>
      </c>
      <c r="E547" s="17">
        <f>24.5285 * CHOOSE(CONTROL!$C$15, $E$9, 100%, $G$9) + CHOOSE(CONTROL!$C$38, 0.0356, 0)</f>
        <v>24.5641</v>
      </c>
      <c r="F547" s="45">
        <f>26.8926 * CHOOSE(CONTROL!$C$15, $E$9, 100%, $G$9) + CHOOSE(CONTROL!$C$38, 0.0355, 0)</f>
        <v>26.928100000000001</v>
      </c>
      <c r="G547" s="17">
        <f>24.5348 * CHOOSE(CONTROL!$C$15, $E$9, 100%, $G$9) + CHOOSE(CONTROL!$C$38, 0.0356, 0)</f>
        <v>24.570399999999999</v>
      </c>
      <c r="H547" s="17">
        <f>24.5348 * CHOOSE(CONTROL!$C$15, $E$9, 100%, $G$9) + CHOOSE(CONTROL!$C$38, 0.0356, 0)</f>
        <v>24.570399999999999</v>
      </c>
      <c r="I547" s="17">
        <f>24.5363 * CHOOSE(CONTROL!$C$15, $E$9, 100%, $G$9) + CHOOSE(CONTROL!$C$38, 0.0356, 0)</f>
        <v>24.571899999999999</v>
      </c>
      <c r="J547" s="44">
        <f>225.8299</f>
        <v>225.82990000000001</v>
      </c>
    </row>
    <row r="548" spans="1:10" ht="15.75" x14ac:dyDescent="0.25">
      <c r="A548" s="13">
        <v>57253</v>
      </c>
      <c r="B548" s="17">
        <f>27.3351 * CHOOSE(CONTROL!$C$15, $E$9, 100%, $G$9) + CHOOSE(CONTROL!$C$38, 0.0355, 0)</f>
        <v>27.3706</v>
      </c>
      <c r="C548" s="17">
        <f>24.9788 * CHOOSE(CONTROL!$C$15, $E$9, 100%, $G$9) + CHOOSE(CONTROL!$C$38, 0.0356, 0)</f>
        <v>25.014399999999998</v>
      </c>
      <c r="D548" s="17">
        <f>24.971 * CHOOSE(CONTROL!$C$15, $E$9, 100%, $G$9) + CHOOSE(CONTROL!$C$38, 0.0356, 0)</f>
        <v>25.006599999999999</v>
      </c>
      <c r="E548" s="17">
        <f>24.971 * CHOOSE(CONTROL!$C$15, $E$9, 100%, $G$9) + CHOOSE(CONTROL!$C$38, 0.0356, 0)</f>
        <v>25.006599999999999</v>
      </c>
      <c r="F548" s="45">
        <f>27.3351 * CHOOSE(CONTROL!$C$15, $E$9, 100%, $G$9) + CHOOSE(CONTROL!$C$38, 0.0355, 0)</f>
        <v>27.3706</v>
      </c>
      <c r="G548" s="17">
        <f>24.9773 * CHOOSE(CONTROL!$C$15, $E$9, 100%, $G$9) + CHOOSE(CONTROL!$C$38, 0.0356, 0)</f>
        <v>25.012899999999998</v>
      </c>
      <c r="H548" s="17">
        <f>24.9773 * CHOOSE(CONTROL!$C$15, $E$9, 100%, $G$9) + CHOOSE(CONTROL!$C$38, 0.0356, 0)</f>
        <v>25.012899999999998</v>
      </c>
      <c r="I548" s="17">
        <f>24.9788 * CHOOSE(CONTROL!$C$15, $E$9, 100%, $G$9) + CHOOSE(CONTROL!$C$38, 0.0356, 0)</f>
        <v>25.014399999999998</v>
      </c>
      <c r="J548" s="44">
        <f>218.3237</f>
        <v>218.3237</v>
      </c>
    </row>
    <row r="549" spans="1:10" ht="15.75" x14ac:dyDescent="0.25">
      <c r="A549" s="13">
        <v>57284</v>
      </c>
      <c r="B549" s="17">
        <f>27.7057 * CHOOSE(CONTROL!$C$15, $E$9, 100%, $G$9) + CHOOSE(CONTROL!$C$38, 0.0339, 0)</f>
        <v>27.739599999999999</v>
      </c>
      <c r="C549" s="17">
        <f>25.3494 * CHOOSE(CONTROL!$C$15, $E$9, 100%, $G$9) + CHOOSE(CONTROL!$C$38, 0.034, 0)</f>
        <v>25.383399999999998</v>
      </c>
      <c r="D549" s="17">
        <f>25.3416 * CHOOSE(CONTROL!$C$15, $E$9, 100%, $G$9) + CHOOSE(CONTROL!$C$38, 0.034, 0)</f>
        <v>25.375599999999999</v>
      </c>
      <c r="E549" s="17">
        <f>25.3416 * CHOOSE(CONTROL!$C$15, $E$9, 100%, $G$9) + CHOOSE(CONTROL!$C$38, 0.034, 0)</f>
        <v>25.375599999999999</v>
      </c>
      <c r="F549" s="45">
        <f>27.7057 * CHOOSE(CONTROL!$C$15, $E$9, 100%, $G$9) + CHOOSE(CONTROL!$C$38, 0.0339, 0)</f>
        <v>27.739599999999999</v>
      </c>
      <c r="G549" s="17">
        <f>25.3479 * CHOOSE(CONTROL!$C$15, $E$9, 100%, $G$9) + CHOOSE(CONTROL!$C$38, 0.034, 0)</f>
        <v>25.381899999999998</v>
      </c>
      <c r="H549" s="17">
        <f>25.3479 * CHOOSE(CONTROL!$C$15, $E$9, 100%, $G$9) + CHOOSE(CONTROL!$C$38, 0.034, 0)</f>
        <v>25.381899999999998</v>
      </c>
      <c r="I549" s="17">
        <f>25.3494 * CHOOSE(CONTROL!$C$15, $E$9, 100%, $G$9) + CHOOSE(CONTROL!$C$38, 0.034, 0)</f>
        <v>25.383399999999998</v>
      </c>
      <c r="J549" s="44">
        <f>210.7739</f>
        <v>210.7739</v>
      </c>
    </row>
    <row r="550" spans="1:10" ht="15.75" x14ac:dyDescent="0.25">
      <c r="A550" s="13">
        <v>57314</v>
      </c>
      <c r="B550" s="17">
        <f>28.0149 * CHOOSE(CONTROL!$C$15, $E$9, 100%, $G$9) + CHOOSE(CONTROL!$C$38, 0.0339, 0)</f>
        <v>28.0488</v>
      </c>
      <c r="C550" s="17">
        <f>25.6587 * CHOOSE(CONTROL!$C$15, $E$9, 100%, $G$9) + CHOOSE(CONTROL!$C$38, 0.034, 0)</f>
        <v>25.692699999999999</v>
      </c>
      <c r="D550" s="17">
        <f>25.6509 * CHOOSE(CONTROL!$C$15, $E$9, 100%, $G$9) + CHOOSE(CONTROL!$C$38, 0.034, 0)</f>
        <v>25.684899999999999</v>
      </c>
      <c r="E550" s="17">
        <f>25.6509 * CHOOSE(CONTROL!$C$15, $E$9, 100%, $G$9) + CHOOSE(CONTROL!$C$38, 0.034, 0)</f>
        <v>25.684899999999999</v>
      </c>
      <c r="F550" s="45">
        <f>28.0149 * CHOOSE(CONTROL!$C$15, $E$9, 100%, $G$9) + CHOOSE(CONTROL!$C$38, 0.0339, 0)</f>
        <v>28.0488</v>
      </c>
      <c r="G550" s="17">
        <f>25.6571 * CHOOSE(CONTROL!$C$15, $E$9, 100%, $G$9) + CHOOSE(CONTROL!$C$38, 0.034, 0)</f>
        <v>25.691099999999999</v>
      </c>
      <c r="H550" s="17">
        <f>25.6571 * CHOOSE(CONTROL!$C$15, $E$9, 100%, $G$9) + CHOOSE(CONTROL!$C$38, 0.034, 0)</f>
        <v>25.691099999999999</v>
      </c>
      <c r="I550" s="17">
        <f>25.6587 * CHOOSE(CONTROL!$C$15, $E$9, 100%, $G$9) + CHOOSE(CONTROL!$C$38, 0.034, 0)</f>
        <v>25.692699999999999</v>
      </c>
      <c r="J550" s="44">
        <f>209.2721</f>
        <v>209.27209999999999</v>
      </c>
    </row>
    <row r="551" spans="1:10" ht="15.75" x14ac:dyDescent="0.25">
      <c r="A551" s="13">
        <v>57345</v>
      </c>
      <c r="B551" s="17">
        <f>28.9678 * CHOOSE(CONTROL!$C$15, $E$9, 100%, $G$9) + CHOOSE(CONTROL!$C$38, 0.0339, 0)</f>
        <v>29.0017</v>
      </c>
      <c r="C551" s="17">
        <f>26.6116 * CHOOSE(CONTROL!$C$15, $E$9, 100%, $G$9) + CHOOSE(CONTROL!$C$38, 0.034, 0)</f>
        <v>26.645599999999998</v>
      </c>
      <c r="D551" s="17">
        <f>26.6038 * CHOOSE(CONTROL!$C$15, $E$9, 100%, $G$9) + CHOOSE(CONTROL!$C$38, 0.034, 0)</f>
        <v>26.637799999999999</v>
      </c>
      <c r="E551" s="17">
        <f>26.6038 * CHOOSE(CONTROL!$C$15, $E$9, 100%, $G$9) + CHOOSE(CONTROL!$C$38, 0.034, 0)</f>
        <v>26.637799999999999</v>
      </c>
      <c r="F551" s="45">
        <f>28.9678 * CHOOSE(CONTROL!$C$15, $E$9, 100%, $G$9) + CHOOSE(CONTROL!$C$38, 0.0339, 0)</f>
        <v>29.0017</v>
      </c>
      <c r="G551" s="17">
        <f>26.61 * CHOOSE(CONTROL!$C$15, $E$9, 100%, $G$9) + CHOOSE(CONTROL!$C$38, 0.034, 0)</f>
        <v>26.643999999999998</v>
      </c>
      <c r="H551" s="17">
        <f>26.61 * CHOOSE(CONTROL!$C$15, $E$9, 100%, $G$9) + CHOOSE(CONTROL!$C$38, 0.034, 0)</f>
        <v>26.643999999999998</v>
      </c>
      <c r="I551" s="17">
        <f>26.6116 * CHOOSE(CONTROL!$C$15, $E$9, 100%, $G$9) + CHOOSE(CONTROL!$C$38, 0.034, 0)</f>
        <v>26.645599999999998</v>
      </c>
      <c r="J551" s="44">
        <f>203.0619</f>
        <v>203.06190000000001</v>
      </c>
    </row>
    <row r="552" spans="1:10" ht="15.75" x14ac:dyDescent="0.25">
      <c r="A552" s="13">
        <v>57376</v>
      </c>
      <c r="B552" s="17">
        <f>29.7559 * CHOOSE(CONTROL!$C$15, $E$9, 100%, $G$9) + CHOOSE(CONTROL!$C$38, 0.0339, 0)</f>
        <v>29.7898</v>
      </c>
      <c r="C552" s="17">
        <f>27.3967 * CHOOSE(CONTROL!$C$15, $E$9, 100%, $G$9) + CHOOSE(CONTROL!$C$38, 0.034, 0)</f>
        <v>27.430699999999998</v>
      </c>
      <c r="D552" s="17">
        <f>27.3889 * CHOOSE(CONTROL!$C$15, $E$9, 100%, $G$9) + CHOOSE(CONTROL!$C$38, 0.034, 0)</f>
        <v>27.422899999999998</v>
      </c>
      <c r="E552" s="17">
        <f>27.3889 * CHOOSE(CONTROL!$C$15, $E$9, 100%, $G$9) + CHOOSE(CONTROL!$C$38, 0.034, 0)</f>
        <v>27.422899999999998</v>
      </c>
      <c r="F552" s="45">
        <f>29.7559 * CHOOSE(CONTROL!$C$15, $E$9, 100%, $G$9) + CHOOSE(CONTROL!$C$38, 0.0339, 0)</f>
        <v>29.7898</v>
      </c>
      <c r="G552" s="17">
        <f>27.3951 * CHOOSE(CONTROL!$C$15, $E$9, 100%, $G$9) + CHOOSE(CONTROL!$C$38, 0.034, 0)</f>
        <v>27.429099999999998</v>
      </c>
      <c r="H552" s="17">
        <f>27.3951 * CHOOSE(CONTROL!$C$15, $E$9, 100%, $G$9) + CHOOSE(CONTROL!$C$38, 0.034, 0)</f>
        <v>27.429099999999998</v>
      </c>
      <c r="I552" s="17">
        <f>27.3967 * CHOOSE(CONTROL!$C$15, $E$9, 100%, $G$9) + CHOOSE(CONTROL!$C$38, 0.034, 0)</f>
        <v>27.430699999999998</v>
      </c>
      <c r="J552" s="44">
        <f>200.0591</f>
        <v>200.0591</v>
      </c>
    </row>
    <row r="553" spans="1:10" ht="15.75" x14ac:dyDescent="0.25">
      <c r="A553" s="13">
        <v>57404</v>
      </c>
      <c r="B553" s="17">
        <f>30.1088 * CHOOSE(CONTROL!$C$15, $E$9, 100%, $G$9) + CHOOSE(CONTROL!$C$38, 0.0339, 0)</f>
        <v>30.142699999999998</v>
      </c>
      <c r="C553" s="17">
        <f>27.7496 * CHOOSE(CONTROL!$C$15, $E$9, 100%, $G$9) + CHOOSE(CONTROL!$C$38, 0.034, 0)</f>
        <v>27.7836</v>
      </c>
      <c r="D553" s="17">
        <f>27.7418 * CHOOSE(CONTROL!$C$15, $E$9, 100%, $G$9) + CHOOSE(CONTROL!$C$38, 0.034, 0)</f>
        <v>27.7758</v>
      </c>
      <c r="E553" s="17">
        <f>27.7418 * CHOOSE(CONTROL!$C$15, $E$9, 100%, $G$9) + CHOOSE(CONTROL!$C$38, 0.034, 0)</f>
        <v>27.7758</v>
      </c>
      <c r="F553" s="45">
        <f>30.1088 * CHOOSE(CONTROL!$C$15, $E$9, 100%, $G$9) + CHOOSE(CONTROL!$C$38, 0.0339, 0)</f>
        <v>30.142699999999998</v>
      </c>
      <c r="G553" s="17">
        <f>27.7481 * CHOOSE(CONTROL!$C$15, $E$9, 100%, $G$9) + CHOOSE(CONTROL!$C$38, 0.034, 0)</f>
        <v>27.7821</v>
      </c>
      <c r="H553" s="17">
        <f>27.7481 * CHOOSE(CONTROL!$C$15, $E$9, 100%, $G$9) + CHOOSE(CONTROL!$C$38, 0.034, 0)</f>
        <v>27.7821</v>
      </c>
      <c r="I553" s="17">
        <f>27.7496 * CHOOSE(CONTROL!$C$15, $E$9, 100%, $G$9) + CHOOSE(CONTROL!$C$38, 0.034, 0)</f>
        <v>27.7836</v>
      </c>
      <c r="J553" s="44">
        <f>199.503</f>
        <v>199.50299999999999</v>
      </c>
    </row>
    <row r="554" spans="1:10" ht="15.75" x14ac:dyDescent="0.25">
      <c r="A554" s="13">
        <v>57435</v>
      </c>
      <c r="B554" s="17">
        <f>29.2919 * CHOOSE(CONTROL!$C$15, $E$9, 100%, $G$9) + CHOOSE(CONTROL!$C$38, 0.0339, 0)</f>
        <v>29.325799999999997</v>
      </c>
      <c r="C554" s="17">
        <f>26.9327 * CHOOSE(CONTROL!$C$15, $E$9, 100%, $G$9) + CHOOSE(CONTROL!$C$38, 0.034, 0)</f>
        <v>26.966699999999999</v>
      </c>
      <c r="D554" s="17">
        <f>26.9249 * CHOOSE(CONTROL!$C$15, $E$9, 100%, $G$9) + CHOOSE(CONTROL!$C$38, 0.034, 0)</f>
        <v>26.9589</v>
      </c>
      <c r="E554" s="17">
        <f>26.9249 * CHOOSE(CONTROL!$C$15, $E$9, 100%, $G$9) + CHOOSE(CONTROL!$C$38, 0.034, 0)</f>
        <v>26.9589</v>
      </c>
      <c r="F554" s="45">
        <f>29.2919 * CHOOSE(CONTROL!$C$15, $E$9, 100%, $G$9) + CHOOSE(CONTROL!$C$38, 0.0339, 0)</f>
        <v>29.325799999999997</v>
      </c>
      <c r="G554" s="17">
        <f>26.9311 * CHOOSE(CONTROL!$C$15, $E$9, 100%, $G$9) + CHOOSE(CONTROL!$C$38, 0.034, 0)</f>
        <v>26.9651</v>
      </c>
      <c r="H554" s="17">
        <f>26.9311 * CHOOSE(CONTROL!$C$15, $E$9, 100%, $G$9) + CHOOSE(CONTROL!$C$38, 0.034, 0)</f>
        <v>26.9651</v>
      </c>
      <c r="I554" s="17">
        <f>26.9327 * CHOOSE(CONTROL!$C$15, $E$9, 100%, $G$9) + CHOOSE(CONTROL!$C$38, 0.034, 0)</f>
        <v>26.966699999999999</v>
      </c>
      <c r="J554" s="44">
        <f>210.0179</f>
        <v>210.0179</v>
      </c>
    </row>
    <row r="555" spans="1:10" ht="15.75" x14ac:dyDescent="0.25">
      <c r="A555" s="13">
        <v>57465</v>
      </c>
      <c r="B555" s="17">
        <f>28.5003 * CHOOSE(CONTROL!$C$15, $E$9, 100%, $G$9) + CHOOSE(CONTROL!$C$38, 0.0339, 0)</f>
        <v>28.534199999999998</v>
      </c>
      <c r="C555" s="17">
        <f>26.1411 * CHOOSE(CONTROL!$C$15, $E$9, 100%, $G$9) + CHOOSE(CONTROL!$C$38, 0.034, 0)</f>
        <v>26.1751</v>
      </c>
      <c r="D555" s="17">
        <f>26.1332 * CHOOSE(CONTROL!$C$15, $E$9, 100%, $G$9) + CHOOSE(CONTROL!$C$38, 0.034, 0)</f>
        <v>26.167199999999998</v>
      </c>
      <c r="E555" s="17">
        <f>26.1332 * CHOOSE(CONTROL!$C$15, $E$9, 100%, $G$9) + CHOOSE(CONTROL!$C$38, 0.034, 0)</f>
        <v>26.167199999999998</v>
      </c>
      <c r="F555" s="45">
        <f>28.5003 * CHOOSE(CONTROL!$C$15, $E$9, 100%, $G$9) + CHOOSE(CONTROL!$C$38, 0.0339, 0)</f>
        <v>28.534199999999998</v>
      </c>
      <c r="G555" s="17">
        <f>26.1395 * CHOOSE(CONTROL!$C$15, $E$9, 100%, $G$9) + CHOOSE(CONTROL!$C$38, 0.034, 0)</f>
        <v>26.173500000000001</v>
      </c>
      <c r="H555" s="17">
        <f>26.1395 * CHOOSE(CONTROL!$C$15, $E$9, 100%, $G$9) + CHOOSE(CONTROL!$C$38, 0.034, 0)</f>
        <v>26.173500000000001</v>
      </c>
      <c r="I555" s="17">
        <f>26.1411 * CHOOSE(CONTROL!$C$15, $E$9, 100%, $G$9) + CHOOSE(CONTROL!$C$38, 0.034, 0)</f>
        <v>26.1751</v>
      </c>
      <c r="J555" s="44">
        <f>223.6533</f>
        <v>223.6533</v>
      </c>
    </row>
    <row r="556" spans="1:10" ht="15.75" x14ac:dyDescent="0.25">
      <c r="A556" s="13">
        <v>57496</v>
      </c>
      <c r="B556" s="17">
        <f>27.6752 * CHOOSE(CONTROL!$C$15, $E$9, 100%, $G$9) + CHOOSE(CONTROL!$C$38, 0.0355, 0)</f>
        <v>27.710699999999999</v>
      </c>
      <c r="C556" s="17">
        <f>25.316 * CHOOSE(CONTROL!$C$15, $E$9, 100%, $G$9) + CHOOSE(CONTROL!$C$38, 0.0356, 0)</f>
        <v>25.351599999999998</v>
      </c>
      <c r="D556" s="17">
        <f>25.3082 * CHOOSE(CONTROL!$C$15, $E$9, 100%, $G$9) + CHOOSE(CONTROL!$C$38, 0.0356, 0)</f>
        <v>25.343799999999998</v>
      </c>
      <c r="E556" s="17">
        <f>25.3082 * CHOOSE(CONTROL!$C$15, $E$9, 100%, $G$9) + CHOOSE(CONTROL!$C$38, 0.0356, 0)</f>
        <v>25.343799999999998</v>
      </c>
      <c r="F556" s="45">
        <f>27.6752 * CHOOSE(CONTROL!$C$15, $E$9, 100%, $G$9) + CHOOSE(CONTROL!$C$38, 0.0355, 0)</f>
        <v>27.710699999999999</v>
      </c>
      <c r="G556" s="17">
        <f>25.3144 * CHOOSE(CONTROL!$C$15, $E$9, 100%, $G$9) + CHOOSE(CONTROL!$C$38, 0.0356, 0)</f>
        <v>25.349999999999998</v>
      </c>
      <c r="H556" s="17">
        <f>25.3144 * CHOOSE(CONTROL!$C$15, $E$9, 100%, $G$9) + CHOOSE(CONTROL!$C$38, 0.0356, 0)</f>
        <v>25.349999999999998</v>
      </c>
      <c r="I556" s="17">
        <f>25.316 * CHOOSE(CONTROL!$C$15, $E$9, 100%, $G$9) + CHOOSE(CONTROL!$C$38, 0.0356, 0)</f>
        <v>25.351599999999998</v>
      </c>
      <c r="J556" s="44">
        <f>231.1587</f>
        <v>231.15870000000001</v>
      </c>
    </row>
    <row r="557" spans="1:10" ht="15.75" x14ac:dyDescent="0.25">
      <c r="A557" s="13">
        <v>57526</v>
      </c>
      <c r="B557" s="17">
        <f>27.0967 * CHOOSE(CONTROL!$C$15, $E$9, 100%, $G$9) + CHOOSE(CONTROL!$C$38, 0.0355, 0)</f>
        <v>27.132199999999997</v>
      </c>
      <c r="C557" s="17">
        <f>24.7375 * CHOOSE(CONTROL!$C$15, $E$9, 100%, $G$9) + CHOOSE(CONTROL!$C$38, 0.0356, 0)</f>
        <v>24.773099999999999</v>
      </c>
      <c r="D557" s="17">
        <f>24.7297 * CHOOSE(CONTROL!$C$15, $E$9, 100%, $G$9) + CHOOSE(CONTROL!$C$38, 0.0356, 0)</f>
        <v>24.7653</v>
      </c>
      <c r="E557" s="17">
        <f>24.7297 * CHOOSE(CONTROL!$C$15, $E$9, 100%, $G$9) + CHOOSE(CONTROL!$C$38, 0.0356, 0)</f>
        <v>24.7653</v>
      </c>
      <c r="F557" s="45">
        <f>27.0967 * CHOOSE(CONTROL!$C$15, $E$9, 100%, $G$9) + CHOOSE(CONTROL!$C$38, 0.0355, 0)</f>
        <v>27.132199999999997</v>
      </c>
      <c r="G557" s="17">
        <f>24.736 * CHOOSE(CONTROL!$C$15, $E$9, 100%, $G$9) + CHOOSE(CONTROL!$C$38, 0.0356, 0)</f>
        <v>24.771599999999999</v>
      </c>
      <c r="H557" s="17">
        <f>24.736 * CHOOSE(CONTROL!$C$15, $E$9, 100%, $G$9) + CHOOSE(CONTROL!$C$38, 0.0356, 0)</f>
        <v>24.771599999999999</v>
      </c>
      <c r="I557" s="17">
        <f>24.7375 * CHOOSE(CONTROL!$C$15, $E$9, 100%, $G$9) + CHOOSE(CONTROL!$C$38, 0.0356, 0)</f>
        <v>24.773099999999999</v>
      </c>
      <c r="J557" s="44">
        <f>234.4894</f>
        <v>234.48939999999999</v>
      </c>
    </row>
    <row r="558" spans="1:10" ht="15.75" x14ac:dyDescent="0.25">
      <c r="A558" s="13">
        <v>57557</v>
      </c>
      <c r="B558" s="17">
        <f>26.7666 * CHOOSE(CONTROL!$C$15, $E$9, 100%, $G$9) + CHOOSE(CONTROL!$C$38, 0.0355, 0)</f>
        <v>26.802099999999999</v>
      </c>
      <c r="C558" s="17">
        <f>24.4074 * CHOOSE(CONTROL!$C$15, $E$9, 100%, $G$9) + CHOOSE(CONTROL!$C$38, 0.0356, 0)</f>
        <v>24.442999999999998</v>
      </c>
      <c r="D558" s="17">
        <f>24.3996 * CHOOSE(CONTROL!$C$15, $E$9, 100%, $G$9) + CHOOSE(CONTROL!$C$38, 0.0356, 0)</f>
        <v>24.435199999999998</v>
      </c>
      <c r="E558" s="17">
        <f>24.3996 * CHOOSE(CONTROL!$C$15, $E$9, 100%, $G$9) + CHOOSE(CONTROL!$C$38, 0.0356, 0)</f>
        <v>24.435199999999998</v>
      </c>
      <c r="F558" s="45">
        <f>26.7666 * CHOOSE(CONTROL!$C$15, $E$9, 100%, $G$9) + CHOOSE(CONTROL!$C$38, 0.0355, 0)</f>
        <v>26.802099999999999</v>
      </c>
      <c r="G558" s="17">
        <f>24.4059 * CHOOSE(CONTROL!$C$15, $E$9, 100%, $G$9) + CHOOSE(CONTROL!$C$38, 0.0356, 0)</f>
        <v>24.441499999999998</v>
      </c>
      <c r="H558" s="17">
        <f>24.4059 * CHOOSE(CONTROL!$C$15, $E$9, 100%, $G$9) + CHOOSE(CONTROL!$C$38, 0.0356, 0)</f>
        <v>24.441499999999998</v>
      </c>
      <c r="I558" s="17">
        <f>24.4074 * CHOOSE(CONTROL!$C$15, $E$9, 100%, $G$9) + CHOOSE(CONTROL!$C$38, 0.0356, 0)</f>
        <v>24.442999999999998</v>
      </c>
      <c r="J558" s="44">
        <f>233.3928</f>
        <v>233.39279999999999</v>
      </c>
    </row>
    <row r="559" spans="1:10" ht="15.75" x14ac:dyDescent="0.25">
      <c r="A559" s="13">
        <v>57588</v>
      </c>
      <c r="B559" s="17">
        <f>26.9295 * CHOOSE(CONTROL!$C$15, $E$9, 100%, $G$9) + CHOOSE(CONTROL!$C$38, 0.0355, 0)</f>
        <v>26.965</v>
      </c>
      <c r="C559" s="17">
        <f>24.5703 * CHOOSE(CONTROL!$C$15, $E$9, 100%, $G$9) + CHOOSE(CONTROL!$C$38, 0.0356, 0)</f>
        <v>24.605899999999998</v>
      </c>
      <c r="D559" s="17">
        <f>24.5625 * CHOOSE(CONTROL!$C$15, $E$9, 100%, $G$9) + CHOOSE(CONTROL!$C$38, 0.0356, 0)</f>
        <v>24.598099999999999</v>
      </c>
      <c r="E559" s="17">
        <f>24.5625 * CHOOSE(CONTROL!$C$15, $E$9, 100%, $G$9) + CHOOSE(CONTROL!$C$38, 0.0356, 0)</f>
        <v>24.598099999999999</v>
      </c>
      <c r="F559" s="45">
        <f>26.9295 * CHOOSE(CONTROL!$C$15, $E$9, 100%, $G$9) + CHOOSE(CONTROL!$C$38, 0.0355, 0)</f>
        <v>26.965</v>
      </c>
      <c r="G559" s="17">
        <f>24.5688 * CHOOSE(CONTROL!$C$15, $E$9, 100%, $G$9) + CHOOSE(CONTROL!$C$38, 0.0356, 0)</f>
        <v>24.604399999999998</v>
      </c>
      <c r="H559" s="17">
        <f>24.5688 * CHOOSE(CONTROL!$C$15, $E$9, 100%, $G$9) + CHOOSE(CONTROL!$C$38, 0.0356, 0)</f>
        <v>24.604399999999998</v>
      </c>
      <c r="I559" s="17">
        <f>24.5703 * CHOOSE(CONTROL!$C$15, $E$9, 100%, $G$9) + CHOOSE(CONTROL!$C$38, 0.0356, 0)</f>
        <v>24.605899999999998</v>
      </c>
      <c r="J559" s="44">
        <f>227.9595</f>
        <v>227.95949999999999</v>
      </c>
    </row>
    <row r="560" spans="1:10" ht="15.75" x14ac:dyDescent="0.25">
      <c r="A560" s="13">
        <v>57618</v>
      </c>
      <c r="B560" s="17">
        <f>27.372 * CHOOSE(CONTROL!$C$15, $E$9, 100%, $G$9) + CHOOSE(CONTROL!$C$38, 0.0355, 0)</f>
        <v>27.407499999999999</v>
      </c>
      <c r="C560" s="17">
        <f>25.0128 * CHOOSE(CONTROL!$C$15, $E$9, 100%, $G$9) + CHOOSE(CONTROL!$C$38, 0.0356, 0)</f>
        <v>25.048399999999997</v>
      </c>
      <c r="D560" s="17">
        <f>25.005 * CHOOSE(CONTROL!$C$15, $E$9, 100%, $G$9) + CHOOSE(CONTROL!$C$38, 0.0356, 0)</f>
        <v>25.040599999999998</v>
      </c>
      <c r="E560" s="17">
        <f>25.005 * CHOOSE(CONTROL!$C$15, $E$9, 100%, $G$9) + CHOOSE(CONTROL!$C$38, 0.0356, 0)</f>
        <v>25.040599999999998</v>
      </c>
      <c r="F560" s="45">
        <f>27.372 * CHOOSE(CONTROL!$C$15, $E$9, 100%, $G$9) + CHOOSE(CONTROL!$C$38, 0.0355, 0)</f>
        <v>27.407499999999999</v>
      </c>
      <c r="G560" s="17">
        <f>25.0113 * CHOOSE(CONTROL!$C$15, $E$9, 100%, $G$9) + CHOOSE(CONTROL!$C$38, 0.0356, 0)</f>
        <v>25.046899999999997</v>
      </c>
      <c r="H560" s="17">
        <f>25.0113 * CHOOSE(CONTROL!$C$15, $E$9, 100%, $G$9) + CHOOSE(CONTROL!$C$38, 0.0356, 0)</f>
        <v>25.046899999999997</v>
      </c>
      <c r="I560" s="17">
        <f>25.0128 * CHOOSE(CONTROL!$C$15, $E$9, 100%, $G$9) + CHOOSE(CONTROL!$C$38, 0.0356, 0)</f>
        <v>25.048399999999997</v>
      </c>
      <c r="J560" s="44">
        <f>220.3825</f>
        <v>220.38249999999999</v>
      </c>
    </row>
    <row r="561" spans="1:10" ht="15.75" x14ac:dyDescent="0.25">
      <c r="A561" s="13">
        <v>57649</v>
      </c>
      <c r="B561" s="17">
        <f>27.7426 * CHOOSE(CONTROL!$C$15, $E$9, 100%, $G$9) + CHOOSE(CONTROL!$C$38, 0.0339, 0)</f>
        <v>27.776499999999999</v>
      </c>
      <c r="C561" s="17">
        <f>25.3834 * CHOOSE(CONTROL!$C$15, $E$9, 100%, $G$9) + CHOOSE(CONTROL!$C$38, 0.034, 0)</f>
        <v>25.417400000000001</v>
      </c>
      <c r="D561" s="17">
        <f>25.3756 * CHOOSE(CONTROL!$C$15, $E$9, 100%, $G$9) + CHOOSE(CONTROL!$C$38, 0.034, 0)</f>
        <v>25.409599999999998</v>
      </c>
      <c r="E561" s="17">
        <f>25.3756 * CHOOSE(CONTROL!$C$15, $E$9, 100%, $G$9) + CHOOSE(CONTROL!$C$38, 0.034, 0)</f>
        <v>25.409599999999998</v>
      </c>
      <c r="F561" s="45">
        <f>27.7426 * CHOOSE(CONTROL!$C$15, $E$9, 100%, $G$9) + CHOOSE(CONTROL!$C$38, 0.0339, 0)</f>
        <v>27.776499999999999</v>
      </c>
      <c r="G561" s="17">
        <f>25.3819 * CHOOSE(CONTROL!$C$15, $E$9, 100%, $G$9) + CHOOSE(CONTROL!$C$38, 0.034, 0)</f>
        <v>25.415900000000001</v>
      </c>
      <c r="H561" s="17">
        <f>25.3819 * CHOOSE(CONTROL!$C$15, $E$9, 100%, $G$9) + CHOOSE(CONTROL!$C$38, 0.034, 0)</f>
        <v>25.415900000000001</v>
      </c>
      <c r="I561" s="17">
        <f>25.3834 * CHOOSE(CONTROL!$C$15, $E$9, 100%, $G$9) + CHOOSE(CONTROL!$C$38, 0.034, 0)</f>
        <v>25.417400000000001</v>
      </c>
      <c r="J561" s="44">
        <f>212.7615</f>
        <v>212.76150000000001</v>
      </c>
    </row>
    <row r="562" spans="1:10" ht="15.75" x14ac:dyDescent="0.25">
      <c r="A562" s="13">
        <v>57679</v>
      </c>
      <c r="B562" s="17">
        <f>28.0519 * CHOOSE(CONTROL!$C$15, $E$9, 100%, $G$9) + CHOOSE(CONTROL!$C$38, 0.0339, 0)</f>
        <v>28.085799999999999</v>
      </c>
      <c r="C562" s="17">
        <f>25.6927 * CHOOSE(CONTROL!$C$15, $E$9, 100%, $G$9) + CHOOSE(CONTROL!$C$38, 0.034, 0)</f>
        <v>25.726699999999997</v>
      </c>
      <c r="D562" s="17">
        <f>25.6849 * CHOOSE(CONTROL!$C$15, $E$9, 100%, $G$9) + CHOOSE(CONTROL!$C$38, 0.034, 0)</f>
        <v>25.718899999999998</v>
      </c>
      <c r="E562" s="17">
        <f>25.6849 * CHOOSE(CONTROL!$C$15, $E$9, 100%, $G$9) + CHOOSE(CONTROL!$C$38, 0.034, 0)</f>
        <v>25.718899999999998</v>
      </c>
      <c r="F562" s="45">
        <f>28.0519 * CHOOSE(CONTROL!$C$15, $E$9, 100%, $G$9) + CHOOSE(CONTROL!$C$38, 0.0339, 0)</f>
        <v>28.085799999999999</v>
      </c>
      <c r="G562" s="17">
        <f>25.6911 * CHOOSE(CONTROL!$C$15, $E$9, 100%, $G$9) + CHOOSE(CONTROL!$C$38, 0.034, 0)</f>
        <v>25.725099999999998</v>
      </c>
      <c r="H562" s="17">
        <f>25.6911 * CHOOSE(CONTROL!$C$15, $E$9, 100%, $G$9) + CHOOSE(CONTROL!$C$38, 0.034, 0)</f>
        <v>25.725099999999998</v>
      </c>
      <c r="I562" s="17">
        <f>25.6927 * CHOOSE(CONTROL!$C$15, $E$9, 100%, $G$9) + CHOOSE(CONTROL!$C$38, 0.034, 0)</f>
        <v>25.726699999999997</v>
      </c>
      <c r="J562" s="44">
        <f>211.2455</f>
        <v>211.24549999999999</v>
      </c>
    </row>
    <row r="563" spans="1:10" ht="15.75" x14ac:dyDescent="0.25">
      <c r="A563" s="13">
        <v>57710</v>
      </c>
      <c r="B563" s="17">
        <f>29.0048 * CHOOSE(CONTROL!$C$15, $E$9, 100%, $G$9) + CHOOSE(CONTROL!$C$38, 0.0339, 0)</f>
        <v>29.038699999999999</v>
      </c>
      <c r="C563" s="17">
        <f>26.6456 * CHOOSE(CONTROL!$C$15, $E$9, 100%, $G$9) + CHOOSE(CONTROL!$C$38, 0.034, 0)</f>
        <v>26.679600000000001</v>
      </c>
      <c r="D563" s="17">
        <f>26.6378 * CHOOSE(CONTROL!$C$15, $E$9, 100%, $G$9) + CHOOSE(CONTROL!$C$38, 0.034, 0)</f>
        <v>26.671799999999998</v>
      </c>
      <c r="E563" s="17">
        <f>26.6378 * CHOOSE(CONTROL!$C$15, $E$9, 100%, $G$9) + CHOOSE(CONTROL!$C$38, 0.034, 0)</f>
        <v>26.671799999999998</v>
      </c>
      <c r="F563" s="45">
        <f>29.0048 * CHOOSE(CONTROL!$C$15, $E$9, 100%, $G$9) + CHOOSE(CONTROL!$C$38, 0.0339, 0)</f>
        <v>29.038699999999999</v>
      </c>
      <c r="G563" s="17">
        <f>26.644 * CHOOSE(CONTROL!$C$15, $E$9, 100%, $G$9) + CHOOSE(CONTROL!$C$38, 0.034, 0)</f>
        <v>26.677999999999997</v>
      </c>
      <c r="H563" s="17">
        <f>26.644 * CHOOSE(CONTROL!$C$15, $E$9, 100%, $G$9) + CHOOSE(CONTROL!$C$38, 0.034, 0)</f>
        <v>26.677999999999997</v>
      </c>
      <c r="I563" s="17">
        <f>26.6456 * CHOOSE(CONTROL!$C$15, $E$9, 100%, $G$9) + CHOOSE(CONTROL!$C$38, 0.034, 0)</f>
        <v>26.679600000000001</v>
      </c>
      <c r="J563" s="44">
        <f>204.9768</f>
        <v>204.9768</v>
      </c>
    </row>
    <row r="564" spans="1:10" ht="15.75" x14ac:dyDescent="0.25">
      <c r="A564" s="13">
        <v>57741</v>
      </c>
      <c r="B564" s="17">
        <f>29.7929 * CHOOSE(CONTROL!$C$15, $E$9, 100%, $G$9) + CHOOSE(CONTROL!$C$38, 0.0339, 0)</f>
        <v>29.826799999999999</v>
      </c>
      <c r="C564" s="17">
        <f>27.4308 * CHOOSE(CONTROL!$C$15, $E$9, 100%, $G$9) + CHOOSE(CONTROL!$C$38, 0.034, 0)</f>
        <v>27.4648</v>
      </c>
      <c r="D564" s="17">
        <f>27.423 * CHOOSE(CONTROL!$C$15, $E$9, 100%, $G$9) + CHOOSE(CONTROL!$C$38, 0.034, 0)</f>
        <v>27.456999999999997</v>
      </c>
      <c r="E564" s="17">
        <f>27.423 * CHOOSE(CONTROL!$C$15, $E$9, 100%, $G$9) + CHOOSE(CONTROL!$C$38, 0.034, 0)</f>
        <v>27.456999999999997</v>
      </c>
      <c r="F564" s="45">
        <f>29.7929 * CHOOSE(CONTROL!$C$15, $E$9, 100%, $G$9) + CHOOSE(CONTROL!$C$38, 0.0339, 0)</f>
        <v>29.826799999999999</v>
      </c>
      <c r="G564" s="17">
        <f>27.4292 * CHOOSE(CONTROL!$C$15, $E$9, 100%, $G$9) + CHOOSE(CONTROL!$C$38, 0.034, 0)</f>
        <v>27.463200000000001</v>
      </c>
      <c r="H564" s="17">
        <f>27.4292 * CHOOSE(CONTROL!$C$15, $E$9, 100%, $G$9) + CHOOSE(CONTROL!$C$38, 0.034, 0)</f>
        <v>27.463200000000001</v>
      </c>
      <c r="I564" s="17">
        <f>27.4308 * CHOOSE(CONTROL!$C$15, $E$9, 100%, $G$9) + CHOOSE(CONTROL!$C$38, 0.034, 0)</f>
        <v>27.4648</v>
      </c>
      <c r="J564" s="44">
        <f>201.9456</f>
        <v>201.94560000000001</v>
      </c>
    </row>
    <row r="565" spans="1:10" ht="15.75" x14ac:dyDescent="0.25">
      <c r="A565" s="13">
        <v>57769</v>
      </c>
      <c r="B565" s="17">
        <f>30.1459 * CHOOSE(CONTROL!$C$15, $E$9, 100%, $G$9) + CHOOSE(CONTROL!$C$38, 0.0339, 0)</f>
        <v>30.1798</v>
      </c>
      <c r="C565" s="17">
        <f>27.7837 * CHOOSE(CONTROL!$C$15, $E$9, 100%, $G$9) + CHOOSE(CONTROL!$C$38, 0.034, 0)</f>
        <v>27.817699999999999</v>
      </c>
      <c r="D565" s="17">
        <f>27.7759 * CHOOSE(CONTROL!$C$15, $E$9, 100%, $G$9) + CHOOSE(CONTROL!$C$38, 0.034, 0)</f>
        <v>27.809899999999999</v>
      </c>
      <c r="E565" s="17">
        <f>27.7759 * CHOOSE(CONTROL!$C$15, $E$9, 100%, $G$9) + CHOOSE(CONTROL!$C$38, 0.034, 0)</f>
        <v>27.809899999999999</v>
      </c>
      <c r="F565" s="45">
        <f>30.1459 * CHOOSE(CONTROL!$C$15, $E$9, 100%, $G$9) + CHOOSE(CONTROL!$C$38, 0.0339, 0)</f>
        <v>30.1798</v>
      </c>
      <c r="G565" s="17">
        <f>27.7821 * CHOOSE(CONTROL!$C$15, $E$9, 100%, $G$9) + CHOOSE(CONTROL!$C$38, 0.034, 0)</f>
        <v>27.816099999999999</v>
      </c>
      <c r="H565" s="17">
        <f>27.7821 * CHOOSE(CONTROL!$C$15, $E$9, 100%, $G$9) + CHOOSE(CONTROL!$C$38, 0.034, 0)</f>
        <v>27.816099999999999</v>
      </c>
      <c r="I565" s="17">
        <f>27.7837 * CHOOSE(CONTROL!$C$15, $E$9, 100%, $G$9) + CHOOSE(CONTROL!$C$38, 0.034, 0)</f>
        <v>27.817699999999999</v>
      </c>
      <c r="J565" s="44">
        <f>201.3843</f>
        <v>201.3843</v>
      </c>
    </row>
    <row r="566" spans="1:10" ht="15.75" x14ac:dyDescent="0.25">
      <c r="A566" s="13">
        <v>57800</v>
      </c>
      <c r="B566" s="17">
        <f>29.3289 * CHOOSE(CONTROL!$C$15, $E$9, 100%, $G$9) + CHOOSE(CONTROL!$C$38, 0.0339, 0)</f>
        <v>29.3628</v>
      </c>
      <c r="C566" s="17">
        <f>26.9667 * CHOOSE(CONTROL!$C$15, $E$9, 100%, $G$9) + CHOOSE(CONTROL!$C$38, 0.034, 0)</f>
        <v>27.000699999999998</v>
      </c>
      <c r="D566" s="17">
        <f>26.9589 * CHOOSE(CONTROL!$C$15, $E$9, 100%, $G$9) + CHOOSE(CONTROL!$C$38, 0.034, 0)</f>
        <v>26.992899999999999</v>
      </c>
      <c r="E566" s="17">
        <f>26.9589 * CHOOSE(CONTROL!$C$15, $E$9, 100%, $G$9) + CHOOSE(CONTROL!$C$38, 0.034, 0)</f>
        <v>26.992899999999999</v>
      </c>
      <c r="F566" s="45">
        <f>29.3289 * CHOOSE(CONTROL!$C$15, $E$9, 100%, $G$9) + CHOOSE(CONTROL!$C$38, 0.0339, 0)</f>
        <v>29.3628</v>
      </c>
      <c r="G566" s="17">
        <f>26.9652 * CHOOSE(CONTROL!$C$15, $E$9, 100%, $G$9) + CHOOSE(CONTROL!$C$38, 0.034, 0)</f>
        <v>26.999199999999998</v>
      </c>
      <c r="H566" s="17">
        <f>26.9652 * CHOOSE(CONTROL!$C$15, $E$9, 100%, $G$9) + CHOOSE(CONTROL!$C$38, 0.034, 0)</f>
        <v>26.999199999999998</v>
      </c>
      <c r="I566" s="17">
        <f>26.9667 * CHOOSE(CONTROL!$C$15, $E$9, 100%, $G$9) + CHOOSE(CONTROL!$C$38, 0.034, 0)</f>
        <v>27.000699999999998</v>
      </c>
      <c r="J566" s="44">
        <f>211.9984</f>
        <v>211.9984</v>
      </c>
    </row>
    <row r="567" spans="1:10" ht="15.75" x14ac:dyDescent="0.25">
      <c r="A567" s="13">
        <v>57830</v>
      </c>
      <c r="B567" s="17">
        <f>28.5373 * CHOOSE(CONTROL!$C$15, $E$9, 100%, $G$9) + CHOOSE(CONTROL!$C$38, 0.0339, 0)</f>
        <v>28.571199999999997</v>
      </c>
      <c r="C567" s="17">
        <f>26.1751 * CHOOSE(CONTROL!$C$15, $E$9, 100%, $G$9) + CHOOSE(CONTROL!$C$38, 0.034, 0)</f>
        <v>26.209099999999999</v>
      </c>
      <c r="D567" s="17">
        <f>26.1673 * CHOOSE(CONTROL!$C$15, $E$9, 100%, $G$9) + CHOOSE(CONTROL!$C$38, 0.034, 0)</f>
        <v>26.2013</v>
      </c>
      <c r="E567" s="17">
        <f>26.1673 * CHOOSE(CONTROL!$C$15, $E$9, 100%, $G$9) + CHOOSE(CONTROL!$C$38, 0.034, 0)</f>
        <v>26.2013</v>
      </c>
      <c r="F567" s="45">
        <f>28.5373 * CHOOSE(CONTROL!$C$15, $E$9, 100%, $G$9) + CHOOSE(CONTROL!$C$38, 0.0339, 0)</f>
        <v>28.571199999999997</v>
      </c>
      <c r="G567" s="17">
        <f>26.1736 * CHOOSE(CONTROL!$C$15, $E$9, 100%, $G$9) + CHOOSE(CONTROL!$C$38, 0.034, 0)</f>
        <v>26.207599999999999</v>
      </c>
      <c r="H567" s="17">
        <f>26.1736 * CHOOSE(CONTROL!$C$15, $E$9, 100%, $G$9) + CHOOSE(CONTROL!$C$38, 0.034, 0)</f>
        <v>26.207599999999999</v>
      </c>
      <c r="I567" s="17">
        <f>26.1751 * CHOOSE(CONTROL!$C$15, $E$9, 100%, $G$9) + CHOOSE(CONTROL!$C$38, 0.034, 0)</f>
        <v>26.209099999999999</v>
      </c>
      <c r="J567" s="44">
        <f>225.7624</f>
        <v>225.76240000000001</v>
      </c>
    </row>
    <row r="568" spans="1:10" ht="15.75" x14ac:dyDescent="0.25">
      <c r="A568" s="13">
        <v>57861</v>
      </c>
      <c r="B568" s="17">
        <f>27.7122 * CHOOSE(CONTROL!$C$15, $E$9, 100%, $G$9) + CHOOSE(CONTROL!$C$38, 0.0355, 0)</f>
        <v>27.747699999999998</v>
      </c>
      <c r="C568" s="17">
        <f>25.35 * CHOOSE(CONTROL!$C$15, $E$9, 100%, $G$9) + CHOOSE(CONTROL!$C$38, 0.0356, 0)</f>
        <v>25.3856</v>
      </c>
      <c r="D568" s="17">
        <f>25.3422 * CHOOSE(CONTROL!$C$15, $E$9, 100%, $G$9) + CHOOSE(CONTROL!$C$38, 0.0356, 0)</f>
        <v>25.377799999999997</v>
      </c>
      <c r="E568" s="17">
        <f>25.3422 * CHOOSE(CONTROL!$C$15, $E$9, 100%, $G$9) + CHOOSE(CONTROL!$C$38, 0.0356, 0)</f>
        <v>25.377799999999997</v>
      </c>
      <c r="F568" s="45">
        <f>27.7122 * CHOOSE(CONTROL!$C$15, $E$9, 100%, $G$9) + CHOOSE(CONTROL!$C$38, 0.0355, 0)</f>
        <v>27.747699999999998</v>
      </c>
      <c r="G568" s="17">
        <f>25.3485 * CHOOSE(CONTROL!$C$15, $E$9, 100%, $G$9) + CHOOSE(CONTROL!$C$38, 0.0356, 0)</f>
        <v>25.3841</v>
      </c>
      <c r="H568" s="17">
        <f>25.3485 * CHOOSE(CONTROL!$C$15, $E$9, 100%, $G$9) + CHOOSE(CONTROL!$C$38, 0.0356, 0)</f>
        <v>25.3841</v>
      </c>
      <c r="I568" s="17">
        <f>25.35 * CHOOSE(CONTROL!$C$15, $E$9, 100%, $G$9) + CHOOSE(CONTROL!$C$38, 0.0356, 0)</f>
        <v>25.3856</v>
      </c>
      <c r="J568" s="44">
        <f>233.3385</f>
        <v>233.33850000000001</v>
      </c>
    </row>
    <row r="569" spans="1:10" ht="15.75" x14ac:dyDescent="0.25">
      <c r="A569" s="13">
        <v>57891</v>
      </c>
      <c r="B569" s="17">
        <f>27.1338 * CHOOSE(CONTROL!$C$15, $E$9, 100%, $G$9) + CHOOSE(CONTROL!$C$38, 0.0355, 0)</f>
        <v>27.1693</v>
      </c>
      <c r="C569" s="17">
        <f>24.7716 * CHOOSE(CONTROL!$C$15, $E$9, 100%, $G$9) + CHOOSE(CONTROL!$C$38, 0.0356, 0)</f>
        <v>24.807199999999998</v>
      </c>
      <c r="D569" s="17">
        <f>24.7638 * CHOOSE(CONTROL!$C$15, $E$9, 100%, $G$9) + CHOOSE(CONTROL!$C$38, 0.0356, 0)</f>
        <v>24.799399999999999</v>
      </c>
      <c r="E569" s="17">
        <f>24.7638 * CHOOSE(CONTROL!$C$15, $E$9, 100%, $G$9) + CHOOSE(CONTROL!$C$38, 0.0356, 0)</f>
        <v>24.799399999999999</v>
      </c>
      <c r="F569" s="45">
        <f>27.1338 * CHOOSE(CONTROL!$C$15, $E$9, 100%, $G$9) + CHOOSE(CONTROL!$C$38, 0.0355, 0)</f>
        <v>27.1693</v>
      </c>
      <c r="G569" s="17">
        <f>24.77 * CHOOSE(CONTROL!$C$15, $E$9, 100%, $G$9) + CHOOSE(CONTROL!$C$38, 0.0356, 0)</f>
        <v>24.805599999999998</v>
      </c>
      <c r="H569" s="17">
        <f>24.77 * CHOOSE(CONTROL!$C$15, $E$9, 100%, $G$9) + CHOOSE(CONTROL!$C$38, 0.0356, 0)</f>
        <v>24.805599999999998</v>
      </c>
      <c r="I569" s="17">
        <f>24.7716 * CHOOSE(CONTROL!$C$15, $E$9, 100%, $G$9) + CHOOSE(CONTROL!$C$38, 0.0356, 0)</f>
        <v>24.807199999999998</v>
      </c>
      <c r="J569" s="44">
        <f>236.7007</f>
        <v>236.70070000000001</v>
      </c>
    </row>
    <row r="570" spans="1:10" ht="15.75" x14ac:dyDescent="0.25">
      <c r="A570" s="13">
        <v>57922</v>
      </c>
      <c r="B570" s="17">
        <f>26.8036 * CHOOSE(CONTROL!$C$15, $E$9, 100%, $G$9) + CHOOSE(CONTROL!$C$38, 0.0355, 0)</f>
        <v>26.839099999999998</v>
      </c>
      <c r="C570" s="17">
        <f>24.4415 * CHOOSE(CONTROL!$C$15, $E$9, 100%, $G$9) + CHOOSE(CONTROL!$C$38, 0.0356, 0)</f>
        <v>24.4771</v>
      </c>
      <c r="D570" s="17">
        <f>24.4337 * CHOOSE(CONTROL!$C$15, $E$9, 100%, $G$9) + CHOOSE(CONTROL!$C$38, 0.0356, 0)</f>
        <v>24.4693</v>
      </c>
      <c r="E570" s="17">
        <f>24.4337 * CHOOSE(CONTROL!$C$15, $E$9, 100%, $G$9) + CHOOSE(CONTROL!$C$38, 0.0356, 0)</f>
        <v>24.4693</v>
      </c>
      <c r="F570" s="45">
        <f>26.8036 * CHOOSE(CONTROL!$C$15, $E$9, 100%, $G$9) + CHOOSE(CONTROL!$C$38, 0.0355, 0)</f>
        <v>26.839099999999998</v>
      </c>
      <c r="G570" s="17">
        <f>24.4399 * CHOOSE(CONTROL!$C$15, $E$9, 100%, $G$9) + CHOOSE(CONTROL!$C$38, 0.0356, 0)</f>
        <v>24.4755</v>
      </c>
      <c r="H570" s="17">
        <f>24.4399 * CHOOSE(CONTROL!$C$15, $E$9, 100%, $G$9) + CHOOSE(CONTROL!$C$38, 0.0356, 0)</f>
        <v>24.4755</v>
      </c>
      <c r="I570" s="17">
        <f>24.4415 * CHOOSE(CONTROL!$C$15, $E$9, 100%, $G$9) + CHOOSE(CONTROL!$C$38, 0.0356, 0)</f>
        <v>24.4771</v>
      </c>
      <c r="J570" s="44">
        <f>235.5937</f>
        <v>235.59370000000001</v>
      </c>
    </row>
    <row r="571" spans="1:10" ht="15.75" x14ac:dyDescent="0.25">
      <c r="A571" s="13">
        <v>57953</v>
      </c>
      <c r="B571" s="17">
        <f>26.9666 * CHOOSE(CONTROL!$C$15, $E$9, 100%, $G$9) + CHOOSE(CONTROL!$C$38, 0.0355, 0)</f>
        <v>27.002099999999999</v>
      </c>
      <c r="C571" s="17">
        <f>24.6044 * CHOOSE(CONTROL!$C$15, $E$9, 100%, $G$9) + CHOOSE(CONTROL!$C$38, 0.0356, 0)</f>
        <v>24.639999999999997</v>
      </c>
      <c r="D571" s="17">
        <f>24.5966 * CHOOSE(CONTROL!$C$15, $E$9, 100%, $G$9) + CHOOSE(CONTROL!$C$38, 0.0356, 0)</f>
        <v>24.632199999999997</v>
      </c>
      <c r="E571" s="17">
        <f>24.5966 * CHOOSE(CONTROL!$C$15, $E$9, 100%, $G$9) + CHOOSE(CONTROL!$C$38, 0.0356, 0)</f>
        <v>24.632199999999997</v>
      </c>
      <c r="F571" s="45">
        <f>26.9666 * CHOOSE(CONTROL!$C$15, $E$9, 100%, $G$9) + CHOOSE(CONTROL!$C$38, 0.0355, 0)</f>
        <v>27.002099999999999</v>
      </c>
      <c r="G571" s="17">
        <f>24.6028 * CHOOSE(CONTROL!$C$15, $E$9, 100%, $G$9) + CHOOSE(CONTROL!$C$38, 0.0356, 0)</f>
        <v>24.638399999999997</v>
      </c>
      <c r="H571" s="17">
        <f>24.6028 * CHOOSE(CONTROL!$C$15, $E$9, 100%, $G$9) + CHOOSE(CONTROL!$C$38, 0.0356, 0)</f>
        <v>24.638399999999997</v>
      </c>
      <c r="I571" s="17">
        <f>24.6044 * CHOOSE(CONTROL!$C$15, $E$9, 100%, $G$9) + CHOOSE(CONTROL!$C$38, 0.0356, 0)</f>
        <v>24.639999999999997</v>
      </c>
      <c r="J571" s="44">
        <f>230.1092</f>
        <v>230.10919999999999</v>
      </c>
    </row>
    <row r="572" spans="1:10" ht="15.75" x14ac:dyDescent="0.25">
      <c r="A572" s="13">
        <v>57983</v>
      </c>
      <c r="B572" s="17">
        <f>27.4091 * CHOOSE(CONTROL!$C$15, $E$9, 100%, $G$9) + CHOOSE(CONTROL!$C$38, 0.0355, 0)</f>
        <v>27.444599999999998</v>
      </c>
      <c r="C572" s="17">
        <f>25.0469 * CHOOSE(CONTROL!$C$15, $E$9, 100%, $G$9) + CHOOSE(CONTROL!$C$38, 0.0356, 0)</f>
        <v>25.0825</v>
      </c>
      <c r="D572" s="17">
        <f>25.0391 * CHOOSE(CONTROL!$C$15, $E$9, 100%, $G$9) + CHOOSE(CONTROL!$C$38, 0.0356, 0)</f>
        <v>25.0747</v>
      </c>
      <c r="E572" s="17">
        <f>25.0391 * CHOOSE(CONTROL!$C$15, $E$9, 100%, $G$9) + CHOOSE(CONTROL!$C$38, 0.0356, 0)</f>
        <v>25.0747</v>
      </c>
      <c r="F572" s="45">
        <f>27.4091 * CHOOSE(CONTROL!$C$15, $E$9, 100%, $G$9) + CHOOSE(CONTROL!$C$38, 0.0355, 0)</f>
        <v>27.444599999999998</v>
      </c>
      <c r="G572" s="17">
        <f>25.0453 * CHOOSE(CONTROL!$C$15, $E$9, 100%, $G$9) + CHOOSE(CONTROL!$C$38, 0.0356, 0)</f>
        <v>25.0809</v>
      </c>
      <c r="H572" s="17">
        <f>25.0453 * CHOOSE(CONTROL!$C$15, $E$9, 100%, $G$9) + CHOOSE(CONTROL!$C$38, 0.0356, 0)</f>
        <v>25.0809</v>
      </c>
      <c r="I572" s="17">
        <f>25.0469 * CHOOSE(CONTROL!$C$15, $E$9, 100%, $G$9) + CHOOSE(CONTROL!$C$38, 0.0356, 0)</f>
        <v>25.0825</v>
      </c>
      <c r="J572" s="44">
        <f>222.4607</f>
        <v>222.4607</v>
      </c>
    </row>
    <row r="573" spans="1:10" ht="15.75" x14ac:dyDescent="0.25">
      <c r="A573" s="13">
        <v>58014</v>
      </c>
      <c r="B573" s="17">
        <f>27.7797 * CHOOSE(CONTROL!$C$15, $E$9, 100%, $G$9) + CHOOSE(CONTROL!$C$38, 0.0339, 0)</f>
        <v>27.813599999999997</v>
      </c>
      <c r="C573" s="17">
        <f>25.4175 * CHOOSE(CONTROL!$C$15, $E$9, 100%, $G$9) + CHOOSE(CONTROL!$C$38, 0.034, 0)</f>
        <v>25.451499999999999</v>
      </c>
      <c r="D573" s="17">
        <f>25.4097 * CHOOSE(CONTROL!$C$15, $E$9, 100%, $G$9) + CHOOSE(CONTROL!$C$38, 0.034, 0)</f>
        <v>25.4437</v>
      </c>
      <c r="E573" s="17">
        <f>25.4097 * CHOOSE(CONTROL!$C$15, $E$9, 100%, $G$9) + CHOOSE(CONTROL!$C$38, 0.034, 0)</f>
        <v>25.4437</v>
      </c>
      <c r="F573" s="45">
        <f>27.7797 * CHOOSE(CONTROL!$C$15, $E$9, 100%, $G$9) + CHOOSE(CONTROL!$C$38, 0.0339, 0)</f>
        <v>27.813599999999997</v>
      </c>
      <c r="G573" s="17">
        <f>25.4159 * CHOOSE(CONTROL!$C$15, $E$9, 100%, $G$9) + CHOOSE(CONTROL!$C$38, 0.034, 0)</f>
        <v>25.4499</v>
      </c>
      <c r="H573" s="17">
        <f>25.4159 * CHOOSE(CONTROL!$C$15, $E$9, 100%, $G$9) + CHOOSE(CONTROL!$C$38, 0.034, 0)</f>
        <v>25.4499</v>
      </c>
      <c r="I573" s="17">
        <f>25.4175 * CHOOSE(CONTROL!$C$15, $E$9, 100%, $G$9) + CHOOSE(CONTROL!$C$38, 0.034, 0)</f>
        <v>25.451499999999999</v>
      </c>
      <c r="J573" s="44">
        <f>214.7678</f>
        <v>214.76779999999999</v>
      </c>
    </row>
    <row r="574" spans="1:10" ht="15.75" x14ac:dyDescent="0.25">
      <c r="A574" s="13">
        <v>58044</v>
      </c>
      <c r="B574" s="17">
        <f>28.0889 * CHOOSE(CONTROL!$C$15, $E$9, 100%, $G$9) + CHOOSE(CONTROL!$C$38, 0.0339, 0)</f>
        <v>28.122799999999998</v>
      </c>
      <c r="C574" s="17">
        <f>25.7268 * CHOOSE(CONTROL!$C$15, $E$9, 100%, $G$9) + CHOOSE(CONTROL!$C$38, 0.034, 0)</f>
        <v>25.7608</v>
      </c>
      <c r="D574" s="17">
        <f>25.7189 * CHOOSE(CONTROL!$C$15, $E$9, 100%, $G$9) + CHOOSE(CONTROL!$C$38, 0.034, 0)</f>
        <v>25.7529</v>
      </c>
      <c r="E574" s="17">
        <f>25.7189 * CHOOSE(CONTROL!$C$15, $E$9, 100%, $G$9) + CHOOSE(CONTROL!$C$38, 0.034, 0)</f>
        <v>25.7529</v>
      </c>
      <c r="F574" s="45">
        <f>28.0889 * CHOOSE(CONTROL!$C$15, $E$9, 100%, $G$9) + CHOOSE(CONTROL!$C$38, 0.0339, 0)</f>
        <v>28.122799999999998</v>
      </c>
      <c r="G574" s="17">
        <f>25.7252 * CHOOSE(CONTROL!$C$15, $E$9, 100%, $G$9) + CHOOSE(CONTROL!$C$38, 0.034, 0)</f>
        <v>25.7592</v>
      </c>
      <c r="H574" s="17">
        <f>25.7252 * CHOOSE(CONTROL!$C$15, $E$9, 100%, $G$9) + CHOOSE(CONTROL!$C$38, 0.034, 0)</f>
        <v>25.7592</v>
      </c>
      <c r="I574" s="17">
        <f>25.7268 * CHOOSE(CONTROL!$C$15, $E$9, 100%, $G$9) + CHOOSE(CONTROL!$C$38, 0.034, 0)</f>
        <v>25.7608</v>
      </c>
      <c r="J574" s="44">
        <f>213.2375</f>
        <v>213.23750000000001</v>
      </c>
    </row>
    <row r="575" spans="1:10" ht="15.75" x14ac:dyDescent="0.25">
      <c r="A575" s="13">
        <v>58075</v>
      </c>
      <c r="B575" s="17">
        <f>29.0418 * CHOOSE(CONTROL!$C$15, $E$9, 100%, $G$9) + CHOOSE(CONTROL!$C$38, 0.0339, 0)</f>
        <v>29.075699999999998</v>
      </c>
      <c r="C575" s="17">
        <f>26.6797 * CHOOSE(CONTROL!$C$15, $E$9, 100%, $G$9) + CHOOSE(CONTROL!$C$38, 0.034, 0)</f>
        <v>26.713699999999999</v>
      </c>
      <c r="D575" s="17">
        <f>26.6718 * CHOOSE(CONTROL!$C$15, $E$9, 100%, $G$9) + CHOOSE(CONTROL!$C$38, 0.034, 0)</f>
        <v>26.7058</v>
      </c>
      <c r="E575" s="17">
        <f>26.6718 * CHOOSE(CONTROL!$C$15, $E$9, 100%, $G$9) + CHOOSE(CONTROL!$C$38, 0.034, 0)</f>
        <v>26.7058</v>
      </c>
      <c r="F575" s="45">
        <f>29.0418 * CHOOSE(CONTROL!$C$15, $E$9, 100%, $G$9) + CHOOSE(CONTROL!$C$38, 0.0339, 0)</f>
        <v>29.075699999999998</v>
      </c>
      <c r="G575" s="17">
        <f>26.6781 * CHOOSE(CONTROL!$C$15, $E$9, 100%, $G$9) + CHOOSE(CONTROL!$C$38, 0.034, 0)</f>
        <v>26.7121</v>
      </c>
      <c r="H575" s="17">
        <f>26.6781 * CHOOSE(CONTROL!$C$15, $E$9, 100%, $G$9) + CHOOSE(CONTROL!$C$38, 0.034, 0)</f>
        <v>26.7121</v>
      </c>
      <c r="I575" s="17">
        <f>26.6797 * CHOOSE(CONTROL!$C$15, $E$9, 100%, $G$9) + CHOOSE(CONTROL!$C$38, 0.034, 0)</f>
        <v>26.713699999999999</v>
      </c>
      <c r="J575" s="44">
        <f>206.9097</f>
        <v>206.90969999999999</v>
      </c>
    </row>
    <row r="576" spans="1:10" ht="15.75" x14ac:dyDescent="0.25">
      <c r="A576" s="13">
        <v>58106</v>
      </c>
      <c r="B576" s="17">
        <f>29.83 * CHOOSE(CONTROL!$C$15, $E$9, 100%, $G$9) + CHOOSE(CONTROL!$C$38, 0.0339, 0)</f>
        <v>29.863899999999997</v>
      </c>
      <c r="C576" s="17">
        <f>27.4649 * CHOOSE(CONTROL!$C$15, $E$9, 100%, $G$9) + CHOOSE(CONTROL!$C$38, 0.034, 0)</f>
        <v>27.498899999999999</v>
      </c>
      <c r="D576" s="17">
        <f>27.4571 * CHOOSE(CONTROL!$C$15, $E$9, 100%, $G$9) + CHOOSE(CONTROL!$C$38, 0.034, 0)</f>
        <v>27.491099999999999</v>
      </c>
      <c r="E576" s="17">
        <f>27.4571 * CHOOSE(CONTROL!$C$15, $E$9, 100%, $G$9) + CHOOSE(CONTROL!$C$38, 0.034, 0)</f>
        <v>27.491099999999999</v>
      </c>
      <c r="F576" s="45">
        <f>29.83 * CHOOSE(CONTROL!$C$15, $E$9, 100%, $G$9) + CHOOSE(CONTROL!$C$38, 0.0339, 0)</f>
        <v>29.863899999999997</v>
      </c>
      <c r="G576" s="17">
        <f>27.4633 * CHOOSE(CONTROL!$C$15, $E$9, 100%, $G$9) + CHOOSE(CONTROL!$C$38, 0.034, 0)</f>
        <v>27.497299999999999</v>
      </c>
      <c r="H576" s="17">
        <f>27.4633 * CHOOSE(CONTROL!$C$15, $E$9, 100%, $G$9) + CHOOSE(CONTROL!$C$38, 0.034, 0)</f>
        <v>27.497299999999999</v>
      </c>
      <c r="I576" s="17">
        <f>27.4649 * CHOOSE(CONTROL!$C$15, $E$9, 100%, $G$9) + CHOOSE(CONTROL!$C$38, 0.034, 0)</f>
        <v>27.498899999999999</v>
      </c>
      <c r="J576" s="44">
        <f>203.85</f>
        <v>203.85</v>
      </c>
    </row>
    <row r="577" spans="1:10" ht="15.75" x14ac:dyDescent="0.25">
      <c r="A577" s="13">
        <v>58134</v>
      </c>
      <c r="B577" s="17">
        <f>30.1829 * CHOOSE(CONTROL!$C$15, $E$9, 100%, $G$9) + CHOOSE(CONTROL!$C$38, 0.0339, 0)</f>
        <v>30.216799999999999</v>
      </c>
      <c r="C577" s="17">
        <f>27.8178 * CHOOSE(CONTROL!$C$15, $E$9, 100%, $G$9) + CHOOSE(CONTROL!$C$38, 0.034, 0)</f>
        <v>27.851799999999997</v>
      </c>
      <c r="D577" s="17">
        <f>27.81 * CHOOSE(CONTROL!$C$15, $E$9, 100%, $G$9) + CHOOSE(CONTROL!$C$38, 0.034, 0)</f>
        <v>27.843999999999998</v>
      </c>
      <c r="E577" s="17">
        <f>27.81 * CHOOSE(CONTROL!$C$15, $E$9, 100%, $G$9) + CHOOSE(CONTROL!$C$38, 0.034, 0)</f>
        <v>27.843999999999998</v>
      </c>
      <c r="F577" s="45">
        <f>30.1829 * CHOOSE(CONTROL!$C$15, $E$9, 100%, $G$9) + CHOOSE(CONTROL!$C$38, 0.0339, 0)</f>
        <v>30.216799999999999</v>
      </c>
      <c r="G577" s="17">
        <f>27.8163 * CHOOSE(CONTROL!$C$15, $E$9, 100%, $G$9) + CHOOSE(CONTROL!$C$38, 0.034, 0)</f>
        <v>27.850299999999997</v>
      </c>
      <c r="H577" s="17">
        <f>27.8163 * CHOOSE(CONTROL!$C$15, $E$9, 100%, $G$9) + CHOOSE(CONTROL!$C$38, 0.034, 0)</f>
        <v>27.850299999999997</v>
      </c>
      <c r="I577" s="17">
        <f>27.8178 * CHOOSE(CONTROL!$C$15, $E$9, 100%, $G$9) + CHOOSE(CONTROL!$C$38, 0.034, 0)</f>
        <v>27.851799999999997</v>
      </c>
      <c r="J577" s="44">
        <f>203.2833</f>
        <v>203.2833</v>
      </c>
    </row>
    <row r="578" spans="1:10" ht="15.75" x14ac:dyDescent="0.25">
      <c r="A578" s="13">
        <v>58165</v>
      </c>
      <c r="B578" s="17">
        <f>29.366 * CHOOSE(CONTROL!$C$15, $E$9, 100%, $G$9) + CHOOSE(CONTROL!$C$38, 0.0339, 0)</f>
        <v>29.399899999999999</v>
      </c>
      <c r="C578" s="17">
        <f>27.0009 * CHOOSE(CONTROL!$C$15, $E$9, 100%, $G$9) + CHOOSE(CONTROL!$C$38, 0.034, 0)</f>
        <v>27.0349</v>
      </c>
      <c r="D578" s="17">
        <f>26.993 * CHOOSE(CONTROL!$C$15, $E$9, 100%, $G$9) + CHOOSE(CONTROL!$C$38, 0.034, 0)</f>
        <v>27.026999999999997</v>
      </c>
      <c r="E578" s="17">
        <f>26.993 * CHOOSE(CONTROL!$C$15, $E$9, 100%, $G$9) + CHOOSE(CONTROL!$C$38, 0.034, 0)</f>
        <v>27.026999999999997</v>
      </c>
      <c r="F578" s="45">
        <f>29.366 * CHOOSE(CONTROL!$C$15, $E$9, 100%, $G$9) + CHOOSE(CONTROL!$C$38, 0.0339, 0)</f>
        <v>29.399899999999999</v>
      </c>
      <c r="G578" s="17">
        <f>26.9993 * CHOOSE(CONTROL!$C$15, $E$9, 100%, $G$9) + CHOOSE(CONTROL!$C$38, 0.034, 0)</f>
        <v>27.033300000000001</v>
      </c>
      <c r="H578" s="17">
        <f>26.9993 * CHOOSE(CONTROL!$C$15, $E$9, 100%, $G$9) + CHOOSE(CONTROL!$C$38, 0.034, 0)</f>
        <v>27.033300000000001</v>
      </c>
      <c r="I578" s="17">
        <f>27.0009 * CHOOSE(CONTROL!$C$15, $E$9, 100%, $G$9) + CHOOSE(CONTROL!$C$38, 0.034, 0)</f>
        <v>27.0349</v>
      </c>
      <c r="J578" s="44">
        <f>213.9976</f>
        <v>213.99760000000001</v>
      </c>
    </row>
    <row r="579" spans="1:10" ht="15.75" x14ac:dyDescent="0.25">
      <c r="A579" s="13">
        <v>58195</v>
      </c>
      <c r="B579" s="17">
        <f>28.5744 * CHOOSE(CONTROL!$C$15, $E$9, 100%, $G$9) + CHOOSE(CONTROL!$C$38, 0.0339, 0)</f>
        <v>28.6083</v>
      </c>
      <c r="C579" s="17">
        <f>26.2092 * CHOOSE(CONTROL!$C$15, $E$9, 100%, $G$9) + CHOOSE(CONTROL!$C$38, 0.034, 0)</f>
        <v>26.243199999999998</v>
      </c>
      <c r="D579" s="17">
        <f>26.2014 * CHOOSE(CONTROL!$C$15, $E$9, 100%, $G$9) + CHOOSE(CONTROL!$C$38, 0.034, 0)</f>
        <v>26.235399999999998</v>
      </c>
      <c r="E579" s="17">
        <f>26.2014 * CHOOSE(CONTROL!$C$15, $E$9, 100%, $G$9) + CHOOSE(CONTROL!$C$38, 0.034, 0)</f>
        <v>26.235399999999998</v>
      </c>
      <c r="F579" s="45">
        <f>28.5744 * CHOOSE(CONTROL!$C$15, $E$9, 100%, $G$9) + CHOOSE(CONTROL!$C$38, 0.0339, 0)</f>
        <v>28.6083</v>
      </c>
      <c r="G579" s="17">
        <f>26.2077 * CHOOSE(CONTROL!$C$15, $E$9, 100%, $G$9) + CHOOSE(CONTROL!$C$38, 0.034, 0)</f>
        <v>26.241699999999998</v>
      </c>
      <c r="H579" s="17">
        <f>26.2077 * CHOOSE(CONTROL!$C$15, $E$9, 100%, $G$9) + CHOOSE(CONTROL!$C$38, 0.034, 0)</f>
        <v>26.241699999999998</v>
      </c>
      <c r="I579" s="17">
        <f>26.2092 * CHOOSE(CONTROL!$C$15, $E$9, 100%, $G$9) + CHOOSE(CONTROL!$C$38, 0.034, 0)</f>
        <v>26.243199999999998</v>
      </c>
      <c r="J579" s="44">
        <f>227.8913</f>
        <v>227.8913</v>
      </c>
    </row>
    <row r="580" spans="1:10" ht="15.75" x14ac:dyDescent="0.25">
      <c r="A580" s="13">
        <v>58226</v>
      </c>
      <c r="B580" s="17">
        <f>27.7493 * CHOOSE(CONTROL!$C$15, $E$9, 100%, $G$9) + CHOOSE(CONTROL!$C$38, 0.0355, 0)</f>
        <v>27.784800000000001</v>
      </c>
      <c r="C580" s="17">
        <f>25.3841 * CHOOSE(CONTROL!$C$15, $E$9, 100%, $G$9) + CHOOSE(CONTROL!$C$38, 0.0356, 0)</f>
        <v>25.419699999999999</v>
      </c>
      <c r="D580" s="17">
        <f>25.3763 * CHOOSE(CONTROL!$C$15, $E$9, 100%, $G$9) + CHOOSE(CONTROL!$C$38, 0.0356, 0)</f>
        <v>25.411899999999999</v>
      </c>
      <c r="E580" s="17">
        <f>25.3763 * CHOOSE(CONTROL!$C$15, $E$9, 100%, $G$9) + CHOOSE(CONTROL!$C$38, 0.0356, 0)</f>
        <v>25.411899999999999</v>
      </c>
      <c r="F580" s="45">
        <f>27.7493 * CHOOSE(CONTROL!$C$15, $E$9, 100%, $G$9) + CHOOSE(CONTROL!$C$38, 0.0355, 0)</f>
        <v>27.784800000000001</v>
      </c>
      <c r="G580" s="17">
        <f>25.3826 * CHOOSE(CONTROL!$C$15, $E$9, 100%, $G$9) + CHOOSE(CONTROL!$C$38, 0.0356, 0)</f>
        <v>25.418199999999999</v>
      </c>
      <c r="H580" s="17">
        <f>25.3826 * CHOOSE(CONTROL!$C$15, $E$9, 100%, $G$9) + CHOOSE(CONTROL!$C$38, 0.0356, 0)</f>
        <v>25.418199999999999</v>
      </c>
      <c r="I580" s="17">
        <f>25.3841 * CHOOSE(CONTROL!$C$15, $E$9, 100%, $G$9) + CHOOSE(CONTROL!$C$38, 0.0356, 0)</f>
        <v>25.419699999999999</v>
      </c>
      <c r="J580" s="44">
        <f>235.5389</f>
        <v>235.53890000000001</v>
      </c>
    </row>
    <row r="581" spans="1:10" ht="15.75" x14ac:dyDescent="0.25">
      <c r="A581" s="13">
        <v>58256</v>
      </c>
      <c r="B581" s="17">
        <f>27.1708 * CHOOSE(CONTROL!$C$15, $E$9, 100%, $G$9) + CHOOSE(CONTROL!$C$38, 0.0355, 0)</f>
        <v>27.206299999999999</v>
      </c>
      <c r="C581" s="17">
        <f>24.8057 * CHOOSE(CONTROL!$C$15, $E$9, 100%, $G$9) + CHOOSE(CONTROL!$C$38, 0.0356, 0)</f>
        <v>24.8413</v>
      </c>
      <c r="D581" s="17">
        <f>24.7979 * CHOOSE(CONTROL!$C$15, $E$9, 100%, $G$9) + CHOOSE(CONTROL!$C$38, 0.0356, 0)</f>
        <v>24.833499999999997</v>
      </c>
      <c r="E581" s="17">
        <f>24.7979 * CHOOSE(CONTROL!$C$15, $E$9, 100%, $G$9) + CHOOSE(CONTROL!$C$38, 0.0356, 0)</f>
        <v>24.833499999999997</v>
      </c>
      <c r="F581" s="45">
        <f>27.1708 * CHOOSE(CONTROL!$C$15, $E$9, 100%, $G$9) + CHOOSE(CONTROL!$C$38, 0.0355, 0)</f>
        <v>27.206299999999999</v>
      </c>
      <c r="G581" s="17">
        <f>24.8041 * CHOOSE(CONTROL!$C$15, $E$9, 100%, $G$9) + CHOOSE(CONTROL!$C$38, 0.0356, 0)</f>
        <v>24.839699999999997</v>
      </c>
      <c r="H581" s="17">
        <f>24.8041 * CHOOSE(CONTROL!$C$15, $E$9, 100%, $G$9) + CHOOSE(CONTROL!$C$38, 0.0356, 0)</f>
        <v>24.839699999999997</v>
      </c>
      <c r="I581" s="17">
        <f>24.8057 * CHOOSE(CONTROL!$C$15, $E$9, 100%, $G$9) + CHOOSE(CONTROL!$C$38, 0.0356, 0)</f>
        <v>24.8413</v>
      </c>
      <c r="J581" s="44">
        <f>238.9328</f>
        <v>238.93279999999999</v>
      </c>
    </row>
    <row r="582" spans="1:10" ht="15.75" x14ac:dyDescent="0.25">
      <c r="A582" s="13">
        <v>58287</v>
      </c>
      <c r="B582" s="17">
        <f>26.8407 * CHOOSE(CONTROL!$C$15, $E$9, 100%, $G$9) + CHOOSE(CONTROL!$C$38, 0.0355, 0)</f>
        <v>26.876199999999997</v>
      </c>
      <c r="C582" s="17">
        <f>24.4756 * CHOOSE(CONTROL!$C$15, $E$9, 100%, $G$9) + CHOOSE(CONTROL!$C$38, 0.0356, 0)</f>
        <v>24.511199999999999</v>
      </c>
      <c r="D582" s="17">
        <f>24.4678 * CHOOSE(CONTROL!$C$15, $E$9, 100%, $G$9) + CHOOSE(CONTROL!$C$38, 0.0356, 0)</f>
        <v>24.503399999999999</v>
      </c>
      <c r="E582" s="17">
        <f>24.4678 * CHOOSE(CONTROL!$C$15, $E$9, 100%, $G$9) + CHOOSE(CONTROL!$C$38, 0.0356, 0)</f>
        <v>24.503399999999999</v>
      </c>
      <c r="F582" s="45">
        <f>26.8407 * CHOOSE(CONTROL!$C$15, $E$9, 100%, $G$9) + CHOOSE(CONTROL!$C$38, 0.0355, 0)</f>
        <v>26.876199999999997</v>
      </c>
      <c r="G582" s="17">
        <f>24.474 * CHOOSE(CONTROL!$C$15, $E$9, 100%, $G$9) + CHOOSE(CONTROL!$C$38, 0.0356, 0)</f>
        <v>24.509599999999999</v>
      </c>
      <c r="H582" s="17">
        <f>24.474 * CHOOSE(CONTROL!$C$15, $E$9, 100%, $G$9) + CHOOSE(CONTROL!$C$38, 0.0356, 0)</f>
        <v>24.509599999999999</v>
      </c>
      <c r="I582" s="17">
        <f>24.4756 * CHOOSE(CONTROL!$C$15, $E$9, 100%, $G$9) + CHOOSE(CONTROL!$C$38, 0.0356, 0)</f>
        <v>24.511199999999999</v>
      </c>
      <c r="J582" s="44">
        <f>237.8153</f>
        <v>237.81530000000001</v>
      </c>
    </row>
    <row r="583" spans="1:10" ht="15.75" x14ac:dyDescent="0.25">
      <c r="A583" s="13">
        <v>58318</v>
      </c>
      <c r="B583" s="17">
        <f>27.0036 * CHOOSE(CONTROL!$C$15, $E$9, 100%, $G$9) + CHOOSE(CONTROL!$C$38, 0.0355, 0)</f>
        <v>27.039099999999998</v>
      </c>
      <c r="C583" s="17">
        <f>24.6385 * CHOOSE(CONTROL!$C$15, $E$9, 100%, $G$9) + CHOOSE(CONTROL!$C$38, 0.0356, 0)</f>
        <v>24.674099999999999</v>
      </c>
      <c r="D583" s="17">
        <f>24.6307 * CHOOSE(CONTROL!$C$15, $E$9, 100%, $G$9) + CHOOSE(CONTROL!$C$38, 0.0356, 0)</f>
        <v>24.6663</v>
      </c>
      <c r="E583" s="17">
        <f>24.6307 * CHOOSE(CONTROL!$C$15, $E$9, 100%, $G$9) + CHOOSE(CONTROL!$C$38, 0.0356, 0)</f>
        <v>24.6663</v>
      </c>
      <c r="F583" s="45">
        <f>27.0036 * CHOOSE(CONTROL!$C$15, $E$9, 100%, $G$9) + CHOOSE(CONTROL!$C$38, 0.0355, 0)</f>
        <v>27.039099999999998</v>
      </c>
      <c r="G583" s="17">
        <f>24.637 * CHOOSE(CONTROL!$C$15, $E$9, 100%, $G$9) + CHOOSE(CONTROL!$C$38, 0.0356, 0)</f>
        <v>24.672599999999999</v>
      </c>
      <c r="H583" s="17">
        <f>24.637 * CHOOSE(CONTROL!$C$15, $E$9, 100%, $G$9) + CHOOSE(CONTROL!$C$38, 0.0356, 0)</f>
        <v>24.672599999999999</v>
      </c>
      <c r="I583" s="17">
        <f>24.6385 * CHOOSE(CONTROL!$C$15, $E$9, 100%, $G$9) + CHOOSE(CONTROL!$C$38, 0.0356, 0)</f>
        <v>24.674099999999999</v>
      </c>
      <c r="J583" s="44">
        <f>232.2791</f>
        <v>232.2791</v>
      </c>
    </row>
    <row r="584" spans="1:10" ht="15.75" x14ac:dyDescent="0.25">
      <c r="A584" s="13">
        <v>58348</v>
      </c>
      <c r="B584" s="17">
        <f>27.4461 * CHOOSE(CONTROL!$C$15, $E$9, 100%, $G$9) + CHOOSE(CONTROL!$C$38, 0.0355, 0)</f>
        <v>27.4816</v>
      </c>
      <c r="C584" s="17">
        <f>25.081 * CHOOSE(CONTROL!$C$15, $E$9, 100%, $G$9) + CHOOSE(CONTROL!$C$38, 0.0356, 0)</f>
        <v>25.116599999999998</v>
      </c>
      <c r="D584" s="17">
        <f>25.0732 * CHOOSE(CONTROL!$C$15, $E$9, 100%, $G$9) + CHOOSE(CONTROL!$C$38, 0.0356, 0)</f>
        <v>25.108799999999999</v>
      </c>
      <c r="E584" s="17">
        <f>25.0732 * CHOOSE(CONTROL!$C$15, $E$9, 100%, $G$9) + CHOOSE(CONTROL!$C$38, 0.0356, 0)</f>
        <v>25.108799999999999</v>
      </c>
      <c r="F584" s="45">
        <f>27.4461 * CHOOSE(CONTROL!$C$15, $E$9, 100%, $G$9) + CHOOSE(CONTROL!$C$38, 0.0355, 0)</f>
        <v>27.4816</v>
      </c>
      <c r="G584" s="17">
        <f>25.0795 * CHOOSE(CONTROL!$C$15, $E$9, 100%, $G$9) + CHOOSE(CONTROL!$C$38, 0.0356, 0)</f>
        <v>25.115099999999998</v>
      </c>
      <c r="H584" s="17">
        <f>25.0795 * CHOOSE(CONTROL!$C$15, $E$9, 100%, $G$9) + CHOOSE(CONTROL!$C$38, 0.0356, 0)</f>
        <v>25.115099999999998</v>
      </c>
      <c r="I584" s="17">
        <f>25.081 * CHOOSE(CONTROL!$C$15, $E$9, 100%, $G$9) + CHOOSE(CONTROL!$C$38, 0.0356, 0)</f>
        <v>25.116599999999998</v>
      </c>
      <c r="J584" s="44">
        <f>224.5585</f>
        <v>224.55850000000001</v>
      </c>
    </row>
    <row r="585" spans="1:10" ht="15.75" x14ac:dyDescent="0.25">
      <c r="A585" s="13">
        <v>58379</v>
      </c>
      <c r="B585" s="17">
        <f>27.8167 * CHOOSE(CONTROL!$C$15, $E$9, 100%, $G$9) + CHOOSE(CONTROL!$C$38, 0.0339, 0)</f>
        <v>27.8506</v>
      </c>
      <c r="C585" s="17">
        <f>25.4516 * CHOOSE(CONTROL!$C$15, $E$9, 100%, $G$9) + CHOOSE(CONTROL!$C$38, 0.034, 0)</f>
        <v>25.485599999999998</v>
      </c>
      <c r="D585" s="17">
        <f>25.4438 * CHOOSE(CONTROL!$C$15, $E$9, 100%, $G$9) + CHOOSE(CONTROL!$C$38, 0.034, 0)</f>
        <v>25.477799999999998</v>
      </c>
      <c r="E585" s="17">
        <f>25.4438 * CHOOSE(CONTROL!$C$15, $E$9, 100%, $G$9) + CHOOSE(CONTROL!$C$38, 0.034, 0)</f>
        <v>25.477799999999998</v>
      </c>
      <c r="F585" s="45">
        <f>27.8167 * CHOOSE(CONTROL!$C$15, $E$9, 100%, $G$9) + CHOOSE(CONTROL!$C$38, 0.0339, 0)</f>
        <v>27.8506</v>
      </c>
      <c r="G585" s="17">
        <f>25.4501 * CHOOSE(CONTROL!$C$15, $E$9, 100%, $G$9) + CHOOSE(CONTROL!$C$38, 0.034, 0)</f>
        <v>25.484099999999998</v>
      </c>
      <c r="H585" s="17">
        <f>25.4501 * CHOOSE(CONTROL!$C$15, $E$9, 100%, $G$9) + CHOOSE(CONTROL!$C$38, 0.034, 0)</f>
        <v>25.484099999999998</v>
      </c>
      <c r="I585" s="17">
        <f>25.4516 * CHOOSE(CONTROL!$C$15, $E$9, 100%, $G$9) + CHOOSE(CONTROL!$C$38, 0.034, 0)</f>
        <v>25.485599999999998</v>
      </c>
      <c r="J585" s="44">
        <f>216.7931</f>
        <v>216.79310000000001</v>
      </c>
    </row>
    <row r="586" spans="1:10" ht="15.75" x14ac:dyDescent="0.25">
      <c r="A586" s="13">
        <v>58409</v>
      </c>
      <c r="B586" s="17">
        <f>28.126 * CHOOSE(CONTROL!$C$15, $E$9, 100%, $G$9) + CHOOSE(CONTROL!$C$38, 0.0339, 0)</f>
        <v>28.1599</v>
      </c>
      <c r="C586" s="17">
        <f>25.7609 * CHOOSE(CONTROL!$C$15, $E$9, 100%, $G$9) + CHOOSE(CONTROL!$C$38, 0.034, 0)</f>
        <v>25.794899999999998</v>
      </c>
      <c r="D586" s="17">
        <f>25.7531 * CHOOSE(CONTROL!$C$15, $E$9, 100%, $G$9) + CHOOSE(CONTROL!$C$38, 0.034, 0)</f>
        <v>25.787099999999999</v>
      </c>
      <c r="E586" s="17">
        <f>25.7531 * CHOOSE(CONTROL!$C$15, $E$9, 100%, $G$9) + CHOOSE(CONTROL!$C$38, 0.034, 0)</f>
        <v>25.787099999999999</v>
      </c>
      <c r="F586" s="45">
        <f>28.126 * CHOOSE(CONTROL!$C$15, $E$9, 100%, $G$9) + CHOOSE(CONTROL!$C$38, 0.0339, 0)</f>
        <v>28.1599</v>
      </c>
      <c r="G586" s="17">
        <f>25.7593 * CHOOSE(CONTROL!$C$15, $E$9, 100%, $G$9) + CHOOSE(CONTROL!$C$38, 0.034, 0)</f>
        <v>25.793299999999999</v>
      </c>
      <c r="H586" s="17">
        <f>25.7593 * CHOOSE(CONTROL!$C$15, $E$9, 100%, $G$9) + CHOOSE(CONTROL!$C$38, 0.034, 0)</f>
        <v>25.793299999999999</v>
      </c>
      <c r="I586" s="17">
        <f>25.7609 * CHOOSE(CONTROL!$C$15, $E$9, 100%, $G$9) + CHOOSE(CONTROL!$C$38, 0.034, 0)</f>
        <v>25.794899999999998</v>
      </c>
      <c r="J586" s="44">
        <f>215.2484</f>
        <v>215.2484</v>
      </c>
    </row>
    <row r="587" spans="1:10" ht="15.75" x14ac:dyDescent="0.25">
      <c r="A587" s="13">
        <v>58440</v>
      </c>
      <c r="B587" s="17">
        <f>29.0789 * CHOOSE(CONTROL!$C$15, $E$9, 100%, $G$9) + CHOOSE(CONTROL!$C$38, 0.0339, 0)</f>
        <v>29.1128</v>
      </c>
      <c r="C587" s="17">
        <f>26.7138 * CHOOSE(CONTROL!$C$15, $E$9, 100%, $G$9) + CHOOSE(CONTROL!$C$38, 0.034, 0)</f>
        <v>26.747799999999998</v>
      </c>
      <c r="D587" s="17">
        <f>26.706 * CHOOSE(CONTROL!$C$15, $E$9, 100%, $G$9) + CHOOSE(CONTROL!$C$38, 0.034, 0)</f>
        <v>26.74</v>
      </c>
      <c r="E587" s="17">
        <f>26.706 * CHOOSE(CONTROL!$C$15, $E$9, 100%, $G$9) + CHOOSE(CONTROL!$C$38, 0.034, 0)</f>
        <v>26.74</v>
      </c>
      <c r="F587" s="45">
        <f>29.0789 * CHOOSE(CONTROL!$C$15, $E$9, 100%, $G$9) + CHOOSE(CONTROL!$C$38, 0.0339, 0)</f>
        <v>29.1128</v>
      </c>
      <c r="G587" s="17">
        <f>26.7122 * CHOOSE(CONTROL!$C$15, $E$9, 100%, $G$9) + CHOOSE(CONTROL!$C$38, 0.034, 0)</f>
        <v>26.746199999999998</v>
      </c>
      <c r="H587" s="17">
        <f>26.7122 * CHOOSE(CONTROL!$C$15, $E$9, 100%, $G$9) + CHOOSE(CONTROL!$C$38, 0.034, 0)</f>
        <v>26.746199999999998</v>
      </c>
      <c r="I587" s="17">
        <f>26.7138 * CHOOSE(CONTROL!$C$15, $E$9, 100%, $G$9) + CHOOSE(CONTROL!$C$38, 0.034, 0)</f>
        <v>26.747799999999998</v>
      </c>
      <c r="J587" s="44">
        <f>208.8609</f>
        <v>208.86089999999999</v>
      </c>
    </row>
    <row r="588" spans="1:10" ht="15.75" x14ac:dyDescent="0.25">
      <c r="A588" s="13">
        <v>58471</v>
      </c>
      <c r="B588" s="17">
        <f>29.8671 * CHOOSE(CONTROL!$C$15, $E$9, 100%, $G$9) + CHOOSE(CONTROL!$C$38, 0.0339, 0)</f>
        <v>29.901</v>
      </c>
      <c r="C588" s="17">
        <f>27.4991 * CHOOSE(CONTROL!$C$15, $E$9, 100%, $G$9) + CHOOSE(CONTROL!$C$38, 0.034, 0)</f>
        <v>27.533099999999997</v>
      </c>
      <c r="D588" s="17">
        <f>27.4912 * CHOOSE(CONTROL!$C$15, $E$9, 100%, $G$9) + CHOOSE(CONTROL!$C$38, 0.034, 0)</f>
        <v>27.525199999999998</v>
      </c>
      <c r="E588" s="17">
        <f>27.4912 * CHOOSE(CONTROL!$C$15, $E$9, 100%, $G$9) + CHOOSE(CONTROL!$C$38, 0.034, 0)</f>
        <v>27.525199999999998</v>
      </c>
      <c r="F588" s="45">
        <f>29.8671 * CHOOSE(CONTROL!$C$15, $E$9, 100%, $G$9) + CHOOSE(CONTROL!$C$38, 0.0339, 0)</f>
        <v>29.901</v>
      </c>
      <c r="G588" s="17">
        <f>27.4975 * CHOOSE(CONTROL!$C$15, $E$9, 100%, $G$9) + CHOOSE(CONTROL!$C$38, 0.034, 0)</f>
        <v>27.531499999999998</v>
      </c>
      <c r="H588" s="17">
        <f>27.4975 * CHOOSE(CONTROL!$C$15, $E$9, 100%, $G$9) + CHOOSE(CONTROL!$C$38, 0.034, 0)</f>
        <v>27.531499999999998</v>
      </c>
      <c r="I588" s="17">
        <f>27.4991 * CHOOSE(CONTROL!$C$15, $E$9, 100%, $G$9) + CHOOSE(CONTROL!$C$38, 0.034, 0)</f>
        <v>27.533099999999997</v>
      </c>
      <c r="J588" s="44">
        <f>205.7723</f>
        <v>205.7723</v>
      </c>
    </row>
    <row r="589" spans="1:10" ht="15.75" x14ac:dyDescent="0.25">
      <c r="A589" s="13">
        <v>58499</v>
      </c>
      <c r="B589" s="17">
        <f>30.2201 * CHOOSE(CONTROL!$C$15, $E$9, 100%, $G$9) + CHOOSE(CONTROL!$C$38, 0.0339, 0)</f>
        <v>30.253999999999998</v>
      </c>
      <c r="C589" s="17">
        <f>27.852 * CHOOSE(CONTROL!$C$15, $E$9, 100%, $G$9) + CHOOSE(CONTROL!$C$38, 0.034, 0)</f>
        <v>27.885999999999999</v>
      </c>
      <c r="D589" s="17">
        <f>27.8442 * CHOOSE(CONTROL!$C$15, $E$9, 100%, $G$9) + CHOOSE(CONTROL!$C$38, 0.034, 0)</f>
        <v>27.8782</v>
      </c>
      <c r="E589" s="17">
        <f>27.8442 * CHOOSE(CONTROL!$C$15, $E$9, 100%, $G$9) + CHOOSE(CONTROL!$C$38, 0.034, 0)</f>
        <v>27.8782</v>
      </c>
      <c r="F589" s="45">
        <f>30.2201 * CHOOSE(CONTROL!$C$15, $E$9, 100%, $G$9) + CHOOSE(CONTROL!$C$38, 0.0339, 0)</f>
        <v>30.253999999999998</v>
      </c>
      <c r="G589" s="17">
        <f>27.8504 * CHOOSE(CONTROL!$C$15, $E$9, 100%, $G$9) + CHOOSE(CONTROL!$C$38, 0.034, 0)</f>
        <v>27.884399999999999</v>
      </c>
      <c r="H589" s="17">
        <f>27.8504 * CHOOSE(CONTROL!$C$15, $E$9, 100%, $G$9) + CHOOSE(CONTROL!$C$38, 0.034, 0)</f>
        <v>27.884399999999999</v>
      </c>
      <c r="I589" s="17">
        <f>27.852 * CHOOSE(CONTROL!$C$15, $E$9, 100%, $G$9) + CHOOSE(CONTROL!$C$38, 0.034, 0)</f>
        <v>27.885999999999999</v>
      </c>
      <c r="J589" s="44">
        <f>205.2003</f>
        <v>205.2003</v>
      </c>
    </row>
    <row r="590" spans="1:10" ht="15.75" x14ac:dyDescent="0.25">
      <c r="A590" s="13">
        <v>58531</v>
      </c>
      <c r="B590" s="17">
        <f>29.4031 * CHOOSE(CONTROL!$C$15, $E$9, 100%, $G$9) + CHOOSE(CONTROL!$C$38, 0.0339, 0)</f>
        <v>29.436999999999998</v>
      </c>
      <c r="C590" s="17">
        <f>27.035 * CHOOSE(CONTROL!$C$15, $E$9, 100%, $G$9) + CHOOSE(CONTROL!$C$38, 0.034, 0)</f>
        <v>27.068999999999999</v>
      </c>
      <c r="D590" s="17">
        <f>27.0272 * CHOOSE(CONTROL!$C$15, $E$9, 100%, $G$9) + CHOOSE(CONTROL!$C$38, 0.034, 0)</f>
        <v>27.061199999999999</v>
      </c>
      <c r="E590" s="17">
        <f>27.0272 * CHOOSE(CONTROL!$C$15, $E$9, 100%, $G$9) + CHOOSE(CONTROL!$C$38, 0.034, 0)</f>
        <v>27.061199999999999</v>
      </c>
      <c r="F590" s="45">
        <f>29.4031 * CHOOSE(CONTROL!$C$15, $E$9, 100%, $G$9) + CHOOSE(CONTROL!$C$38, 0.0339, 0)</f>
        <v>29.436999999999998</v>
      </c>
      <c r="G590" s="17">
        <f>27.0334 * CHOOSE(CONTROL!$C$15, $E$9, 100%, $G$9) + CHOOSE(CONTROL!$C$38, 0.034, 0)</f>
        <v>27.067399999999999</v>
      </c>
      <c r="H590" s="17">
        <f>27.0334 * CHOOSE(CONTROL!$C$15, $E$9, 100%, $G$9) + CHOOSE(CONTROL!$C$38, 0.034, 0)</f>
        <v>27.067399999999999</v>
      </c>
      <c r="I590" s="17">
        <f>27.035 * CHOOSE(CONTROL!$C$15, $E$9, 100%, $G$9) + CHOOSE(CONTROL!$C$38, 0.034, 0)</f>
        <v>27.068999999999999</v>
      </c>
      <c r="J590" s="44">
        <f>216.0156</f>
        <v>216.01560000000001</v>
      </c>
    </row>
    <row r="591" spans="1:10" ht="15.75" x14ac:dyDescent="0.25">
      <c r="A591" s="13">
        <v>58561</v>
      </c>
      <c r="B591" s="17">
        <f>28.6115 * CHOOSE(CONTROL!$C$15, $E$9, 100%, $G$9) + CHOOSE(CONTROL!$C$38, 0.0339, 0)</f>
        <v>28.645399999999999</v>
      </c>
      <c r="C591" s="17">
        <f>26.2434 * CHOOSE(CONTROL!$C$15, $E$9, 100%, $G$9) + CHOOSE(CONTROL!$C$38, 0.034, 0)</f>
        <v>26.2774</v>
      </c>
      <c r="D591" s="17">
        <f>26.2356 * CHOOSE(CONTROL!$C$15, $E$9, 100%, $G$9) + CHOOSE(CONTROL!$C$38, 0.034, 0)</f>
        <v>26.269600000000001</v>
      </c>
      <c r="E591" s="17">
        <f>26.2356 * CHOOSE(CONTROL!$C$15, $E$9, 100%, $G$9) + CHOOSE(CONTROL!$C$38, 0.034, 0)</f>
        <v>26.269600000000001</v>
      </c>
      <c r="F591" s="45">
        <f>28.6115 * CHOOSE(CONTROL!$C$15, $E$9, 100%, $G$9) + CHOOSE(CONTROL!$C$38, 0.0339, 0)</f>
        <v>28.645399999999999</v>
      </c>
      <c r="G591" s="17">
        <f>26.2418 * CHOOSE(CONTROL!$C$15, $E$9, 100%, $G$9) + CHOOSE(CONTROL!$C$38, 0.034, 0)</f>
        <v>26.2758</v>
      </c>
      <c r="H591" s="17">
        <f>26.2418 * CHOOSE(CONTROL!$C$15, $E$9, 100%, $G$9) + CHOOSE(CONTROL!$C$38, 0.034, 0)</f>
        <v>26.2758</v>
      </c>
      <c r="I591" s="17">
        <f>26.2434 * CHOOSE(CONTROL!$C$15, $E$9, 100%, $G$9) + CHOOSE(CONTROL!$C$38, 0.034, 0)</f>
        <v>26.2774</v>
      </c>
      <c r="J591" s="44">
        <f>230.0403</f>
        <v>230.0403</v>
      </c>
    </row>
    <row r="592" spans="1:10" ht="15.75" x14ac:dyDescent="0.25">
      <c r="A592" s="13">
        <v>58592</v>
      </c>
      <c r="B592" s="17">
        <f>27.7864 * CHOOSE(CONTROL!$C$15, $E$9, 100%, $G$9) + CHOOSE(CONTROL!$C$38, 0.0355, 0)</f>
        <v>27.821899999999999</v>
      </c>
      <c r="C592" s="17">
        <f>25.4183 * CHOOSE(CONTROL!$C$15, $E$9, 100%, $G$9) + CHOOSE(CONTROL!$C$38, 0.0356, 0)</f>
        <v>25.453899999999997</v>
      </c>
      <c r="D592" s="17">
        <f>25.4105 * CHOOSE(CONTROL!$C$15, $E$9, 100%, $G$9) + CHOOSE(CONTROL!$C$38, 0.0356, 0)</f>
        <v>25.446099999999998</v>
      </c>
      <c r="E592" s="17">
        <f>25.4105 * CHOOSE(CONTROL!$C$15, $E$9, 100%, $G$9) + CHOOSE(CONTROL!$C$38, 0.0356, 0)</f>
        <v>25.446099999999998</v>
      </c>
      <c r="F592" s="45">
        <f>27.7864 * CHOOSE(CONTROL!$C$15, $E$9, 100%, $G$9) + CHOOSE(CONTROL!$C$38, 0.0355, 0)</f>
        <v>27.821899999999999</v>
      </c>
      <c r="G592" s="17">
        <f>25.4167 * CHOOSE(CONTROL!$C$15, $E$9, 100%, $G$9) + CHOOSE(CONTROL!$C$38, 0.0356, 0)</f>
        <v>25.452299999999997</v>
      </c>
      <c r="H592" s="17">
        <f>25.4167 * CHOOSE(CONTROL!$C$15, $E$9, 100%, $G$9) + CHOOSE(CONTROL!$C$38, 0.0356, 0)</f>
        <v>25.452299999999997</v>
      </c>
      <c r="I592" s="17">
        <f>25.4183 * CHOOSE(CONTROL!$C$15, $E$9, 100%, $G$9) + CHOOSE(CONTROL!$C$38, 0.0356, 0)</f>
        <v>25.453899999999997</v>
      </c>
      <c r="J592" s="44">
        <f>237.76</f>
        <v>237.76</v>
      </c>
    </row>
    <row r="593" spans="1:10" ht="15.75" x14ac:dyDescent="0.25">
      <c r="A593" s="13">
        <v>58622</v>
      </c>
      <c r="B593" s="17">
        <f>27.208 * CHOOSE(CONTROL!$C$15, $E$9, 100%, $G$9) + CHOOSE(CONTROL!$C$38, 0.0355, 0)</f>
        <v>27.243499999999997</v>
      </c>
      <c r="C593" s="17">
        <f>24.8399 * CHOOSE(CONTROL!$C$15, $E$9, 100%, $G$9) + CHOOSE(CONTROL!$C$38, 0.0356, 0)</f>
        <v>24.875499999999999</v>
      </c>
      <c r="D593" s="17">
        <f>24.832 * CHOOSE(CONTROL!$C$15, $E$9, 100%, $G$9) + CHOOSE(CONTROL!$C$38, 0.0356, 0)</f>
        <v>24.867599999999999</v>
      </c>
      <c r="E593" s="17">
        <f>24.832 * CHOOSE(CONTROL!$C$15, $E$9, 100%, $G$9) + CHOOSE(CONTROL!$C$38, 0.0356, 0)</f>
        <v>24.867599999999999</v>
      </c>
      <c r="F593" s="45">
        <f>27.208 * CHOOSE(CONTROL!$C$15, $E$9, 100%, $G$9) + CHOOSE(CONTROL!$C$38, 0.0355, 0)</f>
        <v>27.243499999999997</v>
      </c>
      <c r="G593" s="17">
        <f>24.8383 * CHOOSE(CONTROL!$C$15, $E$9, 100%, $G$9) + CHOOSE(CONTROL!$C$38, 0.0356, 0)</f>
        <v>24.873899999999999</v>
      </c>
      <c r="H593" s="17">
        <f>24.8383 * CHOOSE(CONTROL!$C$15, $E$9, 100%, $G$9) + CHOOSE(CONTROL!$C$38, 0.0356, 0)</f>
        <v>24.873899999999999</v>
      </c>
      <c r="I593" s="17">
        <f>24.8399 * CHOOSE(CONTROL!$C$15, $E$9, 100%, $G$9) + CHOOSE(CONTROL!$C$38, 0.0356, 0)</f>
        <v>24.875499999999999</v>
      </c>
      <c r="J593" s="44">
        <f>241.1859</f>
        <v>241.1859</v>
      </c>
    </row>
    <row r="594" spans="1:10" ht="15.75" x14ac:dyDescent="0.25">
      <c r="A594" s="13">
        <v>58653</v>
      </c>
      <c r="B594" s="17">
        <f>26.8778 * CHOOSE(CONTROL!$C$15, $E$9, 100%, $G$9) + CHOOSE(CONTROL!$C$38, 0.0355, 0)</f>
        <v>26.9133</v>
      </c>
      <c r="C594" s="17">
        <f>24.5098 * CHOOSE(CONTROL!$C$15, $E$9, 100%, $G$9) + CHOOSE(CONTROL!$C$38, 0.0356, 0)</f>
        <v>24.545399999999997</v>
      </c>
      <c r="D594" s="17">
        <f>24.5019 * CHOOSE(CONTROL!$C$15, $E$9, 100%, $G$9) + CHOOSE(CONTROL!$C$38, 0.0356, 0)</f>
        <v>24.537499999999998</v>
      </c>
      <c r="E594" s="17">
        <f>24.5019 * CHOOSE(CONTROL!$C$15, $E$9, 100%, $G$9) + CHOOSE(CONTROL!$C$38, 0.0356, 0)</f>
        <v>24.537499999999998</v>
      </c>
      <c r="F594" s="45">
        <f>26.8778 * CHOOSE(CONTROL!$C$15, $E$9, 100%, $G$9) + CHOOSE(CONTROL!$C$38, 0.0355, 0)</f>
        <v>26.9133</v>
      </c>
      <c r="G594" s="17">
        <f>24.5082 * CHOOSE(CONTROL!$C$15, $E$9, 100%, $G$9) + CHOOSE(CONTROL!$C$38, 0.0356, 0)</f>
        <v>24.543799999999997</v>
      </c>
      <c r="H594" s="17">
        <f>24.5082 * CHOOSE(CONTROL!$C$15, $E$9, 100%, $G$9) + CHOOSE(CONTROL!$C$38, 0.0356, 0)</f>
        <v>24.543799999999997</v>
      </c>
      <c r="I594" s="17">
        <f>24.5098 * CHOOSE(CONTROL!$C$15, $E$9, 100%, $G$9) + CHOOSE(CONTROL!$C$38, 0.0356, 0)</f>
        <v>24.545399999999997</v>
      </c>
      <c r="J594" s="44">
        <f>240.0579</f>
        <v>240.05789999999999</v>
      </c>
    </row>
    <row r="595" spans="1:10" ht="15.75" x14ac:dyDescent="0.25">
      <c r="A595" s="13">
        <v>58684</v>
      </c>
      <c r="B595" s="17">
        <f>27.0408 * CHOOSE(CONTROL!$C$15, $E$9, 100%, $G$9) + CHOOSE(CONTROL!$C$38, 0.0355, 0)</f>
        <v>27.0763</v>
      </c>
      <c r="C595" s="17">
        <f>24.6727 * CHOOSE(CONTROL!$C$15, $E$9, 100%, $G$9) + CHOOSE(CONTROL!$C$38, 0.0356, 0)</f>
        <v>24.708299999999998</v>
      </c>
      <c r="D595" s="17">
        <f>24.6649 * CHOOSE(CONTROL!$C$15, $E$9, 100%, $G$9) + CHOOSE(CONTROL!$C$38, 0.0356, 0)</f>
        <v>24.700499999999998</v>
      </c>
      <c r="E595" s="17">
        <f>24.6649 * CHOOSE(CONTROL!$C$15, $E$9, 100%, $G$9) + CHOOSE(CONTROL!$C$38, 0.0356, 0)</f>
        <v>24.700499999999998</v>
      </c>
      <c r="F595" s="45">
        <f>27.0408 * CHOOSE(CONTROL!$C$15, $E$9, 100%, $G$9) + CHOOSE(CONTROL!$C$38, 0.0355, 0)</f>
        <v>27.0763</v>
      </c>
      <c r="G595" s="17">
        <f>24.6711 * CHOOSE(CONTROL!$C$15, $E$9, 100%, $G$9) + CHOOSE(CONTROL!$C$38, 0.0356, 0)</f>
        <v>24.706699999999998</v>
      </c>
      <c r="H595" s="17">
        <f>24.6711 * CHOOSE(CONTROL!$C$15, $E$9, 100%, $G$9) + CHOOSE(CONTROL!$C$38, 0.0356, 0)</f>
        <v>24.706699999999998</v>
      </c>
      <c r="I595" s="17">
        <f>24.6727 * CHOOSE(CONTROL!$C$15, $E$9, 100%, $G$9) + CHOOSE(CONTROL!$C$38, 0.0356, 0)</f>
        <v>24.708299999999998</v>
      </c>
      <c r="J595" s="44">
        <f>234.4695</f>
        <v>234.46950000000001</v>
      </c>
    </row>
    <row r="596" spans="1:10" ht="15.75" x14ac:dyDescent="0.25">
      <c r="A596" s="13">
        <v>58714</v>
      </c>
      <c r="B596" s="17">
        <f>27.4833 * CHOOSE(CONTROL!$C$15, $E$9, 100%, $G$9) + CHOOSE(CONTROL!$C$38, 0.0355, 0)</f>
        <v>27.518799999999999</v>
      </c>
      <c r="C596" s="17">
        <f>25.1152 * CHOOSE(CONTROL!$C$15, $E$9, 100%, $G$9) + CHOOSE(CONTROL!$C$38, 0.0356, 0)</f>
        <v>25.1508</v>
      </c>
      <c r="D596" s="17">
        <f>25.1074 * CHOOSE(CONTROL!$C$15, $E$9, 100%, $G$9) + CHOOSE(CONTROL!$C$38, 0.0356, 0)</f>
        <v>25.142999999999997</v>
      </c>
      <c r="E596" s="17">
        <f>25.1074 * CHOOSE(CONTROL!$C$15, $E$9, 100%, $G$9) + CHOOSE(CONTROL!$C$38, 0.0356, 0)</f>
        <v>25.142999999999997</v>
      </c>
      <c r="F596" s="45">
        <f>27.4833 * CHOOSE(CONTROL!$C$15, $E$9, 100%, $G$9) + CHOOSE(CONTROL!$C$38, 0.0355, 0)</f>
        <v>27.518799999999999</v>
      </c>
      <c r="G596" s="17">
        <f>25.1136 * CHOOSE(CONTROL!$C$15, $E$9, 100%, $G$9) + CHOOSE(CONTROL!$C$38, 0.0356, 0)</f>
        <v>25.1492</v>
      </c>
      <c r="H596" s="17">
        <f>25.1136 * CHOOSE(CONTROL!$C$15, $E$9, 100%, $G$9) + CHOOSE(CONTROL!$C$38, 0.0356, 0)</f>
        <v>25.1492</v>
      </c>
      <c r="I596" s="17">
        <f>25.1152 * CHOOSE(CONTROL!$C$15, $E$9, 100%, $G$9) + CHOOSE(CONTROL!$C$38, 0.0356, 0)</f>
        <v>25.1508</v>
      </c>
      <c r="J596" s="44">
        <f>226.6761</f>
        <v>226.67609999999999</v>
      </c>
    </row>
    <row r="597" spans="1:10" ht="15.75" x14ac:dyDescent="0.25">
      <c r="A597" s="13">
        <v>58745</v>
      </c>
      <c r="B597" s="17">
        <f>27.8539 * CHOOSE(CONTROL!$C$15, $E$9, 100%, $G$9) + CHOOSE(CONTROL!$C$38, 0.0339, 0)</f>
        <v>27.887799999999999</v>
      </c>
      <c r="C597" s="17">
        <f>25.4858 * CHOOSE(CONTROL!$C$15, $E$9, 100%, $G$9) + CHOOSE(CONTROL!$C$38, 0.034, 0)</f>
        <v>25.5198</v>
      </c>
      <c r="D597" s="17">
        <f>25.478 * CHOOSE(CONTROL!$C$15, $E$9, 100%, $G$9) + CHOOSE(CONTROL!$C$38, 0.034, 0)</f>
        <v>25.512</v>
      </c>
      <c r="E597" s="17">
        <f>25.478 * CHOOSE(CONTROL!$C$15, $E$9, 100%, $G$9) + CHOOSE(CONTROL!$C$38, 0.034, 0)</f>
        <v>25.512</v>
      </c>
      <c r="F597" s="45">
        <f>27.8539 * CHOOSE(CONTROL!$C$15, $E$9, 100%, $G$9) + CHOOSE(CONTROL!$C$38, 0.0339, 0)</f>
        <v>27.887799999999999</v>
      </c>
      <c r="G597" s="17">
        <f>25.4842 * CHOOSE(CONTROL!$C$15, $E$9, 100%, $G$9) + CHOOSE(CONTROL!$C$38, 0.034, 0)</f>
        <v>25.5182</v>
      </c>
      <c r="H597" s="17">
        <f>25.4842 * CHOOSE(CONTROL!$C$15, $E$9, 100%, $G$9) + CHOOSE(CONTROL!$C$38, 0.034, 0)</f>
        <v>25.5182</v>
      </c>
      <c r="I597" s="17">
        <f>25.4858 * CHOOSE(CONTROL!$C$15, $E$9, 100%, $G$9) + CHOOSE(CONTROL!$C$38, 0.034, 0)</f>
        <v>25.5198</v>
      </c>
      <c r="J597" s="44">
        <f>218.8374</f>
        <v>218.8374</v>
      </c>
    </row>
    <row r="598" spans="1:10" ht="15.75" x14ac:dyDescent="0.25">
      <c r="A598" s="13">
        <v>58775</v>
      </c>
      <c r="B598" s="17">
        <f>28.1631 * CHOOSE(CONTROL!$C$15, $E$9, 100%, $G$9) + CHOOSE(CONTROL!$C$38, 0.0339, 0)</f>
        <v>28.196999999999999</v>
      </c>
      <c r="C598" s="17">
        <f>25.795 * CHOOSE(CONTROL!$C$15, $E$9, 100%, $G$9) + CHOOSE(CONTROL!$C$38, 0.034, 0)</f>
        <v>25.829000000000001</v>
      </c>
      <c r="D598" s="17">
        <f>25.7872 * CHOOSE(CONTROL!$C$15, $E$9, 100%, $G$9) + CHOOSE(CONTROL!$C$38, 0.034, 0)</f>
        <v>25.821199999999997</v>
      </c>
      <c r="E598" s="17">
        <f>25.7872 * CHOOSE(CONTROL!$C$15, $E$9, 100%, $G$9) + CHOOSE(CONTROL!$C$38, 0.034, 0)</f>
        <v>25.821199999999997</v>
      </c>
      <c r="F598" s="45">
        <f>28.1631 * CHOOSE(CONTROL!$C$15, $E$9, 100%, $G$9) + CHOOSE(CONTROL!$C$38, 0.0339, 0)</f>
        <v>28.196999999999999</v>
      </c>
      <c r="G598" s="17">
        <f>25.7935 * CHOOSE(CONTROL!$C$15, $E$9, 100%, $G$9) + CHOOSE(CONTROL!$C$38, 0.034, 0)</f>
        <v>25.827500000000001</v>
      </c>
      <c r="H598" s="17">
        <f>25.7935 * CHOOSE(CONTROL!$C$15, $E$9, 100%, $G$9) + CHOOSE(CONTROL!$C$38, 0.034, 0)</f>
        <v>25.827500000000001</v>
      </c>
      <c r="I598" s="17">
        <f>25.795 * CHOOSE(CONTROL!$C$15, $E$9, 100%, $G$9) + CHOOSE(CONTROL!$C$38, 0.034, 0)</f>
        <v>25.829000000000001</v>
      </c>
      <c r="J598" s="44">
        <f>217.2782</f>
        <v>217.2782</v>
      </c>
    </row>
    <row r="599" spans="1:10" ht="15.75" x14ac:dyDescent="0.25">
      <c r="A599" s="13">
        <v>58806</v>
      </c>
      <c r="B599" s="17">
        <f>29.116 * CHOOSE(CONTROL!$C$15, $E$9, 100%, $G$9) + CHOOSE(CONTROL!$C$38, 0.0339, 0)</f>
        <v>29.149899999999999</v>
      </c>
      <c r="C599" s="17">
        <f>26.7479 * CHOOSE(CONTROL!$C$15, $E$9, 100%, $G$9) + CHOOSE(CONTROL!$C$38, 0.034, 0)</f>
        <v>26.7819</v>
      </c>
      <c r="D599" s="17">
        <f>26.7401 * CHOOSE(CONTROL!$C$15, $E$9, 100%, $G$9) + CHOOSE(CONTROL!$C$38, 0.034, 0)</f>
        <v>26.774100000000001</v>
      </c>
      <c r="E599" s="17">
        <f>26.7401 * CHOOSE(CONTROL!$C$15, $E$9, 100%, $G$9) + CHOOSE(CONTROL!$C$38, 0.034, 0)</f>
        <v>26.774100000000001</v>
      </c>
      <c r="F599" s="45">
        <f>29.116 * CHOOSE(CONTROL!$C$15, $E$9, 100%, $G$9) + CHOOSE(CONTROL!$C$38, 0.0339, 0)</f>
        <v>29.149899999999999</v>
      </c>
      <c r="G599" s="17">
        <f>26.7464 * CHOOSE(CONTROL!$C$15, $E$9, 100%, $G$9) + CHOOSE(CONTROL!$C$38, 0.034, 0)</f>
        <v>26.7804</v>
      </c>
      <c r="H599" s="17">
        <f>26.7464 * CHOOSE(CONTROL!$C$15, $E$9, 100%, $G$9) + CHOOSE(CONTROL!$C$38, 0.034, 0)</f>
        <v>26.7804</v>
      </c>
      <c r="I599" s="17">
        <f>26.7479 * CHOOSE(CONTROL!$C$15, $E$9, 100%, $G$9) + CHOOSE(CONTROL!$C$38, 0.034, 0)</f>
        <v>26.7819</v>
      </c>
      <c r="J599" s="44">
        <f>210.8304</f>
        <v>210.8304</v>
      </c>
    </row>
    <row r="600" spans="1:10" ht="15.75" x14ac:dyDescent="0.25">
      <c r="A600" s="13">
        <v>58837</v>
      </c>
      <c r="B600" s="17">
        <f>29.9043 * CHOOSE(CONTROL!$C$15, $E$9, 100%, $G$9) + CHOOSE(CONTROL!$C$38, 0.0339, 0)</f>
        <v>29.938199999999998</v>
      </c>
      <c r="C600" s="17">
        <f>27.5333 * CHOOSE(CONTROL!$C$15, $E$9, 100%, $G$9) + CHOOSE(CONTROL!$C$38, 0.034, 0)</f>
        <v>27.567299999999999</v>
      </c>
      <c r="D600" s="17">
        <f>27.5254 * CHOOSE(CONTROL!$C$15, $E$9, 100%, $G$9) + CHOOSE(CONTROL!$C$38, 0.034, 0)</f>
        <v>27.5594</v>
      </c>
      <c r="E600" s="17">
        <f>27.5254 * CHOOSE(CONTROL!$C$15, $E$9, 100%, $G$9) + CHOOSE(CONTROL!$C$38, 0.034, 0)</f>
        <v>27.5594</v>
      </c>
      <c r="F600" s="45">
        <f>29.9043 * CHOOSE(CONTROL!$C$15, $E$9, 100%, $G$9) + CHOOSE(CONTROL!$C$38, 0.0339, 0)</f>
        <v>29.938199999999998</v>
      </c>
      <c r="G600" s="17">
        <f>27.5317 * CHOOSE(CONTROL!$C$15, $E$9, 100%, $G$9) + CHOOSE(CONTROL!$C$38, 0.034, 0)</f>
        <v>27.5657</v>
      </c>
      <c r="H600" s="17">
        <f>27.5317 * CHOOSE(CONTROL!$C$15, $E$9, 100%, $G$9) + CHOOSE(CONTROL!$C$38, 0.034, 0)</f>
        <v>27.5657</v>
      </c>
      <c r="I600" s="17">
        <f>27.5333 * CHOOSE(CONTROL!$C$15, $E$9, 100%, $G$9) + CHOOSE(CONTROL!$C$38, 0.034, 0)</f>
        <v>27.567299999999999</v>
      </c>
      <c r="J600" s="44">
        <f>207.7127</f>
        <v>207.71270000000001</v>
      </c>
    </row>
    <row r="601" spans="1:10" ht="15.75" x14ac:dyDescent="0.25">
      <c r="A601" s="13">
        <v>58865</v>
      </c>
      <c r="B601" s="17">
        <f>30.2572 * CHOOSE(CONTROL!$C$15, $E$9, 100%, $G$9) + CHOOSE(CONTROL!$C$38, 0.0339, 0)</f>
        <v>30.2911</v>
      </c>
      <c r="C601" s="17">
        <f>27.8862 * CHOOSE(CONTROL!$C$15, $E$9, 100%, $G$9) + CHOOSE(CONTROL!$C$38, 0.034, 0)</f>
        <v>27.920199999999998</v>
      </c>
      <c r="D601" s="17">
        <f>27.8784 * CHOOSE(CONTROL!$C$15, $E$9, 100%, $G$9) + CHOOSE(CONTROL!$C$38, 0.034, 0)</f>
        <v>27.912399999999998</v>
      </c>
      <c r="E601" s="17">
        <f>27.8784 * CHOOSE(CONTROL!$C$15, $E$9, 100%, $G$9) + CHOOSE(CONTROL!$C$38, 0.034, 0)</f>
        <v>27.912399999999998</v>
      </c>
      <c r="F601" s="45">
        <f>30.2572 * CHOOSE(CONTROL!$C$15, $E$9, 100%, $G$9) + CHOOSE(CONTROL!$C$38, 0.0339, 0)</f>
        <v>30.2911</v>
      </c>
      <c r="G601" s="17">
        <f>27.8846 * CHOOSE(CONTROL!$C$15, $E$9, 100%, $G$9) + CHOOSE(CONTROL!$C$38, 0.034, 0)</f>
        <v>27.918599999999998</v>
      </c>
      <c r="H601" s="17">
        <f>27.8846 * CHOOSE(CONTROL!$C$15, $E$9, 100%, $G$9) + CHOOSE(CONTROL!$C$38, 0.034, 0)</f>
        <v>27.918599999999998</v>
      </c>
      <c r="I601" s="17">
        <f>27.8862 * CHOOSE(CONTROL!$C$15, $E$9, 100%, $G$9) + CHOOSE(CONTROL!$C$38, 0.034, 0)</f>
        <v>27.920199999999998</v>
      </c>
      <c r="J601" s="44">
        <f>207.1353</f>
        <v>207.1353</v>
      </c>
    </row>
    <row r="602" spans="1:10" ht="15.75" x14ac:dyDescent="0.25">
      <c r="A602" s="13">
        <v>58893</v>
      </c>
      <c r="B602" s="17">
        <f>29.4403 * CHOOSE(CONTROL!$C$15, $E$9, 100%, $G$9) + CHOOSE(CONTROL!$C$38, 0.0339, 0)</f>
        <v>29.4742</v>
      </c>
      <c r="C602" s="17">
        <f>27.0692 * CHOOSE(CONTROL!$C$15, $E$9, 100%, $G$9) + CHOOSE(CONTROL!$C$38, 0.034, 0)</f>
        <v>27.103199999999998</v>
      </c>
      <c r="D602" s="17">
        <f>27.0614 * CHOOSE(CONTROL!$C$15, $E$9, 100%, $G$9) + CHOOSE(CONTROL!$C$38, 0.034, 0)</f>
        <v>27.095399999999998</v>
      </c>
      <c r="E602" s="17">
        <f>27.0614 * CHOOSE(CONTROL!$C$15, $E$9, 100%, $G$9) + CHOOSE(CONTROL!$C$38, 0.034, 0)</f>
        <v>27.095399999999998</v>
      </c>
      <c r="F602" s="45">
        <f>29.4403 * CHOOSE(CONTROL!$C$15, $E$9, 100%, $G$9) + CHOOSE(CONTROL!$C$38, 0.0339, 0)</f>
        <v>29.4742</v>
      </c>
      <c r="G602" s="17">
        <f>27.0677 * CHOOSE(CONTROL!$C$15, $E$9, 100%, $G$9) + CHOOSE(CONTROL!$C$38, 0.034, 0)</f>
        <v>27.101699999999997</v>
      </c>
      <c r="H602" s="17">
        <f>27.0677 * CHOOSE(CONTROL!$C$15, $E$9, 100%, $G$9) + CHOOSE(CONTROL!$C$38, 0.034, 0)</f>
        <v>27.101699999999997</v>
      </c>
      <c r="I602" s="17">
        <f>27.0692 * CHOOSE(CONTROL!$C$15, $E$9, 100%, $G$9) + CHOOSE(CONTROL!$C$38, 0.034, 0)</f>
        <v>27.103199999999998</v>
      </c>
      <c r="J602" s="44">
        <f>218.0526</f>
        <v>218.05260000000001</v>
      </c>
    </row>
    <row r="603" spans="1:10" ht="15.75" x14ac:dyDescent="0.25">
      <c r="A603" s="13">
        <v>58926</v>
      </c>
      <c r="B603" s="17">
        <f>28.6487 * CHOOSE(CONTROL!$C$15, $E$9, 100%, $G$9) + CHOOSE(CONTROL!$C$38, 0.0339, 0)</f>
        <v>28.682600000000001</v>
      </c>
      <c r="C603" s="17">
        <f>26.2776 * CHOOSE(CONTROL!$C$15, $E$9, 100%, $G$9) + CHOOSE(CONTROL!$C$38, 0.034, 0)</f>
        <v>26.311599999999999</v>
      </c>
      <c r="D603" s="17">
        <f>26.2698 * CHOOSE(CONTROL!$C$15, $E$9, 100%, $G$9) + CHOOSE(CONTROL!$C$38, 0.034, 0)</f>
        <v>26.303799999999999</v>
      </c>
      <c r="E603" s="17">
        <f>26.2698 * CHOOSE(CONTROL!$C$15, $E$9, 100%, $G$9) + CHOOSE(CONTROL!$C$38, 0.034, 0)</f>
        <v>26.303799999999999</v>
      </c>
      <c r="F603" s="45">
        <f>28.6487 * CHOOSE(CONTROL!$C$15, $E$9, 100%, $G$9) + CHOOSE(CONTROL!$C$38, 0.0339, 0)</f>
        <v>28.682600000000001</v>
      </c>
      <c r="G603" s="17">
        <f>26.276 * CHOOSE(CONTROL!$C$15, $E$9, 100%, $G$9) + CHOOSE(CONTROL!$C$38, 0.034, 0)</f>
        <v>26.31</v>
      </c>
      <c r="H603" s="17">
        <f>26.276 * CHOOSE(CONTROL!$C$15, $E$9, 100%, $G$9) + CHOOSE(CONTROL!$C$38, 0.034, 0)</f>
        <v>26.31</v>
      </c>
      <c r="I603" s="17">
        <f>26.2776 * CHOOSE(CONTROL!$C$15, $E$9, 100%, $G$9) + CHOOSE(CONTROL!$C$38, 0.034, 0)</f>
        <v>26.311599999999999</v>
      </c>
      <c r="J603" s="44">
        <f>232.2096</f>
        <v>232.20959999999999</v>
      </c>
    </row>
    <row r="604" spans="1:10" ht="15.75" x14ac:dyDescent="0.25">
      <c r="A604" s="13">
        <v>58957</v>
      </c>
      <c r="B604" s="17">
        <f>27.8236 * CHOOSE(CONTROL!$C$15, $E$9, 100%, $G$9) + CHOOSE(CONTROL!$C$38, 0.0355, 0)</f>
        <v>27.859099999999998</v>
      </c>
      <c r="C604" s="17">
        <f>25.4525 * CHOOSE(CONTROL!$C$15, $E$9, 100%, $G$9) + CHOOSE(CONTROL!$C$38, 0.0356, 0)</f>
        <v>25.488099999999999</v>
      </c>
      <c r="D604" s="17">
        <f>25.4447 * CHOOSE(CONTROL!$C$15, $E$9, 100%, $G$9) + CHOOSE(CONTROL!$C$38, 0.0356, 0)</f>
        <v>25.4803</v>
      </c>
      <c r="E604" s="17">
        <f>25.4447 * CHOOSE(CONTROL!$C$15, $E$9, 100%, $G$9) + CHOOSE(CONTROL!$C$38, 0.0356, 0)</f>
        <v>25.4803</v>
      </c>
      <c r="F604" s="45">
        <f>27.8236 * CHOOSE(CONTROL!$C$15, $E$9, 100%, $G$9) + CHOOSE(CONTROL!$C$38, 0.0355, 0)</f>
        <v>27.859099999999998</v>
      </c>
      <c r="G604" s="17">
        <f>25.4509 * CHOOSE(CONTROL!$C$15, $E$9, 100%, $G$9) + CHOOSE(CONTROL!$C$38, 0.0356, 0)</f>
        <v>25.486499999999999</v>
      </c>
      <c r="H604" s="17">
        <f>25.4509 * CHOOSE(CONTROL!$C$15, $E$9, 100%, $G$9) + CHOOSE(CONTROL!$C$38, 0.0356, 0)</f>
        <v>25.486499999999999</v>
      </c>
      <c r="I604" s="17">
        <f>25.4525 * CHOOSE(CONTROL!$C$15, $E$9, 100%, $G$9) + CHOOSE(CONTROL!$C$38, 0.0356, 0)</f>
        <v>25.488099999999999</v>
      </c>
      <c r="J604" s="44">
        <f>240.0021</f>
        <v>240.00210000000001</v>
      </c>
    </row>
    <row r="605" spans="1:10" ht="15.75" x14ac:dyDescent="0.25">
      <c r="A605" s="13">
        <v>58987</v>
      </c>
      <c r="B605" s="17">
        <f>27.2451 * CHOOSE(CONTROL!$C$15, $E$9, 100%, $G$9) + CHOOSE(CONTROL!$C$38, 0.0355, 0)</f>
        <v>27.2806</v>
      </c>
      <c r="C605" s="17">
        <f>24.8741 * CHOOSE(CONTROL!$C$15, $E$9, 100%, $G$9) + CHOOSE(CONTROL!$C$38, 0.0356, 0)</f>
        <v>24.909699999999997</v>
      </c>
      <c r="D605" s="17">
        <f>24.8663 * CHOOSE(CONTROL!$C$15, $E$9, 100%, $G$9) + CHOOSE(CONTROL!$C$38, 0.0356, 0)</f>
        <v>24.901899999999998</v>
      </c>
      <c r="E605" s="17">
        <f>24.8663 * CHOOSE(CONTROL!$C$15, $E$9, 100%, $G$9) + CHOOSE(CONTROL!$C$38, 0.0356, 0)</f>
        <v>24.901899999999998</v>
      </c>
      <c r="F605" s="45">
        <f>27.2451 * CHOOSE(CONTROL!$C$15, $E$9, 100%, $G$9) + CHOOSE(CONTROL!$C$38, 0.0355, 0)</f>
        <v>27.2806</v>
      </c>
      <c r="G605" s="17">
        <f>24.8725 * CHOOSE(CONTROL!$C$15, $E$9, 100%, $G$9) + CHOOSE(CONTROL!$C$38, 0.0356, 0)</f>
        <v>24.908099999999997</v>
      </c>
      <c r="H605" s="17">
        <f>24.8725 * CHOOSE(CONTROL!$C$15, $E$9, 100%, $G$9) + CHOOSE(CONTROL!$C$38, 0.0356, 0)</f>
        <v>24.908099999999997</v>
      </c>
      <c r="I605" s="17">
        <f>24.8741 * CHOOSE(CONTROL!$C$15, $E$9, 100%, $G$9) + CHOOSE(CONTROL!$C$38, 0.0356, 0)</f>
        <v>24.909699999999997</v>
      </c>
      <c r="J605" s="44">
        <f>243.4603</f>
        <v>243.46029999999999</v>
      </c>
    </row>
    <row r="606" spans="1:10" ht="15.75" x14ac:dyDescent="0.25">
      <c r="A606" s="13">
        <v>59018</v>
      </c>
      <c r="B606" s="17">
        <f>26.915 * CHOOSE(CONTROL!$C$15, $E$9, 100%, $G$9) + CHOOSE(CONTROL!$C$38, 0.0355, 0)</f>
        <v>26.950499999999998</v>
      </c>
      <c r="C606" s="17">
        <f>24.544 * CHOOSE(CONTROL!$C$15, $E$9, 100%, $G$9) + CHOOSE(CONTROL!$C$38, 0.0356, 0)</f>
        <v>24.579599999999999</v>
      </c>
      <c r="D606" s="17">
        <f>24.5361 * CHOOSE(CONTROL!$C$15, $E$9, 100%, $G$9) + CHOOSE(CONTROL!$C$38, 0.0356, 0)</f>
        <v>24.5717</v>
      </c>
      <c r="E606" s="17">
        <f>24.5361 * CHOOSE(CONTROL!$C$15, $E$9, 100%, $G$9) + CHOOSE(CONTROL!$C$38, 0.0356, 0)</f>
        <v>24.5717</v>
      </c>
      <c r="F606" s="45">
        <f>26.915 * CHOOSE(CONTROL!$C$15, $E$9, 100%, $G$9) + CHOOSE(CONTROL!$C$38, 0.0355, 0)</f>
        <v>26.950499999999998</v>
      </c>
      <c r="G606" s="17">
        <f>24.5424 * CHOOSE(CONTROL!$C$15, $E$9, 100%, $G$9) + CHOOSE(CONTROL!$C$38, 0.0356, 0)</f>
        <v>24.577999999999999</v>
      </c>
      <c r="H606" s="17">
        <f>24.5424 * CHOOSE(CONTROL!$C$15, $E$9, 100%, $G$9) + CHOOSE(CONTROL!$C$38, 0.0356, 0)</f>
        <v>24.577999999999999</v>
      </c>
      <c r="I606" s="17">
        <f>24.544 * CHOOSE(CONTROL!$C$15, $E$9, 100%, $G$9) + CHOOSE(CONTROL!$C$38, 0.0356, 0)</f>
        <v>24.579599999999999</v>
      </c>
      <c r="J606" s="44">
        <f>242.3217</f>
        <v>242.32169999999999</v>
      </c>
    </row>
    <row r="607" spans="1:10" ht="15.75" x14ac:dyDescent="0.25">
      <c r="A607" s="13">
        <v>59049</v>
      </c>
      <c r="B607" s="17">
        <f>27.0779 * CHOOSE(CONTROL!$C$15, $E$9, 100%, $G$9) + CHOOSE(CONTROL!$C$38, 0.0355, 0)</f>
        <v>27.113399999999999</v>
      </c>
      <c r="C607" s="17">
        <f>24.7069 * CHOOSE(CONTROL!$C$15, $E$9, 100%, $G$9) + CHOOSE(CONTROL!$C$38, 0.0356, 0)</f>
        <v>24.7425</v>
      </c>
      <c r="D607" s="17">
        <f>24.6991 * CHOOSE(CONTROL!$C$15, $E$9, 100%, $G$9) + CHOOSE(CONTROL!$C$38, 0.0356, 0)</f>
        <v>24.7347</v>
      </c>
      <c r="E607" s="17">
        <f>24.6991 * CHOOSE(CONTROL!$C$15, $E$9, 100%, $G$9) + CHOOSE(CONTROL!$C$38, 0.0356, 0)</f>
        <v>24.7347</v>
      </c>
      <c r="F607" s="45">
        <f>27.0779 * CHOOSE(CONTROL!$C$15, $E$9, 100%, $G$9) + CHOOSE(CONTROL!$C$38, 0.0355, 0)</f>
        <v>27.113399999999999</v>
      </c>
      <c r="G607" s="17">
        <f>24.7053 * CHOOSE(CONTROL!$C$15, $E$9, 100%, $G$9) + CHOOSE(CONTROL!$C$38, 0.0356, 0)</f>
        <v>24.7409</v>
      </c>
      <c r="H607" s="17">
        <f>24.7053 * CHOOSE(CONTROL!$C$15, $E$9, 100%, $G$9) + CHOOSE(CONTROL!$C$38, 0.0356, 0)</f>
        <v>24.7409</v>
      </c>
      <c r="I607" s="17">
        <f>24.7069 * CHOOSE(CONTROL!$C$15, $E$9, 100%, $G$9) + CHOOSE(CONTROL!$C$38, 0.0356, 0)</f>
        <v>24.7425</v>
      </c>
      <c r="J607" s="44">
        <f>236.6805</f>
        <v>236.68049999999999</v>
      </c>
    </row>
    <row r="608" spans="1:10" ht="15.75" x14ac:dyDescent="0.25">
      <c r="A608" s="13">
        <v>59079</v>
      </c>
      <c r="B608" s="17">
        <f>27.5204 * CHOOSE(CONTROL!$C$15, $E$9, 100%, $G$9) + CHOOSE(CONTROL!$C$38, 0.0355, 0)</f>
        <v>27.555899999999998</v>
      </c>
      <c r="C608" s="17">
        <f>25.1494 * CHOOSE(CONTROL!$C$15, $E$9, 100%, $G$9) + CHOOSE(CONTROL!$C$38, 0.0356, 0)</f>
        <v>25.184999999999999</v>
      </c>
      <c r="D608" s="17">
        <f>25.1416 * CHOOSE(CONTROL!$C$15, $E$9, 100%, $G$9) + CHOOSE(CONTROL!$C$38, 0.0356, 0)</f>
        <v>25.177199999999999</v>
      </c>
      <c r="E608" s="17">
        <f>25.1416 * CHOOSE(CONTROL!$C$15, $E$9, 100%, $G$9) + CHOOSE(CONTROL!$C$38, 0.0356, 0)</f>
        <v>25.177199999999999</v>
      </c>
      <c r="F608" s="45">
        <f>27.5204 * CHOOSE(CONTROL!$C$15, $E$9, 100%, $G$9) + CHOOSE(CONTROL!$C$38, 0.0355, 0)</f>
        <v>27.555899999999998</v>
      </c>
      <c r="G608" s="17">
        <f>25.1478 * CHOOSE(CONTROL!$C$15, $E$9, 100%, $G$9) + CHOOSE(CONTROL!$C$38, 0.0356, 0)</f>
        <v>25.183399999999999</v>
      </c>
      <c r="H608" s="17">
        <f>25.1478 * CHOOSE(CONTROL!$C$15, $E$9, 100%, $G$9) + CHOOSE(CONTROL!$C$38, 0.0356, 0)</f>
        <v>25.183399999999999</v>
      </c>
      <c r="I608" s="17">
        <f>25.1494 * CHOOSE(CONTROL!$C$15, $E$9, 100%, $G$9) + CHOOSE(CONTROL!$C$38, 0.0356, 0)</f>
        <v>25.184999999999999</v>
      </c>
      <c r="J608" s="44">
        <f>228.8137</f>
        <v>228.81370000000001</v>
      </c>
    </row>
    <row r="609" spans="1:11" ht="15.75" x14ac:dyDescent="0.25">
      <c r="A609" s="13">
        <v>59110</v>
      </c>
      <c r="B609" s="17">
        <f>27.891 * CHOOSE(CONTROL!$C$15, $E$9, 100%, $G$9) + CHOOSE(CONTROL!$C$38, 0.0339, 0)</f>
        <v>27.924899999999997</v>
      </c>
      <c r="C609" s="17">
        <f>25.52 * CHOOSE(CONTROL!$C$15, $E$9, 100%, $G$9) + CHOOSE(CONTROL!$C$38, 0.034, 0)</f>
        <v>25.553999999999998</v>
      </c>
      <c r="D609" s="17">
        <f>25.5122 * CHOOSE(CONTROL!$C$15, $E$9, 100%, $G$9) + CHOOSE(CONTROL!$C$38, 0.034, 0)</f>
        <v>25.546199999999999</v>
      </c>
      <c r="E609" s="17">
        <f>25.5122 * CHOOSE(CONTROL!$C$15, $E$9, 100%, $G$9) + CHOOSE(CONTROL!$C$38, 0.034, 0)</f>
        <v>25.546199999999999</v>
      </c>
      <c r="F609" s="45">
        <f>27.891 * CHOOSE(CONTROL!$C$15, $E$9, 100%, $G$9) + CHOOSE(CONTROL!$C$38, 0.0339, 0)</f>
        <v>27.924899999999997</v>
      </c>
      <c r="G609" s="17">
        <f>25.5184 * CHOOSE(CONTROL!$C$15, $E$9, 100%, $G$9) + CHOOSE(CONTROL!$C$38, 0.034, 0)</f>
        <v>25.552399999999999</v>
      </c>
      <c r="H609" s="17">
        <f>25.5184 * CHOOSE(CONTROL!$C$15, $E$9, 100%, $G$9) + CHOOSE(CONTROL!$C$38, 0.034, 0)</f>
        <v>25.552399999999999</v>
      </c>
      <c r="I609" s="17">
        <f>25.52 * CHOOSE(CONTROL!$C$15, $E$9, 100%, $G$9) + CHOOSE(CONTROL!$C$38, 0.034, 0)</f>
        <v>25.553999999999998</v>
      </c>
      <c r="J609" s="44">
        <f>220.9011</f>
        <v>220.90110000000001</v>
      </c>
    </row>
    <row r="610" spans="1:11" ht="15.75" x14ac:dyDescent="0.25">
      <c r="A610" s="13">
        <v>59140</v>
      </c>
      <c r="B610" s="17">
        <f>28.2003 * CHOOSE(CONTROL!$C$15, $E$9, 100%, $G$9) + CHOOSE(CONTROL!$C$38, 0.0339, 0)</f>
        <v>28.234199999999998</v>
      </c>
      <c r="C610" s="17">
        <f>25.8292 * CHOOSE(CONTROL!$C$15, $E$9, 100%, $G$9) + CHOOSE(CONTROL!$C$38, 0.034, 0)</f>
        <v>25.863199999999999</v>
      </c>
      <c r="D610" s="17">
        <f>25.8214 * CHOOSE(CONTROL!$C$15, $E$9, 100%, $G$9) + CHOOSE(CONTROL!$C$38, 0.034, 0)</f>
        <v>25.855399999999999</v>
      </c>
      <c r="E610" s="17">
        <f>25.8214 * CHOOSE(CONTROL!$C$15, $E$9, 100%, $G$9) + CHOOSE(CONTROL!$C$38, 0.034, 0)</f>
        <v>25.855399999999999</v>
      </c>
      <c r="F610" s="45">
        <f>28.2003 * CHOOSE(CONTROL!$C$15, $E$9, 100%, $G$9) + CHOOSE(CONTROL!$C$38, 0.0339, 0)</f>
        <v>28.234199999999998</v>
      </c>
      <c r="G610" s="17">
        <f>25.8277 * CHOOSE(CONTROL!$C$15, $E$9, 100%, $G$9) + CHOOSE(CONTROL!$C$38, 0.034, 0)</f>
        <v>25.861699999999999</v>
      </c>
      <c r="H610" s="17">
        <f>25.8277 * CHOOSE(CONTROL!$C$15, $E$9, 100%, $G$9) + CHOOSE(CONTROL!$C$38, 0.034, 0)</f>
        <v>25.861699999999999</v>
      </c>
      <c r="I610" s="17">
        <f>25.8292 * CHOOSE(CONTROL!$C$15, $E$9, 100%, $G$9) + CHOOSE(CONTROL!$C$38, 0.034, 0)</f>
        <v>25.863199999999999</v>
      </c>
      <c r="J610" s="44">
        <f>219.3271</f>
        <v>219.3271</v>
      </c>
    </row>
    <row r="611" spans="1:11" ht="15.75" x14ac:dyDescent="0.25">
      <c r="A611" s="13">
        <v>59171</v>
      </c>
      <c r="B611" s="17">
        <f>29.1532 * CHOOSE(CONTROL!$C$15, $E$9, 100%, $G$9) + CHOOSE(CONTROL!$C$38, 0.0339, 0)</f>
        <v>29.187099999999997</v>
      </c>
      <c r="C611" s="17">
        <f>26.7821 * CHOOSE(CONTROL!$C$15, $E$9, 100%, $G$9) + CHOOSE(CONTROL!$C$38, 0.034, 0)</f>
        <v>26.816099999999999</v>
      </c>
      <c r="D611" s="17">
        <f>26.7743 * CHOOSE(CONTROL!$C$15, $E$9, 100%, $G$9) + CHOOSE(CONTROL!$C$38, 0.034, 0)</f>
        <v>26.808299999999999</v>
      </c>
      <c r="E611" s="17">
        <f>26.7743 * CHOOSE(CONTROL!$C$15, $E$9, 100%, $G$9) + CHOOSE(CONTROL!$C$38, 0.034, 0)</f>
        <v>26.808299999999999</v>
      </c>
      <c r="F611" s="45">
        <f>29.1532 * CHOOSE(CONTROL!$C$15, $E$9, 100%, $G$9) + CHOOSE(CONTROL!$C$38, 0.0339, 0)</f>
        <v>29.187099999999997</v>
      </c>
      <c r="G611" s="17">
        <f>26.7806 * CHOOSE(CONTROL!$C$15, $E$9, 100%, $G$9) + CHOOSE(CONTROL!$C$38, 0.034, 0)</f>
        <v>26.814599999999999</v>
      </c>
      <c r="H611" s="17">
        <f>26.7806 * CHOOSE(CONTROL!$C$15, $E$9, 100%, $G$9) + CHOOSE(CONTROL!$C$38, 0.034, 0)</f>
        <v>26.814599999999999</v>
      </c>
      <c r="I611" s="17">
        <f>26.7821 * CHOOSE(CONTROL!$C$15, $E$9, 100%, $G$9) + CHOOSE(CONTROL!$C$38, 0.034, 0)</f>
        <v>26.816099999999999</v>
      </c>
      <c r="J611" s="44">
        <f>212.8186</f>
        <v>212.8186</v>
      </c>
    </row>
    <row r="612" spans="1:11" ht="15" x14ac:dyDescent="0.2">
      <c r="A612" s="12"/>
      <c r="B612" s="17"/>
      <c r="C612" s="17"/>
      <c r="D612" s="17"/>
      <c r="E612" s="17"/>
      <c r="F612" s="17"/>
      <c r="G612" s="17"/>
      <c r="H612" s="17"/>
      <c r="I612" s="17"/>
    </row>
    <row r="613" spans="1:11" ht="15" x14ac:dyDescent="0.2">
      <c r="A613" s="11">
        <v>2012</v>
      </c>
      <c r="B613" s="17">
        <f t="shared" ref="B613:J613" si="0">AVERAGE(B12:B23)</f>
        <v>17.614502017908421</v>
      </c>
      <c r="C613" s="17">
        <f t="shared" si="0"/>
        <v>16.978186308605427</v>
      </c>
      <c r="D613" s="17">
        <f t="shared" si="0"/>
        <v>16.970373808605427</v>
      </c>
      <c r="E613" s="17">
        <f t="shared" si="0"/>
        <v>16.970373808605427</v>
      </c>
      <c r="F613" s="17">
        <f t="shared" si="0"/>
        <v>16.917248808605425</v>
      </c>
      <c r="G613" s="17">
        <f t="shared" si="0"/>
        <v>16.976623808605424</v>
      </c>
      <c r="H613" s="17">
        <f t="shared" si="0"/>
        <v>16.976623808605424</v>
      </c>
      <c r="I613" s="17">
        <f t="shared" si="0"/>
        <v>16.978186308605427</v>
      </c>
      <c r="J613" s="17">
        <f t="shared" si="0"/>
        <v>94.747500000000002</v>
      </c>
      <c r="K613" s="17"/>
    </row>
    <row r="614" spans="1:11" ht="15" x14ac:dyDescent="0.2">
      <c r="A614" s="11">
        <v>2013</v>
      </c>
      <c r="B614" s="17">
        <f t="shared" ref="B614:J614" si="1">AVERAGE(B24:B35)</f>
        <v>16.680000000000003</v>
      </c>
      <c r="C614" s="17">
        <f t="shared" si="1"/>
        <v>15.795741666666665</v>
      </c>
      <c r="D614" s="17">
        <f t="shared" si="1"/>
        <v>15.78794166666667</v>
      </c>
      <c r="E614" s="17">
        <f t="shared" si="1"/>
        <v>15.78794166666667</v>
      </c>
      <c r="F614" s="17">
        <f t="shared" si="1"/>
        <v>16.489016666666668</v>
      </c>
      <c r="G614" s="17">
        <f t="shared" si="1"/>
        <v>15.79415833333333</v>
      </c>
      <c r="H614" s="17">
        <f t="shared" si="1"/>
        <v>15.79415833333333</v>
      </c>
      <c r="I614" s="17">
        <f t="shared" si="1"/>
        <v>15.795741666666665</v>
      </c>
      <c r="J614" s="17">
        <f t="shared" si="1"/>
        <v>91.322499999999991</v>
      </c>
      <c r="K614" s="17"/>
    </row>
    <row r="615" spans="1:11" ht="15" x14ac:dyDescent="0.2">
      <c r="A615" s="11">
        <v>2014</v>
      </c>
      <c r="B615" s="17">
        <f t="shared" ref="B615:J615" si="2">AVERAGE(B36:B47)</f>
        <v>16.685466666666663</v>
      </c>
      <c r="C615" s="17">
        <f t="shared" si="2"/>
        <v>15.570566666666664</v>
      </c>
      <c r="D615" s="17">
        <f t="shared" si="2"/>
        <v>15.562766666666667</v>
      </c>
      <c r="E615" s="17">
        <f t="shared" si="2"/>
        <v>15.562766666666667</v>
      </c>
      <c r="F615" s="17">
        <f t="shared" si="2"/>
        <v>16.685466666666663</v>
      </c>
      <c r="G615" s="17">
        <f t="shared" si="2"/>
        <v>15.569066666666664</v>
      </c>
      <c r="H615" s="17">
        <f t="shared" si="2"/>
        <v>15.569066666666664</v>
      </c>
      <c r="I615" s="17">
        <f t="shared" si="2"/>
        <v>15.570566666666664</v>
      </c>
      <c r="J615" s="17">
        <f t="shared" si="2"/>
        <v>91.357500000000002</v>
      </c>
      <c r="K615" s="17"/>
    </row>
    <row r="616" spans="1:11" ht="15" x14ac:dyDescent="0.2">
      <c r="A616" s="11">
        <v>2015</v>
      </c>
      <c r="B616" s="17">
        <f t="shared" ref="B616:J616" si="3">AVERAGE(B48:B59)</f>
        <v>16.768691666666665</v>
      </c>
      <c r="C616" s="17">
        <f t="shared" si="3"/>
        <v>15.772483333333332</v>
      </c>
      <c r="D616" s="17">
        <f t="shared" si="3"/>
        <v>15.764683333333332</v>
      </c>
      <c r="E616" s="17">
        <f t="shared" si="3"/>
        <v>15.764683333333332</v>
      </c>
      <c r="F616" s="17">
        <f t="shared" si="3"/>
        <v>16.768691666666665</v>
      </c>
      <c r="G616" s="17">
        <f t="shared" si="3"/>
        <v>15.77091666666667</v>
      </c>
      <c r="H616" s="17">
        <f t="shared" si="3"/>
        <v>15.77091666666667</v>
      </c>
      <c r="I616" s="17">
        <f t="shared" si="3"/>
        <v>15.772483333333332</v>
      </c>
      <c r="J616" s="17">
        <f t="shared" si="3"/>
        <v>96.508075000000019</v>
      </c>
      <c r="K616" s="17"/>
    </row>
    <row r="617" spans="1:11" ht="15" x14ac:dyDescent="0.2">
      <c r="A617" s="11">
        <v>2016</v>
      </c>
      <c r="B617" s="17">
        <f t="shared" ref="B617:J617" si="4">AVERAGE(B60:B71)</f>
        <v>16.740599999999997</v>
      </c>
      <c r="C617" s="17">
        <f t="shared" si="4"/>
        <v>15.753399999999999</v>
      </c>
      <c r="D617" s="17">
        <f t="shared" si="4"/>
        <v>15.745575000000002</v>
      </c>
      <c r="E617" s="17">
        <f t="shared" si="4"/>
        <v>15.745575000000002</v>
      </c>
      <c r="F617" s="17">
        <f t="shared" si="4"/>
        <v>16.740599999999997</v>
      </c>
      <c r="G617" s="17">
        <f t="shared" si="4"/>
        <v>15.751816666666668</v>
      </c>
      <c r="H617" s="17">
        <f t="shared" si="4"/>
        <v>15.751816666666668</v>
      </c>
      <c r="I617" s="17">
        <f t="shared" si="4"/>
        <v>15.753399999999999</v>
      </c>
      <c r="J617" s="17">
        <f t="shared" si="4"/>
        <v>96.824316666666675</v>
      </c>
      <c r="K617" s="17"/>
    </row>
    <row r="618" spans="1:11" ht="15" x14ac:dyDescent="0.2">
      <c r="A618" s="11">
        <v>2017</v>
      </c>
      <c r="B618" s="17">
        <f t="shared" ref="B618:J618" si="5">AVERAGE(B72:B83)</f>
        <v>17.593991666666664</v>
      </c>
      <c r="C618" s="17">
        <f t="shared" si="5"/>
        <v>16.619849999999996</v>
      </c>
      <c r="D618" s="17">
        <f t="shared" si="5"/>
        <v>16.612041666666666</v>
      </c>
      <c r="E618" s="17">
        <f t="shared" si="5"/>
        <v>16.612041666666666</v>
      </c>
      <c r="F618" s="17">
        <f t="shared" si="5"/>
        <v>17.593991666666664</v>
      </c>
      <c r="G618" s="17">
        <f t="shared" si="5"/>
        <v>16.618283333333334</v>
      </c>
      <c r="H618" s="17">
        <f t="shared" si="5"/>
        <v>16.618283333333334</v>
      </c>
      <c r="I618" s="17">
        <f t="shared" si="5"/>
        <v>16.619849999999996</v>
      </c>
      <c r="J618" s="17">
        <f t="shared" si="5"/>
        <v>108.52589999999999</v>
      </c>
      <c r="K618" s="17"/>
    </row>
    <row r="619" spans="1:11" ht="15" x14ac:dyDescent="0.2">
      <c r="A619" s="11">
        <v>2018</v>
      </c>
      <c r="B619" s="17">
        <f t="shared" ref="B619:J619" si="6">AVERAGE(B84:B95)</f>
        <v>17.960158333333336</v>
      </c>
      <c r="C619" s="17">
        <f t="shared" si="6"/>
        <v>16.987124999999999</v>
      </c>
      <c r="D619" s="17">
        <f t="shared" si="6"/>
        <v>16.979299999999999</v>
      </c>
      <c r="E619" s="17">
        <f t="shared" si="6"/>
        <v>16.979299999999999</v>
      </c>
      <c r="F619" s="17">
        <f t="shared" si="6"/>
        <v>17.960158333333336</v>
      </c>
      <c r="G619" s="17">
        <f t="shared" si="6"/>
        <v>16.985558333333334</v>
      </c>
      <c r="H619" s="17">
        <f t="shared" si="6"/>
        <v>16.985558333333334</v>
      </c>
      <c r="I619" s="17">
        <f t="shared" si="6"/>
        <v>16.987124999999999</v>
      </c>
      <c r="J619" s="17">
        <f t="shared" si="6"/>
        <v>110.97778333333333</v>
      </c>
      <c r="K619" s="17"/>
    </row>
    <row r="620" spans="1:11" ht="15" x14ac:dyDescent="0.2">
      <c r="A620" s="11">
        <v>2019</v>
      </c>
      <c r="B620" s="17">
        <f t="shared" ref="B620:J620" si="7">AVERAGE(B96:B107)</f>
        <v>18.361324999999997</v>
      </c>
      <c r="C620" s="17">
        <f t="shared" si="7"/>
        <v>17.352974999999997</v>
      </c>
      <c r="D620" s="17">
        <f t="shared" si="7"/>
        <v>17.345166666666668</v>
      </c>
      <c r="E620" s="17">
        <f t="shared" si="7"/>
        <v>17.345166666666668</v>
      </c>
      <c r="F620" s="17">
        <f t="shared" si="7"/>
        <v>18.361324999999997</v>
      </c>
      <c r="G620" s="17">
        <f t="shared" si="7"/>
        <v>17.351433333333333</v>
      </c>
      <c r="H620" s="17">
        <f t="shared" si="7"/>
        <v>17.351433333333333</v>
      </c>
      <c r="I620" s="17">
        <f t="shared" si="7"/>
        <v>17.352974999999997</v>
      </c>
      <c r="J620" s="17">
        <f t="shared" si="7"/>
        <v>113.54529166666664</v>
      </c>
      <c r="K620" s="17"/>
    </row>
    <row r="621" spans="1:11" ht="15" x14ac:dyDescent="0.2">
      <c r="A621" s="11">
        <v>2020</v>
      </c>
      <c r="B621" s="17">
        <f t="shared" ref="B621:J621" si="8">AVERAGE(B108:B119)</f>
        <v>18.877058333333331</v>
      </c>
      <c r="C621" s="17">
        <f t="shared" si="8"/>
        <v>17.668041666666664</v>
      </c>
      <c r="D621" s="17">
        <f t="shared" si="8"/>
        <v>17.660241666666664</v>
      </c>
      <c r="E621" s="17">
        <f t="shared" si="8"/>
        <v>17.660241666666664</v>
      </c>
      <c r="F621" s="17">
        <f t="shared" si="8"/>
        <v>18.877058333333331</v>
      </c>
      <c r="G621" s="17">
        <f t="shared" si="8"/>
        <v>17.666483333333336</v>
      </c>
      <c r="H621" s="17">
        <f t="shared" si="8"/>
        <v>17.666483333333336</v>
      </c>
      <c r="I621" s="17">
        <f t="shared" si="8"/>
        <v>17.668041666666664</v>
      </c>
      <c r="J621" s="17">
        <f t="shared" si="8"/>
        <v>116.09694166666668</v>
      </c>
      <c r="K621" s="17"/>
    </row>
    <row r="622" spans="1:11" ht="15" x14ac:dyDescent="0.2">
      <c r="A622" s="11">
        <v>2021</v>
      </c>
      <c r="B622" s="17">
        <f t="shared" ref="B622:J622" si="9">AVERAGE(B120:B131)</f>
        <v>19.925933333333333</v>
      </c>
      <c r="C622" s="17">
        <f t="shared" si="9"/>
        <v>18.362916666666663</v>
      </c>
      <c r="D622" s="17">
        <f t="shared" si="9"/>
        <v>18.35510833333333</v>
      </c>
      <c r="E622" s="17">
        <f t="shared" si="9"/>
        <v>18.35510833333333</v>
      </c>
      <c r="F622" s="17">
        <f t="shared" si="9"/>
        <v>19.925933333333333</v>
      </c>
      <c r="G622" s="17">
        <f t="shared" si="9"/>
        <v>18.361349999999998</v>
      </c>
      <c r="H622" s="17">
        <f t="shared" si="9"/>
        <v>18.361349999999998</v>
      </c>
      <c r="I622" s="17">
        <f t="shared" si="9"/>
        <v>18.362916666666663</v>
      </c>
      <c r="J622" s="17">
        <f t="shared" si="9"/>
        <v>122.04310000000002</v>
      </c>
      <c r="K622" s="17"/>
    </row>
    <row r="623" spans="1:11" ht="15" x14ac:dyDescent="0.2">
      <c r="A623" s="11">
        <v>2022</v>
      </c>
      <c r="B623" s="17">
        <f t="shared" ref="B623:J623" si="10">AVERAGE(B132:B143)</f>
        <v>20.792216666666665</v>
      </c>
      <c r="C623" s="17">
        <f t="shared" si="10"/>
        <v>19.19361666666666</v>
      </c>
      <c r="D623" s="17">
        <f t="shared" si="10"/>
        <v>19.185816666666664</v>
      </c>
      <c r="E623" s="17">
        <f t="shared" si="10"/>
        <v>19.185816666666664</v>
      </c>
      <c r="F623" s="17">
        <f t="shared" si="10"/>
        <v>20.792216666666665</v>
      </c>
      <c r="G623" s="17">
        <f t="shared" si="10"/>
        <v>19.192049999999998</v>
      </c>
      <c r="H623" s="17">
        <f t="shared" si="10"/>
        <v>19.192049999999998</v>
      </c>
      <c r="I623" s="17">
        <f t="shared" si="10"/>
        <v>19.19361666666666</v>
      </c>
      <c r="J623" s="17">
        <f t="shared" si="10"/>
        <v>128.26641666666669</v>
      </c>
      <c r="K623" s="17"/>
    </row>
    <row r="624" spans="1:11" ht="15" x14ac:dyDescent="0.2">
      <c r="A624" s="11">
        <v>2023</v>
      </c>
      <c r="B624" s="17">
        <f t="shared" ref="B624:J624" si="11">AVERAGE(B144:B155)</f>
        <v>21.925466666666669</v>
      </c>
      <c r="C624" s="17">
        <f t="shared" si="11"/>
        <v>20.145808333333331</v>
      </c>
      <c r="D624" s="17">
        <f t="shared" si="11"/>
        <v>20.137991666666665</v>
      </c>
      <c r="E624" s="17">
        <f t="shared" si="11"/>
        <v>20.137991666666665</v>
      </c>
      <c r="F624" s="17">
        <f t="shared" si="11"/>
        <v>21.925466666666669</v>
      </c>
      <c r="G624" s="17">
        <f t="shared" si="11"/>
        <v>20.144241666666669</v>
      </c>
      <c r="H624" s="17">
        <f t="shared" si="11"/>
        <v>20.144241666666669</v>
      </c>
      <c r="I624" s="17">
        <f t="shared" si="11"/>
        <v>20.145808333333331</v>
      </c>
      <c r="J624" s="17">
        <f t="shared" si="11"/>
        <v>134.81869166666667</v>
      </c>
      <c r="K624" s="17"/>
    </row>
    <row r="625" spans="1:11" ht="15" x14ac:dyDescent="0.2">
      <c r="A625" s="11">
        <v>2024</v>
      </c>
      <c r="B625" s="17">
        <f t="shared" ref="B625:J625" si="12">AVERAGE(B156:B167)</f>
        <v>23.096616666666666</v>
      </c>
      <c r="C625" s="17">
        <f t="shared" si="12"/>
        <v>21.108466666666665</v>
      </c>
      <c r="D625" s="17">
        <f t="shared" si="12"/>
        <v>21.100649999999998</v>
      </c>
      <c r="E625" s="17">
        <f t="shared" si="12"/>
        <v>21.100649999999998</v>
      </c>
      <c r="F625" s="17">
        <f t="shared" si="12"/>
        <v>23.096616666666666</v>
      </c>
      <c r="G625" s="17">
        <f t="shared" si="12"/>
        <v>21.1069</v>
      </c>
      <c r="H625" s="17">
        <f t="shared" si="12"/>
        <v>21.1069</v>
      </c>
      <c r="I625" s="17">
        <f t="shared" si="12"/>
        <v>21.108466666666665</v>
      </c>
      <c r="J625" s="17">
        <f t="shared" si="12"/>
        <v>141.68727499999997</v>
      </c>
      <c r="K625" s="17"/>
    </row>
    <row r="626" spans="1:11" ht="15" x14ac:dyDescent="0.2">
      <c r="A626" s="11">
        <v>2025</v>
      </c>
      <c r="B626" s="17">
        <f t="shared" ref="B626:J626" si="13">AVERAGE(B168:B179)</f>
        <v>24.2744</v>
      </c>
      <c r="C626" s="17">
        <f t="shared" si="13"/>
        <v>22.083583333333333</v>
      </c>
      <c r="D626" s="17">
        <f t="shared" si="13"/>
        <v>22.075774999999997</v>
      </c>
      <c r="E626" s="17">
        <f t="shared" si="13"/>
        <v>22.075774999999997</v>
      </c>
      <c r="F626" s="17">
        <f t="shared" si="13"/>
        <v>24.2744</v>
      </c>
      <c r="G626" s="17">
        <f t="shared" si="13"/>
        <v>22.082033333333332</v>
      </c>
      <c r="H626" s="17">
        <f t="shared" si="13"/>
        <v>22.082033333333332</v>
      </c>
      <c r="I626" s="17">
        <f t="shared" si="13"/>
        <v>22.083583333333333</v>
      </c>
      <c r="J626" s="17">
        <f t="shared" si="13"/>
        <v>148.89970833333334</v>
      </c>
      <c r="K626" s="17"/>
    </row>
    <row r="627" spans="1:11" ht="15" x14ac:dyDescent="0.2">
      <c r="A627" s="11">
        <v>2026</v>
      </c>
      <c r="B627" s="17">
        <f t="shared" ref="B627:J627" si="14">AVERAGE(B180:B191)</f>
        <v>24.836749999999999</v>
      </c>
      <c r="C627" s="17">
        <f t="shared" si="14"/>
        <v>22.613108333333329</v>
      </c>
      <c r="D627" s="17">
        <f t="shared" si="14"/>
        <v>22.605291666666663</v>
      </c>
      <c r="E627" s="17">
        <f t="shared" si="14"/>
        <v>22.605291666666663</v>
      </c>
      <c r="F627" s="17">
        <f t="shared" si="14"/>
        <v>24.836749999999999</v>
      </c>
      <c r="G627" s="17">
        <f t="shared" si="14"/>
        <v>22.611541666666668</v>
      </c>
      <c r="H627" s="17">
        <f t="shared" si="14"/>
        <v>22.611541666666668</v>
      </c>
      <c r="I627" s="17">
        <f t="shared" si="14"/>
        <v>22.613108333333329</v>
      </c>
      <c r="J627" s="17">
        <f t="shared" si="14"/>
        <v>152.65115</v>
      </c>
      <c r="K627" s="17"/>
    </row>
    <row r="628" spans="1:11" ht="15" x14ac:dyDescent="0.2">
      <c r="A628" s="11">
        <v>2027</v>
      </c>
      <c r="B628" s="17">
        <f t="shared" ref="B628:J628" si="15">AVERAGE(B192:B203)</f>
        <v>25.457725</v>
      </c>
      <c r="C628" s="17">
        <f t="shared" si="15"/>
        <v>23.199141666666666</v>
      </c>
      <c r="D628" s="17">
        <f t="shared" si="15"/>
        <v>23.191325000000003</v>
      </c>
      <c r="E628" s="17">
        <f t="shared" si="15"/>
        <v>23.191325000000003</v>
      </c>
      <c r="F628" s="17">
        <f t="shared" si="15"/>
        <v>25.457725</v>
      </c>
      <c r="G628" s="17">
        <f t="shared" si="15"/>
        <v>23.197558333333333</v>
      </c>
      <c r="H628" s="17">
        <f t="shared" si="15"/>
        <v>23.197558333333333</v>
      </c>
      <c r="I628" s="17">
        <f t="shared" si="15"/>
        <v>23.199141666666666</v>
      </c>
      <c r="J628" s="17">
        <f t="shared" si="15"/>
        <v>156.49708333333334</v>
      </c>
      <c r="K628" s="17"/>
    </row>
    <row r="629" spans="1:11" ht="15" x14ac:dyDescent="0.2">
      <c r="A629" s="11">
        <v>2028</v>
      </c>
      <c r="B629" s="17">
        <f t="shared" ref="B629:J629" si="16">AVERAGE(B204:B215)</f>
        <v>26.027216666666664</v>
      </c>
      <c r="C629" s="17">
        <f t="shared" si="16"/>
        <v>23.734183333333334</v>
      </c>
      <c r="D629" s="17">
        <f t="shared" si="16"/>
        <v>23.726366666666667</v>
      </c>
      <c r="E629" s="17">
        <f t="shared" si="16"/>
        <v>23.726366666666667</v>
      </c>
      <c r="F629" s="17">
        <f t="shared" si="16"/>
        <v>26.027216666666664</v>
      </c>
      <c r="G629" s="17">
        <f t="shared" si="16"/>
        <v>23.732608333333332</v>
      </c>
      <c r="H629" s="17">
        <f t="shared" si="16"/>
        <v>23.732608333333332</v>
      </c>
      <c r="I629" s="17">
        <f t="shared" si="16"/>
        <v>23.734183333333334</v>
      </c>
      <c r="J629" s="17">
        <f t="shared" si="16"/>
        <v>160.43992499999999</v>
      </c>
      <c r="K629" s="17"/>
    </row>
    <row r="630" spans="1:11" ht="15" x14ac:dyDescent="0.2">
      <c r="A630" s="11">
        <v>2029</v>
      </c>
      <c r="B630" s="17">
        <f t="shared" ref="B630:J630" si="17">AVERAGE(B216:B227)</f>
        <v>26.682166666666671</v>
      </c>
      <c r="C630" s="17">
        <f t="shared" si="17"/>
        <v>24.351866666666666</v>
      </c>
      <c r="D630" s="17">
        <f t="shared" si="17"/>
        <v>24.344033333333332</v>
      </c>
      <c r="E630" s="17">
        <f t="shared" si="17"/>
        <v>24.344033333333332</v>
      </c>
      <c r="F630" s="17">
        <f t="shared" si="17"/>
        <v>26.682166666666671</v>
      </c>
      <c r="G630" s="17">
        <f t="shared" si="17"/>
        <v>24.350300000000001</v>
      </c>
      <c r="H630" s="17">
        <f t="shared" si="17"/>
        <v>24.350300000000001</v>
      </c>
      <c r="I630" s="17">
        <f t="shared" si="17"/>
        <v>24.351866666666666</v>
      </c>
      <c r="J630" s="17">
        <f t="shared" si="17"/>
        <v>164.48208333333332</v>
      </c>
      <c r="K630" s="17"/>
    </row>
    <row r="631" spans="1:11" ht="15" x14ac:dyDescent="0.2">
      <c r="A631" s="11">
        <v>2030</v>
      </c>
      <c r="B631" s="17">
        <f t="shared" ref="B631:J631" si="18">AVERAGE(B228:B239)</f>
        <v>27.145683333333334</v>
      </c>
      <c r="C631" s="17">
        <f t="shared" si="18"/>
        <v>24.872566666666668</v>
      </c>
      <c r="D631" s="17">
        <f t="shared" si="18"/>
        <v>24.864758333333331</v>
      </c>
      <c r="E631" s="17">
        <f t="shared" si="18"/>
        <v>24.864758333333331</v>
      </c>
      <c r="F631" s="17">
        <f t="shared" si="18"/>
        <v>27.145683333333334</v>
      </c>
      <c r="G631" s="17">
        <f t="shared" si="18"/>
        <v>24.871016666666666</v>
      </c>
      <c r="H631" s="17">
        <f t="shared" si="18"/>
        <v>24.871016666666666</v>
      </c>
      <c r="I631" s="17">
        <f t="shared" si="18"/>
        <v>24.872566666666668</v>
      </c>
      <c r="J631" s="17">
        <f t="shared" si="18"/>
        <v>168.20167500000002</v>
      </c>
      <c r="K631" s="17"/>
    </row>
    <row r="632" spans="1:11" ht="15" x14ac:dyDescent="0.2">
      <c r="A632" s="11">
        <v>2031</v>
      </c>
      <c r="B632" s="17">
        <f t="shared" ref="B632:J632" si="19">AVERAGE(B240:B251)</f>
        <v>27.280508333333334</v>
      </c>
      <c r="C632" s="17">
        <f t="shared" si="19"/>
        <v>24.996916666666667</v>
      </c>
      <c r="D632" s="17">
        <f t="shared" si="19"/>
        <v>24.989108333333334</v>
      </c>
      <c r="E632" s="17">
        <f t="shared" si="19"/>
        <v>24.989108333333334</v>
      </c>
      <c r="F632" s="17">
        <f t="shared" si="19"/>
        <v>27.280508333333334</v>
      </c>
      <c r="G632" s="17">
        <f t="shared" si="19"/>
        <v>24.995374999999999</v>
      </c>
      <c r="H632" s="17">
        <f t="shared" si="19"/>
        <v>24.995374999999999</v>
      </c>
      <c r="I632" s="17">
        <f t="shared" si="19"/>
        <v>24.996916666666667</v>
      </c>
      <c r="J632" s="17">
        <f t="shared" si="19"/>
        <v>170.37713333333332</v>
      </c>
      <c r="K632" s="17"/>
    </row>
    <row r="633" spans="1:11" ht="15" x14ac:dyDescent="0.2">
      <c r="A633" s="11">
        <v>2032</v>
      </c>
      <c r="B633" s="17">
        <f t="shared" ref="B633:J633" si="20">AVERAGE(B252:B263)</f>
        <v>27.316275000000001</v>
      </c>
      <c r="C633" s="17">
        <f t="shared" si="20"/>
        <v>25.029816666666665</v>
      </c>
      <c r="D633" s="17">
        <f t="shared" si="20"/>
        <v>25.022008333333329</v>
      </c>
      <c r="E633" s="17">
        <f t="shared" si="20"/>
        <v>25.022008333333329</v>
      </c>
      <c r="F633" s="17">
        <f t="shared" si="20"/>
        <v>27.316275000000001</v>
      </c>
      <c r="G633" s="17">
        <f t="shared" si="20"/>
        <v>25.028275000000004</v>
      </c>
      <c r="H633" s="17">
        <f t="shared" si="20"/>
        <v>25.028275000000004</v>
      </c>
      <c r="I633" s="17">
        <f t="shared" si="20"/>
        <v>25.029816666666665</v>
      </c>
      <c r="J633" s="17">
        <f t="shared" si="20"/>
        <v>171.9838</v>
      </c>
      <c r="K633" s="17"/>
    </row>
    <row r="634" spans="1:11" ht="15" x14ac:dyDescent="0.2">
      <c r="A634" s="11">
        <v>2033</v>
      </c>
      <c r="B634" s="17">
        <f t="shared" ref="B634:J634" si="21">AVERAGE(B264:B275)</f>
        <v>27.352075000000003</v>
      </c>
      <c r="C634" s="17">
        <f t="shared" si="21"/>
        <v>25.062774999999998</v>
      </c>
      <c r="D634" s="17">
        <f t="shared" si="21"/>
        <v>25.054975000000002</v>
      </c>
      <c r="E634" s="17">
        <f t="shared" si="21"/>
        <v>25.054975000000002</v>
      </c>
      <c r="F634" s="17">
        <f t="shared" si="21"/>
        <v>27.352075000000003</v>
      </c>
      <c r="G634" s="17">
        <f t="shared" si="21"/>
        <v>25.06120833333333</v>
      </c>
      <c r="H634" s="17">
        <f t="shared" si="21"/>
        <v>25.06120833333333</v>
      </c>
      <c r="I634" s="17">
        <f t="shared" si="21"/>
        <v>25.062774999999998</v>
      </c>
      <c r="J634" s="17">
        <f t="shared" si="21"/>
        <v>173.60560833333332</v>
      </c>
      <c r="K634" s="17"/>
    </row>
    <row r="635" spans="1:11" ht="15" x14ac:dyDescent="0.2">
      <c r="A635" s="11">
        <v>2034</v>
      </c>
      <c r="B635" s="17">
        <f t="shared" ref="B635:J635" si="22">AVERAGE(B276:B287)</f>
        <v>27.387908333333332</v>
      </c>
      <c r="C635" s="17">
        <f t="shared" si="22"/>
        <v>25.095775</v>
      </c>
      <c r="D635" s="17">
        <f t="shared" si="22"/>
        <v>25.087949999999996</v>
      </c>
      <c r="E635" s="17">
        <f t="shared" si="22"/>
        <v>25.087949999999996</v>
      </c>
      <c r="F635" s="17">
        <f t="shared" si="22"/>
        <v>27.387908333333332</v>
      </c>
      <c r="G635" s="17">
        <f t="shared" si="22"/>
        <v>25.094191666666664</v>
      </c>
      <c r="H635" s="17">
        <f t="shared" si="22"/>
        <v>25.094191666666664</v>
      </c>
      <c r="I635" s="17">
        <f t="shared" si="22"/>
        <v>25.095775</v>
      </c>
      <c r="J635" s="17">
        <f t="shared" si="22"/>
        <v>175.24269166666667</v>
      </c>
      <c r="K635" s="17"/>
    </row>
    <row r="636" spans="1:11" ht="15" x14ac:dyDescent="0.2">
      <c r="A636" s="11">
        <v>2035</v>
      </c>
      <c r="B636" s="17">
        <f t="shared" ref="B636:J636" si="23">AVERAGE(B288:B299)</f>
        <v>27.423808333333337</v>
      </c>
      <c r="C636" s="17">
        <f t="shared" si="23"/>
        <v>25.128791666666661</v>
      </c>
      <c r="D636" s="17">
        <f t="shared" si="23"/>
        <v>25.120974999999998</v>
      </c>
      <c r="E636" s="17">
        <f t="shared" si="23"/>
        <v>25.120974999999998</v>
      </c>
      <c r="F636" s="17">
        <f t="shared" si="23"/>
        <v>27.423808333333337</v>
      </c>
      <c r="G636" s="17">
        <f t="shared" si="23"/>
        <v>25.127216666666666</v>
      </c>
      <c r="H636" s="17">
        <f t="shared" si="23"/>
        <v>25.127216666666666</v>
      </c>
      <c r="I636" s="17">
        <f t="shared" si="23"/>
        <v>25.128791666666661</v>
      </c>
      <c r="J636" s="17">
        <f t="shared" si="23"/>
        <v>176.89524166666661</v>
      </c>
      <c r="K636" s="17"/>
    </row>
    <row r="637" spans="1:11" ht="15" x14ac:dyDescent="0.2">
      <c r="A637" s="11">
        <v>2036</v>
      </c>
      <c r="B637" s="17">
        <f t="shared" ref="B637:J637" si="24">AVERAGE(B300:B311)</f>
        <v>27.459774999999997</v>
      </c>
      <c r="C637" s="17">
        <f t="shared" si="24"/>
        <v>25.161874999999998</v>
      </c>
      <c r="D637" s="17">
        <f t="shared" si="24"/>
        <v>25.154066666666665</v>
      </c>
      <c r="E637" s="17">
        <f t="shared" si="24"/>
        <v>25.154066666666665</v>
      </c>
      <c r="F637" s="17">
        <f t="shared" si="24"/>
        <v>27.459774999999997</v>
      </c>
      <c r="G637" s="17">
        <f t="shared" si="24"/>
        <v>25.160308333333333</v>
      </c>
      <c r="H637" s="17">
        <f t="shared" si="24"/>
        <v>25.160308333333333</v>
      </c>
      <c r="I637" s="17">
        <f t="shared" si="24"/>
        <v>25.161874999999998</v>
      </c>
      <c r="J637" s="17">
        <f t="shared" si="24"/>
        <v>178.56336666666667</v>
      </c>
      <c r="K637" s="17"/>
    </row>
    <row r="638" spans="1:11" ht="15" x14ac:dyDescent="0.2">
      <c r="A638" s="11">
        <v>2037</v>
      </c>
      <c r="B638" s="17">
        <f t="shared" ref="B638:J638" si="25">AVERAGE(B312:B323)</f>
        <v>27.495774999999995</v>
      </c>
      <c r="C638" s="17">
        <f t="shared" si="25"/>
        <v>25.194991666666663</v>
      </c>
      <c r="D638" s="17">
        <f t="shared" si="25"/>
        <v>25.187175</v>
      </c>
      <c r="E638" s="17">
        <f t="shared" si="25"/>
        <v>25.187175</v>
      </c>
      <c r="F638" s="17">
        <f t="shared" si="25"/>
        <v>27.495774999999995</v>
      </c>
      <c r="G638" s="17">
        <f t="shared" si="25"/>
        <v>25.193416666666664</v>
      </c>
      <c r="H638" s="17">
        <f t="shared" si="25"/>
        <v>25.193416666666664</v>
      </c>
      <c r="I638" s="17">
        <f t="shared" si="25"/>
        <v>25.194991666666663</v>
      </c>
      <c r="J638" s="17">
        <f t="shared" si="25"/>
        <v>180.24719999999999</v>
      </c>
      <c r="K638" s="17"/>
    </row>
    <row r="639" spans="1:11" ht="15" x14ac:dyDescent="0.2">
      <c r="A639" s="11">
        <f t="shared" ref="A639:A662" si="26">A638+1</f>
        <v>2038</v>
      </c>
      <c r="B639" s="17">
        <f t="shared" ref="B639:J639" si="27">AVERAGE(B324:B335)</f>
        <v>27.531808333333334</v>
      </c>
      <c r="C639" s="17">
        <f t="shared" si="27"/>
        <v>25.228166666666667</v>
      </c>
      <c r="D639" s="17">
        <f t="shared" si="27"/>
        <v>25.220349999999996</v>
      </c>
      <c r="E639" s="17">
        <f t="shared" si="27"/>
        <v>25.220349999999996</v>
      </c>
      <c r="F639" s="17">
        <f t="shared" si="27"/>
        <v>27.531808333333334</v>
      </c>
      <c r="G639" s="17">
        <f t="shared" si="27"/>
        <v>25.226591666666664</v>
      </c>
      <c r="H639" s="17">
        <f t="shared" si="27"/>
        <v>25.226591666666664</v>
      </c>
      <c r="I639" s="17">
        <f t="shared" si="27"/>
        <v>25.228166666666667</v>
      </c>
      <c r="J639" s="17">
        <f t="shared" si="27"/>
        <v>181.94693333333331</v>
      </c>
    </row>
    <row r="640" spans="1:11" ht="15" x14ac:dyDescent="0.2">
      <c r="A640" s="11">
        <f t="shared" si="26"/>
        <v>2039</v>
      </c>
      <c r="B640" s="17">
        <f t="shared" ref="B640:J640" si="28">AVERAGE(B336:B347)</f>
        <v>27.567899999999995</v>
      </c>
      <c r="C640" s="17">
        <f t="shared" si="28"/>
        <v>25.261374999999997</v>
      </c>
      <c r="D640" s="17">
        <f t="shared" si="28"/>
        <v>25.253558333333334</v>
      </c>
      <c r="E640" s="17">
        <f t="shared" si="28"/>
        <v>25.253558333333334</v>
      </c>
      <c r="F640" s="17">
        <f t="shared" si="28"/>
        <v>27.567899999999995</v>
      </c>
      <c r="G640" s="17">
        <f t="shared" si="28"/>
        <v>25.259799999999998</v>
      </c>
      <c r="H640" s="17">
        <f t="shared" si="28"/>
        <v>25.259799999999998</v>
      </c>
      <c r="I640" s="17">
        <f t="shared" si="28"/>
        <v>25.261374999999997</v>
      </c>
      <c r="J640" s="17">
        <f t="shared" si="28"/>
        <v>183.66270833333331</v>
      </c>
    </row>
    <row r="641" spans="1:10" ht="15" x14ac:dyDescent="0.2">
      <c r="A641" s="11">
        <f t="shared" si="26"/>
        <v>2040</v>
      </c>
      <c r="B641" s="17">
        <f t="shared" ref="B641:J641" si="29">AVERAGE(B348:B359)</f>
        <v>27.604050000000001</v>
      </c>
      <c r="C641" s="17">
        <f t="shared" si="29"/>
        <v>25.294608333333333</v>
      </c>
      <c r="D641" s="17">
        <f t="shared" si="29"/>
        <v>25.286808333333337</v>
      </c>
      <c r="E641" s="17">
        <f t="shared" si="29"/>
        <v>25.286808333333337</v>
      </c>
      <c r="F641" s="17">
        <f t="shared" si="29"/>
        <v>27.604050000000001</v>
      </c>
      <c r="G641" s="17">
        <f t="shared" si="29"/>
        <v>25.293066666666665</v>
      </c>
      <c r="H641" s="17">
        <f t="shared" si="29"/>
        <v>25.293066666666665</v>
      </c>
      <c r="I641" s="17">
        <f t="shared" si="29"/>
        <v>25.294608333333333</v>
      </c>
      <c r="J641" s="17">
        <f t="shared" si="29"/>
        <v>185.39464999999998</v>
      </c>
    </row>
    <row r="642" spans="1:10" ht="15" x14ac:dyDescent="0.2">
      <c r="A642" s="11">
        <f t="shared" si="26"/>
        <v>2041</v>
      </c>
      <c r="B642" s="17">
        <f t="shared" ref="B642:J642" si="30">AVERAGE(B360:B371)</f>
        <v>27.640216666666664</v>
      </c>
      <c r="C642" s="17">
        <f t="shared" si="30"/>
        <v>25.32790833333333</v>
      </c>
      <c r="D642" s="17">
        <f t="shared" si="30"/>
        <v>25.320108333333334</v>
      </c>
      <c r="E642" s="17">
        <f t="shared" si="30"/>
        <v>25.320108333333334</v>
      </c>
      <c r="F642" s="17">
        <f t="shared" si="30"/>
        <v>27.640216666666664</v>
      </c>
      <c r="G642" s="17">
        <f t="shared" si="30"/>
        <v>25.326366666666669</v>
      </c>
      <c r="H642" s="17">
        <f t="shared" si="30"/>
        <v>25.326366666666669</v>
      </c>
      <c r="I642" s="17">
        <f t="shared" si="30"/>
        <v>25.32790833333333</v>
      </c>
      <c r="J642" s="17">
        <f t="shared" si="30"/>
        <v>187.14290000000003</v>
      </c>
    </row>
    <row r="643" spans="1:10" ht="15" x14ac:dyDescent="0.2">
      <c r="A643" s="11">
        <f t="shared" si="26"/>
        <v>2042</v>
      </c>
      <c r="B643" s="17">
        <f t="shared" ref="B643:J643" si="31">AVERAGE(B372:B383)</f>
        <v>27.676474999999996</v>
      </c>
      <c r="C643" s="17">
        <f t="shared" si="31"/>
        <v>25.361274999999996</v>
      </c>
      <c r="D643" s="17">
        <f t="shared" si="31"/>
        <v>25.353449999999999</v>
      </c>
      <c r="E643" s="17">
        <f t="shared" si="31"/>
        <v>25.353449999999999</v>
      </c>
      <c r="F643" s="17">
        <f t="shared" si="31"/>
        <v>27.676474999999996</v>
      </c>
      <c r="G643" s="17">
        <f t="shared" si="31"/>
        <v>25.359691666666667</v>
      </c>
      <c r="H643" s="17">
        <f t="shared" si="31"/>
        <v>25.359691666666667</v>
      </c>
      <c r="I643" s="17">
        <f t="shared" si="31"/>
        <v>25.361274999999996</v>
      </c>
      <c r="J643" s="17">
        <f t="shared" si="31"/>
        <v>188.90766666666664</v>
      </c>
    </row>
    <row r="644" spans="1:10" ht="15" x14ac:dyDescent="0.2">
      <c r="A644" s="11">
        <f t="shared" si="26"/>
        <v>2043</v>
      </c>
      <c r="B644" s="17">
        <f t="shared" ref="B644:J644" si="32">AVERAGE(B384:B395)</f>
        <v>27.712766666666667</v>
      </c>
      <c r="C644" s="17">
        <f t="shared" si="32"/>
        <v>25.394649999999999</v>
      </c>
      <c r="D644" s="17">
        <f t="shared" si="32"/>
        <v>25.386833333333328</v>
      </c>
      <c r="E644" s="17">
        <f t="shared" si="32"/>
        <v>25.386833333333328</v>
      </c>
      <c r="F644" s="17">
        <f t="shared" si="32"/>
        <v>27.712766666666667</v>
      </c>
      <c r="G644" s="17">
        <f t="shared" si="32"/>
        <v>25.393091666666667</v>
      </c>
      <c r="H644" s="17">
        <f t="shared" si="32"/>
        <v>25.393091666666667</v>
      </c>
      <c r="I644" s="17">
        <f t="shared" si="32"/>
        <v>25.394649999999999</v>
      </c>
      <c r="J644" s="17">
        <f t="shared" si="32"/>
        <v>190.68904999999998</v>
      </c>
    </row>
    <row r="645" spans="1:10" ht="15" x14ac:dyDescent="0.2">
      <c r="A645" s="11">
        <f t="shared" si="26"/>
        <v>2044</v>
      </c>
      <c r="B645" s="17">
        <f t="shared" ref="B645:J645" si="33">AVERAGE(B396:B407)</f>
        <v>27.749091666666661</v>
      </c>
      <c r="C645" s="17">
        <f t="shared" si="33"/>
        <v>25.428083333333333</v>
      </c>
      <c r="D645" s="17">
        <f t="shared" si="33"/>
        <v>25.420275</v>
      </c>
      <c r="E645" s="17">
        <f t="shared" si="33"/>
        <v>25.420275</v>
      </c>
      <c r="F645" s="17">
        <f t="shared" si="33"/>
        <v>27.749091666666661</v>
      </c>
      <c r="G645" s="17">
        <f t="shared" si="33"/>
        <v>25.426516666666668</v>
      </c>
      <c r="H645" s="17">
        <f t="shared" si="33"/>
        <v>25.426516666666668</v>
      </c>
      <c r="I645" s="17">
        <f t="shared" si="33"/>
        <v>25.428083333333333</v>
      </c>
      <c r="J645" s="17">
        <f t="shared" si="33"/>
        <v>192.48724999999999</v>
      </c>
    </row>
    <row r="646" spans="1:10" ht="15" x14ac:dyDescent="0.2">
      <c r="A646" s="11">
        <f t="shared" si="26"/>
        <v>2045</v>
      </c>
      <c r="B646" s="17">
        <f t="shared" ref="B646:J646" si="34">AVERAGE(B408:B419)</f>
        <v>27.785475000000002</v>
      </c>
      <c r="C646" s="17">
        <f t="shared" si="34"/>
        <v>25.461575</v>
      </c>
      <c r="D646" s="17">
        <f t="shared" si="34"/>
        <v>25.453749999999999</v>
      </c>
      <c r="E646" s="17">
        <f t="shared" si="34"/>
        <v>25.453749999999999</v>
      </c>
      <c r="F646" s="17">
        <f t="shared" si="34"/>
        <v>27.785475000000002</v>
      </c>
      <c r="G646" s="17">
        <f t="shared" si="34"/>
        <v>25.459991666666671</v>
      </c>
      <c r="H646" s="17">
        <f t="shared" si="34"/>
        <v>25.459991666666671</v>
      </c>
      <c r="I646" s="17">
        <f t="shared" si="34"/>
        <v>25.461575</v>
      </c>
      <c r="J646" s="17">
        <f t="shared" si="34"/>
        <v>194.30241666666666</v>
      </c>
    </row>
    <row r="647" spans="1:10" ht="15" x14ac:dyDescent="0.2">
      <c r="A647" s="11">
        <f t="shared" si="26"/>
        <v>2046</v>
      </c>
      <c r="B647" s="17">
        <f t="shared" ref="B647:J647" si="35">AVERAGE(B420:B431)</f>
        <v>27.821908333333337</v>
      </c>
      <c r="C647" s="17">
        <f t="shared" si="35"/>
        <v>25.495083333333337</v>
      </c>
      <c r="D647" s="17">
        <f t="shared" si="35"/>
        <v>25.487275</v>
      </c>
      <c r="E647" s="17">
        <f t="shared" si="35"/>
        <v>25.487275</v>
      </c>
      <c r="F647" s="17">
        <f t="shared" si="35"/>
        <v>27.821908333333337</v>
      </c>
      <c r="G647" s="17">
        <f t="shared" si="35"/>
        <v>25.493516666666668</v>
      </c>
      <c r="H647" s="17">
        <f t="shared" si="35"/>
        <v>25.493516666666668</v>
      </c>
      <c r="I647" s="17">
        <f t="shared" si="35"/>
        <v>25.495083333333337</v>
      </c>
      <c r="J647" s="17">
        <f t="shared" si="35"/>
        <v>196.13469166666667</v>
      </c>
    </row>
    <row r="648" spans="1:10" ht="15" x14ac:dyDescent="0.2">
      <c r="A648" s="11">
        <f t="shared" si="26"/>
        <v>2047</v>
      </c>
      <c r="B648" s="17">
        <f t="shared" ref="B648:J648" si="36">AVERAGE(B432:B443)</f>
        <v>27.858391666666666</v>
      </c>
      <c r="C648" s="17">
        <f t="shared" si="36"/>
        <v>25.528658333333336</v>
      </c>
      <c r="D648" s="17">
        <f t="shared" si="36"/>
        <v>25.520849999999996</v>
      </c>
      <c r="E648" s="17">
        <f t="shared" si="36"/>
        <v>25.520849999999996</v>
      </c>
      <c r="F648" s="17">
        <f t="shared" si="36"/>
        <v>27.858391666666666</v>
      </c>
      <c r="G648" s="17">
        <f t="shared" si="36"/>
        <v>25.527091666666664</v>
      </c>
      <c r="H648" s="17">
        <f t="shared" si="36"/>
        <v>25.527091666666664</v>
      </c>
      <c r="I648" s="17">
        <f t="shared" si="36"/>
        <v>25.528658333333336</v>
      </c>
      <c r="J648" s="17">
        <f t="shared" si="36"/>
        <v>197.98425833333332</v>
      </c>
    </row>
    <row r="649" spans="1:10" ht="15" x14ac:dyDescent="0.2">
      <c r="A649" s="11">
        <f t="shared" si="26"/>
        <v>2048</v>
      </c>
      <c r="B649" s="17">
        <f t="shared" ref="B649:J649" si="37">AVERAGE(B444:B455)</f>
        <v>27.894916666666663</v>
      </c>
      <c r="C649" s="17">
        <f t="shared" si="37"/>
        <v>25.562275</v>
      </c>
      <c r="D649" s="17">
        <f t="shared" si="37"/>
        <v>25.554458333333333</v>
      </c>
      <c r="E649" s="17">
        <f t="shared" si="37"/>
        <v>25.554458333333333</v>
      </c>
      <c r="F649" s="17">
        <f t="shared" si="37"/>
        <v>27.894916666666663</v>
      </c>
      <c r="G649" s="17">
        <f t="shared" si="37"/>
        <v>25.560699999999997</v>
      </c>
      <c r="H649" s="17">
        <f t="shared" si="37"/>
        <v>25.560699999999997</v>
      </c>
      <c r="I649" s="17">
        <f t="shared" si="37"/>
        <v>25.562275</v>
      </c>
      <c r="J649" s="17">
        <f t="shared" si="37"/>
        <v>199.85124999999996</v>
      </c>
    </row>
    <row r="650" spans="1:10" ht="15" x14ac:dyDescent="0.2">
      <c r="A650" s="11">
        <f t="shared" si="26"/>
        <v>2049</v>
      </c>
      <c r="B650" s="17">
        <f t="shared" ref="B650:J650" si="38">AVERAGE(B456:B467)</f>
        <v>27.931508333333337</v>
      </c>
      <c r="C650" s="17">
        <f t="shared" si="38"/>
        <v>25.595916666666668</v>
      </c>
      <c r="D650" s="17">
        <f t="shared" si="38"/>
        <v>25.588108333333327</v>
      </c>
      <c r="E650" s="17">
        <f t="shared" si="38"/>
        <v>25.588108333333327</v>
      </c>
      <c r="F650" s="17">
        <f t="shared" si="38"/>
        <v>27.931508333333337</v>
      </c>
      <c r="G650" s="17">
        <f t="shared" si="38"/>
        <v>25.594375000000003</v>
      </c>
      <c r="H650" s="17">
        <f t="shared" si="38"/>
        <v>25.594375000000003</v>
      </c>
      <c r="I650" s="17">
        <f t="shared" si="38"/>
        <v>25.595916666666668</v>
      </c>
      <c r="J650" s="17">
        <f t="shared" si="38"/>
        <v>201.7358333333334</v>
      </c>
    </row>
    <row r="651" spans="1:10" ht="15" x14ac:dyDescent="0.2">
      <c r="A651" s="11">
        <f t="shared" si="26"/>
        <v>2050</v>
      </c>
      <c r="B651" s="17">
        <f t="shared" ref="B651:J651" si="39">AVERAGE(B468:B479)</f>
        <v>27.968141666666664</v>
      </c>
      <c r="C651" s="17">
        <f t="shared" si="39"/>
        <v>25.629616666666667</v>
      </c>
      <c r="D651" s="17">
        <f t="shared" si="39"/>
        <v>25.621808333333334</v>
      </c>
      <c r="E651" s="17">
        <f t="shared" si="39"/>
        <v>25.621808333333334</v>
      </c>
      <c r="F651" s="17">
        <f t="shared" si="39"/>
        <v>27.968141666666664</v>
      </c>
      <c r="G651" s="17">
        <f t="shared" si="39"/>
        <v>25.628074999999999</v>
      </c>
      <c r="H651" s="17">
        <f t="shared" si="39"/>
        <v>25.628074999999999</v>
      </c>
      <c r="I651" s="17">
        <f t="shared" si="39"/>
        <v>25.629616666666667</v>
      </c>
      <c r="J651" s="17">
        <f t="shared" si="39"/>
        <v>203.6381916666667</v>
      </c>
    </row>
    <row r="652" spans="1:10" ht="15" x14ac:dyDescent="0.2">
      <c r="A652" s="11">
        <f t="shared" si="26"/>
        <v>2051</v>
      </c>
      <c r="B652" s="17">
        <f t="shared" ref="B652:J652" si="40">AVERAGE(B480:B491)</f>
        <v>28.00480833333333</v>
      </c>
      <c r="C652" s="17">
        <f t="shared" si="40"/>
        <v>25.663374999999991</v>
      </c>
      <c r="D652" s="17">
        <f t="shared" si="40"/>
        <v>25.655574999999999</v>
      </c>
      <c r="E652" s="17">
        <f t="shared" si="40"/>
        <v>25.655574999999999</v>
      </c>
      <c r="F652" s="17">
        <f t="shared" si="40"/>
        <v>28.00480833333333</v>
      </c>
      <c r="G652" s="17">
        <f t="shared" si="40"/>
        <v>25.661808333333337</v>
      </c>
      <c r="H652" s="17">
        <f t="shared" si="40"/>
        <v>25.661808333333337</v>
      </c>
      <c r="I652" s="17">
        <f t="shared" si="40"/>
        <v>25.663374999999991</v>
      </c>
      <c r="J652" s="17">
        <f t="shared" si="40"/>
        <v>205.55850833333329</v>
      </c>
    </row>
    <row r="653" spans="1:10" ht="15" x14ac:dyDescent="0.2">
      <c r="A653" s="11">
        <f t="shared" si="26"/>
        <v>2052</v>
      </c>
      <c r="B653" s="17">
        <f t="shared" ref="B653:J653" si="41">AVERAGE(B492:B503)</f>
        <v>28.041550000000001</v>
      </c>
      <c r="C653" s="17">
        <f t="shared" si="41"/>
        <v>25.697175000000001</v>
      </c>
      <c r="D653" s="17">
        <f t="shared" si="41"/>
        <v>25.689366666666661</v>
      </c>
      <c r="E653" s="17">
        <f t="shared" si="41"/>
        <v>25.689366666666661</v>
      </c>
      <c r="F653" s="17">
        <f t="shared" si="41"/>
        <v>28.041550000000001</v>
      </c>
      <c r="G653" s="17">
        <f t="shared" si="41"/>
        <v>25.695608333333329</v>
      </c>
      <c r="H653" s="17">
        <f t="shared" si="41"/>
        <v>25.695608333333329</v>
      </c>
      <c r="I653" s="17">
        <f t="shared" si="41"/>
        <v>25.697175000000001</v>
      </c>
      <c r="J653" s="17">
        <f t="shared" si="41"/>
        <v>207.49692500000003</v>
      </c>
    </row>
    <row r="654" spans="1:10" ht="15" x14ac:dyDescent="0.2">
      <c r="A654" s="11">
        <f t="shared" si="26"/>
        <v>2053</v>
      </c>
      <c r="B654" s="17">
        <f t="shared" ref="B654:J654" si="42">AVERAGE(B504:B515)</f>
        <v>28.078316666666662</v>
      </c>
      <c r="C654" s="17">
        <f t="shared" si="42"/>
        <v>25.731008333333325</v>
      </c>
      <c r="D654" s="17">
        <f t="shared" si="42"/>
        <v>25.723191666666665</v>
      </c>
      <c r="E654" s="17">
        <f t="shared" si="42"/>
        <v>25.723191666666665</v>
      </c>
      <c r="F654" s="17">
        <f t="shared" si="42"/>
        <v>28.078316666666662</v>
      </c>
      <c r="G654" s="17">
        <f t="shared" si="42"/>
        <v>25.729449999999996</v>
      </c>
      <c r="H654" s="17">
        <f t="shared" si="42"/>
        <v>25.729449999999996</v>
      </c>
      <c r="I654" s="17">
        <f t="shared" si="42"/>
        <v>25.731008333333325</v>
      </c>
      <c r="J654" s="17">
        <f t="shared" si="42"/>
        <v>209.45359999999997</v>
      </c>
    </row>
    <row r="655" spans="1:10" ht="15" x14ac:dyDescent="0.2">
      <c r="A655" s="11">
        <f t="shared" si="26"/>
        <v>2054</v>
      </c>
      <c r="B655" s="17">
        <f t="shared" ref="B655:J655" si="43">AVERAGE(B516:B527)</f>
        <v>28.11515</v>
      </c>
      <c r="C655" s="17">
        <f t="shared" si="43"/>
        <v>25.76489166666666</v>
      </c>
      <c r="D655" s="17">
        <f t="shared" si="43"/>
        <v>25.757083333333338</v>
      </c>
      <c r="E655" s="17">
        <f t="shared" si="43"/>
        <v>25.757083333333338</v>
      </c>
      <c r="F655" s="17">
        <f t="shared" si="43"/>
        <v>28.11515</v>
      </c>
      <c r="G655" s="17">
        <f t="shared" si="43"/>
        <v>25.763316666666665</v>
      </c>
      <c r="H655" s="17">
        <f t="shared" si="43"/>
        <v>25.763316666666665</v>
      </c>
      <c r="I655" s="17">
        <f t="shared" si="43"/>
        <v>25.76489166666666</v>
      </c>
      <c r="J655" s="17">
        <f t="shared" si="43"/>
        <v>211.42877499999997</v>
      </c>
    </row>
    <row r="656" spans="1:10" ht="15" x14ac:dyDescent="0.2">
      <c r="A656" s="11">
        <f t="shared" si="26"/>
        <v>2055</v>
      </c>
      <c r="B656" s="17">
        <f t="shared" ref="B656:J656" si="44">AVERAGE(B528:B539)</f>
        <v>28.152016666666668</v>
      </c>
      <c r="C656" s="17">
        <f t="shared" si="44"/>
        <v>25.798816666666667</v>
      </c>
      <c r="D656" s="17">
        <f t="shared" si="44"/>
        <v>25.791008333333327</v>
      </c>
      <c r="E656" s="17">
        <f t="shared" si="44"/>
        <v>25.791008333333327</v>
      </c>
      <c r="F656" s="17">
        <f t="shared" si="44"/>
        <v>28.152016666666668</v>
      </c>
      <c r="G656" s="17">
        <f t="shared" si="44"/>
        <v>25.797275000000003</v>
      </c>
      <c r="H656" s="17">
        <f t="shared" si="44"/>
        <v>25.797275000000003</v>
      </c>
      <c r="I656" s="17">
        <f t="shared" si="44"/>
        <v>25.798816666666667</v>
      </c>
      <c r="J656" s="17">
        <f t="shared" si="44"/>
        <v>213.42255</v>
      </c>
    </row>
    <row r="657" spans="1:10" ht="15" x14ac:dyDescent="0.2">
      <c r="A657" s="11">
        <f t="shared" si="26"/>
        <v>2056</v>
      </c>
      <c r="B657" s="17">
        <f t="shared" ref="B657:J657" si="45">AVERAGE(B540:B551)</f>
        <v>28.188958333333336</v>
      </c>
      <c r="C657" s="17">
        <f t="shared" si="45"/>
        <v>25.832800000000002</v>
      </c>
      <c r="D657" s="17">
        <f t="shared" si="45"/>
        <v>25.824991666666666</v>
      </c>
      <c r="E657" s="17">
        <f t="shared" si="45"/>
        <v>25.824991666666666</v>
      </c>
      <c r="F657" s="17">
        <f t="shared" si="45"/>
        <v>28.188958333333336</v>
      </c>
      <c r="G657" s="17">
        <f t="shared" si="45"/>
        <v>25.831241666666667</v>
      </c>
      <c r="H657" s="17">
        <f t="shared" si="45"/>
        <v>25.831241666666667</v>
      </c>
      <c r="I657" s="17">
        <f t="shared" si="45"/>
        <v>25.832800000000002</v>
      </c>
      <c r="J657" s="17">
        <f t="shared" si="45"/>
        <v>215.43511666666669</v>
      </c>
    </row>
    <row r="658" spans="1:10" ht="15" x14ac:dyDescent="0.2">
      <c r="A658" s="11">
        <f t="shared" si="26"/>
        <v>2057</v>
      </c>
      <c r="B658" s="17">
        <f t="shared" ref="B658:J658" si="46">AVERAGE(B552:B563)</f>
        <v>28.225916666666667</v>
      </c>
      <c r="C658" s="17">
        <f t="shared" si="46"/>
        <v>25.866816666666661</v>
      </c>
      <c r="D658" s="17">
        <f t="shared" si="46"/>
        <v>25.859008333333335</v>
      </c>
      <c r="E658" s="17">
        <f t="shared" si="46"/>
        <v>25.859008333333335</v>
      </c>
      <c r="F658" s="17">
        <f t="shared" si="46"/>
        <v>28.225916666666667</v>
      </c>
      <c r="G658" s="17">
        <f t="shared" si="46"/>
        <v>25.865266666666667</v>
      </c>
      <c r="H658" s="17">
        <f t="shared" si="46"/>
        <v>25.865266666666667</v>
      </c>
      <c r="I658" s="17">
        <f t="shared" si="46"/>
        <v>25.866816666666661</v>
      </c>
      <c r="J658" s="17">
        <f t="shared" si="46"/>
        <v>217.46666666666661</v>
      </c>
    </row>
    <row r="659" spans="1:10" ht="15" x14ac:dyDescent="0.2">
      <c r="A659" s="11">
        <f t="shared" si="26"/>
        <v>2058</v>
      </c>
      <c r="B659" s="17">
        <f t="shared" ref="B659:J659" si="47">AVERAGE(B564:B575)</f>
        <v>28.26295833333333</v>
      </c>
      <c r="C659" s="17">
        <f t="shared" si="47"/>
        <v>25.90089166666667</v>
      </c>
      <c r="D659" s="17">
        <f t="shared" si="47"/>
        <v>25.893075</v>
      </c>
      <c r="E659" s="17">
        <f t="shared" si="47"/>
        <v>25.893075</v>
      </c>
      <c r="F659" s="17">
        <f t="shared" si="47"/>
        <v>28.26295833333333</v>
      </c>
      <c r="G659" s="17">
        <f t="shared" si="47"/>
        <v>25.899316666666667</v>
      </c>
      <c r="H659" s="17">
        <f t="shared" si="47"/>
        <v>25.899316666666667</v>
      </c>
      <c r="I659" s="17">
        <f t="shared" si="47"/>
        <v>25.90089166666667</v>
      </c>
      <c r="J659" s="17">
        <f t="shared" si="47"/>
        <v>219.51737500000004</v>
      </c>
    </row>
    <row r="660" spans="1:10" ht="15" x14ac:dyDescent="0.2">
      <c r="A660" s="11">
        <f t="shared" si="26"/>
        <v>2059</v>
      </c>
      <c r="B660" s="17">
        <f t="shared" ref="B660:J660" si="48">AVERAGE(B576:B587)</f>
        <v>28.300016666666661</v>
      </c>
      <c r="C660" s="17">
        <f t="shared" si="48"/>
        <v>25.934999999999999</v>
      </c>
      <c r="D660" s="17">
        <f t="shared" si="48"/>
        <v>25.927191666666669</v>
      </c>
      <c r="E660" s="17">
        <f t="shared" si="48"/>
        <v>25.927191666666669</v>
      </c>
      <c r="F660" s="17">
        <f t="shared" si="48"/>
        <v>28.300016666666661</v>
      </c>
      <c r="G660" s="17">
        <f t="shared" si="48"/>
        <v>25.933449999999997</v>
      </c>
      <c r="H660" s="17">
        <f t="shared" si="48"/>
        <v>25.933449999999997</v>
      </c>
      <c r="I660" s="17">
        <f t="shared" si="48"/>
        <v>25.934999999999999</v>
      </c>
      <c r="J660" s="17">
        <f t="shared" si="48"/>
        <v>221.58743333333334</v>
      </c>
    </row>
    <row r="661" spans="1:10" ht="15" x14ac:dyDescent="0.2">
      <c r="A661" s="11">
        <f t="shared" si="26"/>
        <v>2060</v>
      </c>
      <c r="B661" s="17">
        <f t="shared" ref="B661:J661" si="49">AVERAGE(B588:B599)</f>
        <v>28.337158333333331</v>
      </c>
      <c r="C661" s="17">
        <f t="shared" si="49"/>
        <v>25.969175000000003</v>
      </c>
      <c r="D661" s="17">
        <f t="shared" si="49"/>
        <v>25.961349999999996</v>
      </c>
      <c r="E661" s="17">
        <f t="shared" si="49"/>
        <v>25.961349999999996</v>
      </c>
      <c r="F661" s="17">
        <f t="shared" si="49"/>
        <v>28.337158333333331</v>
      </c>
      <c r="G661" s="17">
        <f t="shared" si="49"/>
        <v>25.967591666666664</v>
      </c>
      <c r="H661" s="17">
        <f t="shared" si="49"/>
        <v>25.967591666666664</v>
      </c>
      <c r="I661" s="17">
        <f t="shared" si="49"/>
        <v>25.969175000000003</v>
      </c>
      <c r="J661" s="17">
        <f t="shared" si="49"/>
        <v>223.67699166666668</v>
      </c>
    </row>
    <row r="662" spans="1:10" ht="15" x14ac:dyDescent="0.2">
      <c r="A662" s="11">
        <f t="shared" si="26"/>
        <v>2061</v>
      </c>
      <c r="B662" s="17">
        <f t="shared" ref="B662:J662" si="50">AVERAGE(B600:B611)</f>
        <v>28.374316666666662</v>
      </c>
      <c r="C662" s="17">
        <f t="shared" si="50"/>
        <v>26.003375000000002</v>
      </c>
      <c r="D662" s="17">
        <f t="shared" si="50"/>
        <v>25.995558333333332</v>
      </c>
      <c r="E662" s="17">
        <f t="shared" si="50"/>
        <v>25.995558333333332</v>
      </c>
      <c r="F662" s="17">
        <f t="shared" si="50"/>
        <v>28.374316666666662</v>
      </c>
      <c r="G662" s="17">
        <f t="shared" si="50"/>
        <v>26.001799999999999</v>
      </c>
      <c r="H662" s="17">
        <f t="shared" si="50"/>
        <v>26.001799999999999</v>
      </c>
      <c r="I662" s="17">
        <f t="shared" si="50"/>
        <v>26.003375000000002</v>
      </c>
      <c r="J662" s="17">
        <f t="shared" si="50"/>
        <v>225.78627500000002</v>
      </c>
    </row>
    <row r="663" spans="1:10" ht="15" x14ac:dyDescent="0.2">
      <c r="A663" s="43"/>
    </row>
    <row r="664" spans="1:10" x14ac:dyDescent="0.2">
      <c r="A664" s="8"/>
    </row>
    <row r="665" spans="1:10" x14ac:dyDescent="0.2">
      <c r="A665" s="8"/>
    </row>
    <row r="666" spans="1:10" x14ac:dyDescent="0.2">
      <c r="A666" s="8"/>
    </row>
    <row r="667" spans="1:10" x14ac:dyDescent="0.2">
      <c r="A667" s="8"/>
    </row>
    <row r="668" spans="1:10" x14ac:dyDescent="0.2">
      <c r="A668" s="8"/>
    </row>
    <row r="669" spans="1:10" x14ac:dyDescent="0.2">
      <c r="A669" s="8"/>
    </row>
    <row r="670" spans="1:10" x14ac:dyDescent="0.2">
      <c r="A670" s="8"/>
    </row>
    <row r="671" spans="1:10" x14ac:dyDescent="0.2">
      <c r="A671" s="8"/>
    </row>
    <row r="672" spans="1:10" x14ac:dyDescent="0.2">
      <c r="A672" s="8"/>
    </row>
    <row r="673" spans="1:1" x14ac:dyDescent="0.2">
      <c r="A673" s="8"/>
    </row>
    <row r="674" spans="1:1" x14ac:dyDescent="0.2">
      <c r="A674" s="8"/>
    </row>
    <row r="675" spans="1:1" x14ac:dyDescent="0.2">
      <c r="A675" s="8"/>
    </row>
    <row r="676" spans="1:1" x14ac:dyDescent="0.2">
      <c r="A676" s="8"/>
    </row>
    <row r="677" spans="1:1" x14ac:dyDescent="0.2">
      <c r="A677" s="8"/>
    </row>
    <row r="678" spans="1:1" x14ac:dyDescent="0.2">
      <c r="A678" s="8"/>
    </row>
    <row r="679" spans="1:1" x14ac:dyDescent="0.2">
      <c r="A679" s="8"/>
    </row>
    <row r="680" spans="1:1" x14ac:dyDescent="0.2">
      <c r="A680" s="8"/>
    </row>
    <row r="681" spans="1:1" x14ac:dyDescent="0.2">
      <c r="A681" s="8"/>
    </row>
    <row r="682" spans="1:1" x14ac:dyDescent="0.2">
      <c r="A682" s="8"/>
    </row>
    <row r="683" spans="1:1" x14ac:dyDescent="0.2">
      <c r="A683" s="8"/>
    </row>
    <row r="684" spans="1:1" x14ac:dyDescent="0.2">
      <c r="A684" s="8"/>
    </row>
    <row r="685" spans="1:1" x14ac:dyDescent="0.2">
      <c r="A685" s="8"/>
    </row>
    <row r="686" spans="1:1" x14ac:dyDescent="0.2">
      <c r="A686" s="8"/>
    </row>
    <row r="687" spans="1:1" x14ac:dyDescent="0.2">
      <c r="A687" s="8"/>
    </row>
    <row r="688" spans="1:1" x14ac:dyDescent="0.2">
      <c r="A688" s="8"/>
    </row>
    <row r="689" spans="1:1" x14ac:dyDescent="0.2">
      <c r="A689" s="8"/>
    </row>
    <row r="690" spans="1:1" x14ac:dyDescent="0.2">
      <c r="A690" s="8"/>
    </row>
    <row r="691" spans="1:1" x14ac:dyDescent="0.2">
      <c r="A691" s="8"/>
    </row>
    <row r="692" spans="1:1" x14ac:dyDescent="0.2">
      <c r="A692" s="8"/>
    </row>
    <row r="693" spans="1:1" x14ac:dyDescent="0.2">
      <c r="A693" s="8"/>
    </row>
    <row r="694" spans="1:1" x14ac:dyDescent="0.2">
      <c r="A694" s="8"/>
    </row>
    <row r="695" spans="1:1" x14ac:dyDescent="0.2">
      <c r="A695" s="8"/>
    </row>
    <row r="696" spans="1:1" x14ac:dyDescent="0.2">
      <c r="A696" s="8"/>
    </row>
    <row r="697" spans="1:1" x14ac:dyDescent="0.2">
      <c r="A697" s="8"/>
    </row>
    <row r="698" spans="1:1" x14ac:dyDescent="0.2">
      <c r="A698" s="8"/>
    </row>
    <row r="699" spans="1:1" x14ac:dyDescent="0.2">
      <c r="A699" s="8"/>
    </row>
    <row r="700" spans="1:1" x14ac:dyDescent="0.2">
      <c r="A700" s="8"/>
    </row>
    <row r="701" spans="1:1" x14ac:dyDescent="0.2">
      <c r="A701" s="8"/>
    </row>
    <row r="702" spans="1:1" x14ac:dyDescent="0.2">
      <c r="A702" s="8"/>
    </row>
    <row r="703" spans="1:1" x14ac:dyDescent="0.2">
      <c r="A703" s="8"/>
    </row>
    <row r="704" spans="1:1" x14ac:dyDescent="0.2">
      <c r="A704" s="8"/>
    </row>
    <row r="705" spans="1:1" x14ac:dyDescent="0.2">
      <c r="A705" s="8"/>
    </row>
    <row r="706" spans="1:1" x14ac:dyDescent="0.2">
      <c r="A706" s="8"/>
    </row>
    <row r="707" spans="1:1" x14ac:dyDescent="0.2">
      <c r="A707" s="8"/>
    </row>
    <row r="708" spans="1:1" x14ac:dyDescent="0.2">
      <c r="A708" s="8"/>
    </row>
    <row r="709" spans="1:1" x14ac:dyDescent="0.2">
      <c r="A709" s="8"/>
    </row>
    <row r="710" spans="1:1" x14ac:dyDescent="0.2">
      <c r="A710" s="8"/>
    </row>
    <row r="711" spans="1:1" x14ac:dyDescent="0.2">
      <c r="A711" s="8"/>
    </row>
    <row r="712" spans="1:1" x14ac:dyDescent="0.2">
      <c r="A712" s="8"/>
    </row>
    <row r="713" spans="1:1" x14ac:dyDescent="0.2">
      <c r="A713" s="8"/>
    </row>
    <row r="714" spans="1:1" x14ac:dyDescent="0.2">
      <c r="A714" s="8"/>
    </row>
    <row r="715" spans="1:1" x14ac:dyDescent="0.2">
      <c r="A715" s="8"/>
    </row>
    <row r="716" spans="1:1" x14ac:dyDescent="0.2">
      <c r="A716" s="8"/>
    </row>
    <row r="717" spans="1:1" x14ac:dyDescent="0.2">
      <c r="A717" s="8"/>
    </row>
    <row r="718" spans="1:1" x14ac:dyDescent="0.2">
      <c r="A718" s="8"/>
    </row>
    <row r="719" spans="1:1" x14ac:dyDescent="0.2">
      <c r="A719" s="8"/>
    </row>
    <row r="720" spans="1:1" x14ac:dyDescent="0.2">
      <c r="A720" s="8"/>
    </row>
    <row r="721" spans="1:1" x14ac:dyDescent="0.2">
      <c r="A721" s="8"/>
    </row>
  </sheetData>
  <pageMargins left="0.5" right="0.25" top="0.5" bottom="0.5" header="0.25" footer="0.25"/>
  <pageSetup paperSize="5" scale="90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7</xdr:col>
                    <xdr:colOff>209550</xdr:colOff>
                    <xdr:row>7</xdr:row>
                    <xdr:rowOff>180975</xdr:rowOff>
                  </from>
                  <to>
                    <xdr:col>8</xdr:col>
                    <xdr:colOff>342900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locked="0" defaultSize="0" autoLine="0" autoPict="0">
                <anchor moveWithCells="1">
                  <from>
                    <xdr:col>8</xdr:col>
                    <xdr:colOff>476250</xdr:colOff>
                    <xdr:row>7</xdr:row>
                    <xdr:rowOff>180975</xdr:rowOff>
                  </from>
                  <to>
                    <xdr:col>9</xdr:col>
                    <xdr:colOff>609600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AC669"/>
  <sheetViews>
    <sheetView zoomScale="75" zoomScaleNormal="75" workbookViewId="0">
      <pane xSplit="1" ySplit="12" topLeftCell="B13" activePane="bottomRight" state="frozen"/>
      <selection activeCell="A7" sqref="A7"/>
      <selection pane="topRight" activeCell="A7" sqref="A7"/>
      <selection pane="bottomLeft" activeCell="A7" sqref="A7"/>
      <selection pane="bottomRight" activeCell="B13" sqref="B13"/>
    </sheetView>
  </sheetViews>
  <sheetFormatPr defaultColWidth="7.109375" defaultRowHeight="12.75" x14ac:dyDescent="0.2"/>
  <cols>
    <col min="1" max="1" width="18.21875" style="33" customWidth="1"/>
    <col min="2" max="10" width="13" style="33" customWidth="1"/>
    <col min="11" max="11" width="18.6640625" style="33" customWidth="1"/>
    <col min="12" max="12" width="13" style="33" customWidth="1"/>
    <col min="13" max="16" width="20.6640625" style="33" customWidth="1"/>
    <col min="17" max="17" width="15.5546875" style="33" customWidth="1"/>
    <col min="18" max="18" width="16.21875" style="33" customWidth="1"/>
    <col min="19" max="19" width="13" style="8" customWidth="1"/>
    <col min="20" max="25" width="17.6640625" style="8" customWidth="1"/>
    <col min="26" max="26" width="15.5546875" style="8" customWidth="1"/>
    <col min="27" max="27" width="16.88671875" style="8" customWidth="1"/>
    <col min="28" max="29" width="14.77734375" style="8" customWidth="1"/>
    <col min="30" max="30" width="14" style="8" customWidth="1"/>
    <col min="31" max="31" width="10.21875" style="8" customWidth="1"/>
    <col min="32" max="32" width="11.77734375" style="8" customWidth="1"/>
    <col min="33" max="33" width="7.109375" style="8" customWidth="1"/>
    <col min="34" max="34" width="8.77734375" style="8" customWidth="1"/>
    <col min="35" max="35" width="9.21875" style="8" customWidth="1"/>
    <col min="36" max="36" width="11.77734375" style="8" customWidth="1"/>
    <col min="37" max="37" width="7.109375" style="8" customWidth="1"/>
    <col min="38" max="38" width="9.21875" style="8" customWidth="1"/>
    <col min="39" max="39" width="9.33203125" style="8" customWidth="1"/>
    <col min="40" max="40" width="8.21875" style="8" customWidth="1"/>
    <col min="41" max="41" width="9" style="8" customWidth="1"/>
    <col min="42" max="16384" width="7.109375" style="8"/>
  </cols>
  <sheetData>
    <row r="1" spans="1:29" ht="15.75" x14ac:dyDescent="0.25">
      <c r="A1" s="112" t="s">
        <v>90</v>
      </c>
    </row>
    <row r="2" spans="1:29" ht="15.75" x14ac:dyDescent="0.25">
      <c r="A2" s="112" t="s">
        <v>91</v>
      </c>
    </row>
    <row r="3" spans="1:29" ht="15.75" x14ac:dyDescent="0.25">
      <c r="A3" s="112" t="s">
        <v>92</v>
      </c>
    </row>
    <row r="4" spans="1:29" ht="15.75" x14ac:dyDescent="0.25">
      <c r="A4" s="112" t="s">
        <v>93</v>
      </c>
    </row>
    <row r="5" spans="1:29" ht="15.75" x14ac:dyDescent="0.25">
      <c r="A5" s="112" t="s">
        <v>95</v>
      </c>
    </row>
    <row r="6" spans="1:29" ht="15.75" x14ac:dyDescent="0.25">
      <c r="A6" s="112" t="s">
        <v>99</v>
      </c>
    </row>
    <row r="7" spans="1:29" ht="15.75" x14ac:dyDescent="0.25">
      <c r="A7" s="112"/>
    </row>
    <row r="8" spans="1:29" s="25" customFormat="1" ht="15.75" x14ac:dyDescent="0.25">
      <c r="A8" s="46" t="s">
        <v>27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106"/>
      <c r="N8" s="106"/>
      <c r="O8" s="81"/>
      <c r="P8" s="81"/>
      <c r="Q8" s="47"/>
      <c r="R8" s="47"/>
    </row>
    <row r="9" spans="1:29" ht="15.75" x14ac:dyDescent="0.25">
      <c r="A9" s="42"/>
      <c r="B9" s="40" t="s">
        <v>25</v>
      </c>
      <c r="C9" s="82">
        <f>1-0.208</f>
        <v>0.79200000000000004</v>
      </c>
      <c r="D9" s="40"/>
      <c r="E9" s="82">
        <v>1.208</v>
      </c>
      <c r="F9" s="82"/>
      <c r="G9" s="82"/>
      <c r="H9" s="1"/>
      <c r="I9" s="1"/>
      <c r="J9" s="1"/>
      <c r="K9" s="1"/>
      <c r="L9" s="1"/>
      <c r="M9" s="1"/>
      <c r="N9" s="1"/>
      <c r="O9" s="1"/>
      <c r="P9" s="1"/>
      <c r="T9" s="121" t="s">
        <v>79</v>
      </c>
      <c r="U9" s="121"/>
      <c r="V9" s="121"/>
      <c r="W9" s="121"/>
      <c r="X9" s="121"/>
      <c r="Y9" s="121"/>
      <c r="Z9" s="117"/>
      <c r="AA9" s="117"/>
      <c r="AB9" s="1"/>
    </row>
    <row r="10" spans="1:29" ht="15.75" x14ac:dyDescent="0.25">
      <c r="B10" s="81"/>
      <c r="C10" s="80"/>
      <c r="D10" s="81"/>
      <c r="E10" s="80"/>
      <c r="F10" s="80"/>
      <c r="G10" s="80"/>
      <c r="H10" s="1"/>
      <c r="I10" s="1"/>
      <c r="J10" s="1"/>
      <c r="K10" s="1"/>
      <c r="L10" s="1"/>
      <c r="M10" s="1"/>
      <c r="N10" s="1"/>
      <c r="O10" s="1"/>
      <c r="P10" s="1"/>
      <c r="T10" s="121" t="s">
        <v>78</v>
      </c>
      <c r="U10" s="121"/>
      <c r="V10" s="121"/>
      <c r="W10" s="121"/>
      <c r="X10" s="121"/>
      <c r="Y10" s="121"/>
      <c r="Z10" s="79"/>
      <c r="AA10" s="79"/>
      <c r="AB10" s="1"/>
    </row>
    <row r="11" spans="1:29" s="35" customFormat="1" ht="112.5" customHeight="1" x14ac:dyDescent="0.25">
      <c r="B11" s="74" t="s">
        <v>77</v>
      </c>
      <c r="C11" s="78" t="s">
        <v>76</v>
      </c>
      <c r="D11" s="74" t="s">
        <v>75</v>
      </c>
      <c r="E11" s="74" t="s">
        <v>74</v>
      </c>
      <c r="F11" s="78" t="s">
        <v>73</v>
      </c>
      <c r="G11" s="78" t="s">
        <v>72</v>
      </c>
      <c r="H11" s="78" t="s">
        <v>71</v>
      </c>
      <c r="I11" s="78" t="s">
        <v>70</v>
      </c>
      <c r="J11" s="78" t="s">
        <v>69</v>
      </c>
      <c r="K11" s="75" t="s">
        <v>68</v>
      </c>
      <c r="L11" s="36" t="s">
        <v>67</v>
      </c>
      <c r="M11" s="77" t="s">
        <v>66</v>
      </c>
      <c r="N11" s="77" t="s">
        <v>65</v>
      </c>
      <c r="O11" s="77" t="s">
        <v>64</v>
      </c>
      <c r="P11" s="77" t="s">
        <v>63</v>
      </c>
      <c r="Q11" s="36" t="s">
        <v>62</v>
      </c>
      <c r="R11" s="38" t="s">
        <v>61</v>
      </c>
      <c r="S11" s="36" t="s">
        <v>60</v>
      </c>
      <c r="T11" s="73" t="s">
        <v>59</v>
      </c>
      <c r="U11" s="73" t="s">
        <v>58</v>
      </c>
      <c r="V11" s="73" t="s">
        <v>57</v>
      </c>
      <c r="W11" s="73" t="s">
        <v>56</v>
      </c>
      <c r="X11" s="73" t="s">
        <v>55</v>
      </c>
      <c r="Y11" s="73" t="s">
        <v>54</v>
      </c>
      <c r="Z11" s="38" t="s">
        <v>53</v>
      </c>
      <c r="AA11" s="38" t="s">
        <v>52</v>
      </c>
      <c r="AB11" s="74" t="s">
        <v>51</v>
      </c>
      <c r="AC11" s="76" t="s">
        <v>50</v>
      </c>
    </row>
    <row r="12" spans="1:29" s="35" customFormat="1" ht="15.75" x14ac:dyDescent="0.25">
      <c r="A12" s="37" t="s">
        <v>15</v>
      </c>
      <c r="B12" s="36" t="s">
        <v>14</v>
      </c>
      <c r="C12" s="36" t="s">
        <v>14</v>
      </c>
      <c r="D12" s="36" t="s">
        <v>14</v>
      </c>
      <c r="E12" s="36" t="s">
        <v>14</v>
      </c>
      <c r="F12" s="36" t="s">
        <v>14</v>
      </c>
      <c r="G12" s="36" t="s">
        <v>14</v>
      </c>
      <c r="H12" s="36" t="s">
        <v>14</v>
      </c>
      <c r="I12" s="36" t="s">
        <v>14</v>
      </c>
      <c r="J12" s="36" t="s">
        <v>14</v>
      </c>
      <c r="K12" s="75" t="s">
        <v>14</v>
      </c>
      <c r="L12" s="36" t="s">
        <v>14</v>
      </c>
      <c r="M12" s="36" t="s">
        <v>14</v>
      </c>
      <c r="N12" s="36" t="s">
        <v>14</v>
      </c>
      <c r="O12" s="36" t="s">
        <v>14</v>
      </c>
      <c r="P12" s="36" t="s">
        <v>14</v>
      </c>
      <c r="Q12" s="36" t="s">
        <v>14</v>
      </c>
      <c r="R12" s="36" t="s">
        <v>14</v>
      </c>
      <c r="S12" s="36" t="s">
        <v>14</v>
      </c>
      <c r="T12" s="73" t="s">
        <v>49</v>
      </c>
      <c r="U12" s="73" t="s">
        <v>49</v>
      </c>
      <c r="V12" s="73" t="s">
        <v>49</v>
      </c>
      <c r="W12" s="73" t="s">
        <v>49</v>
      </c>
      <c r="X12" s="73" t="s">
        <v>49</v>
      </c>
      <c r="Y12" s="73" t="s">
        <v>49</v>
      </c>
      <c r="Z12" s="36" t="s">
        <v>14</v>
      </c>
      <c r="AA12" s="36" t="s">
        <v>49</v>
      </c>
      <c r="AB12" s="74" t="s">
        <v>14</v>
      </c>
      <c r="AC12" s="73" t="s">
        <v>14</v>
      </c>
    </row>
    <row r="13" spans="1:29" ht="15" x14ac:dyDescent="0.2">
      <c r="A13" s="16">
        <v>40909</v>
      </c>
      <c r="B13" s="67">
        <v>3.0936493767391098</v>
      </c>
      <c r="C13" s="67">
        <v>3.16574871627579</v>
      </c>
      <c r="D13" s="67">
        <v>3.23678125938206</v>
      </c>
      <c r="E13" s="67">
        <v>3.2808449963622701</v>
      </c>
      <c r="F13" s="67">
        <f t="shared" ref="F13:F21" si="0">J13+0.01</f>
        <v>3.1514458466132598</v>
      </c>
      <c r="G13" s="67">
        <v>3.16144584661326</v>
      </c>
      <c r="H13" s="67">
        <v>3.2697230023713799</v>
      </c>
      <c r="I13" s="67">
        <v>3.2052682119205298</v>
      </c>
      <c r="J13" s="67">
        <v>3.14144584661326</v>
      </c>
      <c r="K13" s="72"/>
      <c r="L13" s="67">
        <v>3.8567230023713801</v>
      </c>
      <c r="M13" s="67">
        <v>3.14763937251172</v>
      </c>
      <c r="N13" s="67">
        <v>3.1626393725117201</v>
      </c>
      <c r="O13" s="67">
        <v>3.27491918158568</v>
      </c>
      <c r="P13" s="67">
        <v>3.21092525667351</v>
      </c>
      <c r="Q13" s="67">
        <v>3.8695191815856802</v>
      </c>
      <c r="R13" s="67">
        <v>4.46619297953964</v>
      </c>
      <c r="S13" s="67">
        <v>3.0840000000000001</v>
      </c>
      <c r="T13" s="68">
        <v>29.013411000000001</v>
      </c>
      <c r="U13" s="68">
        <v>12.063650000000001</v>
      </c>
      <c r="V13" s="68">
        <v>4.9444999999999997</v>
      </c>
      <c r="W13" s="68">
        <v>0.56798199999999999</v>
      </c>
      <c r="X13" s="68">
        <v>0</v>
      </c>
      <c r="Y13" s="68">
        <v>0.39</v>
      </c>
      <c r="Z13" s="67">
        <v>3.18637840327533</v>
      </c>
      <c r="AA13" s="55">
        <v>0.78900000000000003</v>
      </c>
      <c r="AB13" s="66">
        <v>3.1802178649969002</v>
      </c>
      <c r="AC13" s="65">
        <v>3.2180755791893398</v>
      </c>
    </row>
    <row r="14" spans="1:29" ht="15" x14ac:dyDescent="0.2">
      <c r="A14" s="16">
        <v>40940</v>
      </c>
      <c r="B14" s="67">
        <v>2.6750495210838898</v>
      </c>
      <c r="C14" s="67">
        <v>2.7471488606205701</v>
      </c>
      <c r="D14" s="67">
        <v>2.8130262330906901</v>
      </c>
      <c r="E14" s="67">
        <v>2.8570899700708998</v>
      </c>
      <c r="F14" s="67">
        <f t="shared" si="0"/>
        <v>2.7321421036565399</v>
      </c>
      <c r="G14" s="67">
        <v>2.7421421036565401</v>
      </c>
      <c r="H14" s="67">
        <v>2.8459679760800101</v>
      </c>
      <c r="I14" s="67">
        <v>2.7592831125827799</v>
      </c>
      <c r="J14" s="67">
        <v>2.7221421036565401</v>
      </c>
      <c r="K14" s="72"/>
      <c r="L14" s="67">
        <v>3.4329679760800098</v>
      </c>
      <c r="M14" s="67">
        <v>2.7315956893467801</v>
      </c>
      <c r="N14" s="67">
        <v>2.7465956893467798</v>
      </c>
      <c r="O14" s="67">
        <v>2.8544588235294102</v>
      </c>
      <c r="P14" s="67">
        <v>2.7684201232032901</v>
      </c>
      <c r="Q14" s="67">
        <v>3.44905882352941</v>
      </c>
      <c r="R14" s="67">
        <v>4.0446814705882304</v>
      </c>
      <c r="S14" s="67">
        <v>2.6779999999999999</v>
      </c>
      <c r="T14" s="68">
        <v>27.193942</v>
      </c>
      <c r="U14" s="68">
        <v>11.285349999999999</v>
      </c>
      <c r="V14" s="68">
        <v>4.6254999999999997</v>
      </c>
      <c r="W14" s="68">
        <v>0.53133799999999998</v>
      </c>
      <c r="X14" s="68">
        <v>0</v>
      </c>
      <c r="Y14" s="68">
        <v>0.39</v>
      </c>
      <c r="Z14" s="67">
        <v>2.74267318321392</v>
      </c>
      <c r="AA14" s="55">
        <v>0.78900000000000003</v>
      </c>
      <c r="AB14" s="66">
        <v>2.7577309139579</v>
      </c>
      <c r="AC14" s="65">
        <v>2.79469972964525</v>
      </c>
    </row>
    <row r="15" spans="1:29" ht="15" x14ac:dyDescent="0.2">
      <c r="A15" s="16">
        <v>40969</v>
      </c>
      <c r="B15" s="67">
        <v>2.43650434183116</v>
      </c>
      <c r="C15" s="67">
        <v>2.5086036813678398</v>
      </c>
      <c r="D15" s="67">
        <v>2.5667482978837399</v>
      </c>
      <c r="E15" s="67">
        <v>2.6108120348639501</v>
      </c>
      <c r="F15" s="67">
        <f t="shared" si="0"/>
        <v>2.4899477340318898</v>
      </c>
      <c r="G15" s="67">
        <v>2.4999477340318901</v>
      </c>
      <c r="H15" s="67">
        <v>2.5996900408730599</v>
      </c>
      <c r="I15" s="67">
        <v>2.5250478379995598</v>
      </c>
      <c r="J15" s="67">
        <v>2.4799477340318901</v>
      </c>
      <c r="K15" s="72"/>
      <c r="L15" s="67">
        <v>3.1866900408730601</v>
      </c>
      <c r="M15" s="67">
        <v>2.4912843654603898</v>
      </c>
      <c r="N15" s="67">
        <v>2.5062843654603899</v>
      </c>
      <c r="O15" s="67">
        <v>2.6100956835220201</v>
      </c>
      <c r="P15" s="67">
        <v>2.5360125571281098</v>
      </c>
      <c r="Q15" s="67">
        <v>3.2046956835220199</v>
      </c>
      <c r="R15" s="67">
        <v>3.7997074227308301</v>
      </c>
      <c r="S15" s="67">
        <v>2.44663503064278</v>
      </c>
      <c r="T15" s="68">
        <v>29.123911</v>
      </c>
      <c r="U15" s="68">
        <v>12.063650000000001</v>
      </c>
      <c r="V15" s="68">
        <v>4.9444999999999997</v>
      </c>
      <c r="W15" s="68">
        <v>0.56798199999999999</v>
      </c>
      <c r="X15" s="68">
        <v>0</v>
      </c>
      <c r="Y15" s="68">
        <v>0.39</v>
      </c>
      <c r="Z15" s="67">
        <v>2.51476635685033</v>
      </c>
      <c r="AA15" s="55">
        <v>0.78900000000000003</v>
      </c>
      <c r="AB15" s="66">
        <v>2.51653512190485</v>
      </c>
      <c r="AC15" s="65">
        <v>2.5541440949897298</v>
      </c>
    </row>
    <row r="16" spans="1:29" ht="15" x14ac:dyDescent="0.2">
      <c r="A16" s="16">
        <v>41000</v>
      </c>
      <c r="B16" s="67">
        <v>2.25112834896612</v>
      </c>
      <c r="C16" s="67">
        <v>2.3286117141296101</v>
      </c>
      <c r="D16" s="67">
        <v>2.3911675894623801</v>
      </c>
      <c r="E16" s="67">
        <v>2.4336739322230998</v>
      </c>
      <c r="F16" s="67">
        <f t="shared" si="0"/>
        <v>2.3070799152630497</v>
      </c>
      <c r="G16" s="67">
        <v>2.3170799152630499</v>
      </c>
      <c r="H16" s="67">
        <v>2.4231283253237899</v>
      </c>
      <c r="I16" s="67">
        <v>2.33378937342601</v>
      </c>
      <c r="J16" s="67">
        <v>2.2970799152630499</v>
      </c>
      <c r="K16" s="72"/>
      <c r="L16" s="67">
        <v>3.01012832532379</v>
      </c>
      <c r="M16" s="67">
        <v>2.2331224006155299</v>
      </c>
      <c r="N16" s="67">
        <v>2.24812240061553</v>
      </c>
      <c r="O16" s="67">
        <v>2.3569915593923598</v>
      </c>
      <c r="P16" s="67">
        <v>2.2691652456940798</v>
      </c>
      <c r="Q16" s="67">
        <v>2.9515915593923601</v>
      </c>
      <c r="R16" s="67">
        <v>3.54597053829084</v>
      </c>
      <c r="S16" s="67">
        <v>2.19172574930603</v>
      </c>
      <c r="T16" s="68">
        <v>29.864126500000001</v>
      </c>
      <c r="U16" s="68">
        <v>11.6745</v>
      </c>
      <c r="V16" s="68">
        <v>4.7850000000000001</v>
      </c>
      <c r="W16" s="68">
        <v>0.54966000000000004</v>
      </c>
      <c r="X16" s="68">
        <v>0</v>
      </c>
      <c r="Y16" s="68">
        <v>0.39</v>
      </c>
      <c r="Z16" s="67">
        <v>2.2551867444278701</v>
      </c>
      <c r="AA16" s="55">
        <v>0.78900000000000003</v>
      </c>
      <c r="AB16" s="66">
        <v>2.3409639376518698</v>
      </c>
      <c r="AC16" s="65">
        <v>2.2965249665517899</v>
      </c>
    </row>
    <row r="17" spans="1:29" ht="15" x14ac:dyDescent="0.2">
      <c r="A17" s="16">
        <v>41030</v>
      </c>
      <c r="B17" s="67">
        <v>2.0903808915384499</v>
      </c>
      <c r="C17" s="67">
        <v>2.1713324976709898</v>
      </c>
      <c r="D17" s="67">
        <v>2.29587333706993</v>
      </c>
      <c r="E17" s="67">
        <v>2.3377522482644699</v>
      </c>
      <c r="F17" s="67">
        <f t="shared" si="0"/>
        <v>2.1329697654022497</v>
      </c>
      <c r="G17" s="67">
        <v>2.1429697654022499</v>
      </c>
      <c r="H17" s="67">
        <v>2.3260788257339202</v>
      </c>
      <c r="I17" s="67">
        <v>2.14872454469507</v>
      </c>
      <c r="J17" s="67">
        <v>2.1229697654022499</v>
      </c>
      <c r="K17" s="72"/>
      <c r="L17" s="67">
        <v>2.91307882573392</v>
      </c>
      <c r="M17" s="67">
        <v>2.0620224415809698</v>
      </c>
      <c r="N17" s="67">
        <v>2.0770224415809699</v>
      </c>
      <c r="O17" s="67">
        <v>2.2616199488490998</v>
      </c>
      <c r="P17" s="67">
        <v>2.0873240430990201</v>
      </c>
      <c r="Q17" s="67">
        <v>2.8562199488491</v>
      </c>
      <c r="R17" s="67">
        <v>3.45036049872123</v>
      </c>
      <c r="S17" s="67">
        <v>2.036</v>
      </c>
      <c r="T17" s="68">
        <v>30.4256575</v>
      </c>
      <c r="U17" s="68">
        <v>12.063650000000001</v>
      </c>
      <c r="V17" s="68">
        <v>4.9444999999999997</v>
      </c>
      <c r="W17" s="68">
        <v>0.56798199999999999</v>
      </c>
      <c r="X17" s="68">
        <v>0</v>
      </c>
      <c r="Y17" s="68">
        <v>0.39</v>
      </c>
      <c r="Z17" s="67">
        <v>2.0932361310133101</v>
      </c>
      <c r="AA17" s="55">
        <v>0.78900000000000003</v>
      </c>
      <c r="AB17" s="66">
        <v>2.1888617641638901</v>
      </c>
      <c r="AC17" s="65">
        <v>2.1575842243176502</v>
      </c>
    </row>
    <row r="18" spans="1:29" ht="15" x14ac:dyDescent="0.2">
      <c r="A18" s="16">
        <v>41061</v>
      </c>
      <c r="B18" s="67">
        <v>2.5009640055093301</v>
      </c>
      <c r="C18" s="67">
        <v>2.5819156116418802</v>
      </c>
      <c r="D18" s="67">
        <v>2.7689174129396301</v>
      </c>
      <c r="E18" s="67">
        <v>2.81079632413417</v>
      </c>
      <c r="F18" s="67">
        <f t="shared" si="0"/>
        <v>2.5545323140292</v>
      </c>
      <c r="G18" s="67">
        <v>2.5645323140291998</v>
      </c>
      <c r="H18" s="67">
        <v>2.7991229016036101</v>
      </c>
      <c r="I18" s="67">
        <v>2.5906691345869199</v>
      </c>
      <c r="J18" s="67">
        <v>2.5445323140292002</v>
      </c>
      <c r="K18" s="72"/>
      <c r="L18" s="67">
        <v>3.3861229016036201</v>
      </c>
      <c r="M18" s="67">
        <v>2.4762965942265498</v>
      </c>
      <c r="N18" s="67">
        <v>2.4912965942265499</v>
      </c>
      <c r="O18" s="67">
        <v>2.7264855644812598</v>
      </c>
      <c r="P18" s="67">
        <v>2.52160432968746</v>
      </c>
      <c r="Q18" s="67">
        <v>3.32108556448126</v>
      </c>
      <c r="R18" s="67">
        <v>3.9163882783924602</v>
      </c>
      <c r="S18" s="67">
        <v>2.4304061392804299</v>
      </c>
      <c r="T18" s="68">
        <v>29.456401499999998</v>
      </c>
      <c r="U18" s="68">
        <v>11.6745</v>
      </c>
      <c r="V18" s="68">
        <v>4.7850000000000001</v>
      </c>
      <c r="W18" s="68">
        <v>0.54966000000000004</v>
      </c>
      <c r="X18" s="68">
        <v>0</v>
      </c>
      <c r="Y18" s="68">
        <v>0.39</v>
      </c>
      <c r="Z18" s="67">
        <v>2.50460372495438</v>
      </c>
      <c r="AA18" s="55">
        <v>0.78900000000000003</v>
      </c>
      <c r="AB18" s="66">
        <v>2.6230910185256602</v>
      </c>
      <c r="AC18" s="65">
        <v>2.59881833321182</v>
      </c>
    </row>
    <row r="19" spans="1:29" ht="15" x14ac:dyDescent="0.2">
      <c r="A19" s="16">
        <v>41091</v>
      </c>
      <c r="B19" s="67">
        <v>2.85978399788765</v>
      </c>
      <c r="C19" s="67">
        <v>2.9407356040202002</v>
      </c>
      <c r="D19" s="67">
        <v>3.20321106761235</v>
      </c>
      <c r="E19" s="67">
        <v>3.2450899788068899</v>
      </c>
      <c r="F19" s="67">
        <f t="shared" si="0"/>
        <v>2.9072654256747197</v>
      </c>
      <c r="G19" s="67">
        <v>2.9172654256747199</v>
      </c>
      <c r="H19" s="67">
        <v>3.23341655627633</v>
      </c>
      <c r="I19" s="67">
        <v>2.94142360897979</v>
      </c>
      <c r="J19" s="67">
        <v>2.8972654256747199</v>
      </c>
      <c r="K19" s="72"/>
      <c r="L19" s="67">
        <v>3.8204165562763301</v>
      </c>
      <c r="M19" s="67">
        <v>2.81995390690152</v>
      </c>
      <c r="N19" s="67">
        <v>2.8349539069015202</v>
      </c>
      <c r="O19" s="67">
        <v>3.1499557219816499</v>
      </c>
      <c r="P19" s="67">
        <v>2.8632514545966599</v>
      </c>
      <c r="Q19" s="67">
        <v>3.7446557219816499</v>
      </c>
      <c r="R19" s="67">
        <v>4.3410173612865997</v>
      </c>
      <c r="S19" s="67">
        <v>2.7750886239590402</v>
      </c>
      <c r="T19" s="68">
        <v>30.441508500000001</v>
      </c>
      <c r="U19" s="68">
        <v>12.063650000000001</v>
      </c>
      <c r="V19" s="68">
        <v>4.9444999999999997</v>
      </c>
      <c r="W19" s="68">
        <v>0.56798199999999999</v>
      </c>
      <c r="X19" s="68">
        <v>0</v>
      </c>
      <c r="Y19" s="68">
        <v>0.39</v>
      </c>
      <c r="Z19" s="67">
        <v>2.8574005362938002</v>
      </c>
      <c r="AA19" s="55">
        <v>0.78900000000000003</v>
      </c>
      <c r="AB19" s="66">
        <v>3.0017108083613602</v>
      </c>
      <c r="AC19" s="65">
        <v>2.9782448830562802</v>
      </c>
    </row>
    <row r="20" spans="1:29" ht="15" x14ac:dyDescent="0.2">
      <c r="A20" s="16">
        <v>41122</v>
      </c>
      <c r="B20" s="67">
        <v>3.17830557622379</v>
      </c>
      <c r="C20" s="67">
        <v>3.1863860601410501</v>
      </c>
      <c r="D20" s="67">
        <v>3.50611740547378</v>
      </c>
      <c r="E20" s="67">
        <v>3.5375861563518498</v>
      </c>
      <c r="F20" s="67">
        <f t="shared" si="0"/>
        <v>3.1629522548303397</v>
      </c>
      <c r="G20" s="67">
        <v>3.1729522548303399</v>
      </c>
      <c r="H20" s="67">
        <v>3.5259127338213001</v>
      </c>
      <c r="I20" s="67">
        <v>3.1918119006983501</v>
      </c>
      <c r="J20" s="67">
        <v>3.1529522548303399</v>
      </c>
      <c r="K20" s="72"/>
      <c r="L20" s="67">
        <v>4.1129127338213003</v>
      </c>
      <c r="M20" s="67">
        <v>3.0709633786305899</v>
      </c>
      <c r="N20" s="67">
        <v>3.08596337863059</v>
      </c>
      <c r="O20" s="67">
        <v>3.4371011774233402</v>
      </c>
      <c r="P20" s="67">
        <v>3.1090452302498601</v>
      </c>
      <c r="Q20" s="67">
        <v>4.0318011774233398</v>
      </c>
      <c r="R20" s="67">
        <v>4.6288806803669003</v>
      </c>
      <c r="S20" s="67">
        <v>3.0110604521087398</v>
      </c>
      <c r="T20" s="68">
        <v>30.465101499999999</v>
      </c>
      <c r="U20" s="68">
        <v>12.063650000000001</v>
      </c>
      <c r="V20" s="68">
        <v>4.9444999999999997</v>
      </c>
      <c r="W20" s="68">
        <v>0.56798199999999999</v>
      </c>
      <c r="X20" s="68">
        <v>0</v>
      </c>
      <c r="Y20" s="68">
        <v>0.39</v>
      </c>
      <c r="Z20" s="67">
        <v>3.09636863061283</v>
      </c>
      <c r="AA20" s="55">
        <v>0.78900000000000003</v>
      </c>
      <c r="AB20" s="66">
        <v>3.2763043219399002</v>
      </c>
      <c r="AC20" s="65">
        <v>3.2445818906398198</v>
      </c>
    </row>
    <row r="21" spans="1:29" ht="15.75" x14ac:dyDescent="0.25">
      <c r="A21" s="16">
        <v>41153</v>
      </c>
      <c r="B21" s="67">
        <v>2.7862855766829799</v>
      </c>
      <c r="C21" s="67">
        <v>2.7943660606002401</v>
      </c>
      <c r="D21" s="67">
        <v>3.0516364440341599</v>
      </c>
      <c r="E21" s="67">
        <v>3.0831051949122301</v>
      </c>
      <c r="F21" s="67">
        <f t="shared" si="0"/>
        <v>2.7610511964059499</v>
      </c>
      <c r="G21" s="67">
        <v>2.7710511964059501</v>
      </c>
      <c r="H21" s="67">
        <v>3.07143177238168</v>
      </c>
      <c r="I21" s="67">
        <v>2.77109927375714</v>
      </c>
      <c r="J21" s="67">
        <v>2.7510511964059501</v>
      </c>
      <c r="K21" s="71"/>
      <c r="L21" s="67">
        <v>3.6584317723816802</v>
      </c>
      <c r="M21" s="67">
        <v>2.67641441928212</v>
      </c>
      <c r="N21" s="67">
        <v>2.6914144192821201</v>
      </c>
      <c r="O21" s="67">
        <v>2.9909341753191998</v>
      </c>
      <c r="P21" s="67">
        <v>2.6960524967194601</v>
      </c>
      <c r="Q21" s="67">
        <v>3.5856341753191998</v>
      </c>
      <c r="R21" s="67">
        <v>4.1815982607575002</v>
      </c>
      <c r="S21" s="67">
        <v>2.6344860405498398</v>
      </c>
      <c r="T21" s="68">
        <v>29.475395500000001</v>
      </c>
      <c r="U21" s="68">
        <v>11.6745</v>
      </c>
      <c r="V21" s="68">
        <v>4.7850000000000001</v>
      </c>
      <c r="W21" s="68">
        <v>0.54966000000000004</v>
      </c>
      <c r="X21" s="68">
        <v>0</v>
      </c>
      <c r="Y21" s="68">
        <v>0.39</v>
      </c>
      <c r="Z21" s="67">
        <v>2.69813484191386</v>
      </c>
      <c r="AA21" s="55">
        <v>0.78900000000000003</v>
      </c>
      <c r="AB21" s="66">
        <v>2.8611407978753198</v>
      </c>
      <c r="AC21" s="65">
        <v>2.82292241063882</v>
      </c>
    </row>
    <row r="22" spans="1:29" ht="18" x14ac:dyDescent="0.25">
      <c r="A22" s="16">
        <v>41183</v>
      </c>
      <c r="B22" s="67">
        <v>3.1282236295705599</v>
      </c>
      <c r="C22" s="67">
        <v>3.13355991868253</v>
      </c>
      <c r="D22" s="70">
        <v>3.3107021239521002</v>
      </c>
      <c r="E22" s="70">
        <v>3.3395879091404401</v>
      </c>
      <c r="F22" s="70">
        <v>3.0946248198992001</v>
      </c>
      <c r="G22" s="70">
        <v>3.1065054775919698</v>
      </c>
      <c r="H22" s="70">
        <v>3.3297113912079701</v>
      </c>
      <c r="I22" s="70">
        <v>3.1068160795017801</v>
      </c>
      <c r="J22" s="70">
        <v>3.0872248198992001</v>
      </c>
      <c r="K22" s="69"/>
      <c r="L22" s="67">
        <v>3.9167113912079699</v>
      </c>
      <c r="M22" s="67">
        <v>3.0664630024080202</v>
      </c>
      <c r="N22" s="67">
        <v>3.0782368131026399</v>
      </c>
      <c r="O22" s="67">
        <v>3.3067688053698201</v>
      </c>
      <c r="P22" s="67">
        <v>3.0858466387025798</v>
      </c>
      <c r="Q22" s="67">
        <v>3.9014688053698201</v>
      </c>
      <c r="R22" s="67">
        <v>4.4982224773832398</v>
      </c>
      <c r="S22" s="67">
        <v>3.0235302260543699</v>
      </c>
      <c r="T22" s="68">
        <v>30.810744</v>
      </c>
      <c r="U22" s="68">
        <v>12.063650000000001</v>
      </c>
      <c r="V22" s="68">
        <v>4.9444999999999997</v>
      </c>
      <c r="W22" s="68">
        <v>0.56798199999999999</v>
      </c>
      <c r="X22" s="68">
        <v>0</v>
      </c>
      <c r="Y22" s="68">
        <v>0.39</v>
      </c>
      <c r="Z22" s="67">
        <v>3.0912199857260698</v>
      </c>
      <c r="AA22" s="55">
        <v>0.78900000000000003</v>
      </c>
      <c r="AB22" s="66">
        <v>3.1813570666999298</v>
      </c>
      <c r="AC22" s="65">
        <v>3.1919981443949199</v>
      </c>
    </row>
    <row r="23" spans="1:29" ht="15.75" x14ac:dyDescent="0.25">
      <c r="A23" s="16">
        <v>41214</v>
      </c>
      <c r="B23" s="62">
        <v>3.5898147488727701</v>
      </c>
      <c r="C23" s="62">
        <v>3.5948989966407701</v>
      </c>
      <c r="D23" s="62">
        <v>3.7896971017888101</v>
      </c>
      <c r="E23" s="62">
        <v>3.8234568770004498</v>
      </c>
      <c r="F23" s="62">
        <v>3.57298680686241</v>
      </c>
      <c r="G23" s="62">
        <v>3.5871461249801899</v>
      </c>
      <c r="H23" s="62">
        <v>3.81233488300956</v>
      </c>
      <c r="I23" s="62">
        <v>3.6026265687952499</v>
      </c>
      <c r="J23" s="62">
        <v>3.5655868068624099</v>
      </c>
      <c r="K23" s="64"/>
      <c r="L23" s="62">
        <v>4.3993348830095602</v>
      </c>
      <c r="M23" s="62">
        <v>3.5405229091614498</v>
      </c>
      <c r="N23" s="62">
        <v>3.5545548874739801</v>
      </c>
      <c r="O23" s="62">
        <v>3.7850518917264901</v>
      </c>
      <c r="P23" s="62">
        <v>3.5771844142023199</v>
      </c>
      <c r="Q23" s="62">
        <v>4.3797518917264897</v>
      </c>
      <c r="R23" s="62">
        <v>4.9777012714557998</v>
      </c>
      <c r="S23" s="62">
        <v>3.4715302260543699</v>
      </c>
      <c r="T23" s="63">
        <v>28.077900499999998</v>
      </c>
      <c r="U23" s="63">
        <v>11.6745</v>
      </c>
      <c r="V23" s="63">
        <v>4.7850000000000001</v>
      </c>
      <c r="W23" s="63">
        <v>0.54966000000000004</v>
      </c>
      <c r="X23" s="63">
        <v>0</v>
      </c>
      <c r="Y23" s="63">
        <v>0.39</v>
      </c>
      <c r="Z23" s="62">
        <v>3.5651196786636299</v>
      </c>
      <c r="AA23" s="61">
        <v>0.78900000000000003</v>
      </c>
      <c r="AB23" s="60">
        <v>3.6415350807920701</v>
      </c>
      <c r="AC23" s="59">
        <v>3.67070123911062</v>
      </c>
    </row>
    <row r="24" spans="1:29" ht="15.75" x14ac:dyDescent="0.25">
      <c r="A24" s="16">
        <v>41244</v>
      </c>
      <c r="B24" s="62">
        <v>3.82184527377738</v>
      </c>
      <c r="C24" s="62">
        <v>3.82692952154538</v>
      </c>
      <c r="D24" s="62">
        <v>3.9798590075328599</v>
      </c>
      <c r="E24" s="62">
        <v>4.0136187827444996</v>
      </c>
      <c r="F24" s="62">
        <v>3.8264866508802</v>
      </c>
      <c r="G24" s="62">
        <v>3.8416586680431299</v>
      </c>
      <c r="H24" s="62">
        <v>4.0024967887536</v>
      </c>
      <c r="I24" s="62">
        <v>3.8467560815706698</v>
      </c>
      <c r="J24" s="62">
        <v>3.8190866508801999</v>
      </c>
      <c r="K24" s="64"/>
      <c r="L24" s="62">
        <v>4.5894967887535998</v>
      </c>
      <c r="M24" s="62">
        <v>3.7917429385370802</v>
      </c>
      <c r="N24" s="62">
        <v>3.8067785083305301</v>
      </c>
      <c r="O24" s="62">
        <v>3.9735036035302702</v>
      </c>
      <c r="P24" s="62">
        <v>3.8191116310142199</v>
      </c>
      <c r="Q24" s="62">
        <v>4.5682036035302698</v>
      </c>
      <c r="R24" s="62">
        <v>5.1666241125391004</v>
      </c>
      <c r="S24" s="62">
        <v>3.69653022605437</v>
      </c>
      <c r="T24" s="63">
        <v>29.003962000000001</v>
      </c>
      <c r="U24" s="63">
        <v>12.063650000000001</v>
      </c>
      <c r="V24" s="63">
        <v>4.9444999999999997</v>
      </c>
      <c r="W24" s="63">
        <v>0.56798199999999999</v>
      </c>
      <c r="X24" s="63">
        <v>0</v>
      </c>
      <c r="Y24" s="63">
        <v>0.39</v>
      </c>
      <c r="Z24" s="62">
        <v>3.8017624626963902</v>
      </c>
      <c r="AA24" s="61">
        <v>0.78900000000000003</v>
      </c>
      <c r="AB24" s="60">
        <v>3.8704259372441401</v>
      </c>
      <c r="AC24" s="59">
        <v>3.8885226584224002</v>
      </c>
    </row>
    <row r="25" spans="1:29" ht="15.75" x14ac:dyDescent="0.25">
      <c r="A25" s="16">
        <v>41275</v>
      </c>
      <c r="B25" s="17">
        <f>CHOOSE(CONTROL!$C$42, 3.7137, 3.7137) * CHOOSE(CONTROL!$C$21, $C$9, 100%, $E$9)</f>
        <v>3.7136999999999998</v>
      </c>
      <c r="C25" s="17">
        <f>CHOOSE(CONTROL!$C$42, 3.7188, 3.7188) * CHOOSE(CONTROL!$C$21, $C$9, 100%, $E$9)</f>
        <v>3.7187999999999999</v>
      </c>
      <c r="D25" s="17">
        <f>CHOOSE(CONTROL!$C$42, 3.8363, 3.8363) * CHOOSE(CONTROL!$C$21, $C$9, 100%, $E$9)</f>
        <v>3.8363</v>
      </c>
      <c r="E25" s="17">
        <f>CHOOSE(CONTROL!$C$42, 3.87, 3.87) * CHOOSE(CONTROL!$C$21, $C$9, 100%, $E$9)</f>
        <v>3.87</v>
      </c>
      <c r="F25" s="17">
        <f>CHOOSE(CONTROL!$C$42, 3.7271, 3.7271)*CHOOSE(CONTROL!$C$21, $C$9, 100%, $E$9)</f>
        <v>3.7271000000000001</v>
      </c>
      <c r="G25" s="17">
        <f>CHOOSE(CONTROL!$C$42, 3.7419, 3.7419)*CHOOSE(CONTROL!$C$21, $C$9, 100%, $E$9)</f>
        <v>3.7418999999999998</v>
      </c>
      <c r="H25" s="17">
        <f>CHOOSE(CONTROL!$C$42, 3.8589, 3.8589) * CHOOSE(CONTROL!$C$21, $C$9, 100%, $E$9)</f>
        <v>3.8589000000000002</v>
      </c>
      <c r="I25" s="17">
        <f>CHOOSE(CONTROL!$C$42, 3.7544, 3.7544)* CHOOSE(CONTROL!$C$21, $C$9, 100%, $E$9)</f>
        <v>3.7544</v>
      </c>
      <c r="J25" s="17">
        <f>CHOOSE(CONTROL!$C$42, 3.7197, 3.7197)* CHOOSE(CONTROL!$C$21, $C$9, 100%, $E$9)</f>
        <v>3.7197</v>
      </c>
      <c r="K25" s="52"/>
      <c r="L25" s="17">
        <f>CHOOSE(CONTROL!$C$42, 4.4459, 4.4459) * CHOOSE(CONTROL!$C$21, $C$9, 100%, $E$9)</f>
        <v>4.4459</v>
      </c>
      <c r="M25" s="17">
        <f>CHOOSE(CONTROL!$C$42, 3.6933, 3.6933) * CHOOSE(CONTROL!$C$21, $C$9, 100%, $E$9)</f>
        <v>3.6932999999999998</v>
      </c>
      <c r="N25" s="17">
        <f>CHOOSE(CONTROL!$C$42, 3.708, 3.708) * CHOOSE(CONTROL!$C$21, $C$9, 100%, $E$9)</f>
        <v>3.7080000000000002</v>
      </c>
      <c r="O25" s="17">
        <f>CHOOSE(CONTROL!$C$42, 3.8312, 3.8312) * CHOOSE(CONTROL!$C$21, $C$9, 100%, $E$9)</f>
        <v>3.8311999999999999</v>
      </c>
      <c r="P25" s="17">
        <f>CHOOSE(CONTROL!$C$42, 3.7275, 3.7275) * CHOOSE(CONTROL!$C$21, $C$9, 100%, $E$9)</f>
        <v>3.7275</v>
      </c>
      <c r="Q25" s="17">
        <f>CHOOSE(CONTROL!$C$42, 4.4259, 4.4259) * CHOOSE(CONTROL!$C$21, $C$9, 100%, $E$9)</f>
        <v>4.4259000000000004</v>
      </c>
      <c r="R25" s="17">
        <f>CHOOSE(CONTROL!$C$42, 5.024, 5.024) * CHOOSE(CONTROL!$C$21, $C$9, 100%, $E$9)</f>
        <v>5.024</v>
      </c>
      <c r="S25" s="17">
        <f>CHOOSE(CONTROL!$C$42, 3.5917, 3.5917) * CHOOSE(CONTROL!$C$21, $C$9, 100%, $E$9)</f>
        <v>3.5916999999999999</v>
      </c>
      <c r="T25" s="56">
        <f>(((255000*CHOOSE(CONTROL!$C$42, 0.4694, 0.4694)+(750000-255000)*CHOOSE(CONTROL!$C$42, 0.7185, 0.7185)+400000*CHOOSE(CONTROL!$C$42, 1.14, 1.14))*CHOOSE(CONTROL!$C$42, 31, 31))/1000000)+CHOOSE(CONTROL!$C$42, 0.1621, 0.1621)+CHOOSE(CONTROL!$C$42, 0, 0)</f>
        <v>29.0340895</v>
      </c>
      <c r="U25" s="56">
        <f>(1000*CHOOSE(CONTROL!$C$42, 695, 695)*CHOOSE(CONTROL!$C$42, 0.5599, 0.5599)*CHOOSE(CONTROL!$C$42, 31, 31))/1000000</f>
        <v>12.063045499999998</v>
      </c>
      <c r="V25" s="56">
        <f>(1000*CHOOSE(CONTROL!$C$42, 580, 580)*CHOOSE(CONTROL!$C$42, 0.275, 0.275)*CHOOSE(CONTROL!$C$42, 31, 31))/1000000</f>
        <v>4.9444999999999997</v>
      </c>
      <c r="W25" s="56">
        <f>(1000*CHOOSE(CONTROL!$C$42, 0.0916, 0.0916)*CHOOSE(CONTROL!$C$42, 200, 200)*CHOOSE(CONTROL!$C$42, 31, 31))/1000000</f>
        <v>0.56791999999999998</v>
      </c>
      <c r="X25" s="56">
        <v>0</v>
      </c>
      <c r="Y25" s="56">
        <f t="shared" ref="Y25:Y39" si="1">(0.195*2000000)/1000000</f>
        <v>0.39</v>
      </c>
      <c r="Z25" s="17">
        <f>CHOOSE(CONTROL!$C$42, 3.7342, 3.7342) * CHOOSE(CONTROL!$C$21, $C$9, 100%, $E$9)</f>
        <v>3.7342</v>
      </c>
      <c r="AA25" s="55">
        <f>(131500*31*(6/31))/1000000</f>
        <v>0.78900000000000003</v>
      </c>
      <c r="AB25" s="48">
        <f>(B25*122.58+C25*297.941+D25*89.177+E25*200.302+F25*40+G25*0+H25*0+I25*100+J25*300)/(122.58+297.941+89.177+200.302+0+40+0+100+300)</f>
        <v>3.7573224364347824</v>
      </c>
      <c r="AC25" s="45">
        <f>(M25*240+N25*0+O25*355+P25*100)/(240+0+355+100)</f>
        <v>3.7686589928057552</v>
      </c>
    </row>
    <row r="26" spans="1:29" ht="15.75" x14ac:dyDescent="0.25">
      <c r="A26" s="16">
        <v>41306</v>
      </c>
      <c r="B26" s="17">
        <f>CHOOSE(CONTROL!$C$42, 3.7385, 3.7385) * CHOOSE(CONTROL!$C$21, $C$9, 100%, $E$9)</f>
        <v>3.7385000000000002</v>
      </c>
      <c r="C26" s="17">
        <f>CHOOSE(CONTROL!$C$42, 3.7436, 3.7436) * CHOOSE(CONTROL!$C$21, $C$9, 100%, $E$9)</f>
        <v>3.7435999999999998</v>
      </c>
      <c r="D26" s="17">
        <f>CHOOSE(CONTROL!$C$42, 3.8688, 3.8688) * CHOOSE(CONTROL!$C$21, $C$9, 100%, $E$9)</f>
        <v>3.8687999999999998</v>
      </c>
      <c r="E26" s="17">
        <f>CHOOSE(CONTROL!$C$42, 3.9025, 3.9025) * CHOOSE(CONTROL!$C$21, $C$9, 100%, $E$9)</f>
        <v>3.9024999999999999</v>
      </c>
      <c r="F26" s="17">
        <f>CHOOSE(CONTROL!$C$42, 3.7561, 3.7561)*CHOOSE(CONTROL!$C$21, $C$9, 100%, $E$9)</f>
        <v>3.7561</v>
      </c>
      <c r="G26" s="17">
        <f>CHOOSE(CONTROL!$C$42, 3.771, 3.771)*CHOOSE(CONTROL!$C$21, $C$9, 100%, $E$9)</f>
        <v>3.7709999999999999</v>
      </c>
      <c r="H26" s="17">
        <f>CHOOSE(CONTROL!$C$42, 3.8914, 3.8914) * CHOOSE(CONTROL!$C$21, $C$9, 100%, $E$9)</f>
        <v>3.8914</v>
      </c>
      <c r="I26" s="17">
        <f>CHOOSE(CONTROL!$C$42, 3.7792, 3.7792)* CHOOSE(CONTROL!$C$21, $C$9, 100%, $E$9)</f>
        <v>3.7791999999999999</v>
      </c>
      <c r="J26" s="17">
        <f>CHOOSE(CONTROL!$C$42, 3.7487, 3.7487)* CHOOSE(CONTROL!$C$21, $C$9, 100%, $E$9)</f>
        <v>3.7486999999999999</v>
      </c>
      <c r="K26" s="52"/>
      <c r="L26" s="17">
        <f>CHOOSE(CONTROL!$C$42, 4.4784, 4.4784) * CHOOSE(CONTROL!$C$21, $C$9, 100%, $E$9)</f>
        <v>4.4783999999999997</v>
      </c>
      <c r="M26" s="17">
        <f>CHOOSE(CONTROL!$C$42, 3.722, 3.722) * CHOOSE(CONTROL!$C$21, $C$9, 100%, $E$9)</f>
        <v>3.722</v>
      </c>
      <c r="N26" s="17">
        <f>CHOOSE(CONTROL!$C$42, 3.7368, 3.7368) * CHOOSE(CONTROL!$C$21, $C$9, 100%, $E$9)</f>
        <v>3.7368000000000001</v>
      </c>
      <c r="O26" s="17">
        <f>CHOOSE(CONTROL!$C$42, 3.8634, 3.8634) * CHOOSE(CONTROL!$C$21, $C$9, 100%, $E$9)</f>
        <v>3.8633999999999999</v>
      </c>
      <c r="P26" s="17">
        <f>CHOOSE(CONTROL!$C$42, 3.7521, 3.7521) * CHOOSE(CONTROL!$C$21, $C$9, 100%, $E$9)</f>
        <v>3.7521</v>
      </c>
      <c r="Q26" s="17">
        <f>CHOOSE(CONTROL!$C$42, 4.4581, 4.4581) * CHOOSE(CONTROL!$C$21, $C$9, 100%, $E$9)</f>
        <v>4.4581</v>
      </c>
      <c r="R26" s="17">
        <f>CHOOSE(CONTROL!$C$42, 5.0563, 5.0563) * CHOOSE(CONTROL!$C$21, $C$9, 100%, $E$9)</f>
        <v>5.0563000000000002</v>
      </c>
      <c r="S26" s="17">
        <f>CHOOSE(CONTROL!$C$42, 3.6157, 3.6157) * CHOOSE(CONTROL!$C$21, $C$9, 100%, $E$9)</f>
        <v>3.6156999999999999</v>
      </c>
      <c r="T26" s="56">
        <f>(((255000*CHOOSE(CONTROL!$C$42, 0.4694, 0.4694)+(750000-255000)*CHOOSE(CONTROL!$C$42, 0.7185, 0.7185)+400000*CHOOSE(CONTROL!$C$42, 1.14, 1.14))*CHOOSE(CONTROL!$C$42, 28, 28))/1000000)+CHOOSE(CONTROL!$C$42, 0.2026, 0.2026)+CHOOSE(CONTROL!$C$42, 0, 0)</f>
        <v>26.280526000000002</v>
      </c>
      <c r="U26" s="56">
        <f>(1000*CHOOSE(CONTROL!$C$42, 695, 695)*CHOOSE(CONTROL!$C$42, 0.5599, 0.5599)*CHOOSE(CONTROL!$C$42, 28, 28))/1000000</f>
        <v>10.895653999999999</v>
      </c>
      <c r="V26" s="56">
        <f>(1000*CHOOSE(CONTROL!$C$42, 580, 580)*CHOOSE(CONTROL!$C$42, 0.275, 0.275)*CHOOSE(CONTROL!$C$42, 28, 28))/1000000</f>
        <v>4.4660000000000002</v>
      </c>
      <c r="W26" s="56">
        <f>(1000*CHOOSE(CONTROL!$C$42, 0.0916, 0.0916)*CHOOSE(CONTROL!$C$42, 200, 200)*CHOOSE(CONTROL!$C$42, 28, 28))/1000000</f>
        <v>0.51295999999999997</v>
      </c>
      <c r="X26" s="56">
        <v>0</v>
      </c>
      <c r="Y26" s="56">
        <f t="shared" si="1"/>
        <v>0.39</v>
      </c>
      <c r="Z26" s="17">
        <f>CHOOSE(CONTROL!$C$42, 3.7511, 3.7511) * CHOOSE(CONTROL!$C$21, $C$9, 100%, $E$9)</f>
        <v>3.7511000000000001</v>
      </c>
      <c r="AA26" s="55">
        <f>(131500*28*(6/28))/1000000</f>
        <v>0.78900000000000003</v>
      </c>
      <c r="AB26" s="48">
        <f>(B26*122.58+C26*297.941+D26*89.177+E26*200.302+F26*40+G26*0+H26*0+I26*100+J26*300)/(122.58+297.941+89.177+200.302+0+40+0+100+300)</f>
        <v>3.7853024262608699</v>
      </c>
      <c r="AC26" s="45">
        <f>(M26*240+N26*0+O26*355+P26*100)/(240+0+355+100)</f>
        <v>3.7985568345323744</v>
      </c>
    </row>
    <row r="27" spans="1:29" ht="15.75" x14ac:dyDescent="0.25">
      <c r="A27" s="16">
        <v>41334</v>
      </c>
      <c r="B27" s="17">
        <f>CHOOSE(CONTROL!$C$42, 3.7261, 3.7261) * CHOOSE(CONTROL!$C$21, $C$9, 100%, $E$9)</f>
        <v>3.7261000000000002</v>
      </c>
      <c r="C27" s="17">
        <f>CHOOSE(CONTROL!$C$42, 3.7312, 3.7312) * CHOOSE(CONTROL!$C$21, $C$9, 100%, $E$9)</f>
        <v>3.7311999999999999</v>
      </c>
      <c r="D27" s="17">
        <f>CHOOSE(CONTROL!$C$42, 3.8564, 3.8564) * CHOOSE(CONTROL!$C$21, $C$9, 100%, $E$9)</f>
        <v>3.8563999999999998</v>
      </c>
      <c r="E27" s="17">
        <f>CHOOSE(CONTROL!$C$42, 3.8902, 3.8902) * CHOOSE(CONTROL!$C$21, $C$9, 100%, $E$9)</f>
        <v>3.8902000000000001</v>
      </c>
      <c r="F27" s="17">
        <f>CHOOSE(CONTROL!$C$42, 3.7436, 3.7436)*CHOOSE(CONTROL!$C$21, $C$9, 100%, $E$9)</f>
        <v>3.7435999999999998</v>
      </c>
      <c r="G27" s="17">
        <f>CHOOSE(CONTROL!$C$42, 3.7584, 3.7584)*CHOOSE(CONTROL!$C$21, $C$9, 100%, $E$9)</f>
        <v>3.7584</v>
      </c>
      <c r="H27" s="17">
        <f>CHOOSE(CONTROL!$C$42, 3.879, 3.879) * CHOOSE(CONTROL!$C$21, $C$9, 100%, $E$9)</f>
        <v>3.879</v>
      </c>
      <c r="I27" s="17">
        <f>CHOOSE(CONTROL!$C$42, 3.7668, 3.7668)* CHOOSE(CONTROL!$C$21, $C$9, 100%, $E$9)</f>
        <v>3.7667999999999999</v>
      </c>
      <c r="J27" s="17">
        <f>CHOOSE(CONTROL!$C$42, 3.7362, 3.7362)* CHOOSE(CONTROL!$C$21, $C$9, 100%, $E$9)</f>
        <v>3.7362000000000002</v>
      </c>
      <c r="K27" s="52"/>
      <c r="L27" s="17">
        <f>CHOOSE(CONTROL!$C$42, 4.466, 4.466) * CHOOSE(CONTROL!$C$21, $C$9, 100%, $E$9)</f>
        <v>4.4660000000000002</v>
      </c>
      <c r="M27" s="17">
        <f>CHOOSE(CONTROL!$C$42, 3.7096, 3.7096) * CHOOSE(CONTROL!$C$21, $C$9, 100%, $E$9)</f>
        <v>3.7096</v>
      </c>
      <c r="N27" s="17">
        <f>CHOOSE(CONTROL!$C$42, 3.7243, 3.7243) * CHOOSE(CONTROL!$C$21, $C$9, 100%, $E$9)</f>
        <v>3.7242999999999999</v>
      </c>
      <c r="O27" s="17">
        <f>CHOOSE(CONTROL!$C$42, 3.8511, 3.8511) * CHOOSE(CONTROL!$C$21, $C$9, 100%, $E$9)</f>
        <v>3.8511000000000002</v>
      </c>
      <c r="P27" s="17">
        <f>CHOOSE(CONTROL!$C$42, 3.7398, 3.7398) * CHOOSE(CONTROL!$C$21, $C$9, 100%, $E$9)</f>
        <v>3.7397999999999998</v>
      </c>
      <c r="Q27" s="17">
        <f>CHOOSE(CONTROL!$C$42, 4.4458, 4.4458) * CHOOSE(CONTROL!$C$21, $C$9, 100%, $E$9)</f>
        <v>4.4458000000000002</v>
      </c>
      <c r="R27" s="17">
        <f>CHOOSE(CONTROL!$C$42, 5.044, 5.044) * CHOOSE(CONTROL!$C$21, $C$9, 100%, $E$9)</f>
        <v>5.0439999999999996</v>
      </c>
      <c r="S27" s="17">
        <f>CHOOSE(CONTROL!$C$42, 3.6037, 3.6037) * CHOOSE(CONTROL!$C$21, $C$9, 100%, $E$9)</f>
        <v>3.6036999999999999</v>
      </c>
      <c r="T27" s="56">
        <f>(((255000*CHOOSE(CONTROL!$C$42, 0.4694, 0.4694)+(750000-255000)*CHOOSE(CONTROL!$C$42, 0.7185, 0.7185)+400000*CHOOSE(CONTROL!$C$42, 1.14, 1.14))*CHOOSE(CONTROL!$C$42, 31, 31))/1000000)+CHOOSE(CONTROL!$C$42, 0.2567, 0.2567)+CHOOSE(CONTROL!$C$42, 0, 0)</f>
        <v>29.1286895</v>
      </c>
      <c r="U27" s="56">
        <f>(1000*CHOOSE(CONTROL!$C$42, 695, 695)*CHOOSE(CONTROL!$C$42, 0.5599, 0.5599)*CHOOSE(CONTROL!$C$42, 31, 31))/1000000</f>
        <v>12.063045499999998</v>
      </c>
      <c r="V27" s="56">
        <f>(1000*CHOOSE(CONTROL!$C$42, 580, 580)*CHOOSE(CONTROL!$C$42, 0.275, 0.275)*CHOOSE(CONTROL!$C$42, 31, 31))/1000000</f>
        <v>4.9444999999999997</v>
      </c>
      <c r="W27" s="56">
        <f>(1000*CHOOSE(CONTROL!$C$42, 0.0916, 0.0916)*CHOOSE(CONTROL!$C$42, 200, 200)*CHOOSE(CONTROL!$C$42, 31, 31))/1000000</f>
        <v>0.56791999999999998</v>
      </c>
      <c r="X27" s="56">
        <v>0</v>
      </c>
      <c r="Y27" s="56">
        <f t="shared" si="1"/>
        <v>0.39</v>
      </c>
      <c r="Z27" s="17">
        <f>CHOOSE(CONTROL!$C$42, 3.7234, 3.7234) * CHOOSE(CONTROL!$C$21, $C$9, 100%, $E$9)</f>
        <v>3.7233999999999998</v>
      </c>
      <c r="AA27" s="55">
        <f>(131500*31*(6/31))/1000000</f>
        <v>0.78900000000000003</v>
      </c>
      <c r="AB27" s="48">
        <f>(B27*122.58+C27*297.941+D27*89.177+E27*200.302+F27*40+G27*0+H27*0+I27*100+J27*300)/(122.58+297.941+89.177+200.302+0+40+0+100+300)</f>
        <v>3.7728902786086955</v>
      </c>
      <c r="AC27" s="45">
        <f>(M27*240+N27*0+O27*355+P27*100)/(240+0+355+100)</f>
        <v>3.7862223021582735</v>
      </c>
    </row>
    <row r="28" spans="1:29" ht="15.75" x14ac:dyDescent="0.25">
      <c r="A28" s="16">
        <v>41365</v>
      </c>
      <c r="B28" s="17">
        <f>CHOOSE(CONTROL!$C$42, 3.7251, 3.7251) * CHOOSE(CONTROL!$C$21, $C$9, 100%, $E$9)</f>
        <v>3.7250999999999999</v>
      </c>
      <c r="C28" s="17">
        <f>CHOOSE(CONTROL!$C$42, 3.7296, 3.7296) * CHOOSE(CONTROL!$C$21, $C$9, 100%, $E$9)</f>
        <v>3.7296</v>
      </c>
      <c r="D28" s="17">
        <f>CHOOSE(CONTROL!$C$42, 3.9926, 3.9926) * CHOOSE(CONTROL!$C$21, $C$9, 100%, $E$9)</f>
        <v>3.9925999999999999</v>
      </c>
      <c r="E28" s="17">
        <f>CHOOSE(CONTROL!$C$42, 4.0244, 4.0244) * CHOOSE(CONTROL!$C$21, $C$9, 100%, $E$9)</f>
        <v>4.0244</v>
      </c>
      <c r="F28" s="17">
        <f>CHOOSE(CONTROL!$C$42, 3.73, 3.73)*CHOOSE(CONTROL!$C$21, $C$9, 100%, $E$9)</f>
        <v>3.73</v>
      </c>
      <c r="G28" s="17">
        <f>CHOOSE(CONTROL!$C$42, 3.7448, 3.7448)*CHOOSE(CONTROL!$C$21, $C$9, 100%, $E$9)</f>
        <v>3.7448000000000001</v>
      </c>
      <c r="H28" s="17">
        <f>CHOOSE(CONTROL!$C$42, 4.0139, 4.0139) * CHOOSE(CONTROL!$C$21, $C$9, 100%, $E$9)</f>
        <v>4.0138999999999996</v>
      </c>
      <c r="I28" s="17">
        <f>CHOOSE(CONTROL!$C$42, 3.7608, 3.7608)* CHOOSE(CONTROL!$C$21, $C$9, 100%, $E$9)</f>
        <v>3.7608000000000001</v>
      </c>
      <c r="J28" s="17">
        <f>CHOOSE(CONTROL!$C$42, 3.7226, 3.7226)* CHOOSE(CONTROL!$C$21, $C$9, 100%, $E$9)</f>
        <v>3.7225999999999999</v>
      </c>
      <c r="K28" s="52"/>
      <c r="L28" s="17">
        <f>CHOOSE(CONTROL!$C$42, 4.6009, 4.6009) * CHOOSE(CONTROL!$C$21, $C$9, 100%, $E$9)</f>
        <v>4.6009000000000002</v>
      </c>
      <c r="M28" s="17">
        <f>CHOOSE(CONTROL!$C$42, 3.6961, 3.6961) * CHOOSE(CONTROL!$C$21, $C$9, 100%, $E$9)</f>
        <v>3.6960999999999999</v>
      </c>
      <c r="N28" s="17">
        <f>CHOOSE(CONTROL!$C$42, 3.7108, 3.7108) * CHOOSE(CONTROL!$C$21, $C$9, 100%, $E$9)</f>
        <v>3.7107999999999999</v>
      </c>
      <c r="O28" s="17">
        <f>CHOOSE(CONTROL!$C$42, 3.9848, 3.9848) * CHOOSE(CONTROL!$C$21, $C$9, 100%, $E$9)</f>
        <v>3.9847999999999999</v>
      </c>
      <c r="P28" s="17">
        <f>CHOOSE(CONTROL!$C$42, 3.734, 3.734) * CHOOSE(CONTROL!$C$21, $C$9, 100%, $E$9)</f>
        <v>3.734</v>
      </c>
      <c r="Q28" s="17">
        <f>CHOOSE(CONTROL!$C$42, 4.5795, 4.5795) * CHOOSE(CONTROL!$C$21, $C$9, 100%, $E$9)</f>
        <v>4.5795000000000003</v>
      </c>
      <c r="R28" s="17">
        <f>CHOOSE(CONTROL!$C$42, 5.1779, 5.1779) * CHOOSE(CONTROL!$C$21, $C$9, 100%, $E$9)</f>
        <v>5.1779000000000002</v>
      </c>
      <c r="S28" s="17">
        <f>CHOOSE(CONTROL!$C$42, 3.602, 3.602) * CHOOSE(CONTROL!$C$21, $C$9, 100%, $E$9)</f>
        <v>3.6019999999999999</v>
      </c>
      <c r="T28" s="56">
        <f>(((280000*CHOOSE(CONTROL!$C$42, 0.4694, 0.4694)+(839000-280000)*CHOOSE(CONTROL!$C$42, 0.7185, 0.7185)+400000*CHOOSE(CONTROL!$C$42, 1.14, 1.14))*CHOOSE(CONTROL!$C$42, 30, 30))/1000000)+CHOOSE(CONTROL!$C$42, 0.2248, 0.2248)+CHOOSE(CONTROL!$C$42, 0, 0)</f>
        <v>29.897005</v>
      </c>
      <c r="U28" s="56">
        <f>(1000*CHOOSE(CONTROL!$C$42, 695, 695)*CHOOSE(CONTROL!$C$42, 0.5599, 0.5599)*CHOOSE(CONTROL!$C$42, 30, 30))/1000000</f>
        <v>11.673914999999997</v>
      </c>
      <c r="V28" s="56">
        <f>(1000*CHOOSE(CONTROL!$C$42, 580, 580)*CHOOSE(CONTROL!$C$42, 0.275, 0.275)*CHOOSE(CONTROL!$C$42, 30, 30))/1000000</f>
        <v>4.7850000000000001</v>
      </c>
      <c r="W28" s="56">
        <f>(1000*CHOOSE(CONTROL!$C$42, 0.0916, 0.0916)*CHOOSE(CONTROL!$C$42, 200, 200)*CHOOSE(CONTROL!$C$42, 30, 30))/1000000</f>
        <v>0.54959999999999998</v>
      </c>
      <c r="X28" s="56">
        <f>30*0.1790888*145000/1000000</f>
        <v>0.77903627999999991</v>
      </c>
      <c r="Y28" s="56">
        <f t="shared" si="1"/>
        <v>0.39</v>
      </c>
      <c r="Z28" s="17">
        <f>CHOOSE(CONTROL!$C$42, 3.7053, 3.7053) * CHOOSE(CONTROL!$C$21, $C$9, 100%, $E$9)</f>
        <v>3.7052999999999998</v>
      </c>
      <c r="AA28" s="55">
        <f>(131500*30*(6/30))/1000000</f>
        <v>0.78900000000000003</v>
      </c>
      <c r="AB28" s="48">
        <f>(B28*141.293+C28*267.993+D28*115.016+E28*249.698+F28*40+G28*25+H28*0+I28*100+J28*300)/(141.293+267.993+115.016+249.698+0+40+25+100+300)</f>
        <v>3.8140554962873283</v>
      </c>
      <c r="AC28" s="45">
        <f t="shared" ref="AC28:AC34" si="2">(M28*240+N28*120+O28*235+P28*100)/(240+120+235+100)</f>
        <v>3.8017093525179857</v>
      </c>
    </row>
    <row r="29" spans="1:29" ht="15.75" x14ac:dyDescent="0.25">
      <c r="A29" s="16">
        <v>41395</v>
      </c>
      <c r="B29" s="17">
        <f>CHOOSE(CONTROL!$C$42, 3.7667, 3.7667) * CHOOSE(CONTROL!$C$21, $C$9, 100%, $E$9)</f>
        <v>3.7667000000000002</v>
      </c>
      <c r="C29" s="17">
        <f>CHOOSE(CONTROL!$C$42, 3.7747, 3.7747) * CHOOSE(CONTROL!$C$21, $C$9, 100%, $E$9)</f>
        <v>3.7747000000000002</v>
      </c>
      <c r="D29" s="17">
        <f>CHOOSE(CONTROL!$C$42, 4.0346, 4.0346) * CHOOSE(CONTROL!$C$21, $C$9, 100%, $E$9)</f>
        <v>4.0346000000000002</v>
      </c>
      <c r="E29" s="17">
        <f>CHOOSE(CONTROL!$C$42, 4.0658, 4.0658) * CHOOSE(CONTROL!$C$21, $C$9, 100%, $E$9)</f>
        <v>4.0658000000000003</v>
      </c>
      <c r="F29" s="17">
        <f>CHOOSE(CONTROL!$C$42, 3.7707, 3.7707)*CHOOSE(CONTROL!$C$21, $C$9, 100%, $E$9)</f>
        <v>3.7707000000000002</v>
      </c>
      <c r="G29" s="17">
        <f>CHOOSE(CONTROL!$C$42, 3.786, 3.786)*CHOOSE(CONTROL!$C$21, $C$9, 100%, $E$9)</f>
        <v>3.786</v>
      </c>
      <c r="H29" s="17">
        <f>CHOOSE(CONTROL!$C$42, 4.0541, 4.0541) * CHOOSE(CONTROL!$C$21, $C$9, 100%, $E$9)</f>
        <v>4.0541</v>
      </c>
      <c r="I29" s="17">
        <f>CHOOSE(CONTROL!$C$42, 3.8012, 3.8012)* CHOOSE(CONTROL!$C$21, $C$9, 100%, $E$9)</f>
        <v>3.8012000000000001</v>
      </c>
      <c r="J29" s="17">
        <f>CHOOSE(CONTROL!$C$42, 3.7633, 3.7633)* CHOOSE(CONTROL!$C$21, $C$9, 100%, $E$9)</f>
        <v>3.7633000000000001</v>
      </c>
      <c r="K29" s="52"/>
      <c r="L29" s="17">
        <f>CHOOSE(CONTROL!$C$42, 4.6411, 4.6411) * CHOOSE(CONTROL!$C$21, $C$9, 100%, $E$9)</f>
        <v>4.6410999999999998</v>
      </c>
      <c r="M29" s="17">
        <f>CHOOSE(CONTROL!$C$42, 3.7365, 3.7365) * CHOOSE(CONTROL!$C$21, $C$9, 100%, $E$9)</f>
        <v>3.7364999999999999</v>
      </c>
      <c r="N29" s="17">
        <f>CHOOSE(CONTROL!$C$42, 3.7516, 3.7516) * CHOOSE(CONTROL!$C$21, $C$9, 100%, $E$9)</f>
        <v>3.7515999999999998</v>
      </c>
      <c r="O29" s="17">
        <f>CHOOSE(CONTROL!$C$42, 4.0246, 4.0246) * CHOOSE(CONTROL!$C$21, $C$9, 100%, $E$9)</f>
        <v>4.0246000000000004</v>
      </c>
      <c r="P29" s="17">
        <f>CHOOSE(CONTROL!$C$42, 3.7739, 3.7739) * CHOOSE(CONTROL!$C$21, $C$9, 100%, $E$9)</f>
        <v>3.7738999999999998</v>
      </c>
      <c r="Q29" s="17">
        <f>CHOOSE(CONTROL!$C$42, 4.6193, 4.6193) * CHOOSE(CONTROL!$C$21, $C$9, 100%, $E$9)</f>
        <v>4.6193</v>
      </c>
      <c r="R29" s="17">
        <f>CHOOSE(CONTROL!$C$42, 5.2179, 5.2179) * CHOOSE(CONTROL!$C$21, $C$9, 100%, $E$9)</f>
        <v>5.2179000000000002</v>
      </c>
      <c r="S29" s="17">
        <f>CHOOSE(CONTROL!$C$42, 3.641, 3.641) * CHOOSE(CONTROL!$C$21, $C$9, 100%, $E$9)</f>
        <v>3.641</v>
      </c>
      <c r="T29" s="57">
        <f>((((430000*CHOOSE(CONTROL!$C$42, 0.4694, 0.4694)+(874000-430000)*CHOOSE(CONTROL!$C$42, 0.7185, 0.7185)+400000*CHOOSE(CONTROL!$C$42, 1.14, 1.14)+30000*0.98)*CHOOSE(CONTROL!$C$42, 31, 31))/1000000))+CHOOSE(CONTROL!$C$42, 0.188, 0.188)+CHOOSE(CONTROL!$C$42, 0, 0)</f>
        <v>31.381936</v>
      </c>
      <c r="U29" s="56">
        <f>(1000*CHOOSE(CONTROL!$C$42, 695, 695)*CHOOSE(CONTROL!$C$42, 0.5599, 0.5599)*CHOOSE(CONTROL!$C$42, 31, 31))/1000000</f>
        <v>12.063045499999998</v>
      </c>
      <c r="V29" s="56">
        <f>(1000*CHOOSE(CONTROL!$C$42, 580, 580)*CHOOSE(CONTROL!$C$42, 0.275, 0.275)*CHOOSE(CONTROL!$C$42, 31, 31))/1000000</f>
        <v>4.9444999999999997</v>
      </c>
      <c r="W29" s="56">
        <f>(1000*CHOOSE(CONTROL!$C$42, 0.0916, 0.0916)*CHOOSE(CONTROL!$C$42, 200, 200)*CHOOSE(CONTROL!$C$42, 31, 31))/1000000</f>
        <v>0.56791999999999998</v>
      </c>
      <c r="X29" s="56">
        <f>31*0.1790888*145000/1000000</f>
        <v>0.80500415599999997</v>
      </c>
      <c r="Y29" s="56">
        <f t="shared" si="1"/>
        <v>0.39</v>
      </c>
      <c r="Z29" s="17">
        <f>CHOOSE(CONTROL!$C$42, 3.7452, 3.7452) * CHOOSE(CONTROL!$C$21, $C$9, 100%, $E$9)</f>
        <v>3.7452000000000001</v>
      </c>
      <c r="AA29" s="55">
        <f>(131500*31*(6/31))/1000000</f>
        <v>0.78900000000000003</v>
      </c>
      <c r="AB29" s="48">
        <f>(B29*194.205+C29*267.466+D29*133.845+E29*213.484+F29*40+G29*25+H29*30+I29*100+J29*300)/(194.205+267.466+133.845+213.484+30+40+25+100+300)</f>
        <v>3.853773901763804</v>
      </c>
      <c r="AC29" s="45">
        <f t="shared" si="2"/>
        <v>3.8419035971223021</v>
      </c>
    </row>
    <row r="30" spans="1:29" ht="15.75" x14ac:dyDescent="0.25">
      <c r="A30" s="16">
        <v>41426</v>
      </c>
      <c r="B30" s="17">
        <f>CHOOSE(CONTROL!$C$42, 3.81, 3.81) * CHOOSE(CONTROL!$C$21, $C$9, 100%, $E$9)</f>
        <v>3.81</v>
      </c>
      <c r="C30" s="17">
        <f>CHOOSE(CONTROL!$C$42, 3.818, 3.818) * CHOOSE(CONTROL!$C$21, $C$9, 100%, $E$9)</f>
        <v>3.8180000000000001</v>
      </c>
      <c r="D30" s="17">
        <f>CHOOSE(CONTROL!$C$42, 4.0779, 4.0779) * CHOOSE(CONTROL!$C$21, $C$9, 100%, $E$9)</f>
        <v>4.0778999999999996</v>
      </c>
      <c r="E30" s="17">
        <f>CHOOSE(CONTROL!$C$42, 4.1091, 4.1091) * CHOOSE(CONTROL!$C$21, $C$9, 100%, $E$9)</f>
        <v>4.1090999999999998</v>
      </c>
      <c r="F30" s="17">
        <f>CHOOSE(CONTROL!$C$42, 3.8146, 3.8146)*CHOOSE(CONTROL!$C$21, $C$9, 100%, $E$9)</f>
        <v>3.8146</v>
      </c>
      <c r="G30" s="17">
        <f>CHOOSE(CONTROL!$C$42, 3.83, 3.83)*CHOOSE(CONTROL!$C$21, $C$9, 100%, $E$9)</f>
        <v>3.83</v>
      </c>
      <c r="H30" s="17">
        <f>CHOOSE(CONTROL!$C$42, 4.0974, 4.0974) * CHOOSE(CONTROL!$C$21, $C$9, 100%, $E$9)</f>
        <v>4.0974000000000004</v>
      </c>
      <c r="I30" s="17">
        <f>CHOOSE(CONTROL!$C$42, 3.8446, 3.8446)* CHOOSE(CONTROL!$C$21, $C$9, 100%, $E$9)</f>
        <v>3.8445999999999998</v>
      </c>
      <c r="J30" s="17">
        <f>CHOOSE(CONTROL!$C$42, 3.8072, 3.8072)* CHOOSE(CONTROL!$C$21, $C$9, 100%, $E$9)</f>
        <v>3.8071999999999999</v>
      </c>
      <c r="K30" s="52"/>
      <c r="L30" s="17">
        <f>CHOOSE(CONTROL!$C$42, 4.6844, 4.6844) * CHOOSE(CONTROL!$C$21, $C$9, 100%, $E$9)</f>
        <v>4.6844000000000001</v>
      </c>
      <c r="M30" s="17">
        <f>CHOOSE(CONTROL!$C$42, 3.78, 3.78) * CHOOSE(CONTROL!$C$21, $C$9, 100%, $E$9)</f>
        <v>3.78</v>
      </c>
      <c r="N30" s="17">
        <f>CHOOSE(CONTROL!$C$42, 3.7952, 3.7952) * CHOOSE(CONTROL!$C$21, $C$9, 100%, $E$9)</f>
        <v>3.7951999999999999</v>
      </c>
      <c r="O30" s="17">
        <f>CHOOSE(CONTROL!$C$42, 4.0676, 4.0676) * CHOOSE(CONTROL!$C$21, $C$9, 100%, $E$9)</f>
        <v>4.0675999999999997</v>
      </c>
      <c r="P30" s="17">
        <f>CHOOSE(CONTROL!$C$42, 3.817, 3.817) * CHOOSE(CONTROL!$C$21, $C$9, 100%, $E$9)</f>
        <v>3.8170000000000002</v>
      </c>
      <c r="Q30" s="17">
        <f>CHOOSE(CONTROL!$C$42, 4.6623, 4.6623) * CHOOSE(CONTROL!$C$21, $C$9, 100%, $E$9)</f>
        <v>4.6623000000000001</v>
      </c>
      <c r="R30" s="17">
        <f>CHOOSE(CONTROL!$C$42, 5.2609, 5.2609) * CHOOSE(CONTROL!$C$21, $C$9, 100%, $E$9)</f>
        <v>5.2609000000000004</v>
      </c>
      <c r="S30" s="17">
        <f>CHOOSE(CONTROL!$C$42, 3.683, 3.683) * CHOOSE(CONTROL!$C$21, $C$9, 100%, $E$9)</f>
        <v>3.6829999999999998</v>
      </c>
      <c r="T30" s="57">
        <f>((((430000*CHOOSE(CONTROL!$C$42, 0.4694, 0.4694)+(874000-430000)*CHOOSE(CONTROL!$C$42, 0.7185, 0.7185)+400000*CHOOSE(CONTROL!$C$42, 1.14, 1.14)+30000*0.98)*CHOOSE(CONTROL!$C$42, 30, 30))/1000000))+CHOOSE(CONTROL!$C$42, 0.1616, 0.1616)+CHOOSE(CONTROL!$C$42, 0.5074, 0.5074)</f>
        <v>30.856680000000001</v>
      </c>
      <c r="U30" s="56">
        <f>(1000*CHOOSE(CONTROL!$C$42, 695, 695)*CHOOSE(CONTROL!$C$42, 0.5599, 0.5599)*CHOOSE(CONTROL!$C$42, 30, 30))/1000000</f>
        <v>11.673914999999997</v>
      </c>
      <c r="V30" s="56">
        <f>(1000*CHOOSE(CONTROL!$C$42, 580, 580)*CHOOSE(CONTROL!$C$42, 0.275, 0.275)*CHOOSE(CONTROL!$C$42, 30, 30))/1000000</f>
        <v>4.7850000000000001</v>
      </c>
      <c r="W30" s="56">
        <f>(1000*CHOOSE(CONTROL!$C$42, 0.0916, 0.0916)*CHOOSE(CONTROL!$C$42, 200, 200)*CHOOSE(CONTROL!$C$42, 30, 30))/1000000</f>
        <v>0.54959999999999998</v>
      </c>
      <c r="X30" s="56">
        <f>30*0.1790888*145000/1000000</f>
        <v>0.77903627999999991</v>
      </c>
      <c r="Y30" s="56">
        <f t="shared" si="1"/>
        <v>0.39</v>
      </c>
      <c r="Z30" s="17">
        <f>CHOOSE(CONTROL!$C$42, 3.7882, 3.7882) * CHOOSE(CONTROL!$C$21, $C$9, 100%, $E$9)</f>
        <v>3.7881999999999998</v>
      </c>
      <c r="AA30" s="55">
        <f>(131500*30*(6/30))/1000000</f>
        <v>0.78900000000000003</v>
      </c>
      <c r="AB30" s="48">
        <f>(B30*194.205+C30*267.466+D30*133.845+E30*213.484+F30*40+G30*25+H30*30+I30*100+J30*300)/(194.205+267.466+133.845+213.484+30+40+25+100+300)</f>
        <v>3.89725143243865</v>
      </c>
      <c r="AC30" s="45">
        <f t="shared" si="2"/>
        <v>3.8851942446043166</v>
      </c>
    </row>
    <row r="31" spans="1:29" ht="15.75" x14ac:dyDescent="0.25">
      <c r="A31" s="16">
        <v>41456</v>
      </c>
      <c r="B31" s="17">
        <f>CHOOSE(CONTROL!$C$42, 3.8543, 3.8543) * CHOOSE(CONTROL!$C$21, $C$9, 100%, $E$9)</f>
        <v>3.8542999999999998</v>
      </c>
      <c r="C31" s="17">
        <f>CHOOSE(CONTROL!$C$42, 3.8623, 3.8623) * CHOOSE(CONTROL!$C$21, $C$9, 100%, $E$9)</f>
        <v>3.8622999999999998</v>
      </c>
      <c r="D31" s="17">
        <f>CHOOSE(CONTROL!$C$42, 4.1223, 4.1223) * CHOOSE(CONTROL!$C$21, $C$9, 100%, $E$9)</f>
        <v>4.1223000000000001</v>
      </c>
      <c r="E31" s="17">
        <f>CHOOSE(CONTROL!$C$42, 4.1534, 4.1534) * CHOOSE(CONTROL!$C$21, $C$9, 100%, $E$9)</f>
        <v>4.1534000000000004</v>
      </c>
      <c r="F31" s="17">
        <f>CHOOSE(CONTROL!$C$42, 3.8595, 3.8595)*CHOOSE(CONTROL!$C$21, $C$9, 100%, $E$9)</f>
        <v>3.8595000000000002</v>
      </c>
      <c r="G31" s="17">
        <f>CHOOSE(CONTROL!$C$42, 3.8751, 3.8751)*CHOOSE(CONTROL!$C$21, $C$9, 100%, $E$9)</f>
        <v>3.8751000000000002</v>
      </c>
      <c r="H31" s="17">
        <f>CHOOSE(CONTROL!$C$42, 4.1418, 4.1418) * CHOOSE(CONTROL!$C$21, $C$9, 100%, $E$9)</f>
        <v>4.1417999999999999</v>
      </c>
      <c r="I31" s="17">
        <f>CHOOSE(CONTROL!$C$42, 3.8891, 3.8891)* CHOOSE(CONTROL!$C$21, $C$9, 100%, $E$9)</f>
        <v>3.8891</v>
      </c>
      <c r="J31" s="17">
        <f>CHOOSE(CONTROL!$C$42, 3.8521, 3.8521)* CHOOSE(CONTROL!$C$21, $C$9, 100%, $E$9)</f>
        <v>3.8521000000000001</v>
      </c>
      <c r="K31" s="52"/>
      <c r="L31" s="17">
        <f>CHOOSE(CONTROL!$C$42, 4.7288, 4.7288) * CHOOSE(CONTROL!$C$21, $C$9, 100%, $E$9)</f>
        <v>4.7287999999999997</v>
      </c>
      <c r="M31" s="17">
        <f>CHOOSE(CONTROL!$C$42, 3.8245, 3.8245) * CHOOSE(CONTROL!$C$21, $C$9, 100%, $E$9)</f>
        <v>3.8245</v>
      </c>
      <c r="N31" s="17">
        <f>CHOOSE(CONTROL!$C$42, 3.8399, 3.8399) * CHOOSE(CONTROL!$C$21, $C$9, 100%, $E$9)</f>
        <v>3.8399000000000001</v>
      </c>
      <c r="O31" s="17">
        <f>CHOOSE(CONTROL!$C$42, 4.1115, 4.1115) * CHOOSE(CONTROL!$C$21, $C$9, 100%, $E$9)</f>
        <v>4.1115000000000004</v>
      </c>
      <c r="P31" s="17">
        <f>CHOOSE(CONTROL!$C$42, 3.8611, 3.8611) * CHOOSE(CONTROL!$C$21, $C$9, 100%, $E$9)</f>
        <v>3.8611</v>
      </c>
      <c r="Q31" s="17">
        <f>CHOOSE(CONTROL!$C$42, 4.7062, 4.7062) * CHOOSE(CONTROL!$C$21, $C$9, 100%, $E$9)</f>
        <v>4.7061999999999999</v>
      </c>
      <c r="R31" s="17">
        <f>CHOOSE(CONTROL!$C$42, 5.305, 5.305) * CHOOSE(CONTROL!$C$21, $C$9, 100%, $E$9)</f>
        <v>5.3049999999999997</v>
      </c>
      <c r="S31" s="17">
        <f>CHOOSE(CONTROL!$C$42, 3.726, 3.726) * CHOOSE(CONTROL!$C$21, $C$9, 100%, $E$9)</f>
        <v>3.726</v>
      </c>
      <c r="T31" s="57">
        <f>((((430000*CHOOSE(CONTROL!$C$42, 0.4694, 0.4694)+(874000-430000)*CHOOSE(CONTROL!$C$42, 0.7185, 0.7185)+400000*CHOOSE(CONTROL!$C$42, 1.14, 1.14)+30000*0.98)*CHOOSE(CONTROL!$C$42, 31, 31))/1000000))+CHOOSE(CONTROL!$C$42, 0.1555, 0.1555)+CHOOSE(CONTROL!$C$42, 0.5217, 0.5217)</f>
        <v>31.871136</v>
      </c>
      <c r="U31" s="56">
        <f>(1000*CHOOSE(CONTROL!$C$42, 695, 695)*CHOOSE(CONTROL!$C$42, 0.5599, 0.5599)*CHOOSE(CONTROL!$C$42, 31, 31))/1000000</f>
        <v>12.063045499999998</v>
      </c>
      <c r="V31" s="56">
        <f>(1000*CHOOSE(CONTROL!$C$42, 580, 580)*CHOOSE(CONTROL!$C$42, 0.275, 0.275)*CHOOSE(CONTROL!$C$42, 31, 31))/1000000</f>
        <v>4.9444999999999997</v>
      </c>
      <c r="W31" s="56">
        <f>(1000*CHOOSE(CONTROL!$C$42, 0.0916, 0.0916)*CHOOSE(CONTROL!$C$42, 200, 200)*CHOOSE(CONTROL!$C$42, 31, 31))/1000000</f>
        <v>0.56791999999999998</v>
      </c>
      <c r="X31" s="56">
        <f>31*0.1790888*145000/1000000</f>
        <v>0.80500415599999997</v>
      </c>
      <c r="Y31" s="56">
        <f t="shared" si="1"/>
        <v>0.39</v>
      </c>
      <c r="Z31" s="17">
        <f>CHOOSE(CONTROL!$C$42, 3.8322, 3.8322) * CHOOSE(CONTROL!$C$21, $C$9, 100%, $E$9)</f>
        <v>3.8321999999999998</v>
      </c>
      <c r="AA31" s="55">
        <f>(131500*31*(6/31))/1000000</f>
        <v>0.78900000000000003</v>
      </c>
      <c r="AB31" s="48">
        <f>(B31*194.205+C31*267.466+D31*133.845+E31*213.484+F31*40+G31*25+H31*30+I31*100+J31*300)/(194.205+267.466+133.845+213.484+30+40+25+100+300)</f>
        <v>3.9417511138036803</v>
      </c>
      <c r="AC31" s="45">
        <f t="shared" si="2"/>
        <v>3.9294683453237411</v>
      </c>
    </row>
    <row r="32" spans="1:29" ht="15.75" x14ac:dyDescent="0.25">
      <c r="A32" s="16">
        <v>41487</v>
      </c>
      <c r="B32" s="17">
        <f>CHOOSE(CONTROL!$C$42, 3.876, 3.876) * CHOOSE(CONTROL!$C$21, $C$9, 100%, $E$9)</f>
        <v>3.8759999999999999</v>
      </c>
      <c r="C32" s="17">
        <f>CHOOSE(CONTROL!$C$42, 3.884, 3.884) * CHOOSE(CONTROL!$C$21, $C$9, 100%, $E$9)</f>
        <v>3.8839999999999999</v>
      </c>
      <c r="D32" s="17">
        <f>CHOOSE(CONTROL!$C$42, 4.1439, 4.1439) * CHOOSE(CONTROL!$C$21, $C$9, 100%, $E$9)</f>
        <v>4.1439000000000004</v>
      </c>
      <c r="E32" s="17">
        <f>CHOOSE(CONTROL!$C$42, 4.1751, 4.1751) * CHOOSE(CONTROL!$C$21, $C$9, 100%, $E$9)</f>
        <v>4.1750999999999996</v>
      </c>
      <c r="F32" s="17">
        <f>CHOOSE(CONTROL!$C$42, 3.8815, 3.8815)*CHOOSE(CONTROL!$C$21, $C$9, 100%, $E$9)</f>
        <v>3.8815</v>
      </c>
      <c r="G32" s="17">
        <f>CHOOSE(CONTROL!$C$42, 3.8971, 3.8971)*CHOOSE(CONTROL!$C$21, $C$9, 100%, $E$9)</f>
        <v>3.8971</v>
      </c>
      <c r="H32" s="17">
        <f>CHOOSE(CONTROL!$C$42, 4.1634, 4.1634) * CHOOSE(CONTROL!$C$21, $C$9, 100%, $E$9)</f>
        <v>4.1634000000000002</v>
      </c>
      <c r="I32" s="17">
        <f>CHOOSE(CONTROL!$C$42, 3.9108, 3.9108)* CHOOSE(CONTROL!$C$21, $C$9, 100%, $E$9)</f>
        <v>3.9108000000000001</v>
      </c>
      <c r="J32" s="17">
        <f>CHOOSE(CONTROL!$C$42, 3.8741, 3.8741)* CHOOSE(CONTROL!$C$21, $C$9, 100%, $E$9)</f>
        <v>3.8740999999999999</v>
      </c>
      <c r="K32" s="52"/>
      <c r="L32" s="17">
        <f>CHOOSE(CONTROL!$C$42, 4.7504, 4.7504) * CHOOSE(CONTROL!$C$21, $C$9, 100%, $E$9)</f>
        <v>4.7504</v>
      </c>
      <c r="M32" s="17">
        <f>CHOOSE(CONTROL!$C$42, 3.8462, 3.8462) * CHOOSE(CONTROL!$C$21, $C$9, 100%, $E$9)</f>
        <v>3.8462000000000001</v>
      </c>
      <c r="N32" s="17">
        <f>CHOOSE(CONTROL!$C$42, 3.8617, 3.8617) * CHOOSE(CONTROL!$C$21, $C$9, 100%, $E$9)</f>
        <v>3.8616999999999999</v>
      </c>
      <c r="O32" s="17">
        <f>CHOOSE(CONTROL!$C$42, 4.133, 4.133) * CHOOSE(CONTROL!$C$21, $C$9, 100%, $E$9)</f>
        <v>4.133</v>
      </c>
      <c r="P32" s="17">
        <f>CHOOSE(CONTROL!$C$42, 3.8826, 3.8826) * CHOOSE(CONTROL!$C$21, $C$9, 100%, $E$9)</f>
        <v>3.8826000000000001</v>
      </c>
      <c r="Q32" s="17">
        <f>CHOOSE(CONTROL!$C$42, 4.7277, 4.7277) * CHOOSE(CONTROL!$C$21, $C$9, 100%, $E$9)</f>
        <v>4.7276999999999996</v>
      </c>
      <c r="R32" s="17">
        <f>CHOOSE(CONTROL!$C$42, 5.3265, 5.3265) * CHOOSE(CONTROL!$C$21, $C$9, 100%, $E$9)</f>
        <v>5.3265000000000002</v>
      </c>
      <c r="S32" s="17">
        <f>CHOOSE(CONTROL!$C$42, 3.747, 3.747) * CHOOSE(CONTROL!$C$21, $C$9, 100%, $E$9)</f>
        <v>3.7469999999999999</v>
      </c>
      <c r="T32" s="57">
        <f>((((430000*CHOOSE(CONTROL!$C$42, 0.4694, 0.4694)+(874000-430000)*CHOOSE(CONTROL!$C$42, 0.7185, 0.7185)+400000*CHOOSE(CONTROL!$C$42, 1.14, 1.14)+30000*0.98)*CHOOSE(CONTROL!$C$42, 31, 31))/1000000))+CHOOSE(CONTROL!$C$42, 0.1911, 0.1911)+CHOOSE(CONTROL!$C$42, 0.5131, 0.5131)</f>
        <v>31.898136000000001</v>
      </c>
      <c r="U32" s="56">
        <f>(1000*CHOOSE(CONTROL!$C$42, 695, 695)*CHOOSE(CONTROL!$C$42, 0.5599, 0.5599)*CHOOSE(CONTROL!$C$42, 31, 31))/1000000</f>
        <v>12.063045499999998</v>
      </c>
      <c r="V32" s="56">
        <f>(1000*CHOOSE(CONTROL!$C$42, 580, 580)*CHOOSE(CONTROL!$C$42, 0.275, 0.275)*CHOOSE(CONTROL!$C$42, 31, 31))/1000000</f>
        <v>4.9444999999999997</v>
      </c>
      <c r="W32" s="56">
        <f>(1000*CHOOSE(CONTROL!$C$42, 0.0916, 0.0916)*CHOOSE(CONTROL!$C$42, 200, 200)*CHOOSE(CONTROL!$C$42, 31, 31))/1000000</f>
        <v>0.56791999999999998</v>
      </c>
      <c r="X32" s="56">
        <f>31*0.1790888*145000/1000000</f>
        <v>0.80500415599999997</v>
      </c>
      <c r="Y32" s="56">
        <f t="shared" si="1"/>
        <v>0.39</v>
      </c>
      <c r="Z32" s="17">
        <f>CHOOSE(CONTROL!$C$42, 3.8537, 3.8537) * CHOOSE(CONTROL!$C$21, $C$9, 100%, $E$9)</f>
        <v>3.8536999999999999</v>
      </c>
      <c r="AA32" s="55">
        <f>(131500*31*(6/31))/1000000</f>
        <v>0.78900000000000003</v>
      </c>
      <c r="AB32" s="48">
        <f>(B32*194.205+C32*267.466+D32*133.845+E32*213.484+F32*40+G32*25+H32*30+I32*100+J32*300)/(194.205+267.466+133.845+213.484+30+40+25+100+300)</f>
        <v>3.9635225213957064</v>
      </c>
      <c r="AC32" s="45">
        <f t="shared" si="2"/>
        <v>3.9510892086330931</v>
      </c>
    </row>
    <row r="33" spans="1:29" ht="15.75" x14ac:dyDescent="0.25">
      <c r="A33" s="16">
        <v>41518</v>
      </c>
      <c r="B33" s="17">
        <f>CHOOSE(CONTROL!$C$42, 3.8778, 3.8778) * CHOOSE(CONTROL!$C$21, $C$9, 100%, $E$9)</f>
        <v>3.8778000000000001</v>
      </c>
      <c r="C33" s="17">
        <f>CHOOSE(CONTROL!$C$42, 3.8858, 3.8858) * CHOOSE(CONTROL!$C$21, $C$9, 100%, $E$9)</f>
        <v>3.8858000000000001</v>
      </c>
      <c r="D33" s="17">
        <f>CHOOSE(CONTROL!$C$42, 4.1457, 4.1457) * CHOOSE(CONTROL!$C$21, $C$9, 100%, $E$9)</f>
        <v>4.1456999999999997</v>
      </c>
      <c r="E33" s="17">
        <f>CHOOSE(CONTROL!$C$42, 4.1769, 4.1769) * CHOOSE(CONTROL!$C$21, $C$9, 100%, $E$9)</f>
        <v>4.1768999999999998</v>
      </c>
      <c r="F33" s="17">
        <f>CHOOSE(CONTROL!$C$42, 3.8833, 3.8833)*CHOOSE(CONTROL!$C$21, $C$9, 100%, $E$9)</f>
        <v>3.8833000000000002</v>
      </c>
      <c r="G33" s="17">
        <f>CHOOSE(CONTROL!$C$42, 3.8989, 3.8989)*CHOOSE(CONTROL!$C$21, $C$9, 100%, $E$9)</f>
        <v>3.8988999999999998</v>
      </c>
      <c r="H33" s="17">
        <f>CHOOSE(CONTROL!$C$42, 4.1652, 4.1652) * CHOOSE(CONTROL!$C$21, $C$9, 100%, $E$9)</f>
        <v>4.1651999999999996</v>
      </c>
      <c r="I33" s="17">
        <f>CHOOSE(CONTROL!$C$42, 3.9126, 3.9126)* CHOOSE(CONTROL!$C$21, $C$9, 100%, $E$9)</f>
        <v>3.9125999999999999</v>
      </c>
      <c r="J33" s="17">
        <f>CHOOSE(CONTROL!$C$42, 3.8759, 3.8759)* CHOOSE(CONTROL!$C$21, $C$9, 100%, $E$9)</f>
        <v>3.8759000000000001</v>
      </c>
      <c r="K33" s="52"/>
      <c r="L33" s="17">
        <f>CHOOSE(CONTROL!$C$42, 4.7522, 4.7522) * CHOOSE(CONTROL!$C$21, $C$9, 100%, $E$9)</f>
        <v>4.7522000000000002</v>
      </c>
      <c r="M33" s="17">
        <f>CHOOSE(CONTROL!$C$42, 3.848, 3.848) * CHOOSE(CONTROL!$C$21, $C$9, 100%, $E$9)</f>
        <v>3.8479999999999999</v>
      </c>
      <c r="N33" s="17">
        <f>CHOOSE(CONTROL!$C$42, 3.8635, 3.8635) * CHOOSE(CONTROL!$C$21, $C$9, 100%, $E$9)</f>
        <v>3.8635000000000002</v>
      </c>
      <c r="O33" s="17">
        <f>CHOOSE(CONTROL!$C$42, 4.1347, 4.1347) * CHOOSE(CONTROL!$C$21, $C$9, 100%, $E$9)</f>
        <v>4.1346999999999996</v>
      </c>
      <c r="P33" s="17">
        <f>CHOOSE(CONTROL!$C$42, 3.8844, 3.8844) * CHOOSE(CONTROL!$C$21, $C$9, 100%, $E$9)</f>
        <v>3.8843999999999999</v>
      </c>
      <c r="Q33" s="17">
        <f>CHOOSE(CONTROL!$C$42, 4.7294, 4.7294) * CHOOSE(CONTROL!$C$21, $C$9, 100%, $E$9)</f>
        <v>4.7294</v>
      </c>
      <c r="R33" s="17">
        <f>CHOOSE(CONTROL!$C$42, 5.3283, 5.3283) * CHOOSE(CONTROL!$C$21, $C$9, 100%, $E$9)</f>
        <v>5.3282999999999996</v>
      </c>
      <c r="S33" s="17">
        <f>CHOOSE(CONTROL!$C$42, 3.7487, 3.7487) * CHOOSE(CONTROL!$C$21, $C$9, 100%, $E$9)</f>
        <v>3.7486999999999999</v>
      </c>
      <c r="T33" s="57">
        <f>((((430000*CHOOSE(CONTROL!$C$42, 0.4694, 0.4694)+(874000-430000)*CHOOSE(CONTROL!$C$42, 0.7185, 0.7185)+400000*CHOOSE(CONTROL!$C$42, 1.14, 1.14)+30000*0.98)*CHOOSE(CONTROL!$C$42, 30, 30))/1000000))+CHOOSE(CONTROL!$C$42, 0.1717, 0.1717)+CHOOSE(CONTROL!$C$42, 0.4923, 0.4923)</f>
        <v>30.851680000000002</v>
      </c>
      <c r="U33" s="56">
        <f>(1000*CHOOSE(CONTROL!$C$42, 695, 695)*CHOOSE(CONTROL!$C$42, 0.5599, 0.5599)*CHOOSE(CONTROL!$C$42, 30, 30))/1000000</f>
        <v>11.673914999999997</v>
      </c>
      <c r="V33" s="56">
        <f>(1000*CHOOSE(CONTROL!$C$42, 580, 580)*CHOOSE(CONTROL!$C$42, 0.275, 0.275)*CHOOSE(CONTROL!$C$42, 30, 30))/1000000</f>
        <v>4.7850000000000001</v>
      </c>
      <c r="W33" s="56">
        <f>(1000*CHOOSE(CONTROL!$C$42, 0.0916, 0.0916)*CHOOSE(CONTROL!$C$42, 200, 200)*CHOOSE(CONTROL!$C$42, 30, 30))/1000000</f>
        <v>0.54959999999999998</v>
      </c>
      <c r="X33" s="56">
        <f>30*0.1790888*145000/1000000</f>
        <v>0.77903627999999991</v>
      </c>
      <c r="Y33" s="56">
        <f t="shared" si="1"/>
        <v>0.39</v>
      </c>
      <c r="Z33" s="17">
        <f>CHOOSE(CONTROL!$C$42, 3.8555, 3.8555) * CHOOSE(CONTROL!$C$21, $C$9, 100%, $E$9)</f>
        <v>3.8555000000000001</v>
      </c>
      <c r="AA33" s="55">
        <f>(131500*30*(6/30))/1000000</f>
        <v>0.78900000000000003</v>
      </c>
      <c r="AB33" s="48">
        <f>(B33*194.205+C33*267.466+D33*133.845+E33*213.484+F33*40+G33*25+H33*30+I33*100+J33*300)/(194.205+267.466+133.845+213.484+30+40+25+100+300)</f>
        <v>3.9653225213957048</v>
      </c>
      <c r="AC33" s="45">
        <f t="shared" si="2"/>
        <v>3.9528553956834531</v>
      </c>
    </row>
    <row r="34" spans="1:29" ht="15.75" x14ac:dyDescent="0.25">
      <c r="A34" s="16">
        <v>41548</v>
      </c>
      <c r="B34" s="17">
        <f>CHOOSE(CONTROL!$C$42, 3.9122, 3.9122) * CHOOSE(CONTROL!$C$21, $C$9, 100%, $E$9)</f>
        <v>3.9121999999999999</v>
      </c>
      <c r="C34" s="17">
        <f>CHOOSE(CONTROL!$C$42, 3.9175, 3.9175) * CHOOSE(CONTROL!$C$21, $C$9, 100%, $E$9)</f>
        <v>3.9175</v>
      </c>
      <c r="D34" s="17">
        <f>CHOOSE(CONTROL!$C$42, 4.1823, 4.1823) * CHOOSE(CONTROL!$C$21, $C$9, 100%, $E$9)</f>
        <v>4.1822999999999997</v>
      </c>
      <c r="E34" s="17">
        <f>CHOOSE(CONTROL!$C$42, 4.2112, 4.2112) * CHOOSE(CONTROL!$C$21, $C$9, 100%, $E$9)</f>
        <v>4.2111999999999998</v>
      </c>
      <c r="F34" s="17">
        <f>CHOOSE(CONTROL!$C$42, 3.9198, 3.9198)*CHOOSE(CONTROL!$C$21, $C$9, 100%, $E$9)</f>
        <v>3.9198</v>
      </c>
      <c r="G34" s="17">
        <f>CHOOSE(CONTROL!$C$42, 3.9353, 3.9353)*CHOOSE(CONTROL!$C$21, $C$9, 100%, $E$9)</f>
        <v>3.9352999999999998</v>
      </c>
      <c r="H34" s="17">
        <f>CHOOSE(CONTROL!$C$42, 4.2013, 4.2013) * CHOOSE(CONTROL!$C$21, $C$9, 100%, $E$9)</f>
        <v>4.2012999999999998</v>
      </c>
      <c r="I34" s="17">
        <f>CHOOSE(CONTROL!$C$42, 3.9488, 3.9488)* CHOOSE(CONTROL!$C$21, $C$9, 100%, $E$9)</f>
        <v>3.9487999999999999</v>
      </c>
      <c r="J34" s="17">
        <f>CHOOSE(CONTROL!$C$42, 3.9124, 3.9124)* CHOOSE(CONTROL!$C$21, $C$9, 100%, $E$9)</f>
        <v>3.9123999999999999</v>
      </c>
      <c r="K34" s="52"/>
      <c r="L34" s="17">
        <f>CHOOSE(CONTROL!$C$42, 4.7883, 4.7883) * CHOOSE(CONTROL!$C$21, $C$9, 100%, $E$9)</f>
        <v>4.7882999999999996</v>
      </c>
      <c r="M34" s="17">
        <f>CHOOSE(CONTROL!$C$42, 3.8842, 3.8842) * CHOOSE(CONTROL!$C$21, $C$9, 100%, $E$9)</f>
        <v>3.8841999999999999</v>
      </c>
      <c r="N34" s="17">
        <f>CHOOSE(CONTROL!$C$42, 3.8996, 3.8996) * CHOOSE(CONTROL!$C$21, $C$9, 100%, $E$9)</f>
        <v>3.8996</v>
      </c>
      <c r="O34" s="17">
        <f>CHOOSE(CONTROL!$C$42, 4.1705, 4.1705) * CHOOSE(CONTROL!$C$21, $C$9, 100%, $E$9)</f>
        <v>4.1704999999999997</v>
      </c>
      <c r="P34" s="17">
        <f>CHOOSE(CONTROL!$C$42, 3.9203, 3.9203) * CHOOSE(CONTROL!$C$21, $C$9, 100%, $E$9)</f>
        <v>3.9203000000000001</v>
      </c>
      <c r="Q34" s="17">
        <f>CHOOSE(CONTROL!$C$42, 4.7652, 4.7652) * CHOOSE(CONTROL!$C$21, $C$9, 100%, $E$9)</f>
        <v>4.7652000000000001</v>
      </c>
      <c r="R34" s="17">
        <f>CHOOSE(CONTROL!$C$42, 5.3641, 5.3641) * CHOOSE(CONTROL!$C$21, $C$9, 100%, $E$9)</f>
        <v>5.3640999999999996</v>
      </c>
      <c r="S34" s="17">
        <f>CHOOSE(CONTROL!$C$42, 3.7837, 3.7837) * CHOOSE(CONTROL!$C$21, $C$9, 100%, $E$9)</f>
        <v>3.7837000000000001</v>
      </c>
      <c r="T34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34" s="56">
        <f>(1000*CHOOSE(CONTROL!$C$42, 695, 695)*CHOOSE(CONTROL!$C$42, 0.5599, 0.5599)*CHOOSE(CONTROL!$C$42, 31, 31))/1000000</f>
        <v>12.063045499999998</v>
      </c>
      <c r="V34" s="56">
        <f>(1000*CHOOSE(CONTROL!$C$42, 580, 580)*CHOOSE(CONTROL!$C$42, 0.275, 0.275)*CHOOSE(CONTROL!$C$42, 31, 31))/1000000</f>
        <v>4.9444999999999997</v>
      </c>
      <c r="W34" s="56">
        <f>(1000*CHOOSE(CONTROL!$C$42, 0.0916, 0.0916)*CHOOSE(CONTROL!$C$42, 200, 200)*CHOOSE(CONTROL!$C$42, 31, 31))/1000000</f>
        <v>0.56791999999999998</v>
      </c>
      <c r="X34" s="56">
        <f>31*0.1790888*145000/1000000</f>
        <v>0.80500415599999997</v>
      </c>
      <c r="Y34" s="56">
        <f t="shared" si="1"/>
        <v>0.39</v>
      </c>
      <c r="Z34" s="17">
        <f>CHOOSE(CONTROL!$C$42, 3.8913, 3.8913) * CHOOSE(CONTROL!$C$21, $C$9, 100%, $E$9)</f>
        <v>3.8913000000000002</v>
      </c>
      <c r="AA34" s="55">
        <f>(131500*31*(6/31))/1000000</f>
        <v>0.78900000000000003</v>
      </c>
      <c r="AB34" s="48">
        <f>(B34*131.881+C34*277.167+D34*79.08+E34*285.872+F34*40+G34*25+H34*0+I34*100+J34*300)/(131.881+277.167+79.08+285.872+0+40+25+100+300)</f>
        <v>4.0033264899919292</v>
      </c>
      <c r="AC34" s="45">
        <f t="shared" si="2"/>
        <v>3.9888597122302158</v>
      </c>
    </row>
    <row r="35" spans="1:29" ht="15.75" x14ac:dyDescent="0.25">
      <c r="A35" s="16">
        <v>41579</v>
      </c>
      <c r="B35" s="17">
        <f>CHOOSE(CONTROL!$C$42, 4.0242, 4.0242) * CHOOSE(CONTROL!$C$21, $C$9, 100%, $E$9)</f>
        <v>4.0242000000000004</v>
      </c>
      <c r="C35" s="17">
        <f>CHOOSE(CONTROL!$C$42, 4.0292, 4.0292) * CHOOSE(CONTROL!$C$21, $C$9, 100%, $E$9)</f>
        <v>4.0292000000000003</v>
      </c>
      <c r="D35" s="17">
        <f>CHOOSE(CONTROL!$C$42, 4.1632, 4.1632) * CHOOSE(CONTROL!$C$21, $C$9, 100%, $E$9)</f>
        <v>4.1631999999999998</v>
      </c>
      <c r="E35" s="17">
        <f>CHOOSE(CONTROL!$C$42, 4.197, 4.197) * CHOOSE(CONTROL!$C$21, $C$9, 100%, $E$9)</f>
        <v>4.1970000000000001</v>
      </c>
      <c r="F35" s="17">
        <f>CHOOSE(CONTROL!$C$42, 4.0337, 4.0337)*CHOOSE(CONTROL!$C$21, $C$9, 100%, $E$9)</f>
        <v>4.0336999999999996</v>
      </c>
      <c r="G35" s="17">
        <f>CHOOSE(CONTROL!$C$42, 4.0495, 4.0495)*CHOOSE(CONTROL!$C$21, $C$9, 100%, $E$9)</f>
        <v>4.0495000000000001</v>
      </c>
      <c r="H35" s="17">
        <f>CHOOSE(CONTROL!$C$42, 4.1858, 4.1858) * CHOOSE(CONTROL!$C$21, $C$9, 100%, $E$9)</f>
        <v>4.1858000000000004</v>
      </c>
      <c r="I35" s="17">
        <f>CHOOSE(CONTROL!$C$42, 4.0631, 4.0631)* CHOOSE(CONTROL!$C$21, $C$9, 100%, $E$9)</f>
        <v>4.0631000000000004</v>
      </c>
      <c r="J35" s="17">
        <f>CHOOSE(CONTROL!$C$42, 4.0263, 4.0263)* CHOOSE(CONTROL!$C$21, $C$9, 100%, $E$9)</f>
        <v>4.0263</v>
      </c>
      <c r="K35" s="52"/>
      <c r="L35" s="17">
        <f>CHOOSE(CONTROL!$C$42, 4.7728, 4.7728) * CHOOSE(CONTROL!$C$21, $C$9, 100%, $E$9)</f>
        <v>4.7728000000000002</v>
      </c>
      <c r="M35" s="17">
        <f>CHOOSE(CONTROL!$C$42, 3.9971, 3.9971) * CHOOSE(CONTROL!$C$21, $C$9, 100%, $E$9)</f>
        <v>3.9971000000000001</v>
      </c>
      <c r="N35" s="17">
        <f>CHOOSE(CONTROL!$C$42, 4.0128, 4.0128) * CHOOSE(CONTROL!$C$21, $C$9, 100%, $E$9)</f>
        <v>4.0128000000000004</v>
      </c>
      <c r="O35" s="17">
        <f>CHOOSE(CONTROL!$C$42, 4.1552, 4.1552) * CHOOSE(CONTROL!$C$21, $C$9, 100%, $E$9)</f>
        <v>4.1551999999999998</v>
      </c>
      <c r="P35" s="17">
        <f>CHOOSE(CONTROL!$C$42, 4.0335, 4.0335) * CHOOSE(CONTROL!$C$21, $C$9, 100%, $E$9)</f>
        <v>4.0335000000000001</v>
      </c>
      <c r="Q35" s="17">
        <f>CHOOSE(CONTROL!$C$42, 4.7499, 4.7499) * CHOOSE(CONTROL!$C$21, $C$9, 100%, $E$9)</f>
        <v>4.7499000000000002</v>
      </c>
      <c r="R35" s="17">
        <f>CHOOSE(CONTROL!$C$42, 5.3488, 5.3488) * CHOOSE(CONTROL!$C$21, $C$9, 100%, $E$9)</f>
        <v>5.3487999999999998</v>
      </c>
      <c r="S35" s="17">
        <f>CHOOSE(CONTROL!$C$42, 3.8927, 3.8927) * CHOOSE(CONTROL!$C$21, $C$9, 100%, $E$9)</f>
        <v>3.8927</v>
      </c>
      <c r="T35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35" s="56">
        <f>(1000*CHOOSE(CONTROL!$C$42, 695, 695)*CHOOSE(CONTROL!$C$42, 0.5599, 0.5599)*CHOOSE(CONTROL!$C$42, 30, 30))/1000000</f>
        <v>11.673914999999997</v>
      </c>
      <c r="V35" s="56">
        <f>(1000*CHOOSE(CONTROL!$C$42, 580, 580)*CHOOSE(CONTROL!$C$42, 0.275, 0.275)*CHOOSE(CONTROL!$C$42, 30, 30))/1000000</f>
        <v>4.7850000000000001</v>
      </c>
      <c r="W35" s="56">
        <f>(1000*CHOOSE(CONTROL!$C$42, 0.0916, 0.0916)*CHOOSE(CONTROL!$C$42, 200, 200)*CHOOSE(CONTROL!$C$42, 30, 30))/1000000</f>
        <v>0.54959999999999998</v>
      </c>
      <c r="X35" s="56">
        <v>0</v>
      </c>
      <c r="Y35" s="56">
        <f t="shared" si="1"/>
        <v>0.39</v>
      </c>
      <c r="Z35" s="17">
        <f>CHOOSE(CONTROL!$C$42, 4.0064, 4.0064) * CHOOSE(CONTROL!$C$21, $C$9, 100%, $E$9)</f>
        <v>4.0064000000000002</v>
      </c>
      <c r="AA35" s="55">
        <f>(131500*30*(6/30))/1000000</f>
        <v>0.78900000000000003</v>
      </c>
      <c r="AB35" s="48">
        <f>(B35*122.58+C35*297.941+D35*89.177+E35*200.302+F35*40+G35*0+H35*0+I35*100+J35*300)/(122.58+297.941+89.177+200.302+0+40+0+100+300)</f>
        <v>4.0706326031304352</v>
      </c>
      <c r="AC35" s="45">
        <f>(M35*240+N35*0+O35*355+P35*100)/(240+0+355+100)</f>
        <v>4.0830935251798559</v>
      </c>
    </row>
    <row r="36" spans="1:29" ht="15.75" x14ac:dyDescent="0.25">
      <c r="A36" s="16">
        <v>41609</v>
      </c>
      <c r="B36" s="17">
        <f>CHOOSE(CONTROL!$C$42, 4.2232, 4.2232) * CHOOSE(CONTROL!$C$21, $C$9, 100%, $E$9)</f>
        <v>4.2232000000000003</v>
      </c>
      <c r="C36" s="17">
        <f>CHOOSE(CONTROL!$C$42, 4.2283, 4.2283) * CHOOSE(CONTROL!$C$21, $C$9, 100%, $E$9)</f>
        <v>4.2282999999999999</v>
      </c>
      <c r="D36" s="17">
        <f>CHOOSE(CONTROL!$C$42, 4.3622, 4.3622) * CHOOSE(CONTROL!$C$21, $C$9, 100%, $E$9)</f>
        <v>4.3621999999999996</v>
      </c>
      <c r="E36" s="17">
        <f>CHOOSE(CONTROL!$C$42, 4.396, 4.396) * CHOOSE(CONTROL!$C$21, $C$9, 100%, $E$9)</f>
        <v>4.3959999999999999</v>
      </c>
      <c r="F36" s="17">
        <f>CHOOSE(CONTROL!$C$42, 4.2353, 4.2353)*CHOOSE(CONTROL!$C$21, $C$9, 100%, $E$9)</f>
        <v>4.2352999999999996</v>
      </c>
      <c r="G36" s="17">
        <f>CHOOSE(CONTROL!$C$42, 4.2518, 4.2518)*CHOOSE(CONTROL!$C$21, $C$9, 100%, $E$9)</f>
        <v>4.2518000000000002</v>
      </c>
      <c r="H36" s="17">
        <f>CHOOSE(CONTROL!$C$42, 4.3849, 4.3849) * CHOOSE(CONTROL!$C$21, $C$9, 100%, $E$9)</f>
        <v>4.3849</v>
      </c>
      <c r="I36" s="17">
        <f>CHOOSE(CONTROL!$C$42, 4.2628, 4.2628)* CHOOSE(CONTROL!$C$21, $C$9, 100%, $E$9)</f>
        <v>4.2628000000000004</v>
      </c>
      <c r="J36" s="17">
        <f>CHOOSE(CONTROL!$C$42, 4.2279, 4.2279)* CHOOSE(CONTROL!$C$21, $C$9, 100%, $E$9)</f>
        <v>4.2279</v>
      </c>
      <c r="K36" s="52"/>
      <c r="L36" s="17">
        <f>CHOOSE(CONTROL!$C$42, 4.9719, 4.9719) * CHOOSE(CONTROL!$C$21, $C$9, 100%, $E$9)</f>
        <v>4.9718999999999998</v>
      </c>
      <c r="M36" s="17">
        <f>CHOOSE(CONTROL!$C$42, 4.1969, 4.1969) * CHOOSE(CONTROL!$C$21, $C$9, 100%, $E$9)</f>
        <v>4.1969000000000003</v>
      </c>
      <c r="N36" s="17">
        <f>CHOOSE(CONTROL!$C$42, 4.2132, 4.2132) * CHOOSE(CONTROL!$C$21, $C$9, 100%, $E$9)</f>
        <v>4.2131999999999996</v>
      </c>
      <c r="O36" s="17">
        <f>CHOOSE(CONTROL!$C$42, 4.3524, 4.3524) * CHOOSE(CONTROL!$C$21, $C$9, 100%, $E$9)</f>
        <v>4.3524000000000003</v>
      </c>
      <c r="P36" s="17">
        <f>CHOOSE(CONTROL!$C$42, 4.2314, 4.2314) * CHOOSE(CONTROL!$C$21, $C$9, 100%, $E$9)</f>
        <v>4.2313999999999998</v>
      </c>
      <c r="Q36" s="17">
        <f>CHOOSE(CONTROL!$C$42, 4.9471, 4.9471) * CHOOSE(CONTROL!$C$21, $C$9, 100%, $E$9)</f>
        <v>4.9470999999999998</v>
      </c>
      <c r="R36" s="17">
        <f>CHOOSE(CONTROL!$C$42, 5.5465, 5.5465) * CHOOSE(CONTROL!$C$21, $C$9, 100%, $E$9)</f>
        <v>5.5465</v>
      </c>
      <c r="S36" s="17">
        <f>CHOOSE(CONTROL!$C$42, 4.0857, 4.0857) * CHOOSE(CONTROL!$C$21, $C$9, 100%, $E$9)</f>
        <v>4.0857000000000001</v>
      </c>
      <c r="T36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36" s="56">
        <f>(1000*CHOOSE(CONTROL!$C$42, 695, 695)*CHOOSE(CONTROL!$C$42, 0.5599, 0.5599)*CHOOSE(CONTROL!$C$42, 31, 31))/1000000</f>
        <v>12.063045499999998</v>
      </c>
      <c r="V36" s="56">
        <f>(1000*CHOOSE(CONTROL!$C$42, 580, 580)*CHOOSE(CONTROL!$C$42, 0.275, 0.275)*CHOOSE(CONTROL!$C$42, 31, 31))/1000000</f>
        <v>4.9444999999999997</v>
      </c>
      <c r="W36" s="56">
        <f>(1000*CHOOSE(CONTROL!$C$42, 0.0916, 0.0916)*CHOOSE(CONTROL!$C$42, 200, 200)*CHOOSE(CONTROL!$C$42, 31, 31))/1000000</f>
        <v>0.56791999999999998</v>
      </c>
      <c r="X36" s="56">
        <v>0</v>
      </c>
      <c r="Y36" s="56">
        <f t="shared" si="1"/>
        <v>0.39</v>
      </c>
      <c r="Z36" s="17">
        <f>CHOOSE(CONTROL!$C$42, 4.204, 4.204) * CHOOSE(CONTROL!$C$21, $C$9, 100%, $E$9)</f>
        <v>4.2039999999999997</v>
      </c>
      <c r="AA36" s="55">
        <f>(131500*31*(6/31))/1000000</f>
        <v>0.78900000000000003</v>
      </c>
      <c r="AB36" s="48">
        <f>(B36*122.58+C36*297.941+D36*89.177+E36*200.302+F36*40+G36*0+H36*0+I36*100+J36*300)/(122.58+297.941+89.177+200.302+0+40+0+100+300)</f>
        <v>4.2704880762608699</v>
      </c>
      <c r="AC36" s="45">
        <f>(M36*240+N36*0+O36*355+P36*100)/(240+0+355+100)</f>
        <v>4.2812920863309349</v>
      </c>
    </row>
    <row r="37" spans="1:29" ht="15" x14ac:dyDescent="0.2">
      <c r="A37" s="16">
        <v>41640</v>
      </c>
      <c r="B37" s="17">
        <f>CHOOSE(CONTROL!$C$42, 4.3294, 4.3294) * CHOOSE(CONTROL!$C$21, $C$9, 100%, $E$9)</f>
        <v>4.3293999999999997</v>
      </c>
      <c r="C37" s="17">
        <f>CHOOSE(CONTROL!$C$42, 4.3345, 4.3345) * CHOOSE(CONTROL!$C$21, $C$9, 100%, $E$9)</f>
        <v>4.3345000000000002</v>
      </c>
      <c r="D37" s="17">
        <f>CHOOSE(CONTROL!$C$42, 4.4684, 4.4684) * CHOOSE(CONTROL!$C$21, $C$9, 100%, $E$9)</f>
        <v>4.4683999999999999</v>
      </c>
      <c r="E37" s="17">
        <f>CHOOSE(CONTROL!$C$42, 4.5022, 4.5022) * CHOOSE(CONTROL!$C$21, $C$9, 100%, $E$9)</f>
        <v>4.5022000000000002</v>
      </c>
      <c r="F37" s="17">
        <f>CHOOSE(CONTROL!$C$42, 4.3429, 4.3429)*CHOOSE(CONTROL!$C$21, $C$9, 100%, $E$9)</f>
        <v>4.3429000000000002</v>
      </c>
      <c r="G37" s="17">
        <f>CHOOSE(CONTROL!$C$42, 4.3597, 4.3597)*CHOOSE(CONTROL!$C$21, $C$9, 100%, $E$9)</f>
        <v>4.3597000000000001</v>
      </c>
      <c r="H37" s="17">
        <f>CHOOSE(CONTROL!$C$42, 4.4911, 4.4911) * CHOOSE(CONTROL!$C$21, $C$9, 100%, $E$9)</f>
        <v>4.4911000000000003</v>
      </c>
      <c r="I37" s="17">
        <f>CHOOSE(CONTROL!$C$42, 4.3693, 4.3693)* CHOOSE(CONTROL!$C$21, $C$9, 100%, $E$9)</f>
        <v>4.3693</v>
      </c>
      <c r="J37" s="17">
        <f>CHOOSE(CONTROL!$C$42, 4.3355, 4.3355)* CHOOSE(CONTROL!$C$21, $C$9, 100%, $E$9)</f>
        <v>4.3354999999999997</v>
      </c>
      <c r="K37" s="58"/>
      <c r="L37" s="17">
        <f>CHOOSE(CONTROL!$C$42, 5.0781, 5.0781) * CHOOSE(CONTROL!$C$21, $C$9, 100%, $E$9)</f>
        <v>5.0781000000000001</v>
      </c>
      <c r="M37" s="17">
        <f>CHOOSE(CONTROL!$C$42, 4.3035, 4.3035) * CHOOSE(CONTROL!$C$21, $C$9, 100%, $E$9)</f>
        <v>4.3034999999999997</v>
      </c>
      <c r="N37" s="17">
        <f>CHOOSE(CONTROL!$C$42, 4.3202, 4.3202) * CHOOSE(CONTROL!$C$21, $C$9, 100%, $E$9)</f>
        <v>4.3201999999999998</v>
      </c>
      <c r="O37" s="17">
        <f>CHOOSE(CONTROL!$C$42, 4.4577, 4.4577) * CHOOSE(CONTROL!$C$21, $C$9, 100%, $E$9)</f>
        <v>4.4577</v>
      </c>
      <c r="P37" s="17">
        <f>CHOOSE(CONTROL!$C$42, 4.337, 4.337) * CHOOSE(CONTROL!$C$21, $C$9, 100%, $E$9)</f>
        <v>4.3369999999999997</v>
      </c>
      <c r="Q37" s="17">
        <f>CHOOSE(CONTROL!$C$42, 5.0524, 5.0524) * CHOOSE(CONTROL!$C$21, $C$9, 100%, $E$9)</f>
        <v>5.0523999999999996</v>
      </c>
      <c r="R37" s="17">
        <f>CHOOSE(CONTROL!$C$42, 5.652, 5.652) * CHOOSE(CONTROL!$C$21, $C$9, 100%, $E$9)</f>
        <v>5.6520000000000001</v>
      </c>
      <c r="S37" s="17">
        <f>CHOOSE(CONTROL!$C$42, 4.1887, 4.1887) * CHOOSE(CONTROL!$C$21, $C$9, 100%, $E$9)</f>
        <v>4.1886999999999999</v>
      </c>
      <c r="T37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37" s="56">
        <f>(1000*CHOOSE(CONTROL!$C$42, 695, 695)*CHOOSE(CONTROL!$C$42, 0.5599, 0.5599)*CHOOSE(CONTROL!$C$42, 31, 31))/1000000</f>
        <v>12.063045499999998</v>
      </c>
      <c r="V37" s="56">
        <f>(1000*CHOOSE(CONTROL!$C$42, 580, 580)*CHOOSE(CONTROL!$C$42, 0.275, 0.275)*CHOOSE(CONTROL!$C$42, 31, 31))/1000000</f>
        <v>4.9444999999999997</v>
      </c>
      <c r="W37" s="56">
        <f>(1000*CHOOSE(CONTROL!$C$42, 0.0916, 0.0916)*CHOOSE(CONTROL!$C$42, 200, 200)*CHOOSE(CONTROL!$C$42, 31, 31))/1000000</f>
        <v>0.56791999999999998</v>
      </c>
      <c r="X37" s="56">
        <v>0</v>
      </c>
      <c r="Y37" s="56">
        <f t="shared" si="1"/>
        <v>0.39</v>
      </c>
      <c r="Z37" s="17">
        <f>CHOOSE(CONTROL!$C$42, 4.3094, 4.3094) * CHOOSE(CONTROL!$C$21, $C$9, 100%, $E$9)</f>
        <v>4.3094000000000001</v>
      </c>
      <c r="AA37" s="55">
        <f>(131500*31*(6/31))/1000000</f>
        <v>0.78900000000000003</v>
      </c>
      <c r="AB37" s="48">
        <f>(B37*122.58+C37*297.941+D37*89.177+E37*200.302+F37*40+G37*0+H37*0+I37*100+J37*300)/(122.58+297.941+89.177+200.302+0+40+0+100+300)</f>
        <v>4.3771280762608695</v>
      </c>
      <c r="AC37" s="45">
        <f>(M37*240+N37*0+O37*355+P37*100)/(240+0+355+100)</f>
        <v>4.3870841726618703</v>
      </c>
    </row>
    <row r="38" spans="1:29" ht="15" x14ac:dyDescent="0.2">
      <c r="A38" s="16">
        <v>41671</v>
      </c>
      <c r="B38" s="17">
        <f>CHOOSE(CONTROL!$C$42, 4.3253, 4.3253) * CHOOSE(CONTROL!$C$21, $C$9, 100%, $E$9)</f>
        <v>4.3253000000000004</v>
      </c>
      <c r="C38" s="17">
        <f>CHOOSE(CONTROL!$C$42, 4.3304, 4.3304) * CHOOSE(CONTROL!$C$21, $C$9, 100%, $E$9)</f>
        <v>4.3304</v>
      </c>
      <c r="D38" s="17">
        <f>CHOOSE(CONTROL!$C$42, 4.4643, 4.4643) * CHOOSE(CONTROL!$C$21, $C$9, 100%, $E$9)</f>
        <v>4.4642999999999997</v>
      </c>
      <c r="E38" s="17">
        <f>CHOOSE(CONTROL!$C$42, 4.4981, 4.4981) * CHOOSE(CONTROL!$C$21, $C$9, 100%, $E$9)</f>
        <v>4.4981</v>
      </c>
      <c r="F38" s="17">
        <f>CHOOSE(CONTROL!$C$42, 4.3387, 4.3387)*CHOOSE(CONTROL!$C$21, $C$9, 100%, $E$9)</f>
        <v>4.3387000000000002</v>
      </c>
      <c r="G38" s="17">
        <f>CHOOSE(CONTROL!$C$42, 4.3556, 4.3556)*CHOOSE(CONTROL!$C$21, $C$9, 100%, $E$9)</f>
        <v>4.3555999999999999</v>
      </c>
      <c r="H38" s="17">
        <f>CHOOSE(CONTROL!$C$42, 4.487, 4.487) * CHOOSE(CONTROL!$C$21, $C$9, 100%, $E$9)</f>
        <v>4.4870000000000001</v>
      </c>
      <c r="I38" s="17">
        <f>CHOOSE(CONTROL!$C$42, 4.3652, 4.3652)* CHOOSE(CONTROL!$C$21, $C$9, 100%, $E$9)</f>
        <v>4.3651999999999997</v>
      </c>
      <c r="J38" s="17">
        <f>CHOOSE(CONTROL!$C$42, 4.3313, 4.3313)* CHOOSE(CONTROL!$C$21, $C$9, 100%, $E$9)</f>
        <v>4.3312999999999997</v>
      </c>
      <c r="K38" s="58"/>
      <c r="L38" s="17">
        <f>CHOOSE(CONTROL!$C$42, 5.074, 5.074) * CHOOSE(CONTROL!$C$21, $C$9, 100%, $E$9)</f>
        <v>5.0739999999999998</v>
      </c>
      <c r="M38" s="17">
        <f>CHOOSE(CONTROL!$C$42, 4.2993, 4.2993) * CHOOSE(CONTROL!$C$21, $C$9, 100%, $E$9)</f>
        <v>4.2992999999999997</v>
      </c>
      <c r="N38" s="17">
        <f>CHOOSE(CONTROL!$C$42, 4.3161, 4.3161) * CHOOSE(CONTROL!$C$21, $C$9, 100%, $E$9)</f>
        <v>4.3160999999999996</v>
      </c>
      <c r="O38" s="17">
        <f>CHOOSE(CONTROL!$C$42, 4.4536, 4.4536) * CHOOSE(CONTROL!$C$21, $C$9, 100%, $E$9)</f>
        <v>4.4535999999999998</v>
      </c>
      <c r="P38" s="17">
        <f>CHOOSE(CONTROL!$C$42, 4.3329, 4.3329) * CHOOSE(CONTROL!$C$21, $C$9, 100%, $E$9)</f>
        <v>4.3329000000000004</v>
      </c>
      <c r="Q38" s="17">
        <f>CHOOSE(CONTROL!$C$42, 5.0483, 5.0483) * CHOOSE(CONTROL!$C$21, $C$9, 100%, $E$9)</f>
        <v>5.0483000000000002</v>
      </c>
      <c r="R38" s="17">
        <f>CHOOSE(CONTROL!$C$42, 5.6479, 5.6479) * CHOOSE(CONTROL!$C$21, $C$9, 100%, $E$9)</f>
        <v>5.6478999999999999</v>
      </c>
      <c r="S38" s="17">
        <f>CHOOSE(CONTROL!$C$42, 4.1847, 4.1847) * CHOOSE(CONTROL!$C$21, $C$9, 100%, $E$9)</f>
        <v>4.1847000000000003</v>
      </c>
      <c r="T38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38" s="56">
        <f>(1000*CHOOSE(CONTROL!$C$42, 695, 695)*CHOOSE(CONTROL!$C$42, 0.5599, 0.5599)*CHOOSE(CONTROL!$C$42, 28, 28))/1000000</f>
        <v>10.895653999999999</v>
      </c>
      <c r="V38" s="56">
        <f>(1000*CHOOSE(CONTROL!$C$42, 580, 580)*CHOOSE(CONTROL!$C$42, 0.275, 0.275)*CHOOSE(CONTROL!$C$42, 28, 28))/1000000</f>
        <v>4.4660000000000002</v>
      </c>
      <c r="W38" s="56">
        <f>(1000*CHOOSE(CONTROL!$C$42, 0.0916, 0.0916)*CHOOSE(CONTROL!$C$42, 200, 200)*CHOOSE(CONTROL!$C$42, 28, 28))/1000000</f>
        <v>0.51295999999999997</v>
      </c>
      <c r="X38" s="56">
        <v>0</v>
      </c>
      <c r="Y38" s="56">
        <f t="shared" si="1"/>
        <v>0.39</v>
      </c>
      <c r="Z38" s="17">
        <f>CHOOSE(CONTROL!$C$42, 4.3053, 4.3053) * CHOOSE(CONTROL!$C$21, $C$9, 100%, $E$9)</f>
        <v>4.3052999999999999</v>
      </c>
      <c r="AA38" s="55">
        <f>(131500*28*(6/28))/1000000</f>
        <v>0.78900000000000003</v>
      </c>
      <c r="AB38" s="48">
        <f>(B38*122.58+C38*297.941+D38*89.177+E38*200.302+F38*40+G38*0+H38*0+I38*100+J38*300)/(122.58+297.941+89.177+200.302+0+40+0+100+300)</f>
        <v>4.3729985110434777</v>
      </c>
      <c r="AC38" s="45">
        <f>(M38*240+N38*0+O38*355+P38*100)/(240+0+355+100)</f>
        <v>4.3829496402877695</v>
      </c>
    </row>
    <row r="39" spans="1:29" ht="15" x14ac:dyDescent="0.2">
      <c r="A39" s="16">
        <v>41699</v>
      </c>
      <c r="B39" s="17">
        <f>CHOOSE(CONTROL!$C$42, 4.2665, 4.2665) * CHOOSE(CONTROL!$C$21, $C$9, 100%, $E$9)</f>
        <v>4.2664999999999997</v>
      </c>
      <c r="C39" s="17">
        <f>CHOOSE(CONTROL!$C$42, 4.2716, 4.2716) * CHOOSE(CONTROL!$C$21, $C$9, 100%, $E$9)</f>
        <v>4.2716000000000003</v>
      </c>
      <c r="D39" s="17">
        <f>CHOOSE(CONTROL!$C$42, 4.4055, 4.4055) * CHOOSE(CONTROL!$C$21, $C$9, 100%, $E$9)</f>
        <v>4.4055</v>
      </c>
      <c r="E39" s="17">
        <f>CHOOSE(CONTROL!$C$42, 4.4393, 4.4393) * CHOOSE(CONTROL!$C$21, $C$9, 100%, $E$9)</f>
        <v>4.4393000000000002</v>
      </c>
      <c r="F39" s="17">
        <f>CHOOSE(CONTROL!$C$42, 4.2791, 4.2791)*CHOOSE(CONTROL!$C$21, $C$9, 100%, $E$9)</f>
        <v>4.2790999999999997</v>
      </c>
      <c r="G39" s="17">
        <f>CHOOSE(CONTROL!$C$42, 4.2958, 4.2958)*CHOOSE(CONTROL!$C$21, $C$9, 100%, $E$9)</f>
        <v>4.2957999999999998</v>
      </c>
      <c r="H39" s="17">
        <f>CHOOSE(CONTROL!$C$42, 4.4282, 4.4282) * CHOOSE(CONTROL!$C$21, $C$9, 100%, $E$9)</f>
        <v>4.4282000000000004</v>
      </c>
      <c r="I39" s="17">
        <f>CHOOSE(CONTROL!$C$42, 4.3062, 4.3062)* CHOOSE(CONTROL!$C$21, $C$9, 100%, $E$9)</f>
        <v>4.3061999999999996</v>
      </c>
      <c r="J39" s="17">
        <f>CHOOSE(CONTROL!$C$42, 4.2717, 4.2717)* CHOOSE(CONTROL!$C$21, $C$9, 100%, $E$9)</f>
        <v>4.2717000000000001</v>
      </c>
      <c r="K39" s="58"/>
      <c r="L39" s="17">
        <f>CHOOSE(CONTROL!$C$42, 5.0152, 5.0152) * CHOOSE(CONTROL!$C$21, $C$9, 100%, $E$9)</f>
        <v>5.0152000000000001</v>
      </c>
      <c r="M39" s="17">
        <f>CHOOSE(CONTROL!$C$42, 4.2403, 4.2403) * CHOOSE(CONTROL!$C$21, $C$9, 100%, $E$9)</f>
        <v>4.2403000000000004</v>
      </c>
      <c r="N39" s="17">
        <f>CHOOSE(CONTROL!$C$42, 4.2569, 4.2569) * CHOOSE(CONTROL!$C$21, $C$9, 100%, $E$9)</f>
        <v>4.2568999999999999</v>
      </c>
      <c r="O39" s="17">
        <f>CHOOSE(CONTROL!$C$42, 4.3954, 4.3954) * CHOOSE(CONTROL!$C$21, $C$9, 100%, $E$9)</f>
        <v>4.3954000000000004</v>
      </c>
      <c r="P39" s="17">
        <f>CHOOSE(CONTROL!$C$42, 4.2744, 4.2744) * CHOOSE(CONTROL!$C$21, $C$9, 100%, $E$9)</f>
        <v>4.2744</v>
      </c>
      <c r="Q39" s="17">
        <f>CHOOSE(CONTROL!$C$42, 4.9901, 4.9901) * CHOOSE(CONTROL!$C$21, $C$9, 100%, $E$9)</f>
        <v>4.9901</v>
      </c>
      <c r="R39" s="17">
        <f>CHOOSE(CONTROL!$C$42, 5.5895, 5.5895) * CHOOSE(CONTROL!$C$21, $C$9, 100%, $E$9)</f>
        <v>5.5895000000000001</v>
      </c>
      <c r="S39" s="17">
        <f>CHOOSE(CONTROL!$C$42, 4.1277, 4.1277) * CHOOSE(CONTROL!$C$21, $C$9, 100%, $E$9)</f>
        <v>4.1276999999999999</v>
      </c>
      <c r="T39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39" s="56">
        <f>(1000*CHOOSE(CONTROL!$C$42, 695, 695)*CHOOSE(CONTROL!$C$42, 0.5599, 0.5599)*CHOOSE(CONTROL!$C$42, 31, 31))/1000000</f>
        <v>12.063045499999998</v>
      </c>
      <c r="V39" s="56">
        <f>(1000*CHOOSE(CONTROL!$C$42, 580, 580)*CHOOSE(CONTROL!$C$42, 0.275, 0.275)*CHOOSE(CONTROL!$C$42, 31, 31))/1000000</f>
        <v>4.9444999999999997</v>
      </c>
      <c r="W39" s="56">
        <f>(1000*CHOOSE(CONTROL!$C$42, 0.0916, 0.0916)*CHOOSE(CONTROL!$C$42, 200, 200)*CHOOSE(CONTROL!$C$42, 31, 31))/1000000</f>
        <v>0.56791999999999998</v>
      </c>
      <c r="X39" s="56">
        <v>0</v>
      </c>
      <c r="Y39" s="56">
        <f t="shared" si="1"/>
        <v>0.39</v>
      </c>
      <c r="Z39" s="17">
        <f>CHOOSE(CONTROL!$C$42, 4.247, 4.247) * CHOOSE(CONTROL!$C$21, $C$9, 100%, $E$9)</f>
        <v>4.2469999999999999</v>
      </c>
      <c r="AA39" s="55">
        <f>(131500*31*(6/31))/1000000</f>
        <v>0.78900000000000003</v>
      </c>
      <c r="AB39" s="48">
        <f>(B39*122.58+C39*297.941+D39*89.177+E39*200.302+F39*40+G39*0+H39*0+I39*100+J39*300)/(122.58+297.941+89.177+200.302+0+40+0+100+300)</f>
        <v>4.313944598</v>
      </c>
      <c r="AC39" s="45">
        <f>(M39*240+N39*0+O39*355+P39*100)/(240+0+355+100)</f>
        <v>4.3244302158273387</v>
      </c>
    </row>
    <row r="40" spans="1:29" ht="15" x14ac:dyDescent="0.2">
      <c r="A40" s="16">
        <v>41730</v>
      </c>
      <c r="B40" s="17">
        <f>CHOOSE(CONTROL!$C$42, 4.1118, 4.1118) * CHOOSE(CONTROL!$C$21, $C$9, 100%, $E$9)</f>
        <v>4.1117999999999997</v>
      </c>
      <c r="C40" s="17">
        <f>CHOOSE(CONTROL!$C$42, 4.1163, 4.1163) * CHOOSE(CONTROL!$C$21, $C$9, 100%, $E$9)</f>
        <v>4.1162999999999998</v>
      </c>
      <c r="D40" s="17">
        <f>CHOOSE(CONTROL!$C$42, 4.3793, 4.3793) * CHOOSE(CONTROL!$C$21, $C$9, 100%, $E$9)</f>
        <v>4.3792999999999997</v>
      </c>
      <c r="E40" s="17">
        <f>CHOOSE(CONTROL!$C$42, 4.4111, 4.4111) * CHOOSE(CONTROL!$C$21, $C$9, 100%, $E$9)</f>
        <v>4.4111000000000002</v>
      </c>
      <c r="F40" s="17">
        <f>CHOOSE(CONTROL!$C$42, 4.1227, 4.1227)*CHOOSE(CONTROL!$C$21, $C$9, 100%, $E$9)</f>
        <v>4.1227</v>
      </c>
      <c r="G40" s="17">
        <f>CHOOSE(CONTROL!$C$42, 4.1389, 4.1389)*CHOOSE(CONTROL!$C$21, $C$9, 100%, $E$9)</f>
        <v>4.1388999999999996</v>
      </c>
      <c r="H40" s="17">
        <f>CHOOSE(CONTROL!$C$42, 4.4006, 4.4006) * CHOOSE(CONTROL!$C$21, $C$9, 100%, $E$9)</f>
        <v>4.4005999999999998</v>
      </c>
      <c r="I40" s="17">
        <f>CHOOSE(CONTROL!$C$42, 4.1498, 4.1498)* CHOOSE(CONTROL!$C$21, $C$9, 100%, $E$9)</f>
        <v>4.1497999999999999</v>
      </c>
      <c r="J40" s="17">
        <f>CHOOSE(CONTROL!$C$42, 4.1153, 4.1153)* CHOOSE(CONTROL!$C$21, $C$9, 100%, $E$9)</f>
        <v>4.1153000000000004</v>
      </c>
      <c r="K40" s="58"/>
      <c r="L40" s="17">
        <f>CHOOSE(CONTROL!$C$42, 4.9876, 4.9876) * CHOOSE(CONTROL!$C$21, $C$9, 100%, $E$9)</f>
        <v>4.9875999999999996</v>
      </c>
      <c r="M40" s="17">
        <f>CHOOSE(CONTROL!$C$42, 4.0853, 4.0853) * CHOOSE(CONTROL!$C$21, $C$9, 100%, $E$9)</f>
        <v>4.0853000000000002</v>
      </c>
      <c r="N40" s="17">
        <f>CHOOSE(CONTROL!$C$42, 4.1013, 4.1013) * CHOOSE(CONTROL!$C$21, $C$9, 100%, $E$9)</f>
        <v>4.1013000000000002</v>
      </c>
      <c r="O40" s="17">
        <f>CHOOSE(CONTROL!$C$42, 4.368, 4.368) * CHOOSE(CONTROL!$C$21, $C$9, 100%, $E$9)</f>
        <v>4.3680000000000003</v>
      </c>
      <c r="P40" s="17">
        <f>CHOOSE(CONTROL!$C$42, 4.1194, 4.1194) * CHOOSE(CONTROL!$C$21, $C$9, 100%, $E$9)</f>
        <v>4.1193999999999997</v>
      </c>
      <c r="Q40" s="17">
        <f>CHOOSE(CONTROL!$C$42, 4.9627, 4.9627) * CHOOSE(CONTROL!$C$21, $C$9, 100%, $E$9)</f>
        <v>4.9626999999999999</v>
      </c>
      <c r="R40" s="17">
        <f>CHOOSE(CONTROL!$C$42, 5.5621, 5.5621) * CHOOSE(CONTROL!$C$21, $C$9, 100%, $E$9)</f>
        <v>5.5621</v>
      </c>
      <c r="S40" s="17">
        <f>CHOOSE(CONTROL!$C$42, 3.977, 3.977) * CHOOSE(CONTROL!$C$21, $C$9, 100%, $E$9)</f>
        <v>3.9769999999999999</v>
      </c>
      <c r="T40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40" s="56">
        <f>(1000*CHOOSE(CONTROL!$C$42, 695, 695)*CHOOSE(CONTROL!$C$42, 0.5599, 0.5599)*CHOOSE(CONTROL!$C$42, 30, 30))/1000000</f>
        <v>11.673914999999997</v>
      </c>
      <c r="V40" s="56">
        <f>(1000*CHOOSE(CONTROL!$C$42, 580, 580)*CHOOSE(CONTROL!$C$42, 0.275, 0.275)*CHOOSE(CONTROL!$C$42, 30, 30))/1000000</f>
        <v>4.7850000000000001</v>
      </c>
      <c r="W40" s="56">
        <f>(1000*CHOOSE(CONTROL!$C$42, 0.0916, 0.0916)*CHOOSE(CONTROL!$C$42, 200, 200)*CHOOSE(CONTROL!$C$42, 30, 30))/1000000</f>
        <v>0.54959999999999998</v>
      </c>
      <c r="X40" s="56">
        <f>30*0.1790888*145000/1000000</f>
        <v>0.77903627999999991</v>
      </c>
      <c r="Y40" s="56"/>
      <c r="Z40" s="17">
        <f>CHOOSE(CONTROL!$C$42, 4.0876, 4.0876) * CHOOSE(CONTROL!$C$21, $C$9, 100%, $E$9)</f>
        <v>4.0876000000000001</v>
      </c>
      <c r="AA40" s="55">
        <f>(131500*30*(6/30))/1000000</f>
        <v>0.78900000000000003</v>
      </c>
      <c r="AB40" s="48">
        <f>(B40*141.293+C40*267.993+D40*115.016+E40*249.698+F40*40+G40*25+H40*0+I40*100+J40*300)/(141.293+267.993+115.016+249.698+0+40+25+100+300)</f>
        <v>4.2027369329297821</v>
      </c>
      <c r="AC40" s="45">
        <f t="shared" ref="AC40:AC46" si="3">(M40*240+N40*120+O40*235+P40*100)/(240+120+235+100)</f>
        <v>4.1885582733812949</v>
      </c>
    </row>
    <row r="41" spans="1:29" ht="15" x14ac:dyDescent="0.2">
      <c r="A41" s="16">
        <v>41760</v>
      </c>
      <c r="B41" s="17">
        <f>CHOOSE(CONTROL!$C$42, 4.1225, 4.1225) * CHOOSE(CONTROL!$C$21, $C$9, 100%, $E$9)</f>
        <v>4.1224999999999996</v>
      </c>
      <c r="C41" s="17">
        <f>CHOOSE(CONTROL!$C$42, 4.1304, 4.1304) * CHOOSE(CONTROL!$C$21, $C$9, 100%, $E$9)</f>
        <v>4.1303999999999998</v>
      </c>
      <c r="D41" s="17">
        <f>CHOOSE(CONTROL!$C$42, 4.3904, 4.3904) * CHOOSE(CONTROL!$C$21, $C$9, 100%, $E$9)</f>
        <v>4.3903999999999996</v>
      </c>
      <c r="E41" s="17">
        <f>CHOOSE(CONTROL!$C$42, 4.4216, 4.4216) * CHOOSE(CONTROL!$C$21, $C$9, 100%, $E$9)</f>
        <v>4.4215999999999998</v>
      </c>
      <c r="F41" s="17">
        <f>CHOOSE(CONTROL!$C$42, 4.1321, 4.1321)*CHOOSE(CONTROL!$C$21, $C$9, 100%, $E$9)</f>
        <v>4.1321000000000003</v>
      </c>
      <c r="G41" s="17">
        <f>CHOOSE(CONTROL!$C$42, 4.1486, 4.1486)*CHOOSE(CONTROL!$C$21, $C$9, 100%, $E$9)</f>
        <v>4.1486000000000001</v>
      </c>
      <c r="H41" s="17">
        <f>CHOOSE(CONTROL!$C$42, 4.4099, 4.4099) * CHOOSE(CONTROL!$C$21, $C$9, 100%, $E$9)</f>
        <v>4.4099000000000004</v>
      </c>
      <c r="I41" s="17">
        <f>CHOOSE(CONTROL!$C$42, 4.1591, 4.1591)* CHOOSE(CONTROL!$C$21, $C$9, 100%, $E$9)</f>
        <v>4.1590999999999996</v>
      </c>
      <c r="J41" s="17">
        <f>CHOOSE(CONTROL!$C$42, 4.1247, 4.1247)* CHOOSE(CONTROL!$C$21, $C$9, 100%, $E$9)</f>
        <v>4.1246999999999998</v>
      </c>
      <c r="K41" s="58"/>
      <c r="L41" s="17">
        <f>CHOOSE(CONTROL!$C$42, 4.9969, 4.9969) * CHOOSE(CONTROL!$C$21, $C$9, 100%, $E$9)</f>
        <v>4.9969000000000001</v>
      </c>
      <c r="M41" s="17">
        <f>CHOOSE(CONTROL!$C$42, 4.0946, 4.0946) * CHOOSE(CONTROL!$C$21, $C$9, 100%, $E$9)</f>
        <v>4.0945999999999998</v>
      </c>
      <c r="N41" s="17">
        <f>CHOOSE(CONTROL!$C$42, 4.111, 4.111) * CHOOSE(CONTROL!$C$21, $C$9, 100%, $E$9)</f>
        <v>4.1109999999999998</v>
      </c>
      <c r="O41" s="17">
        <f>CHOOSE(CONTROL!$C$42, 4.3772, 4.3772) * CHOOSE(CONTROL!$C$21, $C$9, 100%, $E$9)</f>
        <v>4.3772000000000002</v>
      </c>
      <c r="P41" s="17">
        <f>CHOOSE(CONTROL!$C$42, 4.1286, 4.1286) * CHOOSE(CONTROL!$C$21, $C$9, 100%, $E$9)</f>
        <v>4.1285999999999996</v>
      </c>
      <c r="Q41" s="17">
        <f>CHOOSE(CONTROL!$C$42, 4.9719, 4.9719) * CHOOSE(CONTROL!$C$21, $C$9, 100%, $E$9)</f>
        <v>4.9718999999999998</v>
      </c>
      <c r="R41" s="17">
        <f>CHOOSE(CONTROL!$C$42, 5.5714, 5.5714) * CHOOSE(CONTROL!$C$21, $C$9, 100%, $E$9)</f>
        <v>5.5713999999999997</v>
      </c>
      <c r="S41" s="17">
        <f>CHOOSE(CONTROL!$C$42, 3.986, 3.986) * CHOOSE(CONTROL!$C$21, $C$9, 100%, $E$9)</f>
        <v>3.9860000000000002</v>
      </c>
      <c r="T41" s="57">
        <f>((((430000*CHOOSE(CONTROL!$C$42, 0.4694, 0.4694)+(874000-430000)*CHOOSE(CONTROL!$C$42, 0.7185, 0.7185)+400000*CHOOSE(CONTROL!$C$42, 1.14, 1.14)+50000*0.98)*CHOOSE(CONTROL!$C$42, 31, 31))/1000000))+CHOOSE(CONTROL!$C$42, 0.188, 0.188)+CHOOSE(CONTROL!$C$42, 0.5154, 0.5154)</f>
        <v>32.504936000000001</v>
      </c>
      <c r="U41" s="56">
        <f>(1000*CHOOSE(CONTROL!$C$42, 695, 695)*CHOOSE(CONTROL!$C$42, 0.5599, 0.5599)*CHOOSE(CONTROL!$C$42, 31, 31))/1000000</f>
        <v>12.063045499999998</v>
      </c>
      <c r="V41" s="56">
        <f>(1000*CHOOSE(CONTROL!$C$42, 580, 580)*CHOOSE(CONTROL!$C$42, 0.275, 0.275)*CHOOSE(CONTROL!$C$42, 31, 31))/1000000</f>
        <v>4.9444999999999997</v>
      </c>
      <c r="W41" s="56">
        <f>(1000*CHOOSE(CONTROL!$C$42, 0.0916, 0.0916)*CHOOSE(CONTROL!$C$42, 200, 200)*CHOOSE(CONTROL!$C$42, 31, 31))/1000000</f>
        <v>0.56791999999999998</v>
      </c>
      <c r="X41" s="56">
        <f>31*0.1790888*145000/1000000</f>
        <v>0.80500415599999997</v>
      </c>
      <c r="Y41" s="56"/>
      <c r="Z41" s="17">
        <f>CHOOSE(CONTROL!$C$42, 4.0968, 4.0968) * CHOOSE(CONTROL!$C$21, $C$9, 100%, $E$9)</f>
        <v>4.0968</v>
      </c>
      <c r="AA41" s="55">
        <f>(131500*31*(6/31))/1000000</f>
        <v>0.78900000000000003</v>
      </c>
      <c r="AB41" s="48">
        <f>(B41*194.205+C41*267.466+D41*133.845+E41*213.484+F41*40+G41*25+H41*50+I41*100+J41*300)/(194.205+267.466+133.845+213.484+50+40+25+100+300)</f>
        <v>4.2143048499244715</v>
      </c>
      <c r="AC41" s="45">
        <f t="shared" si="3"/>
        <v>4.1978791366906476</v>
      </c>
    </row>
    <row r="42" spans="1:29" ht="15" x14ac:dyDescent="0.2">
      <c r="A42" s="16">
        <v>41791</v>
      </c>
      <c r="B42" s="17">
        <f>CHOOSE(CONTROL!$C$42, 4.1451, 4.1451) * CHOOSE(CONTROL!$C$21, $C$9, 100%, $E$9)</f>
        <v>4.1451000000000002</v>
      </c>
      <c r="C42" s="17">
        <f>CHOOSE(CONTROL!$C$42, 4.1531, 4.1531) * CHOOSE(CONTROL!$C$21, $C$9, 100%, $E$9)</f>
        <v>4.1531000000000002</v>
      </c>
      <c r="D42" s="17">
        <f>CHOOSE(CONTROL!$C$42, 4.4131, 4.4131) * CHOOSE(CONTROL!$C$21, $C$9, 100%, $E$9)</f>
        <v>4.4131</v>
      </c>
      <c r="E42" s="17">
        <f>CHOOSE(CONTROL!$C$42, 4.4442, 4.4442) * CHOOSE(CONTROL!$C$21, $C$9, 100%, $E$9)</f>
        <v>4.4442000000000004</v>
      </c>
      <c r="F42" s="17">
        <f>CHOOSE(CONTROL!$C$42, 4.1551, 4.1551)*CHOOSE(CONTROL!$C$21, $C$9, 100%, $E$9)</f>
        <v>4.1551</v>
      </c>
      <c r="G42" s="17">
        <f>CHOOSE(CONTROL!$C$42, 4.1717, 4.1717)*CHOOSE(CONTROL!$C$21, $C$9, 100%, $E$9)</f>
        <v>4.1717000000000004</v>
      </c>
      <c r="H42" s="17">
        <f>CHOOSE(CONTROL!$C$42, 4.4326, 4.4326) * CHOOSE(CONTROL!$C$21, $C$9, 100%, $E$9)</f>
        <v>4.4325999999999999</v>
      </c>
      <c r="I42" s="17">
        <f>CHOOSE(CONTROL!$C$42, 4.1819, 4.1819)* CHOOSE(CONTROL!$C$21, $C$9, 100%, $E$9)</f>
        <v>4.1818999999999997</v>
      </c>
      <c r="J42" s="17">
        <f>CHOOSE(CONTROL!$C$42, 4.1477, 4.1477)* CHOOSE(CONTROL!$C$21, $C$9, 100%, $E$9)</f>
        <v>4.1477000000000004</v>
      </c>
      <c r="K42" s="58"/>
      <c r="L42" s="17">
        <f>CHOOSE(CONTROL!$C$42, 5.0196, 5.0196) * CHOOSE(CONTROL!$C$21, $C$9, 100%, $E$9)</f>
        <v>5.0195999999999996</v>
      </c>
      <c r="M42" s="17">
        <f>CHOOSE(CONTROL!$C$42, 4.1174, 4.1174) * CHOOSE(CONTROL!$C$21, $C$9, 100%, $E$9)</f>
        <v>4.1173999999999999</v>
      </c>
      <c r="N42" s="17">
        <f>CHOOSE(CONTROL!$C$42, 4.1338, 4.1338) * CHOOSE(CONTROL!$C$21, $C$9, 100%, $E$9)</f>
        <v>4.1337999999999999</v>
      </c>
      <c r="O42" s="17">
        <f>CHOOSE(CONTROL!$C$42, 4.3997, 4.3997) * CHOOSE(CONTROL!$C$21, $C$9, 100%, $E$9)</f>
        <v>4.3997000000000002</v>
      </c>
      <c r="P42" s="17">
        <f>CHOOSE(CONTROL!$C$42, 4.1512, 4.1512) * CHOOSE(CONTROL!$C$21, $C$9, 100%, $E$9)</f>
        <v>4.1512000000000002</v>
      </c>
      <c r="Q42" s="17">
        <f>CHOOSE(CONTROL!$C$42, 4.9944, 4.9944) * CHOOSE(CONTROL!$C$21, $C$9, 100%, $E$9)</f>
        <v>4.9943999999999997</v>
      </c>
      <c r="R42" s="17">
        <f>CHOOSE(CONTROL!$C$42, 5.5939, 5.5939) * CHOOSE(CONTROL!$C$21, $C$9, 100%, $E$9)</f>
        <v>5.5938999999999997</v>
      </c>
      <c r="S42" s="17">
        <f>CHOOSE(CONTROL!$C$42, 4.008, 4.008) * CHOOSE(CONTROL!$C$21, $C$9, 100%, $E$9)</f>
        <v>4.008</v>
      </c>
      <c r="T42" s="57">
        <f>((((430000*CHOOSE(CONTROL!$C$42, 0.4694, 0.4694)+(874000-430000)*CHOOSE(CONTROL!$C$42, 0.7185, 0.7185)+400000*CHOOSE(CONTROL!$C$42, 1.14, 1.14)+50000*0.98)*CHOOSE(CONTROL!$C$42, 30, 30))/1000000))+CHOOSE(CONTROL!$C$42, 0.1616, 0.1616)+CHOOSE(CONTROL!$C$42, 0.5074, 0.5074)</f>
        <v>31.444680000000002</v>
      </c>
      <c r="U42" s="56">
        <f>(1000*CHOOSE(CONTROL!$C$42, 695, 695)*CHOOSE(CONTROL!$C$42, 0.5599, 0.5599)*CHOOSE(CONTROL!$C$42, 30, 30))/1000000</f>
        <v>11.673914999999997</v>
      </c>
      <c r="V42" s="56">
        <f>(1000*CHOOSE(CONTROL!$C$42, 580, 580)*CHOOSE(CONTROL!$C$42, 0.275, 0.275)*CHOOSE(CONTROL!$C$42, 30, 30))/1000000</f>
        <v>4.7850000000000001</v>
      </c>
      <c r="W42" s="56">
        <f>(1000*CHOOSE(CONTROL!$C$42, 0.0916, 0.0916)*CHOOSE(CONTROL!$C$42, 200, 200)*CHOOSE(CONTROL!$C$42, 30, 30))/1000000</f>
        <v>0.54959999999999998</v>
      </c>
      <c r="X42" s="56">
        <f>30*0.1790888*145000/1000000</f>
        <v>0.77903627999999991</v>
      </c>
      <c r="Y42" s="56"/>
      <c r="Z42" s="17">
        <f>CHOOSE(CONTROL!$C$42, 4.1193, 4.1193) * CHOOSE(CONTROL!$C$21, $C$9, 100%, $E$9)</f>
        <v>4.1193</v>
      </c>
      <c r="AA42" s="55">
        <f>(131500*30*(6/30))/1000000</f>
        <v>0.78900000000000003</v>
      </c>
      <c r="AB42" s="48">
        <f>(B42*194.205+C42*267.466+D42*133.845+E42*213.484+F42*40+G42*25+H42*50+I42*100+J42*300)/(194.205+267.466+133.845+213.484+50+40+25+100+300)</f>
        <v>4.2370662027190331</v>
      </c>
      <c r="AC42" s="45">
        <f t="shared" si="3"/>
        <v>4.2205489208633091</v>
      </c>
    </row>
    <row r="43" spans="1:29" ht="15" x14ac:dyDescent="0.2">
      <c r="A43" s="16">
        <v>41821</v>
      </c>
      <c r="B43" s="17">
        <f>CHOOSE(CONTROL!$C$42, 4.1781, 4.1781) * CHOOSE(CONTROL!$C$21, $C$9, 100%, $E$9)</f>
        <v>4.1780999999999997</v>
      </c>
      <c r="C43" s="17">
        <f>CHOOSE(CONTROL!$C$42, 4.1861, 4.1861) * CHOOSE(CONTROL!$C$21, $C$9, 100%, $E$9)</f>
        <v>4.1860999999999997</v>
      </c>
      <c r="D43" s="17">
        <f>CHOOSE(CONTROL!$C$42, 4.4461, 4.4461) * CHOOSE(CONTROL!$C$21, $C$9, 100%, $E$9)</f>
        <v>4.4461000000000004</v>
      </c>
      <c r="E43" s="17">
        <f>CHOOSE(CONTROL!$C$42, 4.4772, 4.4772) * CHOOSE(CONTROL!$C$21, $C$9, 100%, $E$9)</f>
        <v>4.4771999999999998</v>
      </c>
      <c r="F43" s="17">
        <f>CHOOSE(CONTROL!$C$42, 4.1885, 4.1885)*CHOOSE(CONTROL!$C$21, $C$9, 100%, $E$9)</f>
        <v>4.1885000000000003</v>
      </c>
      <c r="G43" s="17">
        <f>CHOOSE(CONTROL!$C$42, 4.2052, 4.2052)*CHOOSE(CONTROL!$C$21, $C$9, 100%, $E$9)</f>
        <v>4.2051999999999996</v>
      </c>
      <c r="H43" s="17">
        <f>CHOOSE(CONTROL!$C$42, 4.4656, 4.4656) * CHOOSE(CONTROL!$C$21, $C$9, 100%, $E$9)</f>
        <v>4.4656000000000002</v>
      </c>
      <c r="I43" s="17">
        <f>CHOOSE(CONTROL!$C$42, 4.215, 4.215)* CHOOSE(CONTROL!$C$21, $C$9, 100%, $E$9)</f>
        <v>4.2149999999999999</v>
      </c>
      <c r="J43" s="17">
        <f>CHOOSE(CONTROL!$C$42, 4.1811, 4.1811)* CHOOSE(CONTROL!$C$21, $C$9, 100%, $E$9)</f>
        <v>4.1810999999999998</v>
      </c>
      <c r="K43" s="58"/>
      <c r="L43" s="17">
        <f>CHOOSE(CONTROL!$C$42, 5.0526, 5.0526) * CHOOSE(CONTROL!$C$21, $C$9, 100%, $E$9)</f>
        <v>5.0526</v>
      </c>
      <c r="M43" s="17">
        <f>CHOOSE(CONTROL!$C$42, 4.1505, 4.1505) * CHOOSE(CONTROL!$C$21, $C$9, 100%, $E$9)</f>
        <v>4.1505000000000001</v>
      </c>
      <c r="N43" s="17">
        <f>CHOOSE(CONTROL!$C$42, 4.167, 4.167) * CHOOSE(CONTROL!$C$21, $C$9, 100%, $E$9)</f>
        <v>4.1669999999999998</v>
      </c>
      <c r="O43" s="17">
        <f>CHOOSE(CONTROL!$C$42, 4.4324, 4.4324) * CHOOSE(CONTROL!$C$21, $C$9, 100%, $E$9)</f>
        <v>4.4324000000000003</v>
      </c>
      <c r="P43" s="17">
        <f>CHOOSE(CONTROL!$C$42, 4.184, 4.184) * CHOOSE(CONTROL!$C$21, $C$9, 100%, $E$9)</f>
        <v>4.1840000000000002</v>
      </c>
      <c r="Q43" s="17">
        <f>CHOOSE(CONTROL!$C$42, 5.0271, 5.0271) * CHOOSE(CONTROL!$C$21, $C$9, 100%, $E$9)</f>
        <v>5.0270999999999999</v>
      </c>
      <c r="R43" s="17">
        <f>CHOOSE(CONTROL!$C$42, 5.6267, 5.6267) * CHOOSE(CONTROL!$C$21, $C$9, 100%, $E$9)</f>
        <v>5.6266999999999996</v>
      </c>
      <c r="S43" s="17">
        <f>CHOOSE(CONTROL!$C$42, 4.04, 4.04) * CHOOSE(CONTROL!$C$21, $C$9, 100%, $E$9)</f>
        <v>4.04</v>
      </c>
      <c r="T43" s="57">
        <f>((((430000*CHOOSE(CONTROL!$C$42, 0.4694, 0.4694)+(874000-430000)*CHOOSE(CONTROL!$C$42, 0.7185, 0.7185)+400000*CHOOSE(CONTROL!$C$42, 1.14, 1.14)+50000*0.98)*CHOOSE(CONTROL!$C$42, 31, 31))/1000000))+CHOOSE(CONTROL!$C$42, 0.1555, 0.1555)+CHOOSE(CONTROL!$C$42, 0.5217, 0.5217)</f>
        <v>32.478735999999998</v>
      </c>
      <c r="U43" s="56">
        <f>(1000*CHOOSE(CONTROL!$C$42, 695, 695)*CHOOSE(CONTROL!$C$42, 0.5599, 0.5599)*CHOOSE(CONTROL!$C$42, 31, 31))/1000000</f>
        <v>12.063045499999998</v>
      </c>
      <c r="V43" s="56">
        <f>(1000*CHOOSE(CONTROL!$C$42, 580, 580)*CHOOSE(CONTROL!$C$42, 0.275, 0.275)*CHOOSE(CONTROL!$C$42, 31, 31))/1000000</f>
        <v>4.9444999999999997</v>
      </c>
      <c r="W43" s="56">
        <f>(1000*CHOOSE(CONTROL!$C$42, 0.0916, 0.0916)*CHOOSE(CONTROL!$C$42, 200, 200)*CHOOSE(CONTROL!$C$42, 31, 31))/1000000</f>
        <v>0.56791999999999998</v>
      </c>
      <c r="X43" s="56">
        <f>31*0.1790888*145000/1000000</f>
        <v>0.80500415599999997</v>
      </c>
      <c r="Y43" s="56"/>
      <c r="Z43" s="17">
        <f>CHOOSE(CONTROL!$C$42, 4.1521, 4.1521) * CHOOSE(CONTROL!$C$21, $C$9, 100%, $E$9)</f>
        <v>4.1520999999999999</v>
      </c>
      <c r="AA43" s="55">
        <f>(131500*31*(6/31))/1000000</f>
        <v>0.78900000000000003</v>
      </c>
      <c r="AB43" s="48">
        <f>(B43*194.205+C43*267.466+D43*133.845+E43*213.484+F43*40+G43*25+H43*50+I43*100+J43*300)/(194.205+267.466+133.845+213.484+50+40+25+100+300)</f>
        <v>4.2701859157099697</v>
      </c>
      <c r="AC43" s="45">
        <f t="shared" si="3"/>
        <v>4.2534877697841722</v>
      </c>
    </row>
    <row r="44" spans="1:29" ht="15" x14ac:dyDescent="0.2">
      <c r="A44" s="16">
        <v>41852</v>
      </c>
      <c r="B44" s="17">
        <f>CHOOSE(CONTROL!$C$42, 4.1967, 4.1967) * CHOOSE(CONTROL!$C$21, $C$9, 100%, $E$9)</f>
        <v>4.1966999999999999</v>
      </c>
      <c r="C44" s="17">
        <f>CHOOSE(CONTROL!$C$42, 4.2047, 4.2047) * CHOOSE(CONTROL!$C$21, $C$9, 100%, $E$9)</f>
        <v>4.2046999999999999</v>
      </c>
      <c r="D44" s="17">
        <f>CHOOSE(CONTROL!$C$42, 4.4646, 4.4646) * CHOOSE(CONTROL!$C$21, $C$9, 100%, $E$9)</f>
        <v>4.4645999999999999</v>
      </c>
      <c r="E44" s="17">
        <f>CHOOSE(CONTROL!$C$42, 4.4958, 4.4958) * CHOOSE(CONTROL!$C$21, $C$9, 100%, $E$9)</f>
        <v>4.4958</v>
      </c>
      <c r="F44" s="17">
        <f>CHOOSE(CONTROL!$C$42, 4.2073, 4.2073)*CHOOSE(CONTROL!$C$21, $C$9, 100%, $E$9)</f>
        <v>4.2073</v>
      </c>
      <c r="G44" s="17">
        <f>CHOOSE(CONTROL!$C$42, 4.2241, 4.2241)*CHOOSE(CONTROL!$C$21, $C$9, 100%, $E$9)</f>
        <v>4.2241</v>
      </c>
      <c r="H44" s="17">
        <f>CHOOSE(CONTROL!$C$42, 4.4841, 4.4841) * CHOOSE(CONTROL!$C$21, $C$9, 100%, $E$9)</f>
        <v>4.4840999999999998</v>
      </c>
      <c r="I44" s="17">
        <f>CHOOSE(CONTROL!$C$42, 4.2336, 4.2336)* CHOOSE(CONTROL!$C$21, $C$9, 100%, $E$9)</f>
        <v>4.2336</v>
      </c>
      <c r="J44" s="17">
        <f>CHOOSE(CONTROL!$C$42, 4.1999, 4.1999)* CHOOSE(CONTROL!$C$21, $C$9, 100%, $E$9)</f>
        <v>4.1999000000000004</v>
      </c>
      <c r="K44" s="58"/>
      <c r="L44" s="17">
        <f>CHOOSE(CONTROL!$C$42, 5.0711, 5.0711) * CHOOSE(CONTROL!$C$21, $C$9, 100%, $E$9)</f>
        <v>5.0711000000000004</v>
      </c>
      <c r="M44" s="17">
        <f>CHOOSE(CONTROL!$C$42, 4.1692, 4.1692) * CHOOSE(CONTROL!$C$21, $C$9, 100%, $E$9)</f>
        <v>4.1692</v>
      </c>
      <c r="N44" s="17">
        <f>CHOOSE(CONTROL!$C$42, 4.1857, 4.1857) * CHOOSE(CONTROL!$C$21, $C$9, 100%, $E$9)</f>
        <v>4.1856999999999998</v>
      </c>
      <c r="O44" s="17">
        <f>CHOOSE(CONTROL!$C$42, 4.4508, 4.4508) * CHOOSE(CONTROL!$C$21, $C$9, 100%, $E$9)</f>
        <v>4.4508000000000001</v>
      </c>
      <c r="P44" s="17">
        <f>CHOOSE(CONTROL!$C$42, 4.2024, 4.2024) * CHOOSE(CONTROL!$C$21, $C$9, 100%, $E$9)</f>
        <v>4.2023999999999999</v>
      </c>
      <c r="Q44" s="17">
        <f>CHOOSE(CONTROL!$C$42, 5.0455, 5.0455) * CHOOSE(CONTROL!$C$21, $C$9, 100%, $E$9)</f>
        <v>5.0454999999999997</v>
      </c>
      <c r="R44" s="17">
        <f>CHOOSE(CONTROL!$C$42, 5.6451, 5.6451) * CHOOSE(CONTROL!$C$21, $C$9, 100%, $E$9)</f>
        <v>5.6451000000000002</v>
      </c>
      <c r="S44" s="17">
        <f>CHOOSE(CONTROL!$C$42, 4.058, 4.058) * CHOOSE(CONTROL!$C$21, $C$9, 100%, $E$9)</f>
        <v>4.0579999999999998</v>
      </c>
      <c r="T44" s="57">
        <f>((((430000*CHOOSE(CONTROL!$C$42, 0.4694, 0.4694)+(874000-430000)*CHOOSE(CONTROL!$C$42, 0.7185, 0.7185)+400000*CHOOSE(CONTROL!$C$42, 1.14, 1.14)+50000*0.98)*CHOOSE(CONTROL!$C$42, 31, 31))/1000000))+CHOOSE(CONTROL!$C$42, 0.1911, 0.1911)+CHOOSE(CONTROL!$C$42, 0.5131, 0.5131)</f>
        <v>32.505735999999999</v>
      </c>
      <c r="U44" s="56">
        <f>(1000*CHOOSE(CONTROL!$C$42, 695, 695)*CHOOSE(CONTROL!$C$42, 0.5599, 0.5599)*CHOOSE(CONTROL!$C$42, 31, 31))/1000000</f>
        <v>12.063045499999998</v>
      </c>
      <c r="V44" s="56">
        <f>(1000*CHOOSE(CONTROL!$C$42, 580, 580)*CHOOSE(CONTROL!$C$42, 0.275, 0.275)*CHOOSE(CONTROL!$C$42, 31, 31))/1000000</f>
        <v>4.9444999999999997</v>
      </c>
      <c r="W44" s="56">
        <f>(1000*CHOOSE(CONTROL!$C$42, 0.0916, 0.0916)*CHOOSE(CONTROL!$C$42, 200, 200)*CHOOSE(CONTROL!$C$42, 31, 31))/1000000</f>
        <v>0.56791999999999998</v>
      </c>
      <c r="X44" s="56">
        <f>31*0.1790888*145000/1000000</f>
        <v>0.80500415599999997</v>
      </c>
      <c r="Y44" s="56"/>
      <c r="Z44" s="17">
        <f>CHOOSE(CONTROL!$C$42, 4.1705, 4.1705) * CHOOSE(CONTROL!$C$21, $C$9, 100%, $E$9)</f>
        <v>4.1704999999999997</v>
      </c>
      <c r="AA44" s="55">
        <f>(131500*31*(6/31))/1000000</f>
        <v>0.78900000000000003</v>
      </c>
      <c r="AB44" s="48">
        <f>(B44*194.205+C44*267.466+D44*133.845+E44*213.484+F44*40+G44*25+H44*50+I44*100+J44*300)/(194.205+267.466+133.845+213.484+50+40+25+100+300)</f>
        <v>4.2888290543051362</v>
      </c>
      <c r="AC44" s="45">
        <f t="shared" si="3"/>
        <v>4.2720431654676254</v>
      </c>
    </row>
    <row r="45" spans="1:29" ht="15" x14ac:dyDescent="0.2">
      <c r="A45" s="16">
        <v>41883</v>
      </c>
      <c r="B45" s="17">
        <f>CHOOSE(CONTROL!$C$42, 4.1975, 4.1975) * CHOOSE(CONTROL!$C$21, $C$9, 100%, $E$9)</f>
        <v>4.1974999999999998</v>
      </c>
      <c r="C45" s="17">
        <f>CHOOSE(CONTROL!$C$42, 4.2055, 4.2055) * CHOOSE(CONTROL!$C$21, $C$9, 100%, $E$9)</f>
        <v>4.2054999999999998</v>
      </c>
      <c r="D45" s="17">
        <f>CHOOSE(CONTROL!$C$42, 4.4654, 4.4654) * CHOOSE(CONTROL!$C$21, $C$9, 100%, $E$9)</f>
        <v>4.4653999999999998</v>
      </c>
      <c r="E45" s="17">
        <f>CHOOSE(CONTROL!$C$42, 4.4966, 4.4966) * CHOOSE(CONTROL!$C$21, $C$9, 100%, $E$9)</f>
        <v>4.4965999999999999</v>
      </c>
      <c r="F45" s="17">
        <f>CHOOSE(CONTROL!$C$42, 4.2081, 4.2081)*CHOOSE(CONTROL!$C$21, $C$9, 100%, $E$9)</f>
        <v>4.2081</v>
      </c>
      <c r="G45" s="17">
        <f>CHOOSE(CONTROL!$C$42, 4.2248, 4.2248)*CHOOSE(CONTROL!$C$21, $C$9, 100%, $E$9)</f>
        <v>4.2248000000000001</v>
      </c>
      <c r="H45" s="17">
        <f>CHOOSE(CONTROL!$C$42, 4.4849, 4.4849) * CHOOSE(CONTROL!$C$21, $C$9, 100%, $E$9)</f>
        <v>4.4848999999999997</v>
      </c>
      <c r="I45" s="17">
        <f>CHOOSE(CONTROL!$C$42, 4.2343, 4.2343)* CHOOSE(CONTROL!$C$21, $C$9, 100%, $E$9)</f>
        <v>4.2343000000000002</v>
      </c>
      <c r="J45" s="17">
        <f>CHOOSE(CONTROL!$C$42, 4.2007, 4.2007)* CHOOSE(CONTROL!$C$21, $C$9, 100%, $E$9)</f>
        <v>4.2007000000000003</v>
      </c>
      <c r="K45" s="58"/>
      <c r="L45" s="17">
        <f>CHOOSE(CONTROL!$C$42, 5.0719, 5.0719) * CHOOSE(CONTROL!$C$21, $C$9, 100%, $E$9)</f>
        <v>5.0719000000000003</v>
      </c>
      <c r="M45" s="17">
        <f>CHOOSE(CONTROL!$C$42, 4.1699, 4.1699) * CHOOSE(CONTROL!$C$21, $C$9, 100%, $E$9)</f>
        <v>4.1699000000000002</v>
      </c>
      <c r="N45" s="17">
        <f>CHOOSE(CONTROL!$C$42, 4.1865, 4.1865) * CHOOSE(CONTROL!$C$21, $C$9, 100%, $E$9)</f>
        <v>4.1864999999999997</v>
      </c>
      <c r="O45" s="17">
        <f>CHOOSE(CONTROL!$C$42, 4.4516, 4.4516) * CHOOSE(CONTROL!$C$21, $C$9, 100%, $E$9)</f>
        <v>4.4516</v>
      </c>
      <c r="P45" s="17">
        <f>CHOOSE(CONTROL!$C$42, 4.2032, 4.2032) * CHOOSE(CONTROL!$C$21, $C$9, 100%, $E$9)</f>
        <v>4.2031999999999998</v>
      </c>
      <c r="Q45" s="17">
        <f>CHOOSE(CONTROL!$C$42, 5.0463, 5.0463) * CHOOSE(CONTROL!$C$21, $C$9, 100%, $E$9)</f>
        <v>5.0462999999999996</v>
      </c>
      <c r="R45" s="17">
        <f>CHOOSE(CONTROL!$C$42, 5.6459, 5.6459) * CHOOSE(CONTROL!$C$21, $C$9, 100%, $E$9)</f>
        <v>5.6459000000000001</v>
      </c>
      <c r="S45" s="17">
        <f>CHOOSE(CONTROL!$C$42, 4.0587, 4.0587) * CHOOSE(CONTROL!$C$21, $C$9, 100%, $E$9)</f>
        <v>4.0587</v>
      </c>
      <c r="T45" s="57">
        <f>((((430000*CHOOSE(CONTROL!$C$42, 0.4694, 0.4694)+(874000-430000)*CHOOSE(CONTROL!$C$42, 0.7185, 0.7185)+400000*CHOOSE(CONTROL!$C$42, 1.14, 1.14)+50000*0.98)*CHOOSE(CONTROL!$C$42, 30, 30))/1000000))+CHOOSE(CONTROL!$C$42, 0.1717, 0.1717)+CHOOSE(CONTROL!$C$42, 0.4923, 0.4923)</f>
        <v>31.439680000000003</v>
      </c>
      <c r="U45" s="56">
        <f>(1000*CHOOSE(CONTROL!$C$42, 695, 695)*CHOOSE(CONTROL!$C$42, 0.5599, 0.5599)*CHOOSE(CONTROL!$C$42, 30, 30))/1000000</f>
        <v>11.673914999999997</v>
      </c>
      <c r="V45" s="56">
        <f>(1000*CHOOSE(CONTROL!$C$42, 580, 580)*CHOOSE(CONTROL!$C$42, 0.275, 0.275)*CHOOSE(CONTROL!$C$42, 30, 30))/1000000</f>
        <v>4.7850000000000001</v>
      </c>
      <c r="W45" s="56">
        <f>(1000*CHOOSE(CONTROL!$C$42, 0.0916, 0.0916)*CHOOSE(CONTROL!$C$42, 200, 200)*CHOOSE(CONTROL!$C$42, 30, 30))/1000000</f>
        <v>0.54959999999999998</v>
      </c>
      <c r="X45" s="56">
        <f>30*0.1790888*145000/1000000</f>
        <v>0.77903627999999991</v>
      </c>
      <c r="Y45" s="56"/>
      <c r="Z45" s="17">
        <f>CHOOSE(CONTROL!$C$42, 4.1712, 4.1712) * CHOOSE(CONTROL!$C$21, $C$9, 100%, $E$9)</f>
        <v>4.1711999999999998</v>
      </c>
      <c r="AA45" s="55">
        <f>(131500*30*(6/30))/1000000</f>
        <v>0.78900000000000003</v>
      </c>
      <c r="AB45" s="48">
        <f>(B45*194.205+C45*267.466+D45*133.845+E45*213.484+F45*40+G45*25+H45*50+I45*100+J45*300)/(194.205+267.466+133.845+213.484+50+40+25+100+300)</f>
        <v>4.2896196132175231</v>
      </c>
      <c r="AC45" s="45">
        <f t="shared" si="3"/>
        <v>4.2728086330935255</v>
      </c>
    </row>
    <row r="46" spans="1:29" ht="15" x14ac:dyDescent="0.2">
      <c r="A46" s="16">
        <v>41913</v>
      </c>
      <c r="B46" s="17">
        <f>CHOOSE(CONTROL!$C$42, 4.2329, 4.2329) * CHOOSE(CONTROL!$C$21, $C$9, 100%, $E$9)</f>
        <v>4.2328999999999999</v>
      </c>
      <c r="C46" s="17">
        <f>CHOOSE(CONTROL!$C$42, 4.2382, 4.2382) * CHOOSE(CONTROL!$C$21, $C$9, 100%, $E$9)</f>
        <v>4.2382</v>
      </c>
      <c r="D46" s="17">
        <f>CHOOSE(CONTROL!$C$42, 4.503, 4.503) * CHOOSE(CONTROL!$C$21, $C$9, 100%, $E$9)</f>
        <v>4.5030000000000001</v>
      </c>
      <c r="E46" s="17">
        <f>CHOOSE(CONTROL!$C$42, 4.5319, 4.5319) * CHOOSE(CONTROL!$C$21, $C$9, 100%, $E$9)</f>
        <v>4.5319000000000003</v>
      </c>
      <c r="F46" s="17">
        <f>CHOOSE(CONTROL!$C$42, 4.2457, 4.2457)*CHOOSE(CONTROL!$C$21, $C$9, 100%, $E$9)</f>
        <v>4.2457000000000003</v>
      </c>
      <c r="G46" s="17">
        <f>CHOOSE(CONTROL!$C$42, 4.2623, 4.2623)*CHOOSE(CONTROL!$C$21, $C$9, 100%, $E$9)</f>
        <v>4.2622999999999998</v>
      </c>
      <c r="H46" s="17">
        <f>CHOOSE(CONTROL!$C$42, 4.522, 4.522) * CHOOSE(CONTROL!$C$21, $C$9, 100%, $E$9)</f>
        <v>4.5220000000000002</v>
      </c>
      <c r="I46" s="17">
        <f>CHOOSE(CONTROL!$C$42, 4.2716, 4.2716)* CHOOSE(CONTROL!$C$21, $C$9, 100%, $E$9)</f>
        <v>4.2716000000000003</v>
      </c>
      <c r="J46" s="17">
        <f>CHOOSE(CONTROL!$C$42, 4.2383, 4.2383)* CHOOSE(CONTROL!$C$21, $C$9, 100%, $E$9)</f>
        <v>4.2382999999999997</v>
      </c>
      <c r="K46" s="58"/>
      <c r="L46" s="17">
        <f>CHOOSE(CONTROL!$C$42, 5.109, 5.109) * CHOOSE(CONTROL!$C$21, $C$9, 100%, $E$9)</f>
        <v>5.109</v>
      </c>
      <c r="M46" s="17">
        <f>CHOOSE(CONTROL!$C$42, 4.2072, 4.2072) * CHOOSE(CONTROL!$C$21, $C$9, 100%, $E$9)</f>
        <v>4.2072000000000003</v>
      </c>
      <c r="N46" s="17">
        <f>CHOOSE(CONTROL!$C$42, 4.2236, 4.2236) * CHOOSE(CONTROL!$C$21, $C$9, 100%, $E$9)</f>
        <v>4.2236000000000002</v>
      </c>
      <c r="O46" s="17">
        <f>CHOOSE(CONTROL!$C$42, 4.4883, 4.4883) * CHOOSE(CONTROL!$C$21, $C$9, 100%, $E$9)</f>
        <v>4.4882999999999997</v>
      </c>
      <c r="P46" s="17">
        <f>CHOOSE(CONTROL!$C$42, 4.2401, 4.2401) * CHOOSE(CONTROL!$C$21, $C$9, 100%, $E$9)</f>
        <v>4.2401</v>
      </c>
      <c r="Q46" s="17">
        <f>CHOOSE(CONTROL!$C$42, 5.083, 5.083) * CHOOSE(CONTROL!$C$21, $C$9, 100%, $E$9)</f>
        <v>5.0830000000000002</v>
      </c>
      <c r="R46" s="17">
        <f>CHOOSE(CONTROL!$C$42, 5.6828, 5.6828) * CHOOSE(CONTROL!$C$21, $C$9, 100%, $E$9)</f>
        <v>5.6828000000000003</v>
      </c>
      <c r="S46" s="17">
        <f>CHOOSE(CONTROL!$C$42, 4.0947, 4.0947) * CHOOSE(CONTROL!$C$21, $C$9, 100%, $E$9)</f>
        <v>4.0946999999999996</v>
      </c>
      <c r="T46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46" s="56">
        <f>(1000*CHOOSE(CONTROL!$C$42, 695, 695)*CHOOSE(CONTROL!$C$42, 0.5599, 0.5599)*CHOOSE(CONTROL!$C$42, 31, 31))/1000000</f>
        <v>12.063045499999998</v>
      </c>
      <c r="V46" s="56">
        <f>(1000*CHOOSE(CONTROL!$C$42, 580, 580)*CHOOSE(CONTROL!$C$42, 0.275, 0.275)*CHOOSE(CONTROL!$C$42, 31, 31))/1000000</f>
        <v>4.9444999999999997</v>
      </c>
      <c r="W46" s="56">
        <f>(1000*CHOOSE(CONTROL!$C$42, 0.0916, 0.0916)*CHOOSE(CONTROL!$C$42, 200, 200)*CHOOSE(CONTROL!$C$42, 31, 31))/1000000</f>
        <v>0.56791999999999998</v>
      </c>
      <c r="X46" s="56">
        <f>31*0.1790888*145000/1000000</f>
        <v>0.80500415599999997</v>
      </c>
      <c r="Y46" s="56"/>
      <c r="Z46" s="17">
        <f>CHOOSE(CONTROL!$C$42, 4.2081, 4.2081) * CHOOSE(CONTROL!$C$21, $C$9, 100%, $E$9)</f>
        <v>4.2081</v>
      </c>
      <c r="AA46" s="55">
        <f>(131500*31*(6/31))/1000000</f>
        <v>0.78900000000000003</v>
      </c>
      <c r="AB46" s="48">
        <f>(B46*131.881+C46*277.167+D46*79.08+E46*285.872+F46*40+G46*25+H46*0+I46*100+J46*300)/(131.881+277.167+79.08+285.872+0+40+25+100+300)</f>
        <v>4.3257500573849876</v>
      </c>
      <c r="AC46" s="45">
        <f t="shared" si="3"/>
        <v>4.3098136690647477</v>
      </c>
    </row>
    <row r="47" spans="1:29" ht="15" x14ac:dyDescent="0.2">
      <c r="A47" s="16">
        <v>41944</v>
      </c>
      <c r="B47" s="17">
        <f>CHOOSE(CONTROL!$C$42, 4.317, 4.317) * CHOOSE(CONTROL!$C$21, $C$9, 100%, $E$9)</f>
        <v>4.3170000000000002</v>
      </c>
      <c r="C47" s="17">
        <f>CHOOSE(CONTROL!$C$42, 4.3221, 4.3221) * CHOOSE(CONTROL!$C$21, $C$9, 100%, $E$9)</f>
        <v>4.3220999999999998</v>
      </c>
      <c r="D47" s="17">
        <f>CHOOSE(CONTROL!$C$42, 4.4628, 4.4628) * CHOOSE(CONTROL!$C$21, $C$9, 100%, $E$9)</f>
        <v>4.4627999999999997</v>
      </c>
      <c r="E47" s="17">
        <f>CHOOSE(CONTROL!$C$42, 4.4965, 4.4965) * CHOOSE(CONTROL!$C$21, $C$9, 100%, $E$9)</f>
        <v>4.4965000000000002</v>
      </c>
      <c r="F47" s="17">
        <f>CHOOSE(CONTROL!$C$42, 4.3303, 4.3303)*CHOOSE(CONTROL!$C$21, $C$9, 100%, $E$9)</f>
        <v>4.3303000000000003</v>
      </c>
      <c r="G47" s="17">
        <f>CHOOSE(CONTROL!$C$42, 4.3472, 4.3472)*CHOOSE(CONTROL!$C$21, $C$9, 100%, $E$9)</f>
        <v>4.3472</v>
      </c>
      <c r="H47" s="17">
        <f>CHOOSE(CONTROL!$C$42, 4.4854, 4.4854) * CHOOSE(CONTROL!$C$21, $C$9, 100%, $E$9)</f>
        <v>4.4854000000000003</v>
      </c>
      <c r="I47" s="17">
        <f>CHOOSE(CONTROL!$C$42, 4.3528, 4.3528)* CHOOSE(CONTROL!$C$21, $C$9, 100%, $E$9)</f>
        <v>4.3528000000000002</v>
      </c>
      <c r="J47" s="17">
        <f>CHOOSE(CONTROL!$C$42, 4.3229, 4.3229)* CHOOSE(CONTROL!$C$21, $C$9, 100%, $E$9)</f>
        <v>4.3228999999999997</v>
      </c>
      <c r="K47" s="58"/>
      <c r="L47" s="17">
        <f>CHOOSE(CONTROL!$C$42, 5.0724, 5.0724) * CHOOSE(CONTROL!$C$21, $C$9, 100%, $E$9)</f>
        <v>5.0724</v>
      </c>
      <c r="M47" s="17">
        <f>CHOOSE(CONTROL!$C$42, 4.291, 4.291) * CHOOSE(CONTROL!$C$21, $C$9, 100%, $E$9)</f>
        <v>4.2910000000000004</v>
      </c>
      <c r="N47" s="17">
        <f>CHOOSE(CONTROL!$C$42, 4.3077, 4.3077) * CHOOSE(CONTROL!$C$21, $C$9, 100%, $E$9)</f>
        <v>4.3076999999999996</v>
      </c>
      <c r="O47" s="17">
        <f>CHOOSE(CONTROL!$C$42, 4.4521, 4.4521) * CHOOSE(CONTROL!$C$21, $C$9, 100%, $E$9)</f>
        <v>4.4520999999999997</v>
      </c>
      <c r="P47" s="17">
        <f>CHOOSE(CONTROL!$C$42, 4.3206, 4.3206) * CHOOSE(CONTROL!$C$21, $C$9, 100%, $E$9)</f>
        <v>4.3205999999999998</v>
      </c>
      <c r="Q47" s="17">
        <f>CHOOSE(CONTROL!$C$42, 5.0468, 5.0468) * CHOOSE(CONTROL!$C$21, $C$9, 100%, $E$9)</f>
        <v>5.0468000000000002</v>
      </c>
      <c r="R47" s="17">
        <f>CHOOSE(CONTROL!$C$42, 5.6464, 5.6464) * CHOOSE(CONTROL!$C$21, $C$9, 100%, $E$9)</f>
        <v>5.6463999999999999</v>
      </c>
      <c r="S47" s="17">
        <f>CHOOSE(CONTROL!$C$42, 4.1767, 4.1767) * CHOOSE(CONTROL!$C$21, $C$9, 100%, $E$9)</f>
        <v>4.1767000000000003</v>
      </c>
      <c r="T47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47" s="56">
        <f>(1000*CHOOSE(CONTROL!$C$42, 695, 695)*CHOOSE(CONTROL!$C$42, 0.5599, 0.5599)*CHOOSE(CONTROL!$C$42, 30, 30))/1000000</f>
        <v>11.673914999999997</v>
      </c>
      <c r="V47" s="56">
        <f>(1000*CHOOSE(CONTROL!$C$42, 580, 580)*CHOOSE(CONTROL!$C$42, 0.275, 0.275)*CHOOSE(CONTROL!$C$42, 30, 30))/1000000</f>
        <v>4.7850000000000001</v>
      </c>
      <c r="W47" s="56">
        <f>(1000*CHOOSE(CONTROL!$C$42, 0.0916, 0.0916)*CHOOSE(CONTROL!$C$42, 200, 200)*CHOOSE(CONTROL!$C$42, 30, 30))/1000000</f>
        <v>0.54959999999999998</v>
      </c>
      <c r="X47" s="56">
        <v>0</v>
      </c>
      <c r="Y47" s="56"/>
      <c r="Z47" s="17">
        <f>CHOOSE(CONTROL!$C$42, 4.2971, 4.2971) * CHOOSE(CONTROL!$C$21, $C$9, 100%, $E$9)</f>
        <v>4.2971000000000004</v>
      </c>
      <c r="AA47" s="55">
        <f>(131500*30*(6/30))/1000000</f>
        <v>0.78900000000000003</v>
      </c>
      <c r="AB47" s="48">
        <f>(B47*122.58+C47*297.941+D47*89.177+E47*200.302+F47*40+G47*0+H47*0+I47*100+J47*300)/(122.58+297.941+89.177+200.302+0+40+0+100+300)</f>
        <v>4.3660067084347833</v>
      </c>
      <c r="AC47" s="45">
        <f>(M47*240+N47*0+O47*355+P47*100)/(240+0+355+100)</f>
        <v>4.3775474820143883</v>
      </c>
    </row>
    <row r="48" spans="1:29" ht="15" x14ac:dyDescent="0.2">
      <c r="A48" s="16">
        <v>41974</v>
      </c>
      <c r="B48" s="17">
        <f>CHOOSE(CONTROL!$C$42, 4.5047, 4.5047) * CHOOSE(CONTROL!$C$21, $C$9, 100%, $E$9)</f>
        <v>4.5046999999999997</v>
      </c>
      <c r="C48" s="17">
        <f>CHOOSE(CONTROL!$C$42, 4.5098, 4.5098) * CHOOSE(CONTROL!$C$21, $C$9, 100%, $E$9)</f>
        <v>4.5098000000000003</v>
      </c>
      <c r="D48" s="17">
        <f>CHOOSE(CONTROL!$C$42, 4.6505, 4.6505) * CHOOSE(CONTROL!$C$21, $C$9, 100%, $E$9)</f>
        <v>4.6505000000000001</v>
      </c>
      <c r="E48" s="17">
        <f>CHOOSE(CONTROL!$C$42, 4.6842, 4.6842) * CHOOSE(CONTROL!$C$21, $C$9, 100%, $E$9)</f>
        <v>4.6841999999999997</v>
      </c>
      <c r="F48" s="17">
        <f>CHOOSE(CONTROL!$C$42, 4.5204, 4.5204)*CHOOSE(CONTROL!$C$21, $C$9, 100%, $E$9)</f>
        <v>4.5204000000000004</v>
      </c>
      <c r="G48" s="17">
        <f>CHOOSE(CONTROL!$C$42, 4.5379, 4.5379)*CHOOSE(CONTROL!$C$21, $C$9, 100%, $E$9)</f>
        <v>4.5378999999999996</v>
      </c>
      <c r="H48" s="17">
        <f>CHOOSE(CONTROL!$C$42, 4.6731, 4.6731) * CHOOSE(CONTROL!$C$21, $C$9, 100%, $E$9)</f>
        <v>4.6730999999999998</v>
      </c>
      <c r="I48" s="17">
        <f>CHOOSE(CONTROL!$C$42, 4.5411, 4.5411)* CHOOSE(CONTROL!$C$21, $C$9, 100%, $E$9)</f>
        <v>4.5411000000000001</v>
      </c>
      <c r="J48" s="17">
        <f>CHOOSE(CONTROL!$C$42, 4.513, 4.513)* CHOOSE(CONTROL!$C$21, $C$9, 100%, $E$9)</f>
        <v>4.5129999999999999</v>
      </c>
      <c r="K48" s="58"/>
      <c r="L48" s="17">
        <f>CHOOSE(CONTROL!$C$42, 5.2601, 5.2601) * CHOOSE(CONTROL!$C$21, $C$9, 100%, $E$9)</f>
        <v>5.2601000000000004</v>
      </c>
      <c r="M48" s="17">
        <f>CHOOSE(CONTROL!$C$42, 4.4794, 4.4794) * CHOOSE(CONTROL!$C$21, $C$9, 100%, $E$9)</f>
        <v>4.4794</v>
      </c>
      <c r="N48" s="17">
        <f>CHOOSE(CONTROL!$C$42, 4.4968, 4.4968) * CHOOSE(CONTROL!$C$21, $C$9, 100%, $E$9)</f>
        <v>4.4968000000000004</v>
      </c>
      <c r="O48" s="17">
        <f>CHOOSE(CONTROL!$C$42, 4.6381, 4.6381) * CHOOSE(CONTROL!$C$21, $C$9, 100%, $E$9)</f>
        <v>4.6380999999999997</v>
      </c>
      <c r="P48" s="17">
        <f>CHOOSE(CONTROL!$C$42, 4.5071, 4.5071) * CHOOSE(CONTROL!$C$21, $C$9, 100%, $E$9)</f>
        <v>4.5071000000000003</v>
      </c>
      <c r="Q48" s="17">
        <f>CHOOSE(CONTROL!$C$42, 5.2328, 5.2328) * CHOOSE(CONTROL!$C$21, $C$9, 100%, $E$9)</f>
        <v>5.2328000000000001</v>
      </c>
      <c r="R48" s="17">
        <f>CHOOSE(CONTROL!$C$42, 5.8329, 5.8329) * CHOOSE(CONTROL!$C$21, $C$9, 100%, $E$9)</f>
        <v>5.8329000000000004</v>
      </c>
      <c r="S48" s="17">
        <f>CHOOSE(CONTROL!$C$42, 4.3587, 4.3587) * CHOOSE(CONTROL!$C$21, $C$9, 100%, $E$9)</f>
        <v>4.3586999999999998</v>
      </c>
      <c r="T48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48" s="56">
        <f>(1000*CHOOSE(CONTROL!$C$42, 695, 695)*CHOOSE(CONTROL!$C$42, 0.5599, 0.5599)*CHOOSE(CONTROL!$C$42, 31, 31))/1000000</f>
        <v>12.063045499999998</v>
      </c>
      <c r="V48" s="56">
        <f>(1000*CHOOSE(CONTROL!$C$42, 580, 580)*CHOOSE(CONTROL!$C$42, 0.275, 0.275)*CHOOSE(CONTROL!$C$42, 31, 31))/1000000</f>
        <v>4.9444999999999997</v>
      </c>
      <c r="W48" s="56">
        <f>(1000*CHOOSE(CONTROL!$C$42, 0.0916, 0.0916)*CHOOSE(CONTROL!$C$42, 200, 200)*CHOOSE(CONTROL!$C$42, 31, 31))/1000000</f>
        <v>0.56791999999999998</v>
      </c>
      <c r="X48" s="56">
        <v>0</v>
      </c>
      <c r="Y48" s="56"/>
      <c r="Z48" s="17">
        <f>CHOOSE(CONTROL!$C$42, 4.4834, 4.4834) * CHOOSE(CONTROL!$C$21, $C$9, 100%, $E$9)</f>
        <v>4.4833999999999996</v>
      </c>
      <c r="AA48" s="55">
        <f>(131500*31*(6/31))/1000000</f>
        <v>0.78900000000000003</v>
      </c>
      <c r="AB48" s="48">
        <f>(B48*122.58+C48*297.941+D48*89.177+E48*200.302+F48*40+G48*0+H48*0+I48*100+J48*300)/(122.58+297.941+89.177+200.302+0+40+0+100+300)</f>
        <v>4.5544684475652168</v>
      </c>
      <c r="AC48" s="45">
        <f>(M48*240+N48*0+O48*355+P48*100)/(240+0+355+100)</f>
        <v>4.5644482014388492</v>
      </c>
    </row>
    <row r="49" spans="1:29" ht="15.75" x14ac:dyDescent="0.25">
      <c r="A49" s="16">
        <v>42005</v>
      </c>
      <c r="B49" s="17">
        <f>CHOOSE(CONTROL!$C$42, 4.5101, 4.5101) * CHOOSE(CONTROL!$C$21, $C$9, 100%, $E$9)</f>
        <v>4.5101000000000004</v>
      </c>
      <c r="C49" s="17">
        <f>CHOOSE(CONTROL!$C$42, 4.5152, 4.5152) * CHOOSE(CONTROL!$C$21, $C$9, 100%, $E$9)</f>
        <v>4.5152000000000001</v>
      </c>
      <c r="D49" s="17">
        <f>CHOOSE(CONTROL!$C$42, 4.6492, 4.6492) * CHOOSE(CONTROL!$C$21, $C$9, 100%, $E$9)</f>
        <v>4.6492000000000004</v>
      </c>
      <c r="E49" s="17">
        <f>CHOOSE(CONTROL!$C$42, 4.6829, 4.6829) * CHOOSE(CONTROL!$C$21, $C$9, 100%, $E$9)</f>
        <v>4.6829000000000001</v>
      </c>
      <c r="F49" s="17">
        <f>CHOOSE(CONTROL!$C$42, 4.5236, 4.5236)*CHOOSE(CONTROL!$C$21, $C$9, 100%, $E$9)</f>
        <v>4.5236000000000001</v>
      </c>
      <c r="G49" s="17">
        <f>CHOOSE(CONTROL!$C$42, 4.5405, 4.5405)*CHOOSE(CONTROL!$C$21, $C$9, 100%, $E$9)</f>
        <v>4.5404999999999998</v>
      </c>
      <c r="H49" s="17">
        <f>CHOOSE(CONTROL!$C$42, 4.6718, 4.6718) * CHOOSE(CONTROL!$C$21, $C$9, 100%, $E$9)</f>
        <v>4.6718000000000002</v>
      </c>
      <c r="I49" s="17">
        <f>CHOOSE(CONTROL!$C$42, 4.5506, 4.5506)* CHOOSE(CONTROL!$C$21, $C$9, 100%, $E$9)</f>
        <v>4.5506000000000002</v>
      </c>
      <c r="J49" s="17">
        <f>CHOOSE(CONTROL!$C$42, 4.5162, 4.5162)* CHOOSE(CONTROL!$C$21, $C$9, 100%, $E$9)</f>
        <v>4.5162000000000004</v>
      </c>
      <c r="K49" s="52"/>
      <c r="L49" s="17">
        <f>CHOOSE(CONTROL!$C$42, 5.2588, 5.2588) * CHOOSE(CONTROL!$C$21, $C$9, 100%, $E$9)</f>
        <v>5.2587999999999999</v>
      </c>
      <c r="M49" s="17">
        <f>CHOOSE(CONTROL!$C$42, 4.4826, 4.4826) * CHOOSE(CONTROL!$C$21, $C$9, 100%, $E$9)</f>
        <v>4.4825999999999997</v>
      </c>
      <c r="N49" s="17">
        <f>CHOOSE(CONTROL!$C$42, 4.4993, 4.4993) * CHOOSE(CONTROL!$C$21, $C$9, 100%, $E$9)</f>
        <v>4.4992999999999999</v>
      </c>
      <c r="O49" s="17">
        <f>CHOOSE(CONTROL!$C$42, 4.6368, 4.6368) * CHOOSE(CONTROL!$C$21, $C$9, 100%, $E$9)</f>
        <v>4.6368</v>
      </c>
      <c r="P49" s="17">
        <f>CHOOSE(CONTROL!$C$42, 4.5166, 4.5166) * CHOOSE(CONTROL!$C$21, $C$9, 100%, $E$9)</f>
        <v>4.5166000000000004</v>
      </c>
      <c r="Q49" s="17">
        <f>CHOOSE(CONTROL!$C$42, 5.2315, 5.2315) * CHOOSE(CONTROL!$C$21, $C$9, 100%, $E$9)</f>
        <v>5.2314999999999996</v>
      </c>
      <c r="R49" s="17">
        <f>CHOOSE(CONTROL!$C$42, 5.8316, 5.8316) * CHOOSE(CONTROL!$C$21, $C$9, 100%, $E$9)</f>
        <v>5.8315999999999999</v>
      </c>
      <c r="S49" s="17">
        <f>CHOOSE(CONTROL!$C$42, 4.364, 4.364) * CHOOSE(CONTROL!$C$21, $C$9, 100%, $E$9)</f>
        <v>4.3639999999999999</v>
      </c>
      <c r="T49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49" s="56">
        <f>(1000*CHOOSE(CONTROL!$C$42, 695, 695)*CHOOSE(CONTROL!$C$42, 0.5599, 0.5599)*CHOOSE(CONTROL!$C$42, 31, 31))/1000000</f>
        <v>12.063045499999998</v>
      </c>
      <c r="V49" s="56">
        <f>(1000*CHOOSE(CONTROL!$C$42, 580, 580)*CHOOSE(CONTROL!$C$42, 0.275, 0.275)*CHOOSE(CONTROL!$C$42, 31, 31))/1000000</f>
        <v>4.9444999999999997</v>
      </c>
      <c r="W49" s="56">
        <f>(1000*CHOOSE(CONTROL!$C$42, 0.0916, 0.0916)*CHOOSE(CONTROL!$C$42, 200, 200)*CHOOSE(CONTROL!$C$42, 31, 31))/1000000</f>
        <v>0.56791999999999998</v>
      </c>
      <c r="X49" s="56">
        <v>0</v>
      </c>
      <c r="Y49" s="56"/>
      <c r="Z49" s="17">
        <f>CHOOSE(CONTROL!$C$42, 4.4888, 4.4888) * CHOOSE(CONTROL!$C$21, $C$9, 100%, $E$9)</f>
        <v>4.4888000000000003</v>
      </c>
      <c r="AA49" s="55">
        <f>(131500*31*(6/31))/1000000</f>
        <v>0.78900000000000003</v>
      </c>
      <c r="AB49" s="48">
        <f>(B49*122.58+C49*297.941+D49*89.177+E49*200.302+F49*40+G49*0+H49*0+I49*100+J49*300)/(122.58+297.941+89.177+200.302+0+40+0+100+300)</f>
        <v>4.557888004695652</v>
      </c>
      <c r="AC49" s="45">
        <f>(M49*240+N49*0+O49*355+P49*100)/(240+0+355+100)</f>
        <v>4.5662561151079135</v>
      </c>
    </row>
    <row r="50" spans="1:29" ht="15.75" x14ac:dyDescent="0.25">
      <c r="A50" s="16">
        <v>42036</v>
      </c>
      <c r="B50" s="17">
        <f>CHOOSE(CONTROL!$C$42, 4.5997, 4.5997) * CHOOSE(CONTROL!$C$21, $C$9, 100%, $E$9)</f>
        <v>4.5997000000000003</v>
      </c>
      <c r="C50" s="17">
        <f>CHOOSE(CONTROL!$C$42, 4.6048, 4.6048) * CHOOSE(CONTROL!$C$21, $C$9, 100%, $E$9)</f>
        <v>4.6048</v>
      </c>
      <c r="D50" s="17">
        <f>CHOOSE(CONTROL!$C$42, 4.7387, 4.7387) * CHOOSE(CONTROL!$C$21, $C$9, 100%, $E$9)</f>
        <v>4.7386999999999997</v>
      </c>
      <c r="E50" s="17">
        <f>CHOOSE(CONTROL!$C$42, 4.7725, 4.7725) * CHOOSE(CONTROL!$C$21, $C$9, 100%, $E$9)</f>
        <v>4.7725</v>
      </c>
      <c r="F50" s="17">
        <f>CHOOSE(CONTROL!$C$42, 4.6131, 4.6131)*CHOOSE(CONTROL!$C$21, $C$9, 100%, $E$9)</f>
        <v>4.6131000000000002</v>
      </c>
      <c r="G50" s="17">
        <f>CHOOSE(CONTROL!$C$42, 4.6299, 4.6299)*CHOOSE(CONTROL!$C$21, $C$9, 100%, $E$9)</f>
        <v>4.6299000000000001</v>
      </c>
      <c r="H50" s="17">
        <f>CHOOSE(CONTROL!$C$42, 4.7613, 4.7613) * CHOOSE(CONTROL!$C$21, $C$9, 100%, $E$9)</f>
        <v>4.7613000000000003</v>
      </c>
      <c r="I50" s="17">
        <f>CHOOSE(CONTROL!$C$42, 4.6404, 4.6404)* CHOOSE(CONTROL!$C$21, $C$9, 100%, $E$9)</f>
        <v>4.6403999999999996</v>
      </c>
      <c r="J50" s="17">
        <f>CHOOSE(CONTROL!$C$42, 4.6057, 4.6057)* CHOOSE(CONTROL!$C$21, $C$9, 100%, $E$9)</f>
        <v>4.6056999999999997</v>
      </c>
      <c r="K50" s="52"/>
      <c r="L50" s="17">
        <f>CHOOSE(CONTROL!$C$42, 5.3483, 5.3483) * CHOOSE(CONTROL!$C$21, $C$9, 100%, $E$9)</f>
        <v>5.3483000000000001</v>
      </c>
      <c r="M50" s="17">
        <f>CHOOSE(CONTROL!$C$42, 4.5713, 4.5713) * CHOOSE(CONTROL!$C$21, $C$9, 100%, $E$9)</f>
        <v>4.5712999999999999</v>
      </c>
      <c r="N50" s="17">
        <f>CHOOSE(CONTROL!$C$42, 4.588, 4.588) * CHOOSE(CONTROL!$C$21, $C$9, 100%, $E$9)</f>
        <v>4.5880000000000001</v>
      </c>
      <c r="O50" s="17">
        <f>CHOOSE(CONTROL!$C$42, 4.7255, 4.7255) * CHOOSE(CONTROL!$C$21, $C$9, 100%, $E$9)</f>
        <v>4.7255000000000003</v>
      </c>
      <c r="P50" s="17">
        <f>CHOOSE(CONTROL!$C$42, 4.6056, 4.6056) * CHOOSE(CONTROL!$C$21, $C$9, 100%, $E$9)</f>
        <v>4.6055999999999999</v>
      </c>
      <c r="Q50" s="17">
        <f>CHOOSE(CONTROL!$C$42, 5.3202, 5.3202) * CHOOSE(CONTROL!$C$21, $C$9, 100%, $E$9)</f>
        <v>5.3201999999999998</v>
      </c>
      <c r="R50" s="17">
        <f>CHOOSE(CONTROL!$C$42, 5.9205, 5.9205) * CHOOSE(CONTROL!$C$21, $C$9, 100%, $E$9)</f>
        <v>5.9204999999999997</v>
      </c>
      <c r="S50" s="17">
        <f>CHOOSE(CONTROL!$C$42, 4.4508, 4.4508) * CHOOSE(CONTROL!$C$21, $C$9, 100%, $E$9)</f>
        <v>4.4508000000000001</v>
      </c>
      <c r="T50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50" s="56">
        <f>(1000*CHOOSE(CONTROL!$C$42, 695, 695)*CHOOSE(CONTROL!$C$42, 0.5599, 0.5599)*CHOOSE(CONTROL!$C$42, 28, 28))/1000000</f>
        <v>10.895653999999999</v>
      </c>
      <c r="V50" s="56">
        <f>(1000*CHOOSE(CONTROL!$C$42, 580, 580)*CHOOSE(CONTROL!$C$42, 0.275, 0.275)*CHOOSE(CONTROL!$C$42, 28, 28))/1000000</f>
        <v>4.4660000000000002</v>
      </c>
      <c r="W50" s="56">
        <f>(1000*CHOOSE(CONTROL!$C$42, 0.0916, 0.0916)*CHOOSE(CONTROL!$C$42, 200, 200)*CHOOSE(CONTROL!$C$42, 28, 28))/1000000</f>
        <v>0.51295999999999997</v>
      </c>
      <c r="X50" s="56">
        <v>0</v>
      </c>
      <c r="Y50" s="56"/>
      <c r="Z50" s="17">
        <f>CHOOSE(CONTROL!$C$42, 4.5777, 4.5777) * CHOOSE(CONTROL!$C$21, $C$9, 100%, $E$9)</f>
        <v>4.5777000000000001</v>
      </c>
      <c r="AA50" s="55">
        <f>(131500*28*(6/28))/1000000</f>
        <v>0.78900000000000003</v>
      </c>
      <c r="AB50" s="48">
        <f>(B50*122.58+C50*297.941+D50*89.177+E50*200.302+F50*40+G50*0+H50*0+I50*100+J50*300)/(122.58+297.941+89.177+200.302+0+40+0+100+300)</f>
        <v>4.6474680762608687</v>
      </c>
      <c r="AC50" s="45">
        <f>(M50*240+N50*0+O50*355+P50*100)/(240+0+355+100)</f>
        <v>4.6549992805755389</v>
      </c>
    </row>
    <row r="51" spans="1:29" ht="15.75" x14ac:dyDescent="0.25">
      <c r="A51" s="16">
        <v>42064</v>
      </c>
      <c r="B51" s="17">
        <f>CHOOSE(CONTROL!$C$42, 4.4786, 4.4786) * CHOOSE(CONTROL!$C$21, $C$9, 100%, $E$9)</f>
        <v>4.4786000000000001</v>
      </c>
      <c r="C51" s="17">
        <f>CHOOSE(CONTROL!$C$42, 4.4836, 4.4836) * CHOOSE(CONTROL!$C$21, $C$9, 100%, $E$9)</f>
        <v>4.4836</v>
      </c>
      <c r="D51" s="17">
        <f>CHOOSE(CONTROL!$C$42, 4.6176, 4.6176) * CHOOSE(CONTROL!$C$21, $C$9, 100%, $E$9)</f>
        <v>4.6176000000000004</v>
      </c>
      <c r="E51" s="17">
        <f>CHOOSE(CONTROL!$C$42, 4.6514, 4.6514) * CHOOSE(CONTROL!$C$21, $C$9, 100%, $E$9)</f>
        <v>4.6513999999999998</v>
      </c>
      <c r="F51" s="17">
        <f>CHOOSE(CONTROL!$C$42, 4.4912, 4.4912)*CHOOSE(CONTROL!$C$21, $C$9, 100%, $E$9)</f>
        <v>4.4912000000000001</v>
      </c>
      <c r="G51" s="17">
        <f>CHOOSE(CONTROL!$C$42, 4.5079, 4.5079)*CHOOSE(CONTROL!$C$21, $C$9, 100%, $E$9)</f>
        <v>4.5079000000000002</v>
      </c>
      <c r="H51" s="17">
        <f>CHOOSE(CONTROL!$C$42, 4.6402, 4.6402) * CHOOSE(CONTROL!$C$21, $C$9, 100%, $E$9)</f>
        <v>4.6402000000000001</v>
      </c>
      <c r="I51" s="17">
        <f>CHOOSE(CONTROL!$C$42, 4.519, 4.519)* CHOOSE(CONTROL!$C$21, $C$9, 100%, $E$9)</f>
        <v>4.5190000000000001</v>
      </c>
      <c r="J51" s="17">
        <f>CHOOSE(CONTROL!$C$42, 4.4838, 4.4838)* CHOOSE(CONTROL!$C$21, $C$9, 100%, $E$9)</f>
        <v>4.4837999999999996</v>
      </c>
      <c r="K51" s="52"/>
      <c r="L51" s="17">
        <f>CHOOSE(CONTROL!$C$42, 5.2272, 5.2272) * CHOOSE(CONTROL!$C$21, $C$9, 100%, $E$9)</f>
        <v>5.2271999999999998</v>
      </c>
      <c r="M51" s="17">
        <f>CHOOSE(CONTROL!$C$42, 4.4505, 4.4505) * CHOOSE(CONTROL!$C$21, $C$9, 100%, $E$9)</f>
        <v>4.4504999999999999</v>
      </c>
      <c r="N51" s="17">
        <f>CHOOSE(CONTROL!$C$42, 4.467, 4.467) * CHOOSE(CONTROL!$C$21, $C$9, 100%, $E$9)</f>
        <v>4.4669999999999996</v>
      </c>
      <c r="O51" s="17">
        <f>CHOOSE(CONTROL!$C$42, 4.6055, 4.6055) * CHOOSE(CONTROL!$C$21, $C$9, 100%, $E$9)</f>
        <v>4.6055000000000001</v>
      </c>
      <c r="P51" s="17">
        <f>CHOOSE(CONTROL!$C$42, 4.4853, 4.4853) * CHOOSE(CONTROL!$C$21, $C$9, 100%, $E$9)</f>
        <v>4.4852999999999996</v>
      </c>
      <c r="Q51" s="17">
        <f>CHOOSE(CONTROL!$C$42, 5.2002, 5.2002) * CHOOSE(CONTROL!$C$21, $C$9, 100%, $E$9)</f>
        <v>5.2001999999999997</v>
      </c>
      <c r="R51" s="17">
        <f>CHOOSE(CONTROL!$C$42, 5.8002, 5.8002) * CHOOSE(CONTROL!$C$21, $C$9, 100%, $E$9)</f>
        <v>5.8002000000000002</v>
      </c>
      <c r="S51" s="17">
        <f>CHOOSE(CONTROL!$C$42, 4.3334, 4.3334) * CHOOSE(CONTROL!$C$21, $C$9, 100%, $E$9)</f>
        <v>4.3334000000000001</v>
      </c>
      <c r="T51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51" s="56">
        <f>(1000*CHOOSE(CONTROL!$C$42, 695, 695)*CHOOSE(CONTROL!$C$42, 0.5599, 0.5599)*CHOOSE(CONTROL!$C$42, 31, 31))/1000000</f>
        <v>12.063045499999998</v>
      </c>
      <c r="V51" s="56">
        <f>(1000*CHOOSE(CONTROL!$C$42, 580, 580)*CHOOSE(CONTROL!$C$42, 0.275, 0.275)*CHOOSE(CONTROL!$C$42, 31, 31))/1000000</f>
        <v>4.9444999999999997</v>
      </c>
      <c r="W51" s="56">
        <f>(1000*CHOOSE(CONTROL!$C$42, 0.0916, 0.0916)*CHOOSE(CONTROL!$C$42, 200, 200)*CHOOSE(CONTROL!$C$42, 31, 31))/1000000</f>
        <v>0.56791999999999998</v>
      </c>
      <c r="X51" s="56">
        <v>0</v>
      </c>
      <c r="Y51" s="56"/>
      <c r="Z51" s="17">
        <f>CHOOSE(CONTROL!$C$42, 4.4575, 4.4575) * CHOOSE(CONTROL!$C$21, $C$9, 100%, $E$9)</f>
        <v>4.4574999999999996</v>
      </c>
      <c r="AA51" s="55">
        <f>(131500*31*(6/31))/1000000</f>
        <v>0.78900000000000003</v>
      </c>
      <c r="AB51" s="48">
        <f>(B51*122.58+C51*297.941+D51*89.177+E51*200.302+F51*40+G51*0+H51*0+I51*100+J51*300)/(122.58+297.941+89.177+200.302+0+40+0+100+300)</f>
        <v>4.5260795596521746</v>
      </c>
      <c r="AC51" s="45">
        <f>(M51*240+N51*0+O51*355+P51*100)/(240+0+355+100)</f>
        <v>4.5346798561151083</v>
      </c>
    </row>
    <row r="52" spans="1:29" ht="15.75" x14ac:dyDescent="0.25">
      <c r="A52" s="16">
        <v>42095</v>
      </c>
      <c r="B52" s="17">
        <f>CHOOSE(CONTROL!$C$42, 4.4754, 4.4754) * CHOOSE(CONTROL!$C$21, $C$9, 100%, $E$9)</f>
        <v>4.4753999999999996</v>
      </c>
      <c r="C52" s="17">
        <f>CHOOSE(CONTROL!$C$42, 4.4799, 4.4799) * CHOOSE(CONTROL!$C$21, $C$9, 100%, $E$9)</f>
        <v>4.4798999999999998</v>
      </c>
      <c r="D52" s="17">
        <f>CHOOSE(CONTROL!$C$42, 4.7429, 4.7429) * CHOOSE(CONTROL!$C$21, $C$9, 100%, $E$9)</f>
        <v>4.7428999999999997</v>
      </c>
      <c r="E52" s="17">
        <f>CHOOSE(CONTROL!$C$42, 4.7747, 4.7747) * CHOOSE(CONTROL!$C$21, $C$9, 100%, $E$9)</f>
        <v>4.7747000000000002</v>
      </c>
      <c r="F52" s="17">
        <f>CHOOSE(CONTROL!$C$42, 4.4863, 4.4863)*CHOOSE(CONTROL!$C$21, $C$9, 100%, $E$9)</f>
        <v>4.4863</v>
      </c>
      <c r="G52" s="17">
        <f>CHOOSE(CONTROL!$C$42, 4.5025, 4.5025)*CHOOSE(CONTROL!$C$21, $C$9, 100%, $E$9)</f>
        <v>4.5025000000000004</v>
      </c>
      <c r="H52" s="17">
        <f>CHOOSE(CONTROL!$C$42, 4.7642, 4.7642) * CHOOSE(CONTROL!$C$21, $C$9, 100%, $E$9)</f>
        <v>4.7641999999999998</v>
      </c>
      <c r="I52" s="17">
        <f>CHOOSE(CONTROL!$C$42, 4.5145, 4.5145)* CHOOSE(CONTROL!$C$21, $C$9, 100%, $E$9)</f>
        <v>4.5145</v>
      </c>
      <c r="J52" s="17">
        <f>CHOOSE(CONTROL!$C$42, 4.4789, 4.4789)* CHOOSE(CONTROL!$C$21, $C$9, 100%, $E$9)</f>
        <v>4.4789000000000003</v>
      </c>
      <c r="K52" s="52"/>
      <c r="L52" s="17">
        <f>CHOOSE(CONTROL!$C$42, 5.3512, 5.3512) * CHOOSE(CONTROL!$C$21, $C$9, 100%, $E$9)</f>
        <v>5.3512000000000004</v>
      </c>
      <c r="M52" s="17">
        <f>CHOOSE(CONTROL!$C$42, 4.4456, 4.4456) * CHOOSE(CONTROL!$C$21, $C$9, 100%, $E$9)</f>
        <v>4.4455999999999998</v>
      </c>
      <c r="N52" s="17">
        <f>CHOOSE(CONTROL!$C$42, 4.4617, 4.4617) * CHOOSE(CONTROL!$C$21, $C$9, 100%, $E$9)</f>
        <v>4.4617000000000004</v>
      </c>
      <c r="O52" s="17">
        <f>CHOOSE(CONTROL!$C$42, 4.7283, 4.7283) * CHOOSE(CONTROL!$C$21, $C$9, 100%, $E$9)</f>
        <v>4.7282999999999999</v>
      </c>
      <c r="P52" s="17">
        <f>CHOOSE(CONTROL!$C$42, 4.4808, 4.4808) * CHOOSE(CONTROL!$C$21, $C$9, 100%, $E$9)</f>
        <v>4.4808000000000003</v>
      </c>
      <c r="Q52" s="17">
        <f>CHOOSE(CONTROL!$C$42, 5.323, 5.323) * CHOOSE(CONTROL!$C$21, $C$9, 100%, $E$9)</f>
        <v>5.3230000000000004</v>
      </c>
      <c r="R52" s="17">
        <f>CHOOSE(CONTROL!$C$42, 5.9234, 5.9234) * CHOOSE(CONTROL!$C$21, $C$9, 100%, $E$9)</f>
        <v>5.9234</v>
      </c>
      <c r="S52" s="17">
        <f>CHOOSE(CONTROL!$C$42, 4.3295, 4.3295) * CHOOSE(CONTROL!$C$21, $C$9, 100%, $E$9)</f>
        <v>4.3295000000000003</v>
      </c>
      <c r="T52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52" s="56">
        <f>(1000*CHOOSE(CONTROL!$C$42, 695, 695)*CHOOSE(CONTROL!$C$42, 0.5599, 0.5599)*CHOOSE(CONTROL!$C$42, 30, 30))/1000000</f>
        <v>11.673914999999997</v>
      </c>
      <c r="V52" s="56">
        <f>(1000*CHOOSE(CONTROL!$C$42, 580, 580)*CHOOSE(CONTROL!$C$42, 0.275, 0.275)*CHOOSE(CONTROL!$C$42, 30, 30))/1000000</f>
        <v>4.7850000000000001</v>
      </c>
      <c r="W52" s="56">
        <f>(1000*CHOOSE(CONTROL!$C$42, 0.0916, 0.0916)*CHOOSE(CONTROL!$C$42, 200, 200)*CHOOSE(CONTROL!$C$42, 30, 30))/1000000</f>
        <v>0.54959999999999998</v>
      </c>
      <c r="X52" s="56">
        <f>(30*0.1790888*145000/1000000)+(30*0.2374*100000/1000000)</f>
        <v>1.4912362799999999</v>
      </c>
      <c r="Y52" s="56"/>
      <c r="Z52" s="17">
        <f>CHOOSE(CONTROL!$C$42, 4.4484, 4.4484) * CHOOSE(CONTROL!$C$21, $C$9, 100%, $E$9)</f>
        <v>4.4484000000000004</v>
      </c>
      <c r="AA52" s="55">
        <f>(131500*30*(6/30))/1000000</f>
        <v>0.78900000000000003</v>
      </c>
      <c r="AB52" s="48">
        <f>(B52*141.293+C52*267.993+D52*115.016+E52*189.698+F52*40+G52*85+H52*0+I52*100+J52*300)/(141.293+267.993+115.016+189.698+0+40+85+100+300)</f>
        <v>4.55324411614205</v>
      </c>
      <c r="AC52" s="45">
        <f t="shared" ref="AC52:AC58" si="4">(M52*240+N52*160+O52*195+P52*100)/(240+160+195+100)</f>
        <v>4.5336899280575533</v>
      </c>
    </row>
    <row r="53" spans="1:29" ht="15.75" x14ac:dyDescent="0.25">
      <c r="A53" s="16">
        <v>42125</v>
      </c>
      <c r="B53" s="17">
        <f>CHOOSE(CONTROL!$C$42, 4.5254, 4.5254) * CHOOSE(CONTROL!$C$21, $C$9, 100%, $E$9)</f>
        <v>4.5254000000000003</v>
      </c>
      <c r="C53" s="17">
        <f>CHOOSE(CONTROL!$C$42, 4.5334, 4.5334) * CHOOSE(CONTROL!$C$21, $C$9, 100%, $E$9)</f>
        <v>4.5334000000000003</v>
      </c>
      <c r="D53" s="17">
        <f>CHOOSE(CONTROL!$C$42, 4.7934, 4.7934) * CHOOSE(CONTROL!$C$21, $C$9, 100%, $E$9)</f>
        <v>4.7934000000000001</v>
      </c>
      <c r="E53" s="17">
        <f>CHOOSE(CONTROL!$C$42, 4.8245, 4.8245) * CHOOSE(CONTROL!$C$21, $C$9, 100%, $E$9)</f>
        <v>4.8244999999999996</v>
      </c>
      <c r="F53" s="17">
        <f>CHOOSE(CONTROL!$C$42, 4.5351, 4.5351)*CHOOSE(CONTROL!$C$21, $C$9, 100%, $E$9)</f>
        <v>4.5350999999999999</v>
      </c>
      <c r="G53" s="17">
        <f>CHOOSE(CONTROL!$C$42, 4.5516, 4.5516)*CHOOSE(CONTROL!$C$21, $C$9, 100%, $E$9)</f>
        <v>4.5515999999999996</v>
      </c>
      <c r="H53" s="17">
        <f>CHOOSE(CONTROL!$C$42, 4.8129, 4.8129) * CHOOSE(CONTROL!$C$21, $C$9, 100%, $E$9)</f>
        <v>4.8129</v>
      </c>
      <c r="I53" s="17">
        <f>CHOOSE(CONTROL!$C$42, 4.5633, 4.5633)* CHOOSE(CONTROL!$C$21, $C$9, 100%, $E$9)</f>
        <v>4.5632999999999999</v>
      </c>
      <c r="J53" s="17">
        <f>CHOOSE(CONTROL!$C$42, 4.5277, 4.5277)* CHOOSE(CONTROL!$C$21, $C$9, 100%, $E$9)</f>
        <v>4.5277000000000003</v>
      </c>
      <c r="K53" s="52"/>
      <c r="L53" s="17">
        <f>CHOOSE(CONTROL!$C$42, 5.3999, 5.3999) * CHOOSE(CONTROL!$C$21, $C$9, 100%, $E$9)</f>
        <v>5.3998999999999997</v>
      </c>
      <c r="M53" s="17">
        <f>CHOOSE(CONTROL!$C$42, 4.494, 4.494) * CHOOSE(CONTROL!$C$21, $C$9, 100%, $E$9)</f>
        <v>4.4939999999999998</v>
      </c>
      <c r="N53" s="17">
        <f>CHOOSE(CONTROL!$C$42, 4.5103, 4.5103) * CHOOSE(CONTROL!$C$21, $C$9, 100%, $E$9)</f>
        <v>4.5103</v>
      </c>
      <c r="O53" s="17">
        <f>CHOOSE(CONTROL!$C$42, 4.7766, 4.7766) * CHOOSE(CONTROL!$C$21, $C$9, 100%, $E$9)</f>
        <v>4.7766000000000002</v>
      </c>
      <c r="P53" s="17">
        <f>CHOOSE(CONTROL!$C$42, 4.5292, 4.5292) * CHOOSE(CONTROL!$C$21, $C$9, 100%, $E$9)</f>
        <v>4.5292000000000003</v>
      </c>
      <c r="Q53" s="17">
        <f>CHOOSE(CONTROL!$C$42, 5.3713, 5.3713) * CHOOSE(CONTROL!$C$21, $C$9, 100%, $E$9)</f>
        <v>5.3712999999999997</v>
      </c>
      <c r="R53" s="17">
        <f>CHOOSE(CONTROL!$C$42, 5.9717, 5.9717) * CHOOSE(CONTROL!$C$21, $C$9, 100%, $E$9)</f>
        <v>5.9717000000000002</v>
      </c>
      <c r="S53" s="17">
        <f>CHOOSE(CONTROL!$C$42, 4.3767, 4.3767) * CHOOSE(CONTROL!$C$21, $C$9, 100%, $E$9)</f>
        <v>4.3766999999999996</v>
      </c>
      <c r="T53" s="57">
        <f>((((430000*CHOOSE(CONTROL!$C$42, 0.4694, 0.4694)+(874000-430000)*CHOOSE(CONTROL!$C$42, 0.7185, 0.7185)+400000*CHOOSE(CONTROL!$C$42, 1.14, 1.14)+50000*0.98)*CHOOSE(CONTROL!$C$42, 31, 31))/1000000))+CHOOSE(CONTROL!$C$42, 0.188, 0.188)+CHOOSE(CONTROL!$C$42, 0.5154, 0.5154)</f>
        <v>32.504936000000001</v>
      </c>
      <c r="U53" s="56">
        <f>(1000*CHOOSE(CONTROL!$C$42, 695, 695)*CHOOSE(CONTROL!$C$42, 0.5599, 0.5599)*CHOOSE(CONTROL!$C$42, 31, 31))/1000000</f>
        <v>12.063045499999998</v>
      </c>
      <c r="V53" s="56">
        <f>(1000*CHOOSE(CONTROL!$C$42, 580, 580)*CHOOSE(CONTROL!$C$42, 0.275, 0.275)*CHOOSE(CONTROL!$C$42, 31, 31))/1000000</f>
        <v>4.9444999999999997</v>
      </c>
      <c r="W53" s="56">
        <f>(1000*CHOOSE(CONTROL!$C$42, 0.0916, 0.0916)*CHOOSE(CONTROL!$C$42, 200, 200)*CHOOSE(CONTROL!$C$42, 31, 31))/1000000</f>
        <v>0.56791999999999998</v>
      </c>
      <c r="X53" s="56">
        <f>(31*0.1790888*145000/1000000)+(31*0.2374*100000/1000000)</f>
        <v>1.5409441560000001</v>
      </c>
      <c r="Y53" s="56"/>
      <c r="Z53" s="17">
        <f>CHOOSE(CONTROL!$C$42, 4.4968, 4.4968) * CHOOSE(CONTROL!$C$21, $C$9, 100%, $E$9)</f>
        <v>4.4968000000000004</v>
      </c>
      <c r="AA53" s="55">
        <f>(131500*31*(6/31))/1000000</f>
        <v>0.78900000000000003</v>
      </c>
      <c r="AB53" s="48">
        <f>(B53*194.205+C53*267.466+D53*133.845+E53*153.484+F53*40+G53*85+H53*50+I53*100+J53*300)/(194.205+267.466+133.845+153.484+50+40+85+100+300)</f>
        <v>4.6049976226586109</v>
      </c>
      <c r="AC53" s="45">
        <f t="shared" si="4"/>
        <v>4.5821079136690646</v>
      </c>
    </row>
    <row r="54" spans="1:29" ht="15.75" x14ac:dyDescent="0.25">
      <c r="A54" s="16">
        <v>42156</v>
      </c>
      <c r="B54" s="17">
        <f>CHOOSE(CONTROL!$C$42, 4.663, 4.663) * CHOOSE(CONTROL!$C$21, $C$9, 100%, $E$9)</f>
        <v>4.6630000000000003</v>
      </c>
      <c r="C54" s="17">
        <f>CHOOSE(CONTROL!$C$42, 4.671, 4.671) * CHOOSE(CONTROL!$C$21, $C$9, 100%, $E$9)</f>
        <v>4.6710000000000003</v>
      </c>
      <c r="D54" s="17">
        <f>CHOOSE(CONTROL!$C$42, 4.9309, 4.9309) * CHOOSE(CONTROL!$C$21, $C$9, 100%, $E$9)</f>
        <v>4.9309000000000003</v>
      </c>
      <c r="E54" s="17">
        <f>CHOOSE(CONTROL!$C$42, 4.9621, 4.9621) * CHOOSE(CONTROL!$C$21, $C$9, 100%, $E$9)</f>
        <v>4.9621000000000004</v>
      </c>
      <c r="F54" s="17">
        <f>CHOOSE(CONTROL!$C$42, 4.673, 4.673)*CHOOSE(CONTROL!$C$21, $C$9, 100%, $E$9)</f>
        <v>4.673</v>
      </c>
      <c r="G54" s="17">
        <f>CHOOSE(CONTROL!$C$42, 4.6895, 4.6895)*CHOOSE(CONTROL!$C$21, $C$9, 100%, $E$9)</f>
        <v>4.6894999999999998</v>
      </c>
      <c r="H54" s="17">
        <f>CHOOSE(CONTROL!$C$42, 4.9504, 4.9504) * CHOOSE(CONTROL!$C$21, $C$9, 100%, $E$9)</f>
        <v>4.9504000000000001</v>
      </c>
      <c r="I54" s="17">
        <f>CHOOSE(CONTROL!$C$42, 4.7013, 4.7013)* CHOOSE(CONTROL!$C$21, $C$9, 100%, $E$9)</f>
        <v>4.7012999999999998</v>
      </c>
      <c r="J54" s="17">
        <f>CHOOSE(CONTROL!$C$42, 4.6656, 4.6656)* CHOOSE(CONTROL!$C$21, $C$9, 100%, $E$9)</f>
        <v>4.6656000000000004</v>
      </c>
      <c r="K54" s="52"/>
      <c r="L54" s="17">
        <f>CHOOSE(CONTROL!$C$42, 5.5374, 5.5374) * CHOOSE(CONTROL!$C$21, $C$9, 100%, $E$9)</f>
        <v>5.5373999999999999</v>
      </c>
      <c r="M54" s="17">
        <f>CHOOSE(CONTROL!$C$42, 4.6306, 4.6306) * CHOOSE(CONTROL!$C$21, $C$9, 100%, $E$9)</f>
        <v>4.6306000000000003</v>
      </c>
      <c r="N54" s="17">
        <f>CHOOSE(CONTROL!$C$42, 4.647, 4.647) * CHOOSE(CONTROL!$C$21, $C$9, 100%, $E$9)</f>
        <v>4.6470000000000002</v>
      </c>
      <c r="O54" s="17">
        <f>CHOOSE(CONTROL!$C$42, 4.9129, 4.9129) * CHOOSE(CONTROL!$C$21, $C$9, 100%, $E$9)</f>
        <v>4.9128999999999996</v>
      </c>
      <c r="P54" s="17">
        <f>CHOOSE(CONTROL!$C$42, 4.666, 4.666) * CHOOSE(CONTROL!$C$21, $C$9, 100%, $E$9)</f>
        <v>4.6660000000000004</v>
      </c>
      <c r="Q54" s="17">
        <f>CHOOSE(CONTROL!$C$42, 5.5076, 5.5076) * CHOOSE(CONTROL!$C$21, $C$9, 100%, $E$9)</f>
        <v>5.5076000000000001</v>
      </c>
      <c r="R54" s="17">
        <f>CHOOSE(CONTROL!$C$42, 6.1084, 6.1084) * CHOOSE(CONTROL!$C$21, $C$9, 100%, $E$9)</f>
        <v>6.1083999999999996</v>
      </c>
      <c r="S54" s="17">
        <f>CHOOSE(CONTROL!$C$42, 4.5101, 4.5101) * CHOOSE(CONTROL!$C$21, $C$9, 100%, $E$9)</f>
        <v>4.5101000000000004</v>
      </c>
      <c r="T54" s="57">
        <f>((((430000*CHOOSE(CONTROL!$C$42, 0.4694, 0.4694)+(874000-430000)*CHOOSE(CONTROL!$C$42, 0.7185, 0.7185)+400000*CHOOSE(CONTROL!$C$42, 1.14, 1.14)+50000*0.98)*CHOOSE(CONTROL!$C$42, 30, 30))/1000000))+CHOOSE(CONTROL!$C$42, 0.1616, 0.1616)+CHOOSE(CONTROL!$C$42, 0.5074, 0.5074)</f>
        <v>31.444680000000002</v>
      </c>
      <c r="U54" s="56">
        <f>(1000*CHOOSE(CONTROL!$C$42, 695, 695)*CHOOSE(CONTROL!$C$42, 0.5599, 0.5599)*CHOOSE(CONTROL!$C$42, 30, 30))/1000000</f>
        <v>11.673914999999997</v>
      </c>
      <c r="V54" s="56">
        <f>(1000*CHOOSE(CONTROL!$C$42, 580, 580)*CHOOSE(CONTROL!$C$42, 0.275, 0.275)*CHOOSE(CONTROL!$C$42, 30, 30))/1000000</f>
        <v>4.7850000000000001</v>
      </c>
      <c r="W54" s="56">
        <f>(1000*CHOOSE(CONTROL!$C$42, 0.0916, 0.0916)*CHOOSE(CONTROL!$C$42, 200, 200)*CHOOSE(CONTROL!$C$42, 30, 30))/1000000</f>
        <v>0.54959999999999998</v>
      </c>
      <c r="X54" s="56">
        <f>(30*0.1790888*145000/1000000)+(30*0.2374*100000/1000000)</f>
        <v>1.4912362799999999</v>
      </c>
      <c r="Y54" s="56"/>
      <c r="Z54" s="17">
        <f>CHOOSE(CONTROL!$C$42, 4.6333, 4.6333) * CHOOSE(CONTROL!$C$21, $C$9, 100%, $E$9)</f>
        <v>4.6333000000000002</v>
      </c>
      <c r="AA54" s="55">
        <f>(131500*30*(6/30))/1000000</f>
        <v>0.78900000000000003</v>
      </c>
      <c r="AB54" s="48">
        <f>(B54*194.205+C54*267.466+D54*133.845+E54*153.484+F54*40+G54*85+H54*50+I54*100+J54*300)/(194.205+267.466+133.845+153.484+50+40+85+100+300)</f>
        <v>4.7427102476586107</v>
      </c>
      <c r="AC54" s="45">
        <f t="shared" si="4"/>
        <v>4.7186755395683448</v>
      </c>
    </row>
    <row r="55" spans="1:29" ht="15.75" x14ac:dyDescent="0.25">
      <c r="A55" s="16">
        <v>42186</v>
      </c>
      <c r="B55" s="17">
        <f>CHOOSE(CONTROL!$C$42, 4.5832, 4.5832) * CHOOSE(CONTROL!$C$21, $C$9, 100%, $E$9)</f>
        <v>4.5831999999999997</v>
      </c>
      <c r="C55" s="17">
        <f>CHOOSE(CONTROL!$C$42, 4.5912, 4.5912) * CHOOSE(CONTROL!$C$21, $C$9, 100%, $E$9)</f>
        <v>4.5911999999999997</v>
      </c>
      <c r="D55" s="17">
        <f>CHOOSE(CONTROL!$C$42, 4.8511, 4.8511) * CHOOSE(CONTROL!$C$21, $C$9, 100%, $E$9)</f>
        <v>4.8510999999999997</v>
      </c>
      <c r="E55" s="17">
        <f>CHOOSE(CONTROL!$C$42, 4.8823, 4.8823) * CHOOSE(CONTROL!$C$21, $C$9, 100%, $E$9)</f>
        <v>4.8822999999999999</v>
      </c>
      <c r="F55" s="17">
        <f>CHOOSE(CONTROL!$C$42, 4.5936, 4.5936)*CHOOSE(CONTROL!$C$21, $C$9, 100%, $E$9)</f>
        <v>4.5936000000000003</v>
      </c>
      <c r="G55" s="17">
        <f>CHOOSE(CONTROL!$C$42, 4.6102, 4.6102)*CHOOSE(CONTROL!$C$21, $C$9, 100%, $E$9)</f>
        <v>4.6101999999999999</v>
      </c>
      <c r="H55" s="17">
        <f>CHOOSE(CONTROL!$C$42, 4.8706, 4.8706) * CHOOSE(CONTROL!$C$21, $C$9, 100%, $E$9)</f>
        <v>4.8705999999999996</v>
      </c>
      <c r="I55" s="17">
        <f>CHOOSE(CONTROL!$C$42, 4.6213, 4.6213)* CHOOSE(CONTROL!$C$21, $C$9, 100%, $E$9)</f>
        <v>4.6212999999999997</v>
      </c>
      <c r="J55" s="17">
        <f>CHOOSE(CONTROL!$C$42, 4.5862, 4.5862)* CHOOSE(CONTROL!$C$21, $C$9, 100%, $E$9)</f>
        <v>4.5861999999999998</v>
      </c>
      <c r="K55" s="52"/>
      <c r="L55" s="17">
        <f>CHOOSE(CONTROL!$C$42, 5.4576, 5.4576) * CHOOSE(CONTROL!$C$21, $C$9, 100%, $E$9)</f>
        <v>5.4576000000000002</v>
      </c>
      <c r="M55" s="17">
        <f>CHOOSE(CONTROL!$C$42, 4.5519, 4.5519) * CHOOSE(CONTROL!$C$21, $C$9, 100%, $E$9)</f>
        <v>4.5518999999999998</v>
      </c>
      <c r="N55" s="17">
        <f>CHOOSE(CONTROL!$C$42, 4.5684, 4.5684) * CHOOSE(CONTROL!$C$21, $C$9, 100%, $E$9)</f>
        <v>4.5683999999999996</v>
      </c>
      <c r="O55" s="17">
        <f>CHOOSE(CONTROL!$C$42, 4.8338, 4.8338) * CHOOSE(CONTROL!$C$21, $C$9, 100%, $E$9)</f>
        <v>4.8338000000000001</v>
      </c>
      <c r="P55" s="17">
        <f>CHOOSE(CONTROL!$C$42, 4.5866, 4.5866) * CHOOSE(CONTROL!$C$21, $C$9, 100%, $E$9)</f>
        <v>4.5865999999999998</v>
      </c>
      <c r="Q55" s="17">
        <f>CHOOSE(CONTROL!$C$42, 5.4285, 5.4285) * CHOOSE(CONTROL!$C$21, $C$9, 100%, $E$9)</f>
        <v>5.4284999999999997</v>
      </c>
      <c r="R55" s="17">
        <f>CHOOSE(CONTROL!$C$42, 6.0291, 6.0291) * CHOOSE(CONTROL!$C$21, $C$9, 100%, $E$9)</f>
        <v>6.0290999999999997</v>
      </c>
      <c r="S55" s="17">
        <f>CHOOSE(CONTROL!$C$42, 4.4327, 4.4327) * CHOOSE(CONTROL!$C$21, $C$9, 100%, $E$9)</f>
        <v>4.4326999999999996</v>
      </c>
      <c r="T55" s="57">
        <f>((((430000*CHOOSE(CONTROL!$C$42, 0.4694, 0.4694)+(874000-430000)*CHOOSE(CONTROL!$C$42, 0.7185, 0.7185)+400000*CHOOSE(CONTROL!$C$42, 1.14, 1.14)+50000*0.98)*CHOOSE(CONTROL!$C$42, 31, 31))/1000000))+CHOOSE(CONTROL!$C$42, 0.1555, 0.1555)+CHOOSE(CONTROL!$C$42, 0.5217, 0.5217)</f>
        <v>32.478735999999998</v>
      </c>
      <c r="U55" s="56">
        <f>(1000*CHOOSE(CONTROL!$C$42, 695, 695)*CHOOSE(CONTROL!$C$42, 0.5599, 0.5599)*CHOOSE(CONTROL!$C$42, 31, 31))/1000000</f>
        <v>12.063045499999998</v>
      </c>
      <c r="V55" s="56">
        <f>(1000*CHOOSE(CONTROL!$C$42, 580, 580)*CHOOSE(CONTROL!$C$42, 0.275, 0.275)*CHOOSE(CONTROL!$C$42, 31, 31))/1000000</f>
        <v>4.9444999999999997</v>
      </c>
      <c r="W55" s="56">
        <f>(1000*CHOOSE(CONTROL!$C$42, 0.0916, 0.0916)*CHOOSE(CONTROL!$C$42, 200, 200)*CHOOSE(CONTROL!$C$42, 31, 31))/1000000</f>
        <v>0.56791999999999998</v>
      </c>
      <c r="X55" s="56">
        <f>(31*0.1790888*145000/1000000)+(31*0.2374*100000/1000000)</f>
        <v>1.5409441560000001</v>
      </c>
      <c r="Y55" s="56"/>
      <c r="Z55" s="17">
        <f>CHOOSE(CONTROL!$C$42, 4.5541, 4.5541) * CHOOSE(CONTROL!$C$21, $C$9, 100%, $E$9)</f>
        <v>4.5541</v>
      </c>
      <c r="AA55" s="55">
        <f>(131500*31*(6/31))/1000000</f>
        <v>0.78900000000000003</v>
      </c>
      <c r="AB55" s="48">
        <f>(B55*194.205+C55*267.466+D55*133.845+E55*153.484+F55*40+G55*85+H55*50+I55*100+J55*300)/(194.205+267.466+133.845+153.484+50+40+85+100+300)</f>
        <v>4.6630299606495464</v>
      </c>
      <c r="AC55" s="45">
        <f t="shared" si="4"/>
        <v>4.6397856115107912</v>
      </c>
    </row>
    <row r="56" spans="1:29" ht="15.75" x14ac:dyDescent="0.25">
      <c r="A56" s="16">
        <v>42217</v>
      </c>
      <c r="B56" s="17">
        <f>CHOOSE(CONTROL!$C$42, 4.3664, 4.3664) * CHOOSE(CONTROL!$C$21, $C$9, 100%, $E$9)</f>
        <v>4.3663999999999996</v>
      </c>
      <c r="C56" s="17">
        <f>CHOOSE(CONTROL!$C$42, 4.3744, 4.3744) * CHOOSE(CONTROL!$C$21, $C$9, 100%, $E$9)</f>
        <v>4.3743999999999996</v>
      </c>
      <c r="D56" s="17">
        <f>CHOOSE(CONTROL!$C$42, 4.6343, 4.6343) * CHOOSE(CONTROL!$C$21, $C$9, 100%, $E$9)</f>
        <v>4.6342999999999996</v>
      </c>
      <c r="E56" s="17">
        <f>CHOOSE(CONTROL!$C$42, 4.6655, 4.6655) * CHOOSE(CONTROL!$C$21, $C$9, 100%, $E$9)</f>
        <v>4.6654999999999998</v>
      </c>
      <c r="F56" s="17">
        <f>CHOOSE(CONTROL!$C$42, 4.377, 4.377)*CHOOSE(CONTROL!$C$21, $C$9, 100%, $E$9)</f>
        <v>4.3769999999999998</v>
      </c>
      <c r="G56" s="17">
        <f>CHOOSE(CONTROL!$C$42, 4.3937, 4.3937)*CHOOSE(CONTROL!$C$21, $C$9, 100%, $E$9)</f>
        <v>4.3936999999999999</v>
      </c>
      <c r="H56" s="17">
        <f>CHOOSE(CONTROL!$C$42, 4.6538, 4.6538) * CHOOSE(CONTROL!$C$21, $C$9, 100%, $E$9)</f>
        <v>4.6538000000000004</v>
      </c>
      <c r="I56" s="17">
        <f>CHOOSE(CONTROL!$C$42, 4.4038, 4.4038)* CHOOSE(CONTROL!$C$21, $C$9, 100%, $E$9)</f>
        <v>4.4038000000000004</v>
      </c>
      <c r="J56" s="17">
        <f>CHOOSE(CONTROL!$C$42, 4.3696, 4.3696)* CHOOSE(CONTROL!$C$21, $C$9, 100%, $E$9)</f>
        <v>4.3696000000000002</v>
      </c>
      <c r="K56" s="52"/>
      <c r="L56" s="17">
        <f>CHOOSE(CONTROL!$C$42, 5.2408, 5.2408) * CHOOSE(CONTROL!$C$21, $C$9, 100%, $E$9)</f>
        <v>5.2408000000000001</v>
      </c>
      <c r="M56" s="17">
        <f>CHOOSE(CONTROL!$C$42, 4.3373, 4.3373) * CHOOSE(CONTROL!$C$21, $C$9, 100%, $E$9)</f>
        <v>4.3372999999999999</v>
      </c>
      <c r="N56" s="17">
        <f>CHOOSE(CONTROL!$C$42, 4.3539, 4.3539) * CHOOSE(CONTROL!$C$21, $C$9, 100%, $E$9)</f>
        <v>4.3539000000000003</v>
      </c>
      <c r="O56" s="17">
        <f>CHOOSE(CONTROL!$C$42, 4.619, 4.619) * CHOOSE(CONTROL!$C$21, $C$9, 100%, $E$9)</f>
        <v>4.6189999999999998</v>
      </c>
      <c r="P56" s="17">
        <f>CHOOSE(CONTROL!$C$42, 4.3711, 4.3711) * CHOOSE(CONTROL!$C$21, $C$9, 100%, $E$9)</f>
        <v>4.3711000000000002</v>
      </c>
      <c r="Q56" s="17">
        <f>CHOOSE(CONTROL!$C$42, 5.2137, 5.2137) * CHOOSE(CONTROL!$C$21, $C$9, 100%, $E$9)</f>
        <v>5.2137000000000002</v>
      </c>
      <c r="R56" s="17">
        <f>CHOOSE(CONTROL!$C$42, 5.8137, 5.8137) * CHOOSE(CONTROL!$C$21, $C$9, 100%, $E$9)</f>
        <v>5.8136999999999999</v>
      </c>
      <c r="S56" s="17">
        <f>CHOOSE(CONTROL!$C$42, 4.2225, 4.2225) * CHOOSE(CONTROL!$C$21, $C$9, 100%, $E$9)</f>
        <v>4.2225000000000001</v>
      </c>
      <c r="T56" s="57">
        <f>((((430000*CHOOSE(CONTROL!$C$42, 0.4694, 0.4694)+(874000-430000)*CHOOSE(CONTROL!$C$42, 0.7185, 0.7185)+400000*CHOOSE(CONTROL!$C$42, 1.14, 1.14)+50000*0.98)*CHOOSE(CONTROL!$C$42, 31, 31))/1000000))+CHOOSE(CONTROL!$C$42, 0.1911, 0.1911)+CHOOSE(CONTROL!$C$42, 0.5131, 0.5131)</f>
        <v>32.505735999999999</v>
      </c>
      <c r="U56" s="56">
        <f>(1000*CHOOSE(CONTROL!$C$42, 695, 695)*CHOOSE(CONTROL!$C$42, 0.5599, 0.5599)*CHOOSE(CONTROL!$C$42, 31, 31))/1000000</f>
        <v>12.063045499999998</v>
      </c>
      <c r="V56" s="56">
        <f>(1000*CHOOSE(CONTROL!$C$42, 580, 580)*CHOOSE(CONTROL!$C$42, 0.275, 0.275)*CHOOSE(CONTROL!$C$42, 31, 31))/1000000</f>
        <v>4.9444999999999997</v>
      </c>
      <c r="W56" s="56">
        <f>(1000*CHOOSE(CONTROL!$C$42, 0.0916, 0.0916)*CHOOSE(CONTROL!$C$42, 200, 200)*CHOOSE(CONTROL!$C$42, 31, 31))/1000000</f>
        <v>0.56791999999999998</v>
      </c>
      <c r="X56" s="56">
        <f>(31*0.1790888*145000/1000000)+(31*0.2374*100000/1000000)</f>
        <v>1.5409441560000001</v>
      </c>
      <c r="Y56" s="56"/>
      <c r="Z56" s="17">
        <f>CHOOSE(CONTROL!$C$42, 4.3389, 4.3389) * CHOOSE(CONTROL!$C$21, $C$9, 100%, $E$9)</f>
        <v>4.3388999999999998</v>
      </c>
      <c r="AA56" s="55">
        <f>(131500*31*(6/31))/1000000</f>
        <v>0.78900000000000003</v>
      </c>
      <c r="AB56" s="48">
        <f>(B56*194.205+C56*267.466+D56*133.845+E56*153.484+F56*40+G56*85+H56*50+I56*100+J56*300)/(194.205+267.466+133.845+153.484+50+40+85+100+300)</f>
        <v>4.4462477098942594</v>
      </c>
      <c r="AC56" s="45">
        <f t="shared" si="4"/>
        <v>4.4250230215827342</v>
      </c>
    </row>
    <row r="57" spans="1:29" ht="15.75" x14ac:dyDescent="0.25">
      <c r="A57" s="16">
        <v>42248</v>
      </c>
      <c r="B57" s="17">
        <f>CHOOSE(CONTROL!$C$42, 4.0981, 4.0981) * CHOOSE(CONTROL!$C$21, $C$9, 100%, $E$9)</f>
        <v>4.0980999999999996</v>
      </c>
      <c r="C57" s="17">
        <f>CHOOSE(CONTROL!$C$42, 4.1061, 4.1061) * CHOOSE(CONTROL!$C$21, $C$9, 100%, $E$9)</f>
        <v>4.1060999999999996</v>
      </c>
      <c r="D57" s="17">
        <f>CHOOSE(CONTROL!$C$42, 4.366, 4.366) * CHOOSE(CONTROL!$C$21, $C$9, 100%, $E$9)</f>
        <v>4.3659999999999997</v>
      </c>
      <c r="E57" s="17">
        <f>CHOOSE(CONTROL!$C$42, 4.3972, 4.3972) * CHOOSE(CONTROL!$C$21, $C$9, 100%, $E$9)</f>
        <v>4.3971999999999998</v>
      </c>
      <c r="F57" s="17">
        <f>CHOOSE(CONTROL!$C$42, 4.1088, 4.1088)*CHOOSE(CONTROL!$C$21, $C$9, 100%, $E$9)</f>
        <v>4.1087999999999996</v>
      </c>
      <c r="G57" s="17">
        <f>CHOOSE(CONTROL!$C$42, 4.1255, 4.1255)*CHOOSE(CONTROL!$C$21, $C$9, 100%, $E$9)</f>
        <v>4.1254999999999997</v>
      </c>
      <c r="H57" s="17">
        <f>CHOOSE(CONTROL!$C$42, 4.3855, 4.3855) * CHOOSE(CONTROL!$C$21, $C$9, 100%, $E$9)</f>
        <v>4.3855000000000004</v>
      </c>
      <c r="I57" s="17">
        <f>CHOOSE(CONTROL!$C$42, 4.1347, 4.1347)* CHOOSE(CONTROL!$C$21, $C$9, 100%, $E$9)</f>
        <v>4.1346999999999996</v>
      </c>
      <c r="J57" s="17">
        <f>CHOOSE(CONTROL!$C$42, 4.1014, 4.1014)* CHOOSE(CONTROL!$C$21, $C$9, 100%, $E$9)</f>
        <v>4.1013999999999999</v>
      </c>
      <c r="K57" s="52"/>
      <c r="L57" s="17">
        <f>CHOOSE(CONTROL!$C$42, 4.9725, 4.9725) * CHOOSE(CONTROL!$C$21, $C$9, 100%, $E$9)</f>
        <v>4.9725000000000001</v>
      </c>
      <c r="M57" s="17">
        <f>CHOOSE(CONTROL!$C$42, 4.0715, 4.0715) * CHOOSE(CONTROL!$C$21, $C$9, 100%, $E$9)</f>
        <v>4.0715000000000003</v>
      </c>
      <c r="N57" s="17">
        <f>CHOOSE(CONTROL!$C$42, 4.088, 4.088) * CHOOSE(CONTROL!$C$21, $C$9, 100%, $E$9)</f>
        <v>4.0880000000000001</v>
      </c>
      <c r="O57" s="17">
        <f>CHOOSE(CONTROL!$C$42, 4.3531, 4.3531) * CHOOSE(CONTROL!$C$21, $C$9, 100%, $E$9)</f>
        <v>4.3531000000000004</v>
      </c>
      <c r="P57" s="17">
        <f>CHOOSE(CONTROL!$C$42, 4.1044, 4.1044) * CHOOSE(CONTROL!$C$21, $C$9, 100%, $E$9)</f>
        <v>4.1044</v>
      </c>
      <c r="Q57" s="17">
        <f>CHOOSE(CONTROL!$C$42, 4.9478, 4.9478) * CHOOSE(CONTROL!$C$21, $C$9, 100%, $E$9)</f>
        <v>4.9478</v>
      </c>
      <c r="R57" s="17">
        <f>CHOOSE(CONTROL!$C$42, 5.5472, 5.5472) * CHOOSE(CONTROL!$C$21, $C$9, 100%, $E$9)</f>
        <v>5.5472000000000001</v>
      </c>
      <c r="S57" s="17">
        <f>CHOOSE(CONTROL!$C$42, 3.9624, 3.9624) * CHOOSE(CONTROL!$C$21, $C$9, 100%, $E$9)</f>
        <v>3.9624000000000001</v>
      </c>
      <c r="T57" s="57">
        <f>((((430000*CHOOSE(CONTROL!$C$42, 0.4694, 0.4694)+(874000-430000)*CHOOSE(CONTROL!$C$42, 0.7185, 0.7185)+400000*CHOOSE(CONTROL!$C$42, 1.14, 1.14)+50000*0.98)*CHOOSE(CONTROL!$C$42, 30, 30))/1000000))+CHOOSE(CONTROL!$C$42, 0.1717, 0.1717)+CHOOSE(CONTROL!$C$42, 0.4923, 0.4923)</f>
        <v>31.439680000000003</v>
      </c>
      <c r="U57" s="56">
        <f>(1000*CHOOSE(CONTROL!$C$42, 695, 695)*CHOOSE(CONTROL!$C$42, 0.5599, 0.5599)*CHOOSE(CONTROL!$C$42, 30, 30))/1000000</f>
        <v>11.673914999999997</v>
      </c>
      <c r="V57" s="56">
        <f>(1000*CHOOSE(CONTROL!$C$42, 580, 580)*CHOOSE(CONTROL!$C$42, 0.275, 0.275)*CHOOSE(CONTROL!$C$42, 30, 30))/1000000</f>
        <v>4.7850000000000001</v>
      </c>
      <c r="W57" s="56">
        <f>(1000*CHOOSE(CONTROL!$C$42, 0.0916, 0.0916)*CHOOSE(CONTROL!$C$42, 200, 200)*CHOOSE(CONTROL!$C$42, 30, 30))/1000000</f>
        <v>0.54959999999999998</v>
      </c>
      <c r="X57" s="56">
        <f>(30*0.1790888*145000/1000000)+(30*0.2374*100000/1000000)</f>
        <v>1.4912362799999999</v>
      </c>
      <c r="Y57" s="56"/>
      <c r="Z57" s="17">
        <f>CHOOSE(CONTROL!$C$42, 4.0726, 4.0726) * CHOOSE(CONTROL!$C$21, $C$9, 100%, $E$9)</f>
        <v>4.0726000000000004</v>
      </c>
      <c r="AA57" s="55">
        <f>(131500*30*(6/30))/1000000</f>
        <v>0.78900000000000003</v>
      </c>
      <c r="AB57" s="48">
        <f>(B57*194.205+C57*267.466+D57*133.845+E57*153.484+F57*40+G57*85+H57*50+I57*100+J57*300)/(194.205+267.466+133.845+153.484+50+40+85+100+300)</f>
        <v>4.1779193866314204</v>
      </c>
      <c r="AC57" s="45">
        <f t="shared" si="4"/>
        <v>4.1590424460431654</v>
      </c>
    </row>
    <row r="58" spans="1:29" ht="15.75" x14ac:dyDescent="0.25">
      <c r="A58" s="16">
        <v>42278</v>
      </c>
      <c r="B58" s="17">
        <f>CHOOSE(CONTROL!$C$42, 4.0217, 4.0217) * CHOOSE(CONTROL!$C$21, $C$9, 100%, $E$9)</f>
        <v>4.0217000000000001</v>
      </c>
      <c r="C58" s="17">
        <f>CHOOSE(CONTROL!$C$42, 4.027, 4.027) * CHOOSE(CONTROL!$C$21, $C$9, 100%, $E$9)</f>
        <v>4.0270000000000001</v>
      </c>
      <c r="D58" s="17">
        <f>CHOOSE(CONTROL!$C$42, 4.2918, 4.2918) * CHOOSE(CONTROL!$C$21, $C$9, 100%, $E$9)</f>
        <v>4.2918000000000003</v>
      </c>
      <c r="E58" s="17">
        <f>CHOOSE(CONTROL!$C$42, 4.3207, 4.3207) * CHOOSE(CONTROL!$C$21, $C$9, 100%, $E$9)</f>
        <v>4.3207000000000004</v>
      </c>
      <c r="F58" s="17">
        <f>CHOOSE(CONTROL!$C$42, 4.0345, 4.0345)*CHOOSE(CONTROL!$C$21, $C$9, 100%, $E$9)</f>
        <v>4.0345000000000004</v>
      </c>
      <c r="G58" s="17">
        <f>CHOOSE(CONTROL!$C$42, 4.0511, 4.0511)*CHOOSE(CONTROL!$C$21, $C$9, 100%, $E$9)</f>
        <v>4.0510999999999999</v>
      </c>
      <c r="H58" s="17">
        <f>CHOOSE(CONTROL!$C$42, 4.3108, 4.3108) * CHOOSE(CONTROL!$C$21, $C$9, 100%, $E$9)</f>
        <v>4.3108000000000004</v>
      </c>
      <c r="I58" s="17">
        <f>CHOOSE(CONTROL!$C$42, 4.0597, 4.0597)* CHOOSE(CONTROL!$C$21, $C$9, 100%, $E$9)</f>
        <v>4.0597000000000003</v>
      </c>
      <c r="J58" s="17">
        <f>CHOOSE(CONTROL!$C$42, 4.0271, 4.0271)* CHOOSE(CONTROL!$C$21, $C$9, 100%, $E$9)</f>
        <v>4.0270999999999999</v>
      </c>
      <c r="K58" s="52"/>
      <c r="L58" s="17">
        <f>CHOOSE(CONTROL!$C$42, 4.8978, 4.8978) * CHOOSE(CONTROL!$C$21, $C$9, 100%, $E$9)</f>
        <v>4.8978000000000002</v>
      </c>
      <c r="M58" s="17">
        <f>CHOOSE(CONTROL!$C$42, 3.9979, 3.9979) * CHOOSE(CONTROL!$C$21, $C$9, 100%, $E$9)</f>
        <v>3.9979</v>
      </c>
      <c r="N58" s="17">
        <f>CHOOSE(CONTROL!$C$42, 4.0143, 4.0143) * CHOOSE(CONTROL!$C$21, $C$9, 100%, $E$9)</f>
        <v>4.0143000000000004</v>
      </c>
      <c r="O58" s="17">
        <f>CHOOSE(CONTROL!$C$42, 4.2791, 4.2791) * CHOOSE(CONTROL!$C$21, $C$9, 100%, $E$9)</f>
        <v>4.2790999999999997</v>
      </c>
      <c r="P58" s="17">
        <f>CHOOSE(CONTROL!$C$42, 4.0302, 4.0302) * CHOOSE(CONTROL!$C$21, $C$9, 100%, $E$9)</f>
        <v>4.0301999999999998</v>
      </c>
      <c r="Q58" s="17">
        <f>CHOOSE(CONTROL!$C$42, 4.8738, 4.8738) * CHOOSE(CONTROL!$C$21, $C$9, 100%, $E$9)</f>
        <v>4.8738000000000001</v>
      </c>
      <c r="R58" s="17">
        <f>CHOOSE(CONTROL!$C$42, 5.473, 5.473) * CHOOSE(CONTROL!$C$21, $C$9, 100%, $E$9)</f>
        <v>5.4729999999999999</v>
      </c>
      <c r="S58" s="17">
        <f>CHOOSE(CONTROL!$C$42, 3.8899, 3.8899) * CHOOSE(CONTROL!$C$21, $C$9, 100%, $E$9)</f>
        <v>3.8898999999999999</v>
      </c>
      <c r="T58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58" s="56">
        <f>(1000*CHOOSE(CONTROL!$C$42, 695, 695)*CHOOSE(CONTROL!$C$42, 0.5599, 0.5599)*CHOOSE(CONTROL!$C$42, 31, 31))/1000000</f>
        <v>12.063045499999998</v>
      </c>
      <c r="V58" s="56">
        <f>(1000*CHOOSE(CONTROL!$C$42, 580, 580)*CHOOSE(CONTROL!$C$42, 0.275, 0.275)*CHOOSE(CONTROL!$C$42, 31, 31))/1000000</f>
        <v>4.9444999999999997</v>
      </c>
      <c r="W58" s="56">
        <f>(1000*CHOOSE(CONTROL!$C$42, 0.0916, 0.0916)*CHOOSE(CONTROL!$C$42, 200, 200)*CHOOSE(CONTROL!$C$42, 31, 31))/1000000</f>
        <v>0.56791999999999998</v>
      </c>
      <c r="X58" s="56">
        <f>(31*0.1790888*145000/1000000)+(31*0.2374*100000/1000000)</f>
        <v>1.5409441560000001</v>
      </c>
      <c r="Y58" s="56"/>
      <c r="Z58" s="17">
        <f>CHOOSE(CONTROL!$C$42, 3.9985, 3.9985) * CHOOSE(CONTROL!$C$21, $C$9, 100%, $E$9)</f>
        <v>3.9984999999999999</v>
      </c>
      <c r="AA58" s="55">
        <f>(131500*31*(6/31))/1000000</f>
        <v>0.78900000000000003</v>
      </c>
      <c r="AB58" s="48">
        <f>(B58*131.881+C58*277.167+D58*79.08+E58*225.872+F58*40+G58*85+H58*0+I58*100+J58*300)/(131.881+277.167+79.08+225.872+0+40+85+100+300)</f>
        <v>4.1014378701372074</v>
      </c>
      <c r="AC58" s="45">
        <f t="shared" si="4"/>
        <v>4.0852208633093525</v>
      </c>
    </row>
    <row r="59" spans="1:29" ht="15.75" x14ac:dyDescent="0.25">
      <c r="A59" s="16">
        <v>42309</v>
      </c>
      <c r="B59" s="17">
        <f>CHOOSE(CONTROL!$C$42, 4.1354, 4.1354) * CHOOSE(CONTROL!$C$21, $C$9, 100%, $E$9)</f>
        <v>4.1353999999999997</v>
      </c>
      <c r="C59" s="17">
        <f>CHOOSE(CONTROL!$C$42, 4.1405, 4.1405) * CHOOSE(CONTROL!$C$21, $C$9, 100%, $E$9)</f>
        <v>4.1405000000000003</v>
      </c>
      <c r="D59" s="17">
        <f>CHOOSE(CONTROL!$C$42, 4.2812, 4.2812) * CHOOSE(CONTROL!$C$21, $C$9, 100%, $E$9)</f>
        <v>4.2812000000000001</v>
      </c>
      <c r="E59" s="17">
        <f>CHOOSE(CONTROL!$C$42, 4.3149, 4.3149) * CHOOSE(CONTROL!$C$21, $C$9, 100%, $E$9)</f>
        <v>4.3148999999999997</v>
      </c>
      <c r="F59" s="17">
        <f>CHOOSE(CONTROL!$C$42, 4.1487, 4.1487)*CHOOSE(CONTROL!$C$21, $C$9, 100%, $E$9)</f>
        <v>4.1486999999999998</v>
      </c>
      <c r="G59" s="17">
        <f>CHOOSE(CONTROL!$C$42, 4.1656, 4.1656)*CHOOSE(CONTROL!$C$21, $C$9, 100%, $E$9)</f>
        <v>4.1656000000000004</v>
      </c>
      <c r="H59" s="17">
        <f>CHOOSE(CONTROL!$C$42, 4.3038, 4.3038) * CHOOSE(CONTROL!$C$21, $C$9, 100%, $E$9)</f>
        <v>4.3037999999999998</v>
      </c>
      <c r="I59" s="17">
        <f>CHOOSE(CONTROL!$C$42, 4.1706, 4.1706)* CHOOSE(CONTROL!$C$21, $C$9, 100%, $E$9)</f>
        <v>4.1706000000000003</v>
      </c>
      <c r="J59" s="17">
        <f>CHOOSE(CONTROL!$C$42, 4.1413, 4.1413)* CHOOSE(CONTROL!$C$21, $C$9, 100%, $E$9)</f>
        <v>4.1413000000000002</v>
      </c>
      <c r="K59" s="52"/>
      <c r="L59" s="17">
        <f>CHOOSE(CONTROL!$C$42, 4.8908, 4.8908) * CHOOSE(CONTROL!$C$21, $C$9, 100%, $E$9)</f>
        <v>4.8907999999999996</v>
      </c>
      <c r="M59" s="17">
        <f>CHOOSE(CONTROL!$C$42, 4.1111, 4.1111) * CHOOSE(CONTROL!$C$21, $C$9, 100%, $E$9)</f>
        <v>4.1111000000000004</v>
      </c>
      <c r="N59" s="17">
        <f>CHOOSE(CONTROL!$C$42, 4.1278, 4.1278) * CHOOSE(CONTROL!$C$21, $C$9, 100%, $E$9)</f>
        <v>4.1277999999999997</v>
      </c>
      <c r="O59" s="17">
        <f>CHOOSE(CONTROL!$C$42, 4.2721, 4.2721) * CHOOSE(CONTROL!$C$21, $C$9, 100%, $E$9)</f>
        <v>4.2721</v>
      </c>
      <c r="P59" s="17">
        <f>CHOOSE(CONTROL!$C$42, 4.1401, 4.1401) * CHOOSE(CONTROL!$C$21, $C$9, 100%, $E$9)</f>
        <v>4.1401000000000003</v>
      </c>
      <c r="Q59" s="17">
        <f>CHOOSE(CONTROL!$C$42, 4.8668, 4.8668) * CHOOSE(CONTROL!$C$21, $C$9, 100%, $E$9)</f>
        <v>4.8667999999999996</v>
      </c>
      <c r="R59" s="17">
        <f>CHOOSE(CONTROL!$C$42, 5.466, 5.466) * CHOOSE(CONTROL!$C$21, $C$9, 100%, $E$9)</f>
        <v>5.4660000000000002</v>
      </c>
      <c r="S59" s="17">
        <f>CHOOSE(CONTROL!$C$42, 4.0006, 4.0006) * CHOOSE(CONTROL!$C$21, $C$9, 100%, $E$9)</f>
        <v>4.0006000000000004</v>
      </c>
      <c r="T59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59" s="56">
        <f>(1000*CHOOSE(CONTROL!$C$42, 695, 695)*CHOOSE(CONTROL!$C$42, 0.5599, 0.5599)*CHOOSE(CONTROL!$C$42, 30, 30))/1000000</f>
        <v>11.673914999999997</v>
      </c>
      <c r="V59" s="56">
        <f>(1000*CHOOSE(CONTROL!$C$42, 580, 580)*CHOOSE(CONTROL!$C$42, 0.275, 0.275)*CHOOSE(CONTROL!$C$42, 30, 30))/1000000</f>
        <v>4.7850000000000001</v>
      </c>
      <c r="W59" s="56">
        <f>(1000*CHOOSE(CONTROL!$C$42, 0.0916, 0.0916)*CHOOSE(CONTROL!$C$42, 200, 200)*CHOOSE(CONTROL!$C$42, 30, 30))/1000000</f>
        <v>0.54959999999999998</v>
      </c>
      <c r="X59" s="56">
        <f>(30*0.2374*100000/1000000)</f>
        <v>0.71220000000000006</v>
      </c>
      <c r="Y59" s="56"/>
      <c r="Z59" s="17">
        <f>CHOOSE(CONTROL!$C$42, 4.1169, 4.1169) * CHOOSE(CONTROL!$C$21, $C$9, 100%, $E$9)</f>
        <v>4.1169000000000002</v>
      </c>
      <c r="AA59" s="55">
        <f>(131500*30*(6/30))/1000000</f>
        <v>0.78900000000000003</v>
      </c>
      <c r="AB59" s="48">
        <f>(B59*122.58+C59*297.941+D59*89.177+E59*140.302+F59*40+G59*60+H59*0+I59*100+J59*300)/(122.58+297.941+89.177+140.302+0+40+60+100+300)</f>
        <v>4.1765649693043478</v>
      </c>
      <c r="AC59" s="45">
        <f>(M59*240+N59*40+O59*315+P59*100)/(240+40+315+100)</f>
        <v>4.1892050359712236</v>
      </c>
    </row>
    <row r="60" spans="1:29" ht="15.75" x14ac:dyDescent="0.25">
      <c r="A60" s="16">
        <v>42339</v>
      </c>
      <c r="B60" s="17">
        <f>CHOOSE(CONTROL!$C$42, 4.4257, 4.4257) * CHOOSE(CONTROL!$C$21, $C$9, 100%, $E$9)</f>
        <v>4.4257</v>
      </c>
      <c r="C60" s="17">
        <f>CHOOSE(CONTROL!$C$42, 4.4308, 4.4308) * CHOOSE(CONTROL!$C$21, $C$9, 100%, $E$9)</f>
        <v>4.4307999999999996</v>
      </c>
      <c r="D60" s="17">
        <f>CHOOSE(CONTROL!$C$42, 4.5715, 4.5715) * CHOOSE(CONTROL!$C$21, $C$9, 100%, $E$9)</f>
        <v>4.5715000000000003</v>
      </c>
      <c r="E60" s="17">
        <f>CHOOSE(CONTROL!$C$42, 4.6052, 4.6052) * CHOOSE(CONTROL!$C$21, $C$9, 100%, $E$9)</f>
        <v>4.6052</v>
      </c>
      <c r="F60" s="17">
        <f>CHOOSE(CONTROL!$C$42, 4.4414, 4.4414)*CHOOSE(CONTROL!$C$21, $C$9, 100%, $E$9)</f>
        <v>4.4413999999999998</v>
      </c>
      <c r="G60" s="17">
        <f>CHOOSE(CONTROL!$C$42, 4.4589, 4.4589)*CHOOSE(CONTROL!$C$21, $C$9, 100%, $E$9)</f>
        <v>4.4588999999999999</v>
      </c>
      <c r="H60" s="17">
        <f>CHOOSE(CONTROL!$C$42, 4.5941, 4.5941) * CHOOSE(CONTROL!$C$21, $C$9, 100%, $E$9)</f>
        <v>4.5941000000000001</v>
      </c>
      <c r="I60" s="17">
        <f>CHOOSE(CONTROL!$C$42, 4.4618, 4.4618)* CHOOSE(CONTROL!$C$21, $C$9, 100%, $E$9)</f>
        <v>4.4618000000000002</v>
      </c>
      <c r="J60" s="17">
        <f>CHOOSE(CONTROL!$C$42, 4.434, 4.434)* CHOOSE(CONTROL!$C$21, $C$9, 100%, $E$9)</f>
        <v>4.4340000000000002</v>
      </c>
      <c r="K60" s="52"/>
      <c r="L60" s="17">
        <f>CHOOSE(CONTROL!$C$42, 5.1811, 5.1811) * CHOOSE(CONTROL!$C$21, $C$9, 100%, $E$9)</f>
        <v>5.1810999999999998</v>
      </c>
      <c r="M60" s="17">
        <f>CHOOSE(CONTROL!$C$42, 4.4012, 4.4012) * CHOOSE(CONTROL!$C$21, $C$9, 100%, $E$9)</f>
        <v>4.4012000000000002</v>
      </c>
      <c r="N60" s="17">
        <f>CHOOSE(CONTROL!$C$42, 4.4185, 4.4185) * CHOOSE(CONTROL!$C$21, $C$9, 100%, $E$9)</f>
        <v>4.4184999999999999</v>
      </c>
      <c r="O60" s="17">
        <f>CHOOSE(CONTROL!$C$42, 4.5598, 4.5598) * CHOOSE(CONTROL!$C$21, $C$9, 100%, $E$9)</f>
        <v>4.5598000000000001</v>
      </c>
      <c r="P60" s="17">
        <f>CHOOSE(CONTROL!$C$42, 4.4286, 4.4286) * CHOOSE(CONTROL!$C$21, $C$9, 100%, $E$9)</f>
        <v>4.4286000000000003</v>
      </c>
      <c r="Q60" s="17">
        <f>CHOOSE(CONTROL!$C$42, 5.1545, 5.1545) * CHOOSE(CONTROL!$C$21, $C$9, 100%, $E$9)</f>
        <v>5.1544999999999996</v>
      </c>
      <c r="R60" s="17">
        <f>CHOOSE(CONTROL!$C$42, 5.7544, 5.7544) * CHOOSE(CONTROL!$C$21, $C$9, 100%, $E$9)</f>
        <v>5.7544000000000004</v>
      </c>
      <c r="S60" s="17">
        <f>CHOOSE(CONTROL!$C$42, 4.2821, 4.2821) * CHOOSE(CONTROL!$C$21, $C$9, 100%, $E$9)</f>
        <v>4.2820999999999998</v>
      </c>
      <c r="T60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60" s="56">
        <f>(1000*CHOOSE(CONTROL!$C$42, 695, 695)*CHOOSE(CONTROL!$C$42, 0.5599, 0.5599)*CHOOSE(CONTROL!$C$42, 31, 31))/1000000</f>
        <v>12.063045499999998</v>
      </c>
      <c r="V60" s="56">
        <f>(1000*CHOOSE(CONTROL!$C$42, 580, 580)*CHOOSE(CONTROL!$C$42, 0.275, 0.275)*CHOOSE(CONTROL!$C$42, 31, 31))/1000000</f>
        <v>4.9444999999999997</v>
      </c>
      <c r="W60" s="56">
        <f>(1000*CHOOSE(CONTROL!$C$42, 0.0916, 0.0916)*CHOOSE(CONTROL!$C$42, 200, 200)*CHOOSE(CONTROL!$C$42, 31, 31))/1000000</f>
        <v>0.56791999999999998</v>
      </c>
      <c r="X60" s="56">
        <f>(31*0.2374*100000/1000000)</f>
        <v>0.73594000000000004</v>
      </c>
      <c r="Y60" s="56"/>
      <c r="Z60" s="17">
        <f>CHOOSE(CONTROL!$C$42, 4.405, 4.405) * CHOOSE(CONTROL!$C$21, $C$9, 100%, $E$9)</f>
        <v>4.4050000000000002</v>
      </c>
      <c r="AA60" s="55">
        <f>(131500*31*(6/31))/1000000</f>
        <v>0.78900000000000003</v>
      </c>
      <c r="AB60" s="48">
        <f>(B60*122.58+C60*297.941+D60*89.177+E60*140.302+F60*40+G60*60+H60*0+I60*100+J60*300)/(122.58+297.941+89.177+140.302+0+40+60+100+300)</f>
        <v>4.4678093171304338</v>
      </c>
      <c r="AC60" s="45">
        <f>(M60*240+N60*40+O60*315+P60*100)/(240+40+315+100)</f>
        <v>4.4780215827338132</v>
      </c>
    </row>
    <row r="61" spans="1:29" ht="15.75" x14ac:dyDescent="0.25">
      <c r="A61" s="16">
        <v>42370</v>
      </c>
      <c r="B61" s="17">
        <f>CHOOSE(CONTROL!$C$42, 4.752, 4.752) * CHOOSE(CONTROL!$C$21, $C$9, 100%, $E$9)</f>
        <v>4.7519999999999998</v>
      </c>
      <c r="C61" s="17">
        <f>CHOOSE(CONTROL!$C$42, 4.757, 4.757) * CHOOSE(CONTROL!$C$21, $C$9, 100%, $E$9)</f>
        <v>4.7569999999999997</v>
      </c>
      <c r="D61" s="17">
        <f>CHOOSE(CONTROL!$C$42, 4.891, 4.891) * CHOOSE(CONTROL!$C$21, $C$9, 100%, $E$9)</f>
        <v>4.891</v>
      </c>
      <c r="E61" s="17">
        <f>CHOOSE(CONTROL!$C$42, 4.9248, 4.9248) * CHOOSE(CONTROL!$C$21, $C$9, 100%, $E$9)</f>
        <v>4.9248000000000003</v>
      </c>
      <c r="F61" s="17">
        <f>CHOOSE(CONTROL!$C$42, 4.7654, 4.7654)*CHOOSE(CONTROL!$C$21, $C$9, 100%, $E$9)</f>
        <v>4.7653999999999996</v>
      </c>
      <c r="G61" s="17">
        <f>CHOOSE(CONTROL!$C$42, 4.7823, 4.7823)*CHOOSE(CONTROL!$C$21, $C$9, 100%, $E$9)</f>
        <v>4.7823000000000002</v>
      </c>
      <c r="H61" s="17">
        <f>CHOOSE(CONTROL!$C$42, 4.9136, 4.9136) * CHOOSE(CONTROL!$C$21, $C$9, 100%, $E$9)</f>
        <v>4.9135999999999997</v>
      </c>
      <c r="I61" s="17">
        <f>CHOOSE(CONTROL!$C$42, 4.7932, 4.7932)* CHOOSE(CONTROL!$C$21, $C$9, 100%, $E$9)</f>
        <v>4.7931999999999997</v>
      </c>
      <c r="J61" s="17">
        <f>CHOOSE(CONTROL!$C$42, 4.758, 4.758)* CHOOSE(CONTROL!$C$21, $C$9, 100%, $E$9)</f>
        <v>4.758</v>
      </c>
      <c r="K61" s="52"/>
      <c r="L61" s="17">
        <f>CHOOSE(CONTROL!$C$42, 5.5006, 5.5006) * CHOOSE(CONTROL!$C$21, $C$9, 100%, $E$9)</f>
        <v>5.5006000000000004</v>
      </c>
      <c r="M61" s="17">
        <f>CHOOSE(CONTROL!$C$42, 4.7222, 4.7222) * CHOOSE(CONTROL!$C$21, $C$9, 100%, $E$9)</f>
        <v>4.7222</v>
      </c>
      <c r="N61" s="17">
        <f>CHOOSE(CONTROL!$C$42, 4.739, 4.739) * CHOOSE(CONTROL!$C$21, $C$9, 100%, $E$9)</f>
        <v>4.7389999999999999</v>
      </c>
      <c r="O61" s="17">
        <f>CHOOSE(CONTROL!$C$42, 4.8765, 4.8765) * CHOOSE(CONTROL!$C$21, $C$9, 100%, $E$9)</f>
        <v>4.8765000000000001</v>
      </c>
      <c r="P61" s="17">
        <f>CHOOSE(CONTROL!$C$42, 4.757, 4.757) * CHOOSE(CONTROL!$C$21, $C$9, 100%, $E$9)</f>
        <v>4.7569999999999997</v>
      </c>
      <c r="Q61" s="17">
        <f>CHOOSE(CONTROL!$C$42, 5.4712, 5.4712) * CHOOSE(CONTROL!$C$21, $C$9, 100%, $E$9)</f>
        <v>5.4711999999999996</v>
      </c>
      <c r="R61" s="17">
        <f>CHOOSE(CONTROL!$C$42, 6.0718, 6.0718) * CHOOSE(CONTROL!$C$21, $C$9, 100%, $E$9)</f>
        <v>6.0717999999999996</v>
      </c>
      <c r="S61" s="17">
        <f>CHOOSE(CONTROL!$C$42, 4.5985, 4.5985) * CHOOSE(CONTROL!$C$21, $C$9, 100%, $E$9)</f>
        <v>4.5984999999999996</v>
      </c>
      <c r="T61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61" s="56">
        <f>(1000*CHOOSE(CONTROL!$C$42, 695, 695)*CHOOSE(CONTROL!$C$42, 0.5599, 0.5599)*CHOOSE(CONTROL!$C$42, 31, 31))/1000000</f>
        <v>12.063045499999998</v>
      </c>
      <c r="V61" s="56">
        <f>(1000*CHOOSE(CONTROL!$C$42, 580, 580)*CHOOSE(CONTROL!$C$42, 0.275, 0.275)*CHOOSE(CONTROL!$C$42, 31, 31))/1000000</f>
        <v>4.9444999999999997</v>
      </c>
      <c r="W61" s="56">
        <f>(1000*CHOOSE(CONTROL!$C$42, 0.0916, 0.0916)*CHOOSE(CONTROL!$C$42, 200, 200)*CHOOSE(CONTROL!$C$42, 31, 31))/1000000</f>
        <v>0.56791999999999998</v>
      </c>
      <c r="X61" s="56">
        <f>(31*0.2374*100000/1000000)</f>
        <v>0.73594000000000004</v>
      </c>
      <c r="Y61" s="56"/>
      <c r="Z61" s="17"/>
      <c r="AA61" s="55"/>
      <c r="AB61" s="48">
        <f>(B61*122.58+C61*297.941+D61*89.177+E61*140.302+F61*40+G61*60+H61*0+I61*100+J61*300)/(122.58+297.941+89.177+140.302+0+40+60+100+300)</f>
        <v>4.7923508640000003</v>
      </c>
      <c r="AC61" s="45">
        <f>(M61*'RAP TEMPLATE-GAS AVAILABILITY'!O60+N61*'RAP TEMPLATE-GAS AVAILABILITY'!P60+O61*'RAP TEMPLATE-GAS AVAILABILITY'!Q60+P61*'RAP TEMPLATE-GAS AVAILABILITY'!R60)/('RAP TEMPLATE-GAS AVAILABILITY'!O60+'RAP TEMPLATE-GAS AVAILABILITY'!P60+'RAP TEMPLATE-GAS AVAILABILITY'!Q60+'RAP TEMPLATE-GAS AVAILABILITY'!R60)</f>
        <v>4.7981086330935243</v>
      </c>
    </row>
    <row r="62" spans="1:29" ht="15.75" x14ac:dyDescent="0.25">
      <c r="A62" s="16">
        <v>42401</v>
      </c>
      <c r="B62" s="17">
        <f>CHOOSE(CONTROL!$C$42, 4.8463, 4.8463) * CHOOSE(CONTROL!$C$21, $C$9, 100%, $E$9)</f>
        <v>4.8463000000000003</v>
      </c>
      <c r="C62" s="17">
        <f>CHOOSE(CONTROL!$C$42, 4.8514, 4.8514) * CHOOSE(CONTROL!$C$21, $C$9, 100%, $E$9)</f>
        <v>4.8513999999999999</v>
      </c>
      <c r="D62" s="17">
        <f>CHOOSE(CONTROL!$C$42, 4.9853, 4.9853) * CHOOSE(CONTROL!$C$21, $C$9, 100%, $E$9)</f>
        <v>4.9852999999999996</v>
      </c>
      <c r="E62" s="17">
        <f>CHOOSE(CONTROL!$C$42, 5.0191, 5.0191) * CHOOSE(CONTROL!$C$21, $C$9, 100%, $E$9)</f>
        <v>5.0190999999999999</v>
      </c>
      <c r="F62" s="17">
        <f>CHOOSE(CONTROL!$C$42, 4.8597, 4.8597)*CHOOSE(CONTROL!$C$21, $C$9, 100%, $E$9)</f>
        <v>4.8597000000000001</v>
      </c>
      <c r="G62" s="17">
        <f>CHOOSE(CONTROL!$C$42, 4.8766, 4.8766)*CHOOSE(CONTROL!$C$21, $C$9, 100%, $E$9)</f>
        <v>4.8765999999999998</v>
      </c>
      <c r="H62" s="17">
        <f>CHOOSE(CONTROL!$C$42, 5.008, 5.008) * CHOOSE(CONTROL!$C$21, $C$9, 100%, $E$9)</f>
        <v>5.008</v>
      </c>
      <c r="I62" s="17">
        <f>CHOOSE(CONTROL!$C$42, 4.8878, 4.8878)* CHOOSE(CONTROL!$C$21, $C$9, 100%, $E$9)</f>
        <v>4.8878000000000004</v>
      </c>
      <c r="J62" s="17">
        <f>CHOOSE(CONTROL!$C$42, 4.8523, 4.8523)* CHOOSE(CONTROL!$C$21, $C$9, 100%, $E$9)</f>
        <v>4.8522999999999996</v>
      </c>
      <c r="K62" s="52"/>
      <c r="L62" s="17">
        <f>CHOOSE(CONTROL!$C$42, 5.595, 5.595) * CHOOSE(CONTROL!$C$21, $C$9, 100%, $E$9)</f>
        <v>5.5949999999999998</v>
      </c>
      <c r="M62" s="17">
        <f>CHOOSE(CONTROL!$C$42, 4.8157, 4.8157) * CHOOSE(CONTROL!$C$21, $C$9, 100%, $E$9)</f>
        <v>4.8156999999999996</v>
      </c>
      <c r="N62" s="17">
        <f>CHOOSE(CONTROL!$C$42, 4.8324, 4.8324) * CHOOSE(CONTROL!$C$21, $C$9, 100%, $E$9)</f>
        <v>4.8323999999999998</v>
      </c>
      <c r="O62" s="17">
        <f>CHOOSE(CONTROL!$C$42, 4.9699, 4.9699) * CHOOSE(CONTROL!$C$21, $C$9, 100%, $E$9)</f>
        <v>4.9699</v>
      </c>
      <c r="P62" s="17">
        <f>CHOOSE(CONTROL!$C$42, 4.8508, 4.8508) * CHOOSE(CONTROL!$C$21, $C$9, 100%, $E$9)</f>
        <v>4.8507999999999996</v>
      </c>
      <c r="Q62" s="17">
        <f>CHOOSE(CONTROL!$C$42, 5.5646, 5.5646) * CHOOSE(CONTROL!$C$21, $C$9, 100%, $E$9)</f>
        <v>5.5646000000000004</v>
      </c>
      <c r="R62" s="17">
        <f>CHOOSE(CONTROL!$C$42, 6.1656, 6.1656) * CHOOSE(CONTROL!$C$21, $C$9, 100%, $E$9)</f>
        <v>6.1656000000000004</v>
      </c>
      <c r="S62" s="17">
        <f>CHOOSE(CONTROL!$C$42, 4.6899, 4.6899) * CHOOSE(CONTROL!$C$21, $C$9, 100%, $E$9)</f>
        <v>4.6898999999999997</v>
      </c>
      <c r="T62" s="56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62" s="56">
        <f>(1000*CHOOSE(CONTROL!$C$42, 695, 695)*CHOOSE(CONTROL!$C$42, 0.5599, 0.5599)*CHOOSE(CONTROL!$C$42, 29, 29))/1000000</f>
        <v>11.284784499999999</v>
      </c>
      <c r="V62" s="56">
        <f>(1000*CHOOSE(CONTROL!$C$42, 580, 580)*CHOOSE(CONTROL!$C$42, 0.275, 0.275)*CHOOSE(CONTROL!$C$42, 29, 29))/1000000</f>
        <v>4.6254999999999997</v>
      </c>
      <c r="W62" s="56">
        <f>(1000*CHOOSE(CONTROL!$C$42, 0.0916, 0.0916)*CHOOSE(CONTROL!$C$42, 200, 200)*CHOOSE(CONTROL!$C$42, 29, 29))/1000000</f>
        <v>0.53127999999999997</v>
      </c>
      <c r="X62" s="56">
        <f>(29*0.2374*100000/1000000)</f>
        <v>0.68845999999999996</v>
      </c>
      <c r="Y62" s="56"/>
      <c r="Z62" s="17"/>
      <c r="AA62" s="55"/>
      <c r="AB62" s="48">
        <f>(B62*122.58+C62*297.941+D62*89.177+E62*140.302+F62*40+G62*60+H62*0+I62*100+J62*300)/(122.58+297.941+89.177+140.302+0+40+60+100+300)</f>
        <v>4.8867028588695645</v>
      </c>
      <c r="AC62" s="45">
        <f>(M62*'RAP TEMPLATE-GAS AVAILABILITY'!O61+N62*'RAP TEMPLATE-GAS AVAILABILITY'!P61+O62*'RAP TEMPLATE-GAS AVAILABILITY'!Q61+P62*'RAP TEMPLATE-GAS AVAILABILITY'!R61)/('RAP TEMPLATE-GAS AVAILABILITY'!O61+'RAP TEMPLATE-GAS AVAILABILITY'!P61+'RAP TEMPLATE-GAS AVAILABILITY'!Q61+'RAP TEMPLATE-GAS AVAILABILITY'!R61)</f>
        <v>4.89160071942446</v>
      </c>
    </row>
    <row r="63" spans="1:29" ht="15.75" x14ac:dyDescent="0.25">
      <c r="A63" s="16">
        <v>42430</v>
      </c>
      <c r="B63" s="17">
        <f>CHOOSE(CONTROL!$C$42, 4.7187, 4.7187) * CHOOSE(CONTROL!$C$21, $C$9, 100%, $E$9)</f>
        <v>4.7187000000000001</v>
      </c>
      <c r="C63" s="17">
        <f>CHOOSE(CONTROL!$C$42, 4.7238, 4.7238) * CHOOSE(CONTROL!$C$21, $C$9, 100%, $E$9)</f>
        <v>4.7237999999999998</v>
      </c>
      <c r="D63" s="17">
        <f>CHOOSE(CONTROL!$C$42, 4.8577, 4.8577) * CHOOSE(CONTROL!$C$21, $C$9, 100%, $E$9)</f>
        <v>4.8577000000000004</v>
      </c>
      <c r="E63" s="17">
        <f>CHOOSE(CONTROL!$C$42, 4.8915, 4.8915) * CHOOSE(CONTROL!$C$21, $C$9, 100%, $E$9)</f>
        <v>4.8914999999999997</v>
      </c>
      <c r="F63" s="17">
        <f>CHOOSE(CONTROL!$C$42, 4.7313, 4.7313)*CHOOSE(CONTROL!$C$21, $C$9, 100%, $E$9)</f>
        <v>4.7313000000000001</v>
      </c>
      <c r="G63" s="17">
        <f>CHOOSE(CONTROL!$C$42, 4.748, 4.748)*CHOOSE(CONTROL!$C$21, $C$9, 100%, $E$9)</f>
        <v>4.7480000000000002</v>
      </c>
      <c r="H63" s="17">
        <f>CHOOSE(CONTROL!$C$42, 4.8804, 4.8804) * CHOOSE(CONTROL!$C$21, $C$9, 100%, $E$9)</f>
        <v>4.8803999999999998</v>
      </c>
      <c r="I63" s="17">
        <f>CHOOSE(CONTROL!$C$42, 4.7598, 4.7598)* CHOOSE(CONTROL!$C$21, $C$9, 100%, $E$9)</f>
        <v>4.7598000000000003</v>
      </c>
      <c r="J63" s="17">
        <f>CHOOSE(CONTROL!$C$42, 4.7239, 4.7239)* CHOOSE(CONTROL!$C$21, $C$9, 100%, $E$9)</f>
        <v>4.7239000000000004</v>
      </c>
      <c r="K63" s="52"/>
      <c r="L63" s="17">
        <f>CHOOSE(CONTROL!$C$42, 5.4674, 5.4674) * CHOOSE(CONTROL!$C$21, $C$9, 100%, $E$9)</f>
        <v>5.4673999999999996</v>
      </c>
      <c r="M63" s="17">
        <f>CHOOSE(CONTROL!$C$42, 4.6885, 4.6885) * CHOOSE(CONTROL!$C$21, $C$9, 100%, $E$9)</f>
        <v>4.6885000000000003</v>
      </c>
      <c r="N63" s="17">
        <f>CHOOSE(CONTROL!$C$42, 4.705, 4.705) * CHOOSE(CONTROL!$C$21, $C$9, 100%, $E$9)</f>
        <v>4.7050000000000001</v>
      </c>
      <c r="O63" s="17">
        <f>CHOOSE(CONTROL!$C$42, 4.8435, 4.8435) * CHOOSE(CONTROL!$C$21, $C$9, 100%, $E$9)</f>
        <v>4.8434999999999997</v>
      </c>
      <c r="P63" s="17">
        <f>CHOOSE(CONTROL!$C$42, 4.724, 4.724) * CHOOSE(CONTROL!$C$21, $C$9, 100%, $E$9)</f>
        <v>4.7240000000000002</v>
      </c>
      <c r="Q63" s="17">
        <f>CHOOSE(CONTROL!$C$42, 5.4382, 5.4382) * CHOOSE(CONTROL!$C$21, $C$9, 100%, $E$9)</f>
        <v>5.4382000000000001</v>
      </c>
      <c r="R63" s="17">
        <f>CHOOSE(CONTROL!$C$42, 6.0388, 6.0388) * CHOOSE(CONTROL!$C$21, $C$9, 100%, $E$9)</f>
        <v>6.0388000000000002</v>
      </c>
      <c r="S63" s="17">
        <f>CHOOSE(CONTROL!$C$42, 4.5662, 4.5662) * CHOOSE(CONTROL!$C$21, $C$9, 100%, $E$9)</f>
        <v>4.5662000000000003</v>
      </c>
      <c r="T63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63" s="56">
        <f>(1000*CHOOSE(CONTROL!$C$42, 695, 695)*CHOOSE(CONTROL!$C$42, 0.5599, 0.5599)*CHOOSE(CONTROL!$C$42, 31, 31))/1000000</f>
        <v>12.063045499999998</v>
      </c>
      <c r="V63" s="56">
        <f>(1000*CHOOSE(CONTROL!$C$42, 580, 580)*CHOOSE(CONTROL!$C$42, 0.275, 0.275)*CHOOSE(CONTROL!$C$42, 31, 31))/1000000</f>
        <v>4.9444999999999997</v>
      </c>
      <c r="W63" s="56">
        <f>(1000*CHOOSE(CONTROL!$C$42, 0.0916, 0.0916)*CHOOSE(CONTROL!$C$42, 200, 200)*CHOOSE(CONTROL!$C$42, 31, 31))/1000000</f>
        <v>0.56791999999999998</v>
      </c>
      <c r="X63" s="56">
        <f>(31*0.2374*100000/1000000)</f>
        <v>0.73594000000000004</v>
      </c>
      <c r="Y63" s="56"/>
      <c r="Z63" s="17"/>
      <c r="AA63" s="55"/>
      <c r="AB63" s="48">
        <f>(B63*122.58+C63*297.941+D63*89.177+E63*140.302+F63*40+G63*60+H63*0+I63*100+J63*300)/(122.58+297.941+89.177+140.302+0+40+60+100+300)</f>
        <v>4.7587793806086962</v>
      </c>
      <c r="AC63" s="45">
        <f>(M63*'RAP TEMPLATE-GAS AVAILABILITY'!O62+N63*'RAP TEMPLATE-GAS AVAILABILITY'!P62+O63*'RAP TEMPLATE-GAS AVAILABILITY'!Q62+P63*'RAP TEMPLATE-GAS AVAILABILITY'!R62)/('RAP TEMPLATE-GAS AVAILABILITY'!O62+'RAP TEMPLATE-GAS AVAILABILITY'!P62+'RAP TEMPLATE-GAS AVAILABILITY'!Q62+'RAP TEMPLATE-GAS AVAILABILITY'!R62)</f>
        <v>4.764809352517986</v>
      </c>
    </row>
    <row r="64" spans="1:29" ht="15.75" x14ac:dyDescent="0.25">
      <c r="A64" s="16">
        <v>42461</v>
      </c>
      <c r="B64" s="17">
        <f>CHOOSE(CONTROL!$C$42, 4.7153, 4.7153) * CHOOSE(CONTROL!$C$21, $C$9, 100%, $E$9)</f>
        <v>4.7153</v>
      </c>
      <c r="C64" s="17">
        <f>CHOOSE(CONTROL!$C$42, 4.7198, 4.7198) * CHOOSE(CONTROL!$C$21, $C$9, 100%, $E$9)</f>
        <v>4.7198000000000002</v>
      </c>
      <c r="D64" s="17">
        <f>CHOOSE(CONTROL!$C$42, 4.9828, 4.9828) * CHOOSE(CONTROL!$C$21, $C$9, 100%, $E$9)</f>
        <v>4.9828000000000001</v>
      </c>
      <c r="E64" s="17">
        <f>CHOOSE(CONTROL!$C$42, 5.0146, 5.0146) * CHOOSE(CONTROL!$C$21, $C$9, 100%, $E$9)</f>
        <v>5.0145999999999997</v>
      </c>
      <c r="F64" s="17">
        <f>CHOOSE(CONTROL!$C$42, 4.7262, 4.7262)*CHOOSE(CONTROL!$C$21, $C$9, 100%, $E$9)</f>
        <v>4.7262000000000004</v>
      </c>
      <c r="G64" s="17">
        <f>CHOOSE(CONTROL!$C$42, 4.7424, 4.7424)*CHOOSE(CONTROL!$C$21, $C$9, 100%, $E$9)</f>
        <v>4.7423999999999999</v>
      </c>
      <c r="H64" s="17">
        <f>CHOOSE(CONTROL!$C$42, 5.0041, 5.0041) * CHOOSE(CONTROL!$C$21, $C$9, 100%, $E$9)</f>
        <v>5.0041000000000002</v>
      </c>
      <c r="I64" s="17">
        <f>CHOOSE(CONTROL!$C$42, 4.7551, 4.7551)* CHOOSE(CONTROL!$C$21, $C$9, 100%, $E$9)</f>
        <v>4.7550999999999997</v>
      </c>
      <c r="J64" s="17">
        <f>CHOOSE(CONTROL!$C$42, 4.7188, 4.7188)* CHOOSE(CONTROL!$C$21, $C$9, 100%, $E$9)</f>
        <v>4.7187999999999999</v>
      </c>
      <c r="K64" s="52"/>
      <c r="L64" s="17">
        <f>CHOOSE(CONTROL!$C$42, 5.5911, 5.5911) * CHOOSE(CONTROL!$C$21, $C$9, 100%, $E$9)</f>
        <v>5.5911</v>
      </c>
      <c r="M64" s="17">
        <f>CHOOSE(CONTROL!$C$42, 4.6834, 4.6834) * CHOOSE(CONTROL!$C$21, $C$9, 100%, $E$9)</f>
        <v>4.6833999999999998</v>
      </c>
      <c r="N64" s="17">
        <f>CHOOSE(CONTROL!$C$42, 4.6994, 4.6994) * CHOOSE(CONTROL!$C$21, $C$9, 100%, $E$9)</f>
        <v>4.6993999999999998</v>
      </c>
      <c r="O64" s="17">
        <f>CHOOSE(CONTROL!$C$42, 4.9661, 4.9661) * CHOOSE(CONTROL!$C$21, $C$9, 100%, $E$9)</f>
        <v>4.9661</v>
      </c>
      <c r="P64" s="17">
        <f>CHOOSE(CONTROL!$C$42, 4.7193, 4.7193) * CHOOSE(CONTROL!$C$21, $C$9, 100%, $E$9)</f>
        <v>4.7192999999999996</v>
      </c>
      <c r="Q64" s="17">
        <f>CHOOSE(CONTROL!$C$42, 5.5608, 5.5608) * CHOOSE(CONTROL!$C$21, $C$9, 100%, $E$9)</f>
        <v>5.5608000000000004</v>
      </c>
      <c r="R64" s="17">
        <f>CHOOSE(CONTROL!$C$42, 6.1617, 6.1617) * CHOOSE(CONTROL!$C$21, $C$9, 100%, $E$9)</f>
        <v>6.1616999999999997</v>
      </c>
      <c r="S64" s="17">
        <f>CHOOSE(CONTROL!$C$42, 4.5622, 4.5622) * CHOOSE(CONTROL!$C$21, $C$9, 100%, $E$9)</f>
        <v>4.5621999999999998</v>
      </c>
      <c r="T64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64" s="56">
        <f>(1000*CHOOSE(CONTROL!$C$42, 695, 695)*CHOOSE(CONTROL!$C$42, 0.5599, 0.5599)*CHOOSE(CONTROL!$C$42, 30, 30))/1000000</f>
        <v>11.673914999999997</v>
      </c>
      <c r="V64" s="56">
        <f>(1000*CHOOSE(CONTROL!$C$42, 580, 580)*CHOOSE(CONTROL!$C$42, 0.275, 0.275)*CHOOSE(CONTROL!$C$42, 30, 30))/1000000</f>
        <v>4.7850000000000001</v>
      </c>
      <c r="W64" s="56">
        <f>(1000*CHOOSE(CONTROL!$C$42, 0.0916, 0.0916)*CHOOSE(CONTROL!$C$42, 200, 200)*CHOOSE(CONTROL!$C$42, 30, 30))/1000000</f>
        <v>0.54959999999999998</v>
      </c>
      <c r="X64" s="56">
        <f>(30*0.1790888*145000/1000000)+(30*0.2374*100000/1000000)</f>
        <v>1.4912362799999999</v>
      </c>
      <c r="Y64" s="56"/>
      <c r="Z64" s="17"/>
      <c r="AA64" s="55"/>
      <c r="AB64" s="48">
        <f>(B64*141.293+C64*267.993+D64*115.016+E64*189.698+F64*40+G64*85+H64*0+I64*100+J64*300)/(141.293+267.993+115.016+189.698+0+40+85+100+300)</f>
        <v>4.7932006133171905</v>
      </c>
      <c r="AC64" s="45">
        <f>(M64*'RAP TEMPLATE-GAS AVAILABILITY'!O63+N64*'RAP TEMPLATE-GAS AVAILABILITY'!P63+O64*'RAP TEMPLATE-GAS AVAILABILITY'!Q63+P64*'RAP TEMPLATE-GAS AVAILABILITY'!R63)/('RAP TEMPLATE-GAS AVAILABILITY'!O63+'RAP TEMPLATE-GAS AVAILABILITY'!P63+'RAP TEMPLATE-GAS AVAILABILITY'!Q63+'RAP TEMPLATE-GAS AVAILABILITY'!R63)</f>
        <v>4.7715676258992801</v>
      </c>
    </row>
    <row r="65" spans="1:29" ht="15.75" x14ac:dyDescent="0.25">
      <c r="A65" s="16">
        <v>42491</v>
      </c>
      <c r="B65" s="17">
        <f>CHOOSE(CONTROL!$C$42, 4.768, 4.768) * CHOOSE(CONTROL!$C$21, $C$9, 100%, $E$9)</f>
        <v>4.7679999999999998</v>
      </c>
      <c r="C65" s="17">
        <f>CHOOSE(CONTROL!$C$42, 4.7759, 4.7759) * CHOOSE(CONTROL!$C$21, $C$9, 100%, $E$9)</f>
        <v>4.7759</v>
      </c>
      <c r="D65" s="17">
        <f>CHOOSE(CONTROL!$C$42, 5.0359, 5.0359) * CHOOSE(CONTROL!$C$21, $C$9, 100%, $E$9)</f>
        <v>5.0358999999999998</v>
      </c>
      <c r="E65" s="17">
        <f>CHOOSE(CONTROL!$C$42, 5.0671, 5.0671) * CHOOSE(CONTROL!$C$21, $C$9, 100%, $E$9)</f>
        <v>5.0670999999999999</v>
      </c>
      <c r="F65" s="17">
        <f>CHOOSE(CONTROL!$C$42, 4.7776, 4.7776)*CHOOSE(CONTROL!$C$21, $C$9, 100%, $E$9)</f>
        <v>4.7775999999999996</v>
      </c>
      <c r="G65" s="17">
        <f>CHOOSE(CONTROL!$C$42, 4.7941, 4.7941)*CHOOSE(CONTROL!$C$21, $C$9, 100%, $E$9)</f>
        <v>4.7941000000000003</v>
      </c>
      <c r="H65" s="17">
        <f>CHOOSE(CONTROL!$C$42, 5.0554, 5.0554) * CHOOSE(CONTROL!$C$21, $C$9, 100%, $E$9)</f>
        <v>5.0553999999999997</v>
      </c>
      <c r="I65" s="17">
        <f>CHOOSE(CONTROL!$C$42, 4.8066, 4.8066)* CHOOSE(CONTROL!$C$21, $C$9, 100%, $E$9)</f>
        <v>4.8066000000000004</v>
      </c>
      <c r="J65" s="17">
        <f>CHOOSE(CONTROL!$C$42, 4.7702, 4.7702)* CHOOSE(CONTROL!$C$21, $C$9, 100%, $E$9)</f>
        <v>4.7702</v>
      </c>
      <c r="K65" s="52"/>
      <c r="L65" s="17">
        <f>CHOOSE(CONTROL!$C$42, 5.6424, 5.6424) * CHOOSE(CONTROL!$C$21, $C$9, 100%, $E$9)</f>
        <v>5.6424000000000003</v>
      </c>
      <c r="M65" s="17">
        <f>CHOOSE(CONTROL!$C$42, 4.7343, 4.7343) * CHOOSE(CONTROL!$C$21, $C$9, 100%, $E$9)</f>
        <v>4.7343000000000002</v>
      </c>
      <c r="N65" s="17">
        <f>CHOOSE(CONTROL!$C$42, 4.7506, 4.7506) * CHOOSE(CONTROL!$C$21, $C$9, 100%, $E$9)</f>
        <v>4.7506000000000004</v>
      </c>
      <c r="O65" s="17">
        <f>CHOOSE(CONTROL!$C$42, 5.0169, 5.0169) * CHOOSE(CONTROL!$C$21, $C$9, 100%, $E$9)</f>
        <v>5.0168999999999997</v>
      </c>
      <c r="P65" s="17">
        <f>CHOOSE(CONTROL!$C$42, 4.7703, 4.7703) * CHOOSE(CONTROL!$C$21, $C$9, 100%, $E$9)</f>
        <v>4.7702999999999998</v>
      </c>
      <c r="Q65" s="17">
        <f>CHOOSE(CONTROL!$C$42, 5.6116, 5.6116) * CHOOSE(CONTROL!$C$21, $C$9, 100%, $E$9)</f>
        <v>5.6116000000000001</v>
      </c>
      <c r="R65" s="17">
        <f>CHOOSE(CONTROL!$C$42, 6.2126, 6.2126) * CHOOSE(CONTROL!$C$21, $C$9, 100%, $E$9)</f>
        <v>6.2126000000000001</v>
      </c>
      <c r="S65" s="17">
        <f>CHOOSE(CONTROL!$C$42, 4.6119, 4.6119) * CHOOSE(CONTROL!$C$21, $C$9, 100%, $E$9)</f>
        <v>4.6119000000000003</v>
      </c>
      <c r="T65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65" s="56">
        <f>(1000*CHOOSE(CONTROL!$C$42, 695, 695)*CHOOSE(CONTROL!$C$42, 0.5599, 0.5599)*CHOOSE(CONTROL!$C$42, 31, 31))/1000000</f>
        <v>12.063045499999998</v>
      </c>
      <c r="V65" s="56">
        <f>(1000*CHOOSE(CONTROL!$C$42, 580, 580)*CHOOSE(CONTROL!$C$42, 0.275, 0.275)*CHOOSE(CONTROL!$C$42, 31, 31))/1000000</f>
        <v>4.9444999999999997</v>
      </c>
      <c r="W65" s="56">
        <f>(1000*CHOOSE(CONTROL!$C$42, 0.0916, 0.0916)*CHOOSE(CONTROL!$C$42, 121.5, 121.5)*CHOOSE(CONTROL!$C$42, 31, 31))/1000000</f>
        <v>0.34501139999999997</v>
      </c>
      <c r="X65" s="56">
        <f>(31*0.1790888*145000/1000000)+(31*0.2374*100000/1000000)</f>
        <v>1.5409441560000001</v>
      </c>
      <c r="Y65" s="56"/>
      <c r="Z65" s="17"/>
      <c r="AA65" s="55"/>
      <c r="AB65" s="48">
        <f>(B65*194.205+C65*267.466+D65*133.845+E65*153.484+F65*40+G65*85+H65*0+I65*100+J65*300)/(194.205+267.466+133.845+153.484+0+40+85+100+300)</f>
        <v>4.8394282741758241</v>
      </c>
      <c r="AC65" s="45">
        <f>(M65*'RAP TEMPLATE-GAS AVAILABILITY'!O64+N65*'RAP TEMPLATE-GAS AVAILABILITY'!P64+O65*'RAP TEMPLATE-GAS AVAILABILITY'!Q64+P65*'RAP TEMPLATE-GAS AVAILABILITY'!R64)/('RAP TEMPLATE-GAS AVAILABILITY'!O64+'RAP TEMPLATE-GAS AVAILABILITY'!P64+'RAP TEMPLATE-GAS AVAILABILITY'!Q64+'RAP TEMPLATE-GAS AVAILABILITY'!R64)</f>
        <v>4.8225230215827333</v>
      </c>
    </row>
    <row r="66" spans="1:29" ht="15.75" x14ac:dyDescent="0.25">
      <c r="A66" s="16">
        <v>42522</v>
      </c>
      <c r="B66" s="17">
        <f>CHOOSE(CONTROL!$C$42, 4.9129, 4.9129) * CHOOSE(CONTROL!$C$21, $C$9, 100%, $E$9)</f>
        <v>4.9128999999999996</v>
      </c>
      <c r="C66" s="17">
        <f>CHOOSE(CONTROL!$C$42, 4.9209, 4.9209) * CHOOSE(CONTROL!$C$21, $C$9, 100%, $E$9)</f>
        <v>4.9208999999999996</v>
      </c>
      <c r="D66" s="17">
        <f>CHOOSE(CONTROL!$C$42, 5.1808, 5.1808) * CHOOSE(CONTROL!$C$21, $C$9, 100%, $E$9)</f>
        <v>5.1807999999999996</v>
      </c>
      <c r="E66" s="17">
        <f>CHOOSE(CONTROL!$C$42, 5.212, 5.212) * CHOOSE(CONTROL!$C$21, $C$9, 100%, $E$9)</f>
        <v>5.2119999999999997</v>
      </c>
      <c r="F66" s="17">
        <f>CHOOSE(CONTROL!$C$42, 4.9229, 4.9229)*CHOOSE(CONTROL!$C$21, $C$9, 100%, $E$9)</f>
        <v>4.9229000000000003</v>
      </c>
      <c r="G66" s="17">
        <f>CHOOSE(CONTROL!$C$42, 4.9394, 4.9394)*CHOOSE(CONTROL!$C$21, $C$9, 100%, $E$9)</f>
        <v>4.9394</v>
      </c>
      <c r="H66" s="17">
        <f>CHOOSE(CONTROL!$C$42, 5.2003, 5.2003) * CHOOSE(CONTROL!$C$21, $C$9, 100%, $E$9)</f>
        <v>5.2003000000000004</v>
      </c>
      <c r="I66" s="17">
        <f>CHOOSE(CONTROL!$C$42, 4.952, 4.952)* CHOOSE(CONTROL!$C$21, $C$9, 100%, $E$9)</f>
        <v>4.952</v>
      </c>
      <c r="J66" s="17">
        <f>CHOOSE(CONTROL!$C$42, 4.9155, 4.9155)* CHOOSE(CONTROL!$C$21, $C$9, 100%, $E$9)</f>
        <v>4.9154999999999998</v>
      </c>
      <c r="K66" s="52"/>
      <c r="L66" s="17">
        <f>CHOOSE(CONTROL!$C$42, 5.7873, 5.7873) * CHOOSE(CONTROL!$C$21, $C$9, 100%, $E$9)</f>
        <v>5.7873000000000001</v>
      </c>
      <c r="M66" s="17">
        <f>CHOOSE(CONTROL!$C$42, 4.8783, 4.8783) * CHOOSE(CONTROL!$C$21, $C$9, 100%, $E$9)</f>
        <v>4.8783000000000003</v>
      </c>
      <c r="N66" s="17">
        <f>CHOOSE(CONTROL!$C$42, 4.8947, 4.8947) * CHOOSE(CONTROL!$C$21, $C$9, 100%, $E$9)</f>
        <v>4.8947000000000003</v>
      </c>
      <c r="O66" s="17">
        <f>CHOOSE(CONTROL!$C$42, 5.1606, 5.1606) * CHOOSE(CONTROL!$C$21, $C$9, 100%, $E$9)</f>
        <v>5.1605999999999996</v>
      </c>
      <c r="P66" s="17">
        <f>CHOOSE(CONTROL!$C$42, 4.9144, 4.9144) * CHOOSE(CONTROL!$C$21, $C$9, 100%, $E$9)</f>
        <v>4.9143999999999997</v>
      </c>
      <c r="Q66" s="17">
        <f>CHOOSE(CONTROL!$C$42, 5.7553, 5.7553) * CHOOSE(CONTROL!$C$21, $C$9, 100%, $E$9)</f>
        <v>5.7553000000000001</v>
      </c>
      <c r="R66" s="17">
        <f>CHOOSE(CONTROL!$C$42, 6.3567, 6.3567) * CHOOSE(CONTROL!$C$21, $C$9, 100%, $E$9)</f>
        <v>6.3567</v>
      </c>
      <c r="S66" s="17">
        <f>CHOOSE(CONTROL!$C$42, 4.7525, 4.7525) * CHOOSE(CONTROL!$C$21, $C$9, 100%, $E$9)</f>
        <v>4.7525000000000004</v>
      </c>
      <c r="T66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66" s="56">
        <f>(1000*CHOOSE(CONTROL!$C$42, 695, 695)*CHOOSE(CONTROL!$C$42, 0.5599, 0.5599)*CHOOSE(CONTROL!$C$42, 30, 30))/1000000</f>
        <v>11.673914999999997</v>
      </c>
      <c r="V66" s="56">
        <f>(1000*CHOOSE(CONTROL!$C$42, 580, 580)*CHOOSE(CONTROL!$C$42, 0.275, 0.275)*CHOOSE(CONTROL!$C$42, 30, 30))/1000000</f>
        <v>4.7850000000000001</v>
      </c>
      <c r="W66" s="56">
        <f>(1000*CHOOSE(CONTROL!$C$42, 0.0916, 0.0916)*CHOOSE(CONTROL!$C$42, 121.5, 121.5)*CHOOSE(CONTROL!$C$42, 30, 30))/1000000</f>
        <v>0.33388200000000001</v>
      </c>
      <c r="X66" s="56">
        <f>(30*0.1790888*145000/1000000)+(30*0.2374*100000/1000000)</f>
        <v>1.4912362799999999</v>
      </c>
      <c r="Y66" s="56"/>
      <c r="Z66" s="17"/>
      <c r="AA66" s="55"/>
      <c r="AB66" s="48">
        <f>(B66*194.205+C66*267.466+D66*133.845+E66*153.484+F66*40+G66*85+H66*0+I66*100+J66*300)/(194.205+267.466+133.845+153.484+0+40+85+100+300)</f>
        <v>4.9845219528257454</v>
      </c>
      <c r="AC66" s="45">
        <f>(M66*'RAP TEMPLATE-GAS AVAILABILITY'!O65+N66*'RAP TEMPLATE-GAS AVAILABILITY'!P65+O66*'RAP TEMPLATE-GAS AVAILABILITY'!Q65+P66*'RAP TEMPLATE-GAS AVAILABILITY'!R65)/('RAP TEMPLATE-GAS AVAILABILITY'!O65+'RAP TEMPLATE-GAS AVAILABILITY'!P65+'RAP TEMPLATE-GAS AVAILABILITY'!Q65+'RAP TEMPLATE-GAS AVAILABILITY'!R65)</f>
        <v>4.966476258992806</v>
      </c>
    </row>
    <row r="67" spans="1:29" ht="15.75" x14ac:dyDescent="0.25">
      <c r="A67" s="16">
        <v>42552</v>
      </c>
      <c r="B67" s="17">
        <f>CHOOSE(CONTROL!$C$42, 4.8288, 4.8288) * CHOOSE(CONTROL!$C$21, $C$9, 100%, $E$9)</f>
        <v>4.8288000000000002</v>
      </c>
      <c r="C67" s="17">
        <f>CHOOSE(CONTROL!$C$42, 4.8368, 4.8368) * CHOOSE(CONTROL!$C$21, $C$9, 100%, $E$9)</f>
        <v>4.8368000000000002</v>
      </c>
      <c r="D67" s="17">
        <f>CHOOSE(CONTROL!$C$42, 5.0967, 5.0967) * CHOOSE(CONTROL!$C$21, $C$9, 100%, $E$9)</f>
        <v>5.0967000000000002</v>
      </c>
      <c r="E67" s="17">
        <f>CHOOSE(CONTROL!$C$42, 5.1279, 5.1279) * CHOOSE(CONTROL!$C$21, $C$9, 100%, $E$9)</f>
        <v>5.1279000000000003</v>
      </c>
      <c r="F67" s="17">
        <f>CHOOSE(CONTROL!$C$42, 4.8392, 4.8392)*CHOOSE(CONTROL!$C$21, $C$9, 100%, $E$9)</f>
        <v>4.8391999999999999</v>
      </c>
      <c r="G67" s="17">
        <f>CHOOSE(CONTROL!$C$42, 4.8558, 4.8558)*CHOOSE(CONTROL!$C$21, $C$9, 100%, $E$9)</f>
        <v>4.8558000000000003</v>
      </c>
      <c r="H67" s="17">
        <f>CHOOSE(CONTROL!$C$42, 5.1162, 5.1162) * CHOOSE(CONTROL!$C$21, $C$9, 100%, $E$9)</f>
        <v>5.1162000000000001</v>
      </c>
      <c r="I67" s="17">
        <f>CHOOSE(CONTROL!$C$42, 4.8676, 4.8676)* CHOOSE(CONTROL!$C$21, $C$9, 100%, $E$9)</f>
        <v>4.8676000000000004</v>
      </c>
      <c r="J67" s="17">
        <f>CHOOSE(CONTROL!$C$42, 4.8318, 4.8318)* CHOOSE(CONTROL!$C$21, $C$9, 100%, $E$9)</f>
        <v>4.8318000000000003</v>
      </c>
      <c r="K67" s="52"/>
      <c r="L67" s="17">
        <f>CHOOSE(CONTROL!$C$42, 5.7032, 5.7032) * CHOOSE(CONTROL!$C$21, $C$9, 100%, $E$9)</f>
        <v>5.7031999999999998</v>
      </c>
      <c r="M67" s="17">
        <f>CHOOSE(CONTROL!$C$42, 4.7953, 4.7953) * CHOOSE(CONTROL!$C$21, $C$9, 100%, $E$9)</f>
        <v>4.7953000000000001</v>
      </c>
      <c r="N67" s="17">
        <f>CHOOSE(CONTROL!$C$42, 4.8118, 4.8118) * CHOOSE(CONTROL!$C$21, $C$9, 100%, $E$9)</f>
        <v>4.8117999999999999</v>
      </c>
      <c r="O67" s="17">
        <f>CHOOSE(CONTROL!$C$42, 5.0772, 5.0772) * CHOOSE(CONTROL!$C$21, $C$9, 100%, $E$9)</f>
        <v>5.0772000000000004</v>
      </c>
      <c r="P67" s="17">
        <f>CHOOSE(CONTROL!$C$42, 4.8308, 4.8308) * CHOOSE(CONTROL!$C$21, $C$9, 100%, $E$9)</f>
        <v>4.8308</v>
      </c>
      <c r="Q67" s="17">
        <f>CHOOSE(CONTROL!$C$42, 5.6719, 5.6719) * CHOOSE(CONTROL!$C$21, $C$9, 100%, $E$9)</f>
        <v>5.6718999999999999</v>
      </c>
      <c r="R67" s="17">
        <f>CHOOSE(CONTROL!$C$42, 6.2731, 6.2731) * CHOOSE(CONTROL!$C$21, $C$9, 100%, $E$9)</f>
        <v>6.2731000000000003</v>
      </c>
      <c r="S67" s="17">
        <f>CHOOSE(CONTROL!$C$42, 4.6709, 4.6709) * CHOOSE(CONTROL!$C$21, $C$9, 100%, $E$9)</f>
        <v>4.6708999999999996</v>
      </c>
      <c r="T67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67" s="56">
        <f>(1000*CHOOSE(CONTROL!$C$42, 695, 695)*CHOOSE(CONTROL!$C$42, 0.5599, 0.5599)*CHOOSE(CONTROL!$C$42, 31, 31))/1000000</f>
        <v>12.063045499999998</v>
      </c>
      <c r="V67" s="56">
        <f>(1000*CHOOSE(CONTROL!$C$42, 580, 580)*CHOOSE(CONTROL!$C$42, 0.275, 0.275)*CHOOSE(CONTROL!$C$42, 31, 31))/1000000</f>
        <v>4.9444999999999997</v>
      </c>
      <c r="W67" s="56">
        <f>(1000*CHOOSE(CONTROL!$C$42, 0.0916, 0.0916)*CHOOSE(CONTROL!$C$42, 121.5, 121.5)*CHOOSE(CONTROL!$C$42, 31, 31))/1000000</f>
        <v>0.34501139999999997</v>
      </c>
      <c r="X67" s="56">
        <f>(31*0.1790888*145000/1000000)+(31*0.2374*100000/1000000)</f>
        <v>1.5409441560000001</v>
      </c>
      <c r="Y67" s="56"/>
      <c r="Z67" s="17"/>
      <c r="AA67" s="55"/>
      <c r="AB67" s="48">
        <f>(B67*194.205+C67*267.466+D67*133.845+E67*153.484+F67*40+G67*85+H67*0+I67*100+J67*300)/(194.205+267.466+133.845+153.484+0+40+85+100+300)</f>
        <v>4.9005385148351648</v>
      </c>
      <c r="AC67" s="45">
        <f>(M67*'RAP TEMPLATE-GAS AVAILABILITY'!O66+N67*'RAP TEMPLATE-GAS AVAILABILITY'!P66+O67*'RAP TEMPLATE-GAS AVAILABILITY'!Q66+P67*'RAP TEMPLATE-GAS AVAILABILITY'!R66)/('RAP TEMPLATE-GAS AVAILABILITY'!O66+'RAP TEMPLATE-GAS AVAILABILITY'!P66+'RAP TEMPLATE-GAS AVAILABILITY'!Q66+'RAP TEMPLATE-GAS AVAILABILITY'!R66)</f>
        <v>4.8833007194244606</v>
      </c>
    </row>
    <row r="68" spans="1:29" ht="15.75" x14ac:dyDescent="0.25">
      <c r="A68" s="16">
        <v>42583</v>
      </c>
      <c r="B68" s="17">
        <f>CHOOSE(CONTROL!$C$42, 4.6004, 4.6004) * CHOOSE(CONTROL!$C$21, $C$9, 100%, $E$9)</f>
        <v>4.6003999999999996</v>
      </c>
      <c r="C68" s="17">
        <f>CHOOSE(CONTROL!$C$42, 4.6083, 4.6083) * CHOOSE(CONTROL!$C$21, $C$9, 100%, $E$9)</f>
        <v>4.6082999999999998</v>
      </c>
      <c r="D68" s="17">
        <f>CHOOSE(CONTROL!$C$42, 4.8683, 4.8683) * CHOOSE(CONTROL!$C$21, $C$9, 100%, $E$9)</f>
        <v>4.8682999999999996</v>
      </c>
      <c r="E68" s="17">
        <f>CHOOSE(CONTROL!$C$42, 4.8995, 4.8995) * CHOOSE(CONTROL!$C$21, $C$9, 100%, $E$9)</f>
        <v>4.8994999999999997</v>
      </c>
      <c r="F68" s="17">
        <f>CHOOSE(CONTROL!$C$42, 4.611, 4.611)*CHOOSE(CONTROL!$C$21, $C$9, 100%, $E$9)</f>
        <v>4.6109999999999998</v>
      </c>
      <c r="G68" s="17">
        <f>CHOOSE(CONTROL!$C$42, 4.6277, 4.6277)*CHOOSE(CONTROL!$C$21, $C$9, 100%, $E$9)</f>
        <v>4.6276999999999999</v>
      </c>
      <c r="H68" s="17">
        <f>CHOOSE(CONTROL!$C$42, 4.8878, 4.8878) * CHOOSE(CONTROL!$C$21, $C$9, 100%, $E$9)</f>
        <v>4.8878000000000004</v>
      </c>
      <c r="I68" s="17">
        <f>CHOOSE(CONTROL!$C$42, 4.6385, 4.6385)* CHOOSE(CONTROL!$C$21, $C$9, 100%, $E$9)</f>
        <v>4.6384999999999996</v>
      </c>
      <c r="J68" s="17">
        <f>CHOOSE(CONTROL!$C$42, 4.6036, 4.6036)* CHOOSE(CONTROL!$C$21, $C$9, 100%, $E$9)</f>
        <v>4.6036000000000001</v>
      </c>
      <c r="K68" s="52"/>
      <c r="L68" s="17">
        <f>CHOOSE(CONTROL!$C$42, 5.4748, 5.4748) * CHOOSE(CONTROL!$C$21, $C$9, 100%, $E$9)</f>
        <v>5.4748000000000001</v>
      </c>
      <c r="M68" s="17">
        <f>CHOOSE(CONTROL!$C$42, 4.5692, 4.5692) * CHOOSE(CONTROL!$C$21, $C$9, 100%, $E$9)</f>
        <v>4.5692000000000004</v>
      </c>
      <c r="N68" s="17">
        <f>CHOOSE(CONTROL!$C$42, 4.5857, 4.5857) * CHOOSE(CONTROL!$C$21, $C$9, 100%, $E$9)</f>
        <v>4.5857000000000001</v>
      </c>
      <c r="O68" s="17">
        <f>CHOOSE(CONTROL!$C$42, 4.8508, 4.8508) * CHOOSE(CONTROL!$C$21, $C$9, 100%, $E$9)</f>
        <v>4.8507999999999996</v>
      </c>
      <c r="P68" s="17">
        <f>CHOOSE(CONTROL!$C$42, 4.6037, 4.6037) * CHOOSE(CONTROL!$C$21, $C$9, 100%, $E$9)</f>
        <v>4.6036999999999999</v>
      </c>
      <c r="Q68" s="17">
        <f>CHOOSE(CONTROL!$C$42, 5.4455, 5.4455) * CHOOSE(CONTROL!$C$21, $C$9, 100%, $E$9)</f>
        <v>5.4455</v>
      </c>
      <c r="R68" s="17">
        <f>CHOOSE(CONTROL!$C$42, 6.0461, 6.0461) * CHOOSE(CONTROL!$C$21, $C$9, 100%, $E$9)</f>
        <v>6.0461</v>
      </c>
      <c r="S68" s="17">
        <f>CHOOSE(CONTROL!$C$42, 4.4494, 4.4494) * CHOOSE(CONTROL!$C$21, $C$9, 100%, $E$9)</f>
        <v>4.4493999999999998</v>
      </c>
      <c r="T68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68" s="56">
        <f>(1000*CHOOSE(CONTROL!$C$42, 695, 695)*CHOOSE(CONTROL!$C$42, 0.5599, 0.5599)*CHOOSE(CONTROL!$C$42, 31, 31))/1000000</f>
        <v>12.063045499999998</v>
      </c>
      <c r="V68" s="56">
        <f>(1000*CHOOSE(CONTROL!$C$42, 580, 580)*CHOOSE(CONTROL!$C$42, 0.275, 0.275)*CHOOSE(CONTROL!$C$42, 31, 31))/1000000</f>
        <v>4.9444999999999997</v>
      </c>
      <c r="W68" s="56">
        <f>(1000*CHOOSE(CONTROL!$C$42, 0.0916, 0.0916)*CHOOSE(CONTROL!$C$42, 121.5, 121.5)*CHOOSE(CONTROL!$C$42, 31, 31))/1000000</f>
        <v>0.34501139999999997</v>
      </c>
      <c r="X68" s="56">
        <f>(31*0.1790888*145000/1000000)+(31*0.2374*100000/1000000)</f>
        <v>1.5409441560000001</v>
      </c>
      <c r="Y68" s="56"/>
      <c r="Z68" s="17"/>
      <c r="AA68" s="55"/>
      <c r="AB68" s="48">
        <f>(B68*194.205+C68*267.466+D68*133.845+E68*153.484+F68*40+G68*85+H68*0+I68*100+J68*300)/(194.205+267.466+133.845+153.484+0+40+85+100+300)</f>
        <v>4.6721359664835163</v>
      </c>
      <c r="AC68" s="45">
        <f>(M68*'RAP TEMPLATE-GAS AVAILABILITY'!O67+N68*'RAP TEMPLATE-GAS AVAILABILITY'!P67+O68*'RAP TEMPLATE-GAS AVAILABILITY'!Q67+P68*'RAP TEMPLATE-GAS AVAILABILITY'!R67)/('RAP TEMPLATE-GAS AVAILABILITY'!O67+'RAP TEMPLATE-GAS AVAILABILITY'!P67+'RAP TEMPLATE-GAS AVAILABILITY'!Q67+'RAP TEMPLATE-GAS AVAILABILITY'!R67)</f>
        <v>4.6569726618705038</v>
      </c>
    </row>
    <row r="69" spans="1:29" ht="15.75" x14ac:dyDescent="0.25">
      <c r="A69" s="16">
        <v>42614</v>
      </c>
      <c r="B69" s="17">
        <f>CHOOSE(CONTROL!$C$42, 4.3177, 4.3177) * CHOOSE(CONTROL!$C$21, $C$9, 100%, $E$9)</f>
        <v>4.3177000000000003</v>
      </c>
      <c r="C69" s="17">
        <f>CHOOSE(CONTROL!$C$42, 4.3257, 4.3257) * CHOOSE(CONTROL!$C$21, $C$9, 100%, $E$9)</f>
        <v>4.3257000000000003</v>
      </c>
      <c r="D69" s="17">
        <f>CHOOSE(CONTROL!$C$42, 4.5856, 4.5856) * CHOOSE(CONTROL!$C$21, $C$9, 100%, $E$9)</f>
        <v>4.5856000000000003</v>
      </c>
      <c r="E69" s="17">
        <f>CHOOSE(CONTROL!$C$42, 4.6168, 4.6168) * CHOOSE(CONTROL!$C$21, $C$9, 100%, $E$9)</f>
        <v>4.6167999999999996</v>
      </c>
      <c r="F69" s="17">
        <f>CHOOSE(CONTROL!$C$42, 4.3283, 4.3283)*CHOOSE(CONTROL!$C$21, $C$9, 100%, $E$9)</f>
        <v>4.3282999999999996</v>
      </c>
      <c r="G69" s="17">
        <f>CHOOSE(CONTROL!$C$42, 4.345, 4.345)*CHOOSE(CONTROL!$C$21, $C$9, 100%, $E$9)</f>
        <v>4.3449999999999998</v>
      </c>
      <c r="H69" s="17">
        <f>CHOOSE(CONTROL!$C$42, 4.6051, 4.6051) * CHOOSE(CONTROL!$C$21, $C$9, 100%, $E$9)</f>
        <v>4.6051000000000002</v>
      </c>
      <c r="I69" s="17">
        <f>CHOOSE(CONTROL!$C$42, 4.3549, 4.3549)* CHOOSE(CONTROL!$C$21, $C$9, 100%, $E$9)</f>
        <v>4.3548999999999998</v>
      </c>
      <c r="J69" s="17">
        <f>CHOOSE(CONTROL!$C$42, 4.3209, 4.3209)* CHOOSE(CONTROL!$C$21, $C$9, 100%, $E$9)</f>
        <v>4.3209</v>
      </c>
      <c r="K69" s="52"/>
      <c r="L69" s="17">
        <f>CHOOSE(CONTROL!$C$42, 5.1921, 5.1921) * CHOOSE(CONTROL!$C$21, $C$9, 100%, $E$9)</f>
        <v>5.1920999999999999</v>
      </c>
      <c r="M69" s="17">
        <f>CHOOSE(CONTROL!$C$42, 4.2891, 4.2891) * CHOOSE(CONTROL!$C$21, $C$9, 100%, $E$9)</f>
        <v>4.2891000000000004</v>
      </c>
      <c r="N69" s="17">
        <f>CHOOSE(CONTROL!$C$42, 4.3056, 4.3056) * CHOOSE(CONTROL!$C$21, $C$9, 100%, $E$9)</f>
        <v>4.3056000000000001</v>
      </c>
      <c r="O69" s="17">
        <f>CHOOSE(CONTROL!$C$42, 4.5707, 4.5707) * CHOOSE(CONTROL!$C$21, $C$9, 100%, $E$9)</f>
        <v>4.5707000000000004</v>
      </c>
      <c r="P69" s="17">
        <f>CHOOSE(CONTROL!$C$42, 4.3227, 4.3227) * CHOOSE(CONTROL!$C$21, $C$9, 100%, $E$9)</f>
        <v>4.3227000000000002</v>
      </c>
      <c r="Q69" s="17">
        <f>CHOOSE(CONTROL!$C$42, 5.1654, 5.1654) * CHOOSE(CONTROL!$C$21, $C$9, 100%, $E$9)</f>
        <v>5.1654</v>
      </c>
      <c r="R69" s="17">
        <f>CHOOSE(CONTROL!$C$42, 5.7653, 5.7653) * CHOOSE(CONTROL!$C$21, $C$9, 100%, $E$9)</f>
        <v>5.7652999999999999</v>
      </c>
      <c r="S69" s="17">
        <f>CHOOSE(CONTROL!$C$42, 4.1753, 4.1753) * CHOOSE(CONTROL!$C$21, $C$9, 100%, $E$9)</f>
        <v>4.1753</v>
      </c>
      <c r="T69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69" s="56">
        <f>(1000*CHOOSE(CONTROL!$C$42, 695, 695)*CHOOSE(CONTROL!$C$42, 0.5599, 0.5599)*CHOOSE(CONTROL!$C$42, 30, 30))/1000000</f>
        <v>11.673914999999997</v>
      </c>
      <c r="V69" s="56">
        <f>(1000*CHOOSE(CONTROL!$C$42, 580, 580)*CHOOSE(CONTROL!$C$42, 0.275, 0.275)*CHOOSE(CONTROL!$C$42, 30, 30))/1000000</f>
        <v>4.7850000000000001</v>
      </c>
      <c r="W69" s="56">
        <f>(1000*CHOOSE(CONTROL!$C$42, 0.0916, 0.0916)*CHOOSE(CONTROL!$C$42, 121.5, 121.5)*CHOOSE(CONTROL!$C$42, 30, 30))/1000000</f>
        <v>0.33388200000000001</v>
      </c>
      <c r="X69" s="56">
        <f>(30*0.1790888*145000/1000000)+(30*0.2374*100000/1000000)</f>
        <v>1.4912362799999999</v>
      </c>
      <c r="Y69" s="56"/>
      <c r="Z69" s="17"/>
      <c r="AA69" s="55"/>
      <c r="AB69" s="48">
        <f>(B69*194.205+C69*267.466+D69*133.845+E69*153.484+F69*40+G69*85+H69*0+I69*100+J69*300)/(194.205+267.466+133.845+153.484+0+40+85+100+300)</f>
        <v>4.3893863170329661</v>
      </c>
      <c r="AC69" s="45">
        <f>(M69*'RAP TEMPLATE-GAS AVAILABILITY'!O68+N69*'RAP TEMPLATE-GAS AVAILABILITY'!P68+O69*'RAP TEMPLATE-GAS AVAILABILITY'!Q68+P69*'RAP TEMPLATE-GAS AVAILABILITY'!R68)/('RAP TEMPLATE-GAS AVAILABILITY'!O68+'RAP TEMPLATE-GAS AVAILABILITY'!P68+'RAP TEMPLATE-GAS AVAILABILITY'!Q68+'RAP TEMPLATE-GAS AVAILABILITY'!R68)</f>
        <v>4.3767431654676257</v>
      </c>
    </row>
    <row r="70" spans="1:29" ht="15.75" x14ac:dyDescent="0.25">
      <c r="A70" s="16">
        <v>42644</v>
      </c>
      <c r="B70" s="17">
        <f>CHOOSE(CONTROL!$C$42, 4.2372, 4.2372) * CHOOSE(CONTROL!$C$21, $C$9, 100%, $E$9)</f>
        <v>4.2371999999999996</v>
      </c>
      <c r="C70" s="17">
        <f>CHOOSE(CONTROL!$C$42, 4.2426, 4.2426) * CHOOSE(CONTROL!$C$21, $C$9, 100%, $E$9)</f>
        <v>4.2426000000000004</v>
      </c>
      <c r="D70" s="17">
        <f>CHOOSE(CONTROL!$C$42, 4.5074, 4.5074) * CHOOSE(CONTROL!$C$21, $C$9, 100%, $E$9)</f>
        <v>4.5073999999999996</v>
      </c>
      <c r="E70" s="17">
        <f>CHOOSE(CONTROL!$C$42, 4.5363, 4.5363) * CHOOSE(CONTROL!$C$21, $C$9, 100%, $E$9)</f>
        <v>4.5362999999999998</v>
      </c>
      <c r="F70" s="17">
        <f>CHOOSE(CONTROL!$C$42, 4.2501, 4.2501)*CHOOSE(CONTROL!$C$21, $C$9, 100%, $E$9)</f>
        <v>4.2500999999999998</v>
      </c>
      <c r="G70" s="17">
        <f>CHOOSE(CONTROL!$C$42, 4.2667, 4.2667)*CHOOSE(CONTROL!$C$21, $C$9, 100%, $E$9)</f>
        <v>4.2667000000000002</v>
      </c>
      <c r="H70" s="17">
        <f>CHOOSE(CONTROL!$C$42, 4.5264, 4.5264) * CHOOSE(CONTROL!$C$21, $C$9, 100%, $E$9)</f>
        <v>4.5263999999999998</v>
      </c>
      <c r="I70" s="17">
        <f>CHOOSE(CONTROL!$C$42, 4.276, 4.276)* CHOOSE(CONTROL!$C$21, $C$9, 100%, $E$9)</f>
        <v>4.2759999999999998</v>
      </c>
      <c r="J70" s="17">
        <f>CHOOSE(CONTROL!$C$42, 4.2427, 4.2427)* CHOOSE(CONTROL!$C$21, $C$9, 100%, $E$9)</f>
        <v>4.2427000000000001</v>
      </c>
      <c r="K70" s="52"/>
      <c r="L70" s="17">
        <f>CHOOSE(CONTROL!$C$42, 5.1134, 5.1134) * CHOOSE(CONTROL!$C$21, $C$9, 100%, $E$9)</f>
        <v>5.1134000000000004</v>
      </c>
      <c r="M70" s="17">
        <f>CHOOSE(CONTROL!$C$42, 4.2115, 4.2115) * CHOOSE(CONTROL!$C$21, $C$9, 100%, $E$9)</f>
        <v>4.2115</v>
      </c>
      <c r="N70" s="17">
        <f>CHOOSE(CONTROL!$C$42, 4.228, 4.228) * CHOOSE(CONTROL!$C$21, $C$9, 100%, $E$9)</f>
        <v>4.2279999999999998</v>
      </c>
      <c r="O70" s="17">
        <f>CHOOSE(CONTROL!$C$42, 4.4927, 4.4927) * CHOOSE(CONTROL!$C$21, $C$9, 100%, $E$9)</f>
        <v>4.4927000000000001</v>
      </c>
      <c r="P70" s="17">
        <f>CHOOSE(CONTROL!$C$42, 4.2444, 4.2444) * CHOOSE(CONTROL!$C$21, $C$9, 100%, $E$9)</f>
        <v>4.2443999999999997</v>
      </c>
      <c r="Q70" s="17">
        <f>CHOOSE(CONTROL!$C$42, 5.0874, 5.0874) * CHOOSE(CONTROL!$C$21, $C$9, 100%, $E$9)</f>
        <v>5.0873999999999997</v>
      </c>
      <c r="R70" s="17">
        <f>CHOOSE(CONTROL!$C$42, 5.6871, 5.6871) * CHOOSE(CONTROL!$C$21, $C$9, 100%, $E$9)</f>
        <v>5.6871</v>
      </c>
      <c r="S70" s="17">
        <f>CHOOSE(CONTROL!$C$42, 4.0989, 4.0989) * CHOOSE(CONTROL!$C$21, $C$9, 100%, $E$9)</f>
        <v>4.0989000000000004</v>
      </c>
      <c r="T70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70" s="56">
        <f>(1000*CHOOSE(CONTROL!$C$42, 695, 695)*CHOOSE(CONTROL!$C$42, 0.5599, 0.5599)*CHOOSE(CONTROL!$C$42, 31, 31))/1000000</f>
        <v>12.063045499999998</v>
      </c>
      <c r="V70" s="56">
        <f>(1000*CHOOSE(CONTROL!$C$42, 580, 580)*CHOOSE(CONTROL!$C$42, 0.275, 0.275)*CHOOSE(CONTROL!$C$42, 31, 31))/1000000</f>
        <v>4.9444999999999997</v>
      </c>
      <c r="W70" s="56">
        <f>(1000*CHOOSE(CONTROL!$C$42, 0.0916, 0.0916)*CHOOSE(CONTROL!$C$42, 121.5, 121.5)*CHOOSE(CONTROL!$C$42, 31, 31))/1000000</f>
        <v>0.34501139999999997</v>
      </c>
      <c r="X70" s="56">
        <f>(31*0.1790888*145000/1000000)+(31*0.2374*100000/1000000)</f>
        <v>1.5409441560000001</v>
      </c>
      <c r="Y70" s="56"/>
      <c r="Z70" s="17"/>
      <c r="AA70" s="55"/>
      <c r="AB70" s="48">
        <f>(B70*131.881+C70*277.167+D70*79.08+E70*225.872+F70*40+G70*85+H70*0+I70*100+J70*300)/(131.881+277.167+79.08+225.872+0+40+85+100+300)</f>
        <v>4.3170837231638419</v>
      </c>
      <c r="AC70" s="45">
        <f>(M70*'RAP TEMPLATE-GAS AVAILABILITY'!O69+N70*'RAP TEMPLATE-GAS AVAILABILITY'!P69+O70*'RAP TEMPLATE-GAS AVAILABILITY'!Q69+P70*'RAP TEMPLATE-GAS AVAILABILITY'!R69)/('RAP TEMPLATE-GAS AVAILABILITY'!O69+'RAP TEMPLATE-GAS AVAILABILITY'!P69+'RAP TEMPLATE-GAS AVAILABILITY'!Q69+'RAP TEMPLATE-GAS AVAILABILITY'!R69)</f>
        <v>4.2989302158273377</v>
      </c>
    </row>
    <row r="71" spans="1:29" ht="15.75" x14ac:dyDescent="0.25">
      <c r="A71" s="16">
        <v>42675</v>
      </c>
      <c r="B71" s="17">
        <f>CHOOSE(CONTROL!$C$42, 4.3571, 4.3571) * CHOOSE(CONTROL!$C$21, $C$9, 100%, $E$9)</f>
        <v>4.3571</v>
      </c>
      <c r="C71" s="17">
        <f>CHOOSE(CONTROL!$C$42, 4.3622, 4.3622) * CHOOSE(CONTROL!$C$21, $C$9, 100%, $E$9)</f>
        <v>4.3621999999999996</v>
      </c>
      <c r="D71" s="17">
        <f>CHOOSE(CONTROL!$C$42, 4.5029, 4.5029) * CHOOSE(CONTROL!$C$21, $C$9, 100%, $E$9)</f>
        <v>4.5029000000000003</v>
      </c>
      <c r="E71" s="17">
        <f>CHOOSE(CONTROL!$C$42, 4.5366, 4.5366) * CHOOSE(CONTROL!$C$21, $C$9, 100%, $E$9)</f>
        <v>4.5366</v>
      </c>
      <c r="F71" s="17">
        <f>CHOOSE(CONTROL!$C$42, 4.3704, 4.3704)*CHOOSE(CONTROL!$C$21, $C$9, 100%, $E$9)</f>
        <v>4.3704000000000001</v>
      </c>
      <c r="G71" s="17">
        <f>CHOOSE(CONTROL!$C$42, 4.3873, 4.3873)*CHOOSE(CONTROL!$C$21, $C$9, 100%, $E$9)</f>
        <v>4.3872999999999998</v>
      </c>
      <c r="H71" s="17">
        <f>CHOOSE(CONTROL!$C$42, 4.5255, 4.5255) * CHOOSE(CONTROL!$C$21, $C$9, 100%, $E$9)</f>
        <v>4.5255000000000001</v>
      </c>
      <c r="I71" s="17">
        <f>CHOOSE(CONTROL!$C$42, 4.393, 4.393)* CHOOSE(CONTROL!$C$21, $C$9, 100%, $E$9)</f>
        <v>4.3929999999999998</v>
      </c>
      <c r="J71" s="17">
        <f>CHOOSE(CONTROL!$C$42, 4.363, 4.363)* CHOOSE(CONTROL!$C$21, $C$9, 100%, $E$9)</f>
        <v>4.3630000000000004</v>
      </c>
      <c r="K71" s="52"/>
      <c r="L71" s="17">
        <f>CHOOSE(CONTROL!$C$42, 5.1125, 5.1125) * CHOOSE(CONTROL!$C$21, $C$9, 100%, $E$9)</f>
        <v>5.1124999999999998</v>
      </c>
      <c r="M71" s="17">
        <f>CHOOSE(CONTROL!$C$42, 4.3308, 4.3308) * CHOOSE(CONTROL!$C$21, $C$9, 100%, $E$9)</f>
        <v>4.3308</v>
      </c>
      <c r="N71" s="17">
        <f>CHOOSE(CONTROL!$C$42, 4.3475, 4.3475) * CHOOSE(CONTROL!$C$21, $C$9, 100%, $E$9)</f>
        <v>4.3475000000000001</v>
      </c>
      <c r="O71" s="17">
        <f>CHOOSE(CONTROL!$C$42, 4.4918, 4.4918) * CHOOSE(CONTROL!$C$21, $C$9, 100%, $E$9)</f>
        <v>4.4917999999999996</v>
      </c>
      <c r="P71" s="17">
        <f>CHOOSE(CONTROL!$C$42, 4.3604, 4.3604) * CHOOSE(CONTROL!$C$21, $C$9, 100%, $E$9)</f>
        <v>4.3604000000000003</v>
      </c>
      <c r="Q71" s="17">
        <f>CHOOSE(CONTROL!$C$42, 5.0865, 5.0865) * CHOOSE(CONTROL!$C$21, $C$9, 100%, $E$9)</f>
        <v>5.0865</v>
      </c>
      <c r="R71" s="17">
        <f>CHOOSE(CONTROL!$C$42, 5.6862, 5.6862) * CHOOSE(CONTROL!$C$21, $C$9, 100%, $E$9)</f>
        <v>5.6862000000000004</v>
      </c>
      <c r="S71" s="17">
        <f>CHOOSE(CONTROL!$C$42, 4.2156, 4.2156) * CHOOSE(CONTROL!$C$21, $C$9, 100%, $E$9)</f>
        <v>4.2156000000000002</v>
      </c>
      <c r="T71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71" s="56">
        <f>(1000*CHOOSE(CONTROL!$C$42, 695, 695)*CHOOSE(CONTROL!$C$42, 0.5599, 0.5599)*CHOOSE(CONTROL!$C$42, 30, 30))/1000000</f>
        <v>11.673914999999997</v>
      </c>
      <c r="V71" s="56">
        <f>(1000*CHOOSE(CONTROL!$C$42, 580, 580)*CHOOSE(CONTROL!$C$42, 0.275, 0.275)*CHOOSE(CONTROL!$C$42, 30, 30))/1000000</f>
        <v>4.7850000000000001</v>
      </c>
      <c r="W71" s="56">
        <f>(1000*CHOOSE(CONTROL!$C$42, 0.0916, 0.0916)*CHOOSE(CONTROL!$C$42, 121.5, 121.5)*CHOOSE(CONTROL!$C$42, 30, 30))/1000000</f>
        <v>0.33388200000000001</v>
      </c>
      <c r="X71" s="56">
        <f>(30*0.2374*100000/1000000)</f>
        <v>0.71220000000000006</v>
      </c>
      <c r="Y71" s="56"/>
      <c r="Z71" s="17"/>
      <c r="AA71" s="55"/>
      <c r="AB71" s="48">
        <f>(B71*122.58+C71*297.941+D71*89.177+E71*140.302+F71*40+G71*60+H71*0+I71*100+J71*300)/(122.58+297.941+89.177+140.302+0+40+60+100+300)</f>
        <v>4.3983258388695656</v>
      </c>
      <c r="AC71" s="45">
        <f>(M71*'RAP TEMPLATE-GAS AVAILABILITY'!O70+N71*'RAP TEMPLATE-GAS AVAILABILITY'!P70+O71*'RAP TEMPLATE-GAS AVAILABILITY'!Q70+P71*'RAP TEMPLATE-GAS AVAILABILITY'!R70)/('RAP TEMPLATE-GAS AVAILABILITY'!O70+'RAP TEMPLATE-GAS AVAILABILITY'!P70+'RAP TEMPLATE-GAS AVAILABILITY'!Q70+'RAP TEMPLATE-GAS AVAILABILITY'!R70)</f>
        <v>4.4089913669064744</v>
      </c>
    </row>
    <row r="72" spans="1:29" ht="15.75" x14ac:dyDescent="0.25">
      <c r="A72" s="16">
        <v>42705</v>
      </c>
      <c r="B72" s="17">
        <f>CHOOSE(CONTROL!$C$42, 4.663, 4.663) * CHOOSE(CONTROL!$C$21, $C$9, 100%, $E$9)</f>
        <v>4.6630000000000003</v>
      </c>
      <c r="C72" s="17">
        <f>CHOOSE(CONTROL!$C$42, 4.6681, 4.6681) * CHOOSE(CONTROL!$C$21, $C$9, 100%, $E$9)</f>
        <v>4.6680999999999999</v>
      </c>
      <c r="D72" s="17">
        <f>CHOOSE(CONTROL!$C$42, 4.8088, 4.8088) * CHOOSE(CONTROL!$C$21, $C$9, 100%, $E$9)</f>
        <v>4.8087999999999997</v>
      </c>
      <c r="E72" s="17">
        <f>CHOOSE(CONTROL!$C$42, 4.8425, 4.8425) * CHOOSE(CONTROL!$C$21, $C$9, 100%, $E$9)</f>
        <v>4.8425000000000002</v>
      </c>
      <c r="F72" s="17">
        <f>CHOOSE(CONTROL!$C$42, 4.6787, 4.6787)*CHOOSE(CONTROL!$C$21, $C$9, 100%, $E$9)</f>
        <v>4.6787000000000001</v>
      </c>
      <c r="G72" s="17">
        <f>CHOOSE(CONTROL!$C$42, 4.6962, 4.6962)*CHOOSE(CONTROL!$C$21, $C$9, 100%, $E$9)</f>
        <v>4.6962000000000002</v>
      </c>
      <c r="H72" s="17">
        <f>CHOOSE(CONTROL!$C$42, 4.8314, 4.8314) * CHOOSE(CONTROL!$C$21, $C$9, 100%, $E$9)</f>
        <v>4.8314000000000004</v>
      </c>
      <c r="I72" s="17">
        <f>CHOOSE(CONTROL!$C$42, 4.6999, 4.6999)* CHOOSE(CONTROL!$C$21, $C$9, 100%, $E$9)</f>
        <v>4.6999000000000004</v>
      </c>
      <c r="J72" s="17">
        <f>CHOOSE(CONTROL!$C$42, 4.6713, 4.6713)* CHOOSE(CONTROL!$C$21, $C$9, 100%, $E$9)</f>
        <v>4.6712999999999996</v>
      </c>
      <c r="K72" s="52"/>
      <c r="L72" s="17">
        <f>CHOOSE(CONTROL!$C$42, 5.4184, 5.4184) * CHOOSE(CONTROL!$C$21, $C$9, 100%, $E$9)</f>
        <v>5.4184000000000001</v>
      </c>
      <c r="M72" s="17">
        <f>CHOOSE(CONTROL!$C$42, 4.6363, 4.6363) * CHOOSE(CONTROL!$C$21, $C$9, 100%, $E$9)</f>
        <v>4.6363000000000003</v>
      </c>
      <c r="N72" s="17">
        <f>CHOOSE(CONTROL!$C$42, 4.6537, 4.6537) * CHOOSE(CONTROL!$C$21, $C$9, 100%, $E$9)</f>
        <v>4.6536999999999997</v>
      </c>
      <c r="O72" s="17">
        <f>CHOOSE(CONTROL!$C$42, 4.795, 4.795) * CHOOSE(CONTROL!$C$21, $C$9, 100%, $E$9)</f>
        <v>4.7949999999999999</v>
      </c>
      <c r="P72" s="17">
        <f>CHOOSE(CONTROL!$C$42, 4.6645, 4.6645) * CHOOSE(CONTROL!$C$21, $C$9, 100%, $E$9)</f>
        <v>4.6645000000000003</v>
      </c>
      <c r="Q72" s="17">
        <f>CHOOSE(CONTROL!$C$42, 5.3897, 5.3897) * CHOOSE(CONTROL!$C$21, $C$9, 100%, $E$9)</f>
        <v>5.3897000000000004</v>
      </c>
      <c r="R72" s="17">
        <f>CHOOSE(CONTROL!$C$42, 5.9901, 5.9901) * CHOOSE(CONTROL!$C$21, $C$9, 100%, $E$9)</f>
        <v>5.9901</v>
      </c>
      <c r="S72" s="17">
        <f>CHOOSE(CONTROL!$C$42, 4.5122, 4.5122) * CHOOSE(CONTROL!$C$21, $C$9, 100%, $E$9)</f>
        <v>4.5122</v>
      </c>
      <c r="T72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72" s="56">
        <f>(1000*CHOOSE(CONTROL!$C$42, 695, 695)*CHOOSE(CONTROL!$C$42, 0.5599, 0.5599)*CHOOSE(CONTROL!$C$42, 31, 31))/1000000</f>
        <v>12.063045499999998</v>
      </c>
      <c r="V72" s="56">
        <f>(1000*CHOOSE(CONTROL!$C$42, 580, 580)*CHOOSE(CONTROL!$C$42, 0.275, 0.275)*CHOOSE(CONTROL!$C$42, 31, 31))/1000000</f>
        <v>4.9444999999999997</v>
      </c>
      <c r="W72" s="56">
        <f>(1000*CHOOSE(CONTROL!$C$42, 0.0916, 0.0916)*CHOOSE(CONTROL!$C$42, 121.5, 121.5)*CHOOSE(CONTROL!$C$42, 31, 31))/1000000</f>
        <v>0.34501139999999997</v>
      </c>
      <c r="X72" s="56">
        <f>(31*0.2374*100000/1000000)</f>
        <v>0.73594000000000004</v>
      </c>
      <c r="Y72" s="56"/>
      <c r="Z72" s="17"/>
      <c r="AA72" s="55"/>
      <c r="AB72" s="48">
        <f>(B72*122.58+C72*297.941+D72*89.177+E72*140.302+F72*40+G72*60+H72*0+I72*100+J72*300)/(122.58+297.941+89.177+140.302+0+40+60+100+300)</f>
        <v>4.7051788823478269</v>
      </c>
      <c r="AC72" s="45">
        <f>(M72*'RAP TEMPLATE-GAS AVAILABILITY'!O71+N72*'RAP TEMPLATE-GAS AVAILABILITY'!P71+O72*'RAP TEMPLATE-GAS AVAILABILITY'!Q71+P72*'RAP TEMPLATE-GAS AVAILABILITY'!R71)/('RAP TEMPLATE-GAS AVAILABILITY'!O71+'RAP TEMPLATE-GAS AVAILABILITY'!P71+'RAP TEMPLATE-GAS AVAILABILITY'!Q71+'RAP TEMPLATE-GAS AVAILABILITY'!R71)</f>
        <v>4.7132877697841726</v>
      </c>
    </row>
    <row r="73" spans="1:29" ht="15.75" x14ac:dyDescent="0.25">
      <c r="A73" s="16">
        <v>42736</v>
      </c>
      <c r="B73" s="17">
        <f>CHOOSE(CONTROL!$C$42, 5.3897, 5.3897) * CHOOSE(CONTROL!$C$21, $C$9, 100%, $E$9)</f>
        <v>5.3897000000000004</v>
      </c>
      <c r="C73" s="17">
        <f>CHOOSE(CONTROL!$C$42, 5.3948, 5.3948) * CHOOSE(CONTROL!$C$21, $C$9, 100%, $E$9)</f>
        <v>5.3948</v>
      </c>
      <c r="D73" s="17">
        <f>CHOOSE(CONTROL!$C$42, 5.5287, 5.5287) * CHOOSE(CONTROL!$C$21, $C$9, 100%, $E$9)</f>
        <v>5.5286999999999997</v>
      </c>
      <c r="E73" s="17">
        <f>CHOOSE(CONTROL!$C$42, 5.5625, 5.5625) * CHOOSE(CONTROL!$C$21, $C$9, 100%, $E$9)</f>
        <v>5.5625</v>
      </c>
      <c r="F73" s="17">
        <f>CHOOSE(CONTROL!$C$42, 5.4031, 5.4031)*CHOOSE(CONTROL!$C$21, $C$9, 100%, $E$9)</f>
        <v>5.4031000000000002</v>
      </c>
      <c r="G73" s="17">
        <f>CHOOSE(CONTROL!$C$42, 5.42, 5.42)*CHOOSE(CONTROL!$C$21, $C$9, 100%, $E$9)</f>
        <v>5.42</v>
      </c>
      <c r="H73" s="17">
        <f>CHOOSE(CONTROL!$C$42, 5.5513, 5.5513) * CHOOSE(CONTROL!$C$21, $C$9, 100%, $E$9)</f>
        <v>5.5513000000000003</v>
      </c>
      <c r="I73" s="17">
        <f>CHOOSE(CONTROL!$C$42, 5.4329, 5.4329)* CHOOSE(CONTROL!$C$21, $C$9, 100%, $E$9)</f>
        <v>5.4329000000000001</v>
      </c>
      <c r="J73" s="17">
        <f>CHOOSE(CONTROL!$C$42, 5.3957, 5.3957)* CHOOSE(CONTROL!$C$21, $C$9, 100%, $E$9)</f>
        <v>5.3956999999999997</v>
      </c>
      <c r="K73" s="52">
        <f>CHOOSE(CONTROL!$C$42, 5.4269, 5.4269) * CHOOSE(CONTROL!$C$21, $C$9, 100%, $E$9)</f>
        <v>5.4268999999999998</v>
      </c>
      <c r="L73" s="17">
        <f>CHOOSE(CONTROL!$C$42, 6.1383, 6.1383) * CHOOSE(CONTROL!$C$21, $C$9, 100%, $E$9)</f>
        <v>6.1383000000000001</v>
      </c>
      <c r="M73" s="17">
        <f>CHOOSE(CONTROL!$C$42, 5.3542, 5.3542) * CHOOSE(CONTROL!$C$21, $C$9, 100%, $E$9)</f>
        <v>5.3541999999999996</v>
      </c>
      <c r="N73" s="17">
        <f>CHOOSE(CONTROL!$C$42, 5.3709, 5.3709) * CHOOSE(CONTROL!$C$21, $C$9, 100%, $E$9)</f>
        <v>5.3708999999999998</v>
      </c>
      <c r="O73" s="17">
        <f>CHOOSE(CONTROL!$C$42, 5.5084, 5.5084) * CHOOSE(CONTROL!$C$21, $C$9, 100%, $E$9)</f>
        <v>5.5084</v>
      </c>
      <c r="P73" s="17">
        <f>CHOOSE(CONTROL!$C$42, 5.3909, 5.3909) * CHOOSE(CONTROL!$C$21, $C$9, 100%, $E$9)</f>
        <v>5.3909000000000002</v>
      </c>
      <c r="Q73" s="17">
        <f>CHOOSE(CONTROL!$C$42, 6.1031, 6.1031) * CHOOSE(CONTROL!$C$21, $C$9, 100%, $E$9)</f>
        <v>6.1031000000000004</v>
      </c>
      <c r="R73" s="17">
        <f>CHOOSE(CONTROL!$C$42, 6.7054, 6.7054) * CHOOSE(CONTROL!$C$21, $C$9, 100%, $E$9)</f>
        <v>6.7054</v>
      </c>
      <c r="S73" s="17">
        <f>CHOOSE(CONTROL!$C$42, 5.2168, 5.2168) * CHOOSE(CONTROL!$C$21, $C$9, 100%, $E$9)</f>
        <v>5.2168000000000001</v>
      </c>
      <c r="T73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73" s="56">
        <f>(1000*CHOOSE(CONTROL!$C$42, 695, 695)*CHOOSE(CONTROL!$C$42, 0.5599, 0.5599)*CHOOSE(CONTROL!$C$42, 31, 31))/1000000</f>
        <v>12.063045499999998</v>
      </c>
      <c r="V73" s="56">
        <f>(1000*CHOOSE(CONTROL!$C$42, 580, 580)*CHOOSE(CONTROL!$C$42, 0.275, 0.275)*CHOOSE(CONTROL!$C$42, 31, 31))/1000000</f>
        <v>4.9444999999999997</v>
      </c>
      <c r="W73" s="56">
        <f>(1000*CHOOSE(CONTROL!$C$42, 0.0916, 0.0916)*CHOOSE(CONTROL!$C$42, 121.5, 121.5)*CHOOSE(CONTROL!$C$42, 31, 31))/1000000</f>
        <v>0.34501139999999997</v>
      </c>
      <c r="X73" s="56">
        <f>(31*0.2374*100000/1000000)</f>
        <v>0.73594000000000004</v>
      </c>
      <c r="Y73" s="56"/>
      <c r="Z73" s="17"/>
      <c r="AA73" s="55"/>
      <c r="AB73" s="48">
        <f>(B73*122.58+C73*297.941+D73*89.177+E73*140.302+F73*40+G73*60+H73*0+I73*100+J73*300)/(122.58+297.941+89.177+140.302+0+40+60+100+300)</f>
        <v>5.4302506849565209</v>
      </c>
      <c r="AC73" s="45">
        <f>(M73*'RAP TEMPLATE-GAS AVAILABILITY'!O72+N73*'RAP TEMPLATE-GAS AVAILABILITY'!P72+O73*'RAP TEMPLATE-GAS AVAILABILITY'!Q72+P73*'RAP TEMPLATE-GAS AVAILABILITY'!R72)/('RAP TEMPLATE-GAS AVAILABILITY'!O72+'RAP TEMPLATE-GAS AVAILABILITY'!P72+'RAP TEMPLATE-GAS AVAILABILITY'!Q72+'RAP TEMPLATE-GAS AVAILABILITY'!R72)</f>
        <v>5.4303309352517983</v>
      </c>
    </row>
    <row r="74" spans="1:29" ht="15.75" x14ac:dyDescent="0.25">
      <c r="A74" s="16">
        <v>42767</v>
      </c>
      <c r="B74" s="17">
        <f>CHOOSE(CONTROL!$C$42, 5.4967, 5.4967) * CHOOSE(CONTROL!$C$21, $C$9, 100%, $E$9)</f>
        <v>5.4966999999999997</v>
      </c>
      <c r="C74" s="17">
        <f>CHOOSE(CONTROL!$C$42, 5.5018, 5.5018) * CHOOSE(CONTROL!$C$21, $C$9, 100%, $E$9)</f>
        <v>5.5018000000000002</v>
      </c>
      <c r="D74" s="17">
        <f>CHOOSE(CONTROL!$C$42, 5.6357, 5.6357) * CHOOSE(CONTROL!$C$21, $C$9, 100%, $E$9)</f>
        <v>5.6356999999999999</v>
      </c>
      <c r="E74" s="17">
        <f>CHOOSE(CONTROL!$C$42, 5.6695, 5.6695) * CHOOSE(CONTROL!$C$21, $C$9, 100%, $E$9)</f>
        <v>5.6695000000000002</v>
      </c>
      <c r="F74" s="17">
        <f>CHOOSE(CONTROL!$C$42, 5.5101, 5.5101)*CHOOSE(CONTROL!$C$21, $C$9, 100%, $E$9)</f>
        <v>5.5101000000000004</v>
      </c>
      <c r="G74" s="17">
        <f>CHOOSE(CONTROL!$C$42, 5.527, 5.527)*CHOOSE(CONTROL!$C$21, $C$9, 100%, $E$9)</f>
        <v>5.5270000000000001</v>
      </c>
      <c r="H74" s="17">
        <f>CHOOSE(CONTROL!$C$42, 5.6584, 5.6584) * CHOOSE(CONTROL!$C$21, $C$9, 100%, $E$9)</f>
        <v>5.6584000000000003</v>
      </c>
      <c r="I74" s="17">
        <f>CHOOSE(CONTROL!$C$42, 5.5403, 5.5403)* CHOOSE(CONTROL!$C$21, $C$9, 100%, $E$9)</f>
        <v>5.5403000000000002</v>
      </c>
      <c r="J74" s="17">
        <f>CHOOSE(CONTROL!$C$42, 5.5027, 5.5027)* CHOOSE(CONTROL!$C$21, $C$9, 100%, $E$9)</f>
        <v>5.5026999999999999</v>
      </c>
      <c r="K74" s="52">
        <f>CHOOSE(CONTROL!$C$42, 5.5342, 5.5342) * CHOOSE(CONTROL!$C$21, $C$9, 100%, $E$9)</f>
        <v>5.5342000000000002</v>
      </c>
      <c r="L74" s="17">
        <f>CHOOSE(CONTROL!$C$42, 6.2454, 6.2454) * CHOOSE(CONTROL!$C$21, $C$9, 100%, $E$9)</f>
        <v>6.2454000000000001</v>
      </c>
      <c r="M74" s="17">
        <f>CHOOSE(CONTROL!$C$42, 5.4602, 5.4602) * CHOOSE(CONTROL!$C$21, $C$9, 100%, $E$9)</f>
        <v>5.4602000000000004</v>
      </c>
      <c r="N74" s="17">
        <f>CHOOSE(CONTROL!$C$42, 5.4769, 5.4769) * CHOOSE(CONTROL!$C$21, $C$9, 100%, $E$9)</f>
        <v>5.4768999999999997</v>
      </c>
      <c r="O74" s="17">
        <f>CHOOSE(CONTROL!$C$42, 5.6145, 5.6145) * CHOOSE(CONTROL!$C$21, $C$9, 100%, $E$9)</f>
        <v>5.6144999999999996</v>
      </c>
      <c r="P74" s="17">
        <f>CHOOSE(CONTROL!$C$42, 5.4973, 5.4973) * CHOOSE(CONTROL!$C$21, $C$9, 100%, $E$9)</f>
        <v>5.4973000000000001</v>
      </c>
      <c r="Q74" s="17">
        <f>CHOOSE(CONTROL!$C$42, 6.2092, 6.2092) * CHOOSE(CONTROL!$C$21, $C$9, 100%, $E$9)</f>
        <v>6.2092000000000001</v>
      </c>
      <c r="R74" s="17">
        <f>CHOOSE(CONTROL!$C$42, 6.8117, 6.8117) * CHOOSE(CONTROL!$C$21, $C$9, 100%, $E$9)</f>
        <v>6.8117000000000001</v>
      </c>
      <c r="S74" s="17">
        <f>CHOOSE(CONTROL!$C$42, 5.3206, 5.3206) * CHOOSE(CONTROL!$C$21, $C$9, 100%, $E$9)</f>
        <v>5.3205999999999998</v>
      </c>
      <c r="T74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74" s="56">
        <f>(1000*CHOOSE(CONTROL!$C$42, 695, 695)*CHOOSE(CONTROL!$C$42, 0.5599, 0.5599)*CHOOSE(CONTROL!$C$42, 28, 28))/1000000</f>
        <v>10.895653999999999</v>
      </c>
      <c r="V74" s="56">
        <f>(1000*CHOOSE(CONTROL!$C$42, 580, 580)*CHOOSE(CONTROL!$C$42, 0.275, 0.275)*CHOOSE(CONTROL!$C$42, 28, 28))/1000000</f>
        <v>4.4660000000000002</v>
      </c>
      <c r="W74" s="56">
        <f>(1000*CHOOSE(CONTROL!$C$42, 0.0916, 0.0916)*CHOOSE(CONTROL!$C$42, 121.5, 121.5)*CHOOSE(CONTROL!$C$42, 28, 28))/1000000</f>
        <v>0.31162319999999999</v>
      </c>
      <c r="X74" s="56">
        <f>(28*0.2374*100000/1000000)</f>
        <v>0.66471999999999998</v>
      </c>
      <c r="Y74" s="56"/>
      <c r="Z74" s="17"/>
      <c r="AA74" s="55"/>
      <c r="AB74" s="48">
        <f>(B74*122.58+C74*297.941+D74*89.177+E74*140.302+F74*40+G74*60+H74*0+I74*100+J74*300)/(122.58+297.941+89.177+140.302+0+40+60+100+300)</f>
        <v>5.5372854675652166</v>
      </c>
      <c r="AC74" s="45">
        <f>(M74*'RAP TEMPLATE-GAS AVAILABILITY'!O73+N74*'RAP TEMPLATE-GAS AVAILABILITY'!P73+O74*'RAP TEMPLATE-GAS AVAILABILITY'!Q73+P74*'RAP TEMPLATE-GAS AVAILABILITY'!R73)/('RAP TEMPLATE-GAS AVAILABILITY'!O73+'RAP TEMPLATE-GAS AVAILABILITY'!P73+'RAP TEMPLATE-GAS AVAILABILITY'!Q73+'RAP TEMPLATE-GAS AVAILABILITY'!R73)</f>
        <v>5.5364338129496407</v>
      </c>
    </row>
    <row r="75" spans="1:29" ht="15.75" x14ac:dyDescent="0.25">
      <c r="A75" s="16">
        <v>42795</v>
      </c>
      <c r="B75" s="17">
        <f>CHOOSE(CONTROL!$C$42, 5.3519, 5.3519) * CHOOSE(CONTROL!$C$21, $C$9, 100%, $E$9)</f>
        <v>5.3518999999999997</v>
      </c>
      <c r="C75" s="17">
        <f>CHOOSE(CONTROL!$C$42, 5.357, 5.357) * CHOOSE(CONTROL!$C$21, $C$9, 100%, $E$9)</f>
        <v>5.3570000000000002</v>
      </c>
      <c r="D75" s="17">
        <f>CHOOSE(CONTROL!$C$42, 5.491, 5.491) * CHOOSE(CONTROL!$C$21, $C$9, 100%, $E$9)</f>
        <v>5.4909999999999997</v>
      </c>
      <c r="E75" s="17">
        <f>CHOOSE(CONTROL!$C$42, 5.5247, 5.5247) * CHOOSE(CONTROL!$C$21, $C$9, 100%, $E$9)</f>
        <v>5.5247000000000002</v>
      </c>
      <c r="F75" s="17">
        <f>CHOOSE(CONTROL!$C$42, 5.3646, 5.3646)*CHOOSE(CONTROL!$C$21, $C$9, 100%, $E$9)</f>
        <v>5.3646000000000003</v>
      </c>
      <c r="G75" s="17">
        <f>CHOOSE(CONTROL!$C$42, 5.3812, 5.3812)*CHOOSE(CONTROL!$C$21, $C$9, 100%, $E$9)</f>
        <v>5.3811999999999998</v>
      </c>
      <c r="H75" s="17">
        <f>CHOOSE(CONTROL!$C$42, 5.5136, 5.5136) * CHOOSE(CONTROL!$C$21, $C$9, 100%, $E$9)</f>
        <v>5.5136000000000003</v>
      </c>
      <c r="I75" s="17">
        <f>CHOOSE(CONTROL!$C$42, 5.395, 5.395)* CHOOSE(CONTROL!$C$21, $C$9, 100%, $E$9)</f>
        <v>5.3949999999999996</v>
      </c>
      <c r="J75" s="17">
        <f>CHOOSE(CONTROL!$C$42, 5.3572, 5.3572)* CHOOSE(CONTROL!$C$21, $C$9, 100%, $E$9)</f>
        <v>5.3571999999999997</v>
      </c>
      <c r="K75" s="52">
        <f>CHOOSE(CONTROL!$C$42, 5.389, 5.389) * CHOOSE(CONTROL!$C$21, $C$9, 100%, $E$9)</f>
        <v>5.3890000000000002</v>
      </c>
      <c r="L75" s="17">
        <f>CHOOSE(CONTROL!$C$42, 6.1006, 6.1006) * CHOOSE(CONTROL!$C$21, $C$9, 100%, $E$9)</f>
        <v>6.1006</v>
      </c>
      <c r="M75" s="17">
        <f>CHOOSE(CONTROL!$C$42, 5.316, 5.316) * CHOOSE(CONTROL!$C$21, $C$9, 100%, $E$9)</f>
        <v>5.3159999999999998</v>
      </c>
      <c r="N75" s="17">
        <f>CHOOSE(CONTROL!$C$42, 5.3325, 5.3325) * CHOOSE(CONTROL!$C$21, $C$9, 100%, $E$9)</f>
        <v>5.3324999999999996</v>
      </c>
      <c r="O75" s="17">
        <f>CHOOSE(CONTROL!$C$42, 5.471, 5.471) * CHOOSE(CONTROL!$C$21, $C$9, 100%, $E$9)</f>
        <v>5.4710000000000001</v>
      </c>
      <c r="P75" s="17">
        <f>CHOOSE(CONTROL!$C$42, 5.3534, 5.3534) * CHOOSE(CONTROL!$C$21, $C$9, 100%, $E$9)</f>
        <v>5.3533999999999997</v>
      </c>
      <c r="Q75" s="17">
        <f>CHOOSE(CONTROL!$C$42, 6.0657, 6.0657) * CHOOSE(CONTROL!$C$21, $C$9, 100%, $E$9)</f>
        <v>6.0656999999999996</v>
      </c>
      <c r="R75" s="17">
        <f>CHOOSE(CONTROL!$C$42, 6.6679, 6.6679) * CHOOSE(CONTROL!$C$21, $C$9, 100%, $E$9)</f>
        <v>6.6679000000000004</v>
      </c>
      <c r="S75" s="17">
        <f>CHOOSE(CONTROL!$C$42, 5.1802, 5.1802) * CHOOSE(CONTROL!$C$21, $C$9, 100%, $E$9)</f>
        <v>5.1802000000000001</v>
      </c>
      <c r="T75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75" s="56">
        <f>(1000*CHOOSE(CONTROL!$C$42, 695, 695)*CHOOSE(CONTROL!$C$42, 0.5599, 0.5599)*CHOOSE(CONTROL!$C$42, 31, 31))/1000000</f>
        <v>12.063045499999998</v>
      </c>
      <c r="V75" s="56">
        <f>(1000*CHOOSE(CONTROL!$C$42, 580, 580)*CHOOSE(CONTROL!$C$42, 0.275, 0.275)*CHOOSE(CONTROL!$C$42, 31, 31))/1000000</f>
        <v>4.9444999999999997</v>
      </c>
      <c r="W75" s="56">
        <f>(1000*CHOOSE(CONTROL!$C$42, 0.0916, 0.0916)*CHOOSE(CONTROL!$C$42, 121.5, 121.5)*CHOOSE(CONTROL!$C$42, 31, 31))/1000000</f>
        <v>0.34501139999999997</v>
      </c>
      <c r="X75" s="56">
        <f>(31*0.2374*100000/1000000)</f>
        <v>0.73594000000000004</v>
      </c>
      <c r="Y75" s="56"/>
      <c r="Z75" s="17"/>
      <c r="AA75" s="55"/>
      <c r="AB75" s="48">
        <f>(B75*122.58+C75*297.941+D75*89.177+E75*140.302+F75*40+G75*60+H75*0+I75*100+J75*300)/(122.58+297.941+89.177+140.302+0+40+60+100+300)</f>
        <v>5.3921906133913042</v>
      </c>
      <c r="AC75" s="45">
        <f>(M75*'RAP TEMPLATE-GAS AVAILABILITY'!O74+N75*'RAP TEMPLATE-GAS AVAILABILITY'!P74+O75*'RAP TEMPLATE-GAS AVAILABILITY'!Q74+P75*'RAP TEMPLATE-GAS AVAILABILITY'!R74)/('RAP TEMPLATE-GAS AVAILABILITY'!O74+'RAP TEMPLATE-GAS AVAILABILITY'!P74+'RAP TEMPLATE-GAS AVAILABILITY'!Q74+'RAP TEMPLATE-GAS AVAILABILITY'!R74)</f>
        <v>5.3925827338129499</v>
      </c>
    </row>
    <row r="76" spans="1:29" ht="15.75" x14ac:dyDescent="0.25">
      <c r="A76" s="16">
        <v>42826</v>
      </c>
      <c r="B76" s="17">
        <f>CHOOSE(CONTROL!$C$42, 5.3479, 5.3479) * CHOOSE(CONTROL!$C$21, $C$9, 100%, $E$9)</f>
        <v>5.3479000000000001</v>
      </c>
      <c r="C76" s="17">
        <f>CHOOSE(CONTROL!$C$42, 5.3525, 5.3525) * CHOOSE(CONTROL!$C$21, $C$9, 100%, $E$9)</f>
        <v>5.3525</v>
      </c>
      <c r="D76" s="17">
        <f>CHOOSE(CONTROL!$C$42, 5.6155, 5.6155) * CHOOSE(CONTROL!$C$21, $C$9, 100%, $E$9)</f>
        <v>5.6154999999999999</v>
      </c>
      <c r="E76" s="17">
        <f>CHOOSE(CONTROL!$C$42, 5.6473, 5.6473) * CHOOSE(CONTROL!$C$21, $C$9, 100%, $E$9)</f>
        <v>5.6473000000000004</v>
      </c>
      <c r="F76" s="17">
        <f>CHOOSE(CONTROL!$C$42, 5.3589, 5.3589)*CHOOSE(CONTROL!$C$21, $C$9, 100%, $E$9)</f>
        <v>5.3589000000000002</v>
      </c>
      <c r="G76" s="17">
        <f>CHOOSE(CONTROL!$C$42, 5.375, 5.375)*CHOOSE(CONTROL!$C$21, $C$9, 100%, $E$9)</f>
        <v>5.375</v>
      </c>
      <c r="H76" s="17">
        <f>CHOOSE(CONTROL!$C$42, 5.6367, 5.6367) * CHOOSE(CONTROL!$C$21, $C$9, 100%, $E$9)</f>
        <v>5.6367000000000003</v>
      </c>
      <c r="I76" s="17">
        <f>CHOOSE(CONTROL!$C$42, 5.3897, 5.3897)* CHOOSE(CONTROL!$C$21, $C$9, 100%, $E$9)</f>
        <v>5.3897000000000004</v>
      </c>
      <c r="J76" s="17">
        <f>CHOOSE(CONTROL!$C$42, 5.3515, 5.3515)* CHOOSE(CONTROL!$C$21, $C$9, 100%, $E$9)</f>
        <v>5.3514999999999997</v>
      </c>
      <c r="K76" s="52">
        <f>CHOOSE(CONTROL!$C$42, 5.3837, 5.3837) * CHOOSE(CONTROL!$C$21, $C$9, 100%, $E$9)</f>
        <v>5.3837000000000002</v>
      </c>
      <c r="L76" s="17">
        <f>CHOOSE(CONTROL!$C$42, 6.2237, 6.2237) * CHOOSE(CONTROL!$C$21, $C$9, 100%, $E$9)</f>
        <v>6.2237</v>
      </c>
      <c r="M76" s="17">
        <f>CHOOSE(CONTROL!$C$42, 5.3103, 5.3103) * CHOOSE(CONTROL!$C$21, $C$9, 100%, $E$9)</f>
        <v>5.3102999999999998</v>
      </c>
      <c r="N76" s="17">
        <f>CHOOSE(CONTROL!$C$42, 5.3263, 5.3263) * CHOOSE(CONTROL!$C$21, $C$9, 100%, $E$9)</f>
        <v>5.3262999999999998</v>
      </c>
      <c r="O76" s="17">
        <f>CHOOSE(CONTROL!$C$42, 5.593, 5.593) * CHOOSE(CONTROL!$C$21, $C$9, 100%, $E$9)</f>
        <v>5.593</v>
      </c>
      <c r="P76" s="17">
        <f>CHOOSE(CONTROL!$C$42, 5.3482, 5.3482) * CHOOSE(CONTROL!$C$21, $C$9, 100%, $E$9)</f>
        <v>5.3482000000000003</v>
      </c>
      <c r="Q76" s="17">
        <f>CHOOSE(CONTROL!$C$42, 6.1877, 6.1877) * CHOOSE(CONTROL!$C$21, $C$9, 100%, $E$9)</f>
        <v>6.1877000000000004</v>
      </c>
      <c r="R76" s="17">
        <f>CHOOSE(CONTROL!$C$42, 6.7902, 6.7902) * CHOOSE(CONTROL!$C$21, $C$9, 100%, $E$9)</f>
        <v>6.7901999999999996</v>
      </c>
      <c r="S76" s="17">
        <f>CHOOSE(CONTROL!$C$42, 5.1756, 5.1756) * CHOOSE(CONTROL!$C$21, $C$9, 100%, $E$9)</f>
        <v>5.1756000000000002</v>
      </c>
      <c r="T76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76" s="56">
        <f>(1000*CHOOSE(CONTROL!$C$42, 695, 695)*CHOOSE(CONTROL!$C$42, 0.5599, 0.5599)*CHOOSE(CONTROL!$C$42, 30, 30))/1000000</f>
        <v>11.673914999999997</v>
      </c>
      <c r="V76" s="56">
        <f>(1000*CHOOSE(CONTROL!$C$42, 580, 580)*CHOOSE(CONTROL!$C$42, 0.275, 0.275)*CHOOSE(CONTROL!$C$42, 30, 30))/1000000</f>
        <v>4.7850000000000001</v>
      </c>
      <c r="W76" s="56">
        <f>(1000*CHOOSE(CONTROL!$C$42, 0.0916, 0.0916)*CHOOSE(CONTROL!$C$42, 121.5, 121.5)*CHOOSE(CONTROL!$C$42, 30, 30))/1000000</f>
        <v>0.33388200000000001</v>
      </c>
      <c r="X76" s="56">
        <f>(30*0.1790888*145000/1000000)+(30*0.2374*100000/1000000)</f>
        <v>1.4912362799999999</v>
      </c>
      <c r="Y76" s="56"/>
      <c r="Z76" s="17"/>
      <c r="AA76" s="55"/>
      <c r="AB76" s="48">
        <f>(B76*141.293+C76*267.993+D76*115.016+E76*189.698+F76*40+G76*85+H76*0+I76*100+J76*300)/(141.293+267.993+115.016+189.698+0+40+85+100+300)</f>
        <v>5.4260356986279259</v>
      </c>
      <c r="AC76" s="45">
        <f>(M76*'RAP TEMPLATE-GAS AVAILABILITY'!O75+N76*'RAP TEMPLATE-GAS AVAILABILITY'!P75+O76*'RAP TEMPLATE-GAS AVAILABILITY'!Q75+P76*'RAP TEMPLATE-GAS AVAILABILITY'!R75)/('RAP TEMPLATE-GAS AVAILABILITY'!O75+'RAP TEMPLATE-GAS AVAILABILITY'!P75+'RAP TEMPLATE-GAS AVAILABILITY'!Q75+'RAP TEMPLATE-GAS AVAILABILITY'!R75)</f>
        <v>5.3987553956834526</v>
      </c>
    </row>
    <row r="77" spans="1:29" ht="15.75" x14ac:dyDescent="0.25">
      <c r="A77" s="16">
        <v>42856</v>
      </c>
      <c r="B77" s="17">
        <f>CHOOSE(CONTROL!$C$42, 5.4075, 5.4075) * CHOOSE(CONTROL!$C$21, $C$9, 100%, $E$9)</f>
        <v>5.4074999999999998</v>
      </c>
      <c r="C77" s="17">
        <f>CHOOSE(CONTROL!$C$42, 5.4155, 5.4155) * CHOOSE(CONTROL!$C$21, $C$9, 100%, $E$9)</f>
        <v>5.4154999999999998</v>
      </c>
      <c r="D77" s="17">
        <f>CHOOSE(CONTROL!$C$42, 5.6754, 5.6754) * CHOOSE(CONTROL!$C$21, $C$9, 100%, $E$9)</f>
        <v>5.6753999999999998</v>
      </c>
      <c r="E77" s="17">
        <f>CHOOSE(CONTROL!$C$42, 5.7066, 5.7066) * CHOOSE(CONTROL!$C$21, $C$9, 100%, $E$9)</f>
        <v>5.7065999999999999</v>
      </c>
      <c r="F77" s="17">
        <f>CHOOSE(CONTROL!$C$42, 5.4172, 5.4172)*CHOOSE(CONTROL!$C$21, $C$9, 100%, $E$9)</f>
        <v>5.4172000000000002</v>
      </c>
      <c r="G77" s="17">
        <f>CHOOSE(CONTROL!$C$42, 5.4336, 5.4336)*CHOOSE(CONTROL!$C$21, $C$9, 100%, $E$9)</f>
        <v>5.4336000000000002</v>
      </c>
      <c r="H77" s="17">
        <f>CHOOSE(CONTROL!$C$42, 5.6949, 5.6949) * CHOOSE(CONTROL!$C$21, $C$9, 100%, $E$9)</f>
        <v>5.6948999999999996</v>
      </c>
      <c r="I77" s="17">
        <f>CHOOSE(CONTROL!$C$42, 5.4481, 5.4481)* CHOOSE(CONTROL!$C$21, $C$9, 100%, $E$9)</f>
        <v>5.4481000000000002</v>
      </c>
      <c r="J77" s="17">
        <f>CHOOSE(CONTROL!$C$42, 5.4098, 5.4098)* CHOOSE(CONTROL!$C$21, $C$9, 100%, $E$9)</f>
        <v>5.4097999999999997</v>
      </c>
      <c r="K77" s="52">
        <f>CHOOSE(CONTROL!$C$42, 5.4421, 5.4421) * CHOOSE(CONTROL!$C$21, $C$9, 100%, $E$9)</f>
        <v>5.4420999999999999</v>
      </c>
      <c r="L77" s="17">
        <f>CHOOSE(CONTROL!$C$42, 6.2819, 6.2819) * CHOOSE(CONTROL!$C$21, $C$9, 100%, $E$9)</f>
        <v>6.2819000000000003</v>
      </c>
      <c r="M77" s="17">
        <f>CHOOSE(CONTROL!$C$42, 5.3681, 5.3681) * CHOOSE(CONTROL!$C$21, $C$9, 100%, $E$9)</f>
        <v>5.3681000000000001</v>
      </c>
      <c r="N77" s="17">
        <f>CHOOSE(CONTROL!$C$42, 5.3844, 5.3844) * CHOOSE(CONTROL!$C$21, $C$9, 100%, $E$9)</f>
        <v>5.3844000000000003</v>
      </c>
      <c r="O77" s="17">
        <f>CHOOSE(CONTROL!$C$42, 5.6507, 5.6507) * CHOOSE(CONTROL!$C$21, $C$9, 100%, $E$9)</f>
        <v>5.6506999999999996</v>
      </c>
      <c r="P77" s="17">
        <f>CHOOSE(CONTROL!$C$42, 5.406, 5.406) * CHOOSE(CONTROL!$C$21, $C$9, 100%, $E$9)</f>
        <v>5.4059999999999997</v>
      </c>
      <c r="Q77" s="17">
        <f>CHOOSE(CONTROL!$C$42, 6.2454, 6.2454) * CHOOSE(CONTROL!$C$21, $C$9, 100%, $E$9)</f>
        <v>6.2454000000000001</v>
      </c>
      <c r="R77" s="17">
        <f>CHOOSE(CONTROL!$C$42, 6.848, 6.848) * CHOOSE(CONTROL!$C$21, $C$9, 100%, $E$9)</f>
        <v>6.8479999999999999</v>
      </c>
      <c r="S77" s="17">
        <f>CHOOSE(CONTROL!$C$42, 5.2321, 5.2321) * CHOOSE(CONTROL!$C$21, $C$9, 100%, $E$9)</f>
        <v>5.2321</v>
      </c>
      <c r="T77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77" s="56">
        <f>(1000*CHOOSE(CONTROL!$C$42, 695, 695)*CHOOSE(CONTROL!$C$42, 0.5599, 0.5599)*CHOOSE(CONTROL!$C$42, 31, 31))/1000000</f>
        <v>12.063045499999998</v>
      </c>
      <c r="V77" s="56">
        <f>(1000*CHOOSE(CONTROL!$C$42, 580, 580)*CHOOSE(CONTROL!$C$42, 0.275, 0.275)*CHOOSE(CONTROL!$C$42, 31, 31))/1000000</f>
        <v>4.9444999999999997</v>
      </c>
      <c r="W77" s="56">
        <f>(1000*CHOOSE(CONTROL!$C$42, 0.0916, 0.0916)*CHOOSE(CONTROL!$C$42, 121.5, 121.5)*CHOOSE(CONTROL!$C$42, 31, 31))/1000000</f>
        <v>0.34501139999999997</v>
      </c>
      <c r="X77" s="56">
        <f>(31*0.1790888*145000/1000000)+(31*0.2374*100000/1000000)</f>
        <v>1.5409441560000001</v>
      </c>
      <c r="Y77" s="56"/>
      <c r="Z77" s="17"/>
      <c r="AA77" s="55"/>
      <c r="AB77" s="48">
        <f>(B77*194.205+C77*267.466+D77*133.845+E77*153.484+F77*40+G77*85+H77*0+I77*100+J77*300)/(194.205+267.466+133.845+153.484+0+40+85+100+300)</f>
        <v>5.4791329418367338</v>
      </c>
      <c r="AC77" s="45">
        <f>(M77*'RAP TEMPLATE-GAS AVAILABILITY'!O76+N77*'RAP TEMPLATE-GAS AVAILABILITY'!P76+O77*'RAP TEMPLATE-GAS AVAILABILITY'!Q76+P77*'RAP TEMPLATE-GAS AVAILABILITY'!R76)/('RAP TEMPLATE-GAS AVAILABILITY'!O76+'RAP TEMPLATE-GAS AVAILABILITY'!P76+'RAP TEMPLATE-GAS AVAILABILITY'!Q76+'RAP TEMPLATE-GAS AVAILABILITY'!R76)</f>
        <v>5.4565964028776968</v>
      </c>
    </row>
    <row r="78" spans="1:29" ht="15.75" x14ac:dyDescent="0.25">
      <c r="A78" s="16">
        <v>42887</v>
      </c>
      <c r="B78" s="17">
        <f>CHOOSE(CONTROL!$C$42, 5.5719, 5.5719) * CHOOSE(CONTROL!$C$21, $C$9, 100%, $E$9)</f>
        <v>5.5719000000000003</v>
      </c>
      <c r="C78" s="17">
        <f>CHOOSE(CONTROL!$C$42, 5.5799, 5.5799) * CHOOSE(CONTROL!$C$21, $C$9, 100%, $E$9)</f>
        <v>5.5799000000000003</v>
      </c>
      <c r="D78" s="17">
        <f>CHOOSE(CONTROL!$C$42, 5.8399, 5.8399) * CHOOSE(CONTROL!$C$21, $C$9, 100%, $E$9)</f>
        <v>5.8399000000000001</v>
      </c>
      <c r="E78" s="17">
        <f>CHOOSE(CONTROL!$C$42, 5.871, 5.871) * CHOOSE(CONTROL!$C$21, $C$9, 100%, $E$9)</f>
        <v>5.8710000000000004</v>
      </c>
      <c r="F78" s="17">
        <f>CHOOSE(CONTROL!$C$42, 5.5819, 5.5819)*CHOOSE(CONTROL!$C$21, $C$9, 100%, $E$9)</f>
        <v>5.5819000000000001</v>
      </c>
      <c r="G78" s="17">
        <f>CHOOSE(CONTROL!$C$42, 5.5984, 5.5984)*CHOOSE(CONTROL!$C$21, $C$9, 100%, $E$9)</f>
        <v>5.5983999999999998</v>
      </c>
      <c r="H78" s="17">
        <f>CHOOSE(CONTROL!$C$42, 5.8594, 5.8594) * CHOOSE(CONTROL!$C$21, $C$9, 100%, $E$9)</f>
        <v>5.8593999999999999</v>
      </c>
      <c r="I78" s="17">
        <f>CHOOSE(CONTROL!$C$42, 5.6131, 5.6131)* CHOOSE(CONTROL!$C$21, $C$9, 100%, $E$9)</f>
        <v>5.6131000000000002</v>
      </c>
      <c r="J78" s="17">
        <f>CHOOSE(CONTROL!$C$42, 5.5745, 5.5745)* CHOOSE(CONTROL!$C$21, $C$9, 100%, $E$9)</f>
        <v>5.5744999999999996</v>
      </c>
      <c r="K78" s="52">
        <f>CHOOSE(CONTROL!$C$42, 5.607, 5.607) * CHOOSE(CONTROL!$C$21, $C$9, 100%, $E$9)</f>
        <v>5.6070000000000002</v>
      </c>
      <c r="L78" s="17">
        <f>CHOOSE(CONTROL!$C$42, 6.4464, 6.4464) * CHOOSE(CONTROL!$C$21, $C$9, 100%, $E$9)</f>
        <v>6.4463999999999997</v>
      </c>
      <c r="M78" s="17">
        <f>CHOOSE(CONTROL!$C$42, 5.5314, 5.5314) * CHOOSE(CONTROL!$C$21, $C$9, 100%, $E$9)</f>
        <v>5.5313999999999997</v>
      </c>
      <c r="N78" s="17">
        <f>CHOOSE(CONTROL!$C$42, 5.5478, 5.5478) * CHOOSE(CONTROL!$C$21, $C$9, 100%, $E$9)</f>
        <v>5.5477999999999996</v>
      </c>
      <c r="O78" s="17">
        <f>CHOOSE(CONTROL!$C$42, 5.8137, 5.8137) * CHOOSE(CONTROL!$C$21, $C$9, 100%, $E$9)</f>
        <v>5.8136999999999999</v>
      </c>
      <c r="P78" s="17">
        <f>CHOOSE(CONTROL!$C$42, 5.5695, 5.5695) * CHOOSE(CONTROL!$C$21, $C$9, 100%, $E$9)</f>
        <v>5.5694999999999997</v>
      </c>
      <c r="Q78" s="17">
        <f>CHOOSE(CONTROL!$C$42, 6.4084, 6.4084) * CHOOSE(CONTROL!$C$21, $C$9, 100%, $E$9)</f>
        <v>6.4084000000000003</v>
      </c>
      <c r="R78" s="17">
        <f>CHOOSE(CONTROL!$C$42, 7.0114, 7.0114) * CHOOSE(CONTROL!$C$21, $C$9, 100%, $E$9)</f>
        <v>7.0114000000000001</v>
      </c>
      <c r="S78" s="17">
        <f>CHOOSE(CONTROL!$C$42, 5.3915, 5.3915) * CHOOSE(CONTROL!$C$21, $C$9, 100%, $E$9)</f>
        <v>5.3914999999999997</v>
      </c>
      <c r="T78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78" s="56">
        <f>(1000*CHOOSE(CONTROL!$C$42, 695, 695)*CHOOSE(CONTROL!$C$42, 0.5599, 0.5599)*CHOOSE(CONTROL!$C$42, 30, 30))/1000000</f>
        <v>11.673914999999997</v>
      </c>
      <c r="V78" s="56">
        <f>(1000*CHOOSE(CONTROL!$C$42, 580, 580)*CHOOSE(CONTROL!$C$42, 0.275, 0.275)*CHOOSE(CONTROL!$C$42, 30, 30))/1000000</f>
        <v>4.7850000000000001</v>
      </c>
      <c r="W78" s="56">
        <f>(1000*CHOOSE(CONTROL!$C$42, 0.0916, 0.0916)*CHOOSE(CONTROL!$C$42, 121.5, 121.5)*CHOOSE(CONTROL!$C$42, 30, 30))/1000000</f>
        <v>0.33388200000000001</v>
      </c>
      <c r="X78" s="56">
        <f>(30*0.1790888*145000/1000000)+(30*0.2374*100000/1000000)</f>
        <v>1.4912362799999999</v>
      </c>
      <c r="Y78" s="56"/>
      <c r="Z78" s="17"/>
      <c r="AA78" s="55"/>
      <c r="AB78" s="48">
        <f>(B78*194.205+C78*267.466+D78*133.845+E78*153.484+F78*40+G78*85+H78*0+I78*100+J78*300)/(194.205+267.466+133.845+153.484+0+40+85+100+300)</f>
        <v>5.6436972938775511</v>
      </c>
      <c r="AC78" s="45">
        <f>(M78*'RAP TEMPLATE-GAS AVAILABILITY'!O77+N78*'RAP TEMPLATE-GAS AVAILABILITY'!P77+O78*'RAP TEMPLATE-GAS AVAILABILITY'!Q77+P78*'RAP TEMPLATE-GAS AVAILABILITY'!R77)/('RAP TEMPLATE-GAS AVAILABILITY'!O77+'RAP TEMPLATE-GAS AVAILABILITY'!P77+'RAP TEMPLATE-GAS AVAILABILITY'!Q77+'RAP TEMPLATE-GAS AVAILABILITY'!R77)</f>
        <v>5.6198640287769779</v>
      </c>
    </row>
    <row r="79" spans="1:29" ht="15.75" x14ac:dyDescent="0.25">
      <c r="A79" s="16">
        <v>42917</v>
      </c>
      <c r="B79" s="17">
        <f>CHOOSE(CONTROL!$C$42, 5.4765, 5.4765) * CHOOSE(CONTROL!$C$21, $C$9, 100%, $E$9)</f>
        <v>5.4764999999999997</v>
      </c>
      <c r="C79" s="17">
        <f>CHOOSE(CONTROL!$C$42, 5.4845, 5.4845) * CHOOSE(CONTROL!$C$21, $C$9, 100%, $E$9)</f>
        <v>5.4844999999999997</v>
      </c>
      <c r="D79" s="17">
        <f>CHOOSE(CONTROL!$C$42, 5.7444, 5.7444) * CHOOSE(CONTROL!$C$21, $C$9, 100%, $E$9)</f>
        <v>5.7443999999999997</v>
      </c>
      <c r="E79" s="17">
        <f>CHOOSE(CONTROL!$C$42, 5.7756, 5.7756) * CHOOSE(CONTROL!$C$21, $C$9, 100%, $E$9)</f>
        <v>5.7755999999999998</v>
      </c>
      <c r="F79" s="17">
        <f>CHOOSE(CONTROL!$C$42, 5.4869, 5.4869)*CHOOSE(CONTROL!$C$21, $C$9, 100%, $E$9)</f>
        <v>5.4869000000000003</v>
      </c>
      <c r="G79" s="17">
        <f>CHOOSE(CONTROL!$C$42, 5.5036, 5.5036)*CHOOSE(CONTROL!$C$21, $C$9, 100%, $E$9)</f>
        <v>5.5035999999999996</v>
      </c>
      <c r="H79" s="17">
        <f>CHOOSE(CONTROL!$C$42, 5.7639, 5.7639) * CHOOSE(CONTROL!$C$21, $C$9, 100%, $E$9)</f>
        <v>5.7638999999999996</v>
      </c>
      <c r="I79" s="17">
        <f>CHOOSE(CONTROL!$C$42, 5.5174, 5.5174)* CHOOSE(CONTROL!$C$21, $C$9, 100%, $E$9)</f>
        <v>5.5174000000000003</v>
      </c>
      <c r="J79" s="17">
        <f>CHOOSE(CONTROL!$C$42, 5.4795, 5.4795)* CHOOSE(CONTROL!$C$21, $C$9, 100%, $E$9)</f>
        <v>5.4794999999999998</v>
      </c>
      <c r="K79" s="52">
        <f>CHOOSE(CONTROL!$C$42, 5.5113, 5.5113) * CHOOSE(CONTROL!$C$21, $C$9, 100%, $E$9)</f>
        <v>5.5113000000000003</v>
      </c>
      <c r="L79" s="17">
        <f>CHOOSE(CONTROL!$C$42, 6.3509, 6.3509) * CHOOSE(CONTROL!$C$21, $C$9, 100%, $E$9)</f>
        <v>6.3509000000000002</v>
      </c>
      <c r="M79" s="17">
        <f>CHOOSE(CONTROL!$C$42, 5.4372, 5.4372) * CHOOSE(CONTROL!$C$21, $C$9, 100%, $E$9)</f>
        <v>5.4371999999999998</v>
      </c>
      <c r="N79" s="17">
        <f>CHOOSE(CONTROL!$C$42, 5.4537, 5.4537) * CHOOSE(CONTROL!$C$21, $C$9, 100%, $E$9)</f>
        <v>5.4537000000000004</v>
      </c>
      <c r="O79" s="17">
        <f>CHOOSE(CONTROL!$C$42, 5.7191, 5.7191) * CHOOSE(CONTROL!$C$21, $C$9, 100%, $E$9)</f>
        <v>5.7191000000000001</v>
      </c>
      <c r="P79" s="17">
        <f>CHOOSE(CONTROL!$C$42, 5.4747, 5.4747) * CHOOSE(CONTROL!$C$21, $C$9, 100%, $E$9)</f>
        <v>5.4747000000000003</v>
      </c>
      <c r="Q79" s="17">
        <f>CHOOSE(CONTROL!$C$42, 6.3138, 6.3138) * CHOOSE(CONTROL!$C$21, $C$9, 100%, $E$9)</f>
        <v>6.3137999999999996</v>
      </c>
      <c r="R79" s="17">
        <f>CHOOSE(CONTROL!$C$42, 6.9166, 6.9166) * CHOOSE(CONTROL!$C$21, $C$9, 100%, $E$9)</f>
        <v>6.9165999999999999</v>
      </c>
      <c r="S79" s="17">
        <f>CHOOSE(CONTROL!$C$42, 5.299, 5.299) * CHOOSE(CONTROL!$C$21, $C$9, 100%, $E$9)</f>
        <v>5.2990000000000004</v>
      </c>
      <c r="T79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79" s="56">
        <f>(1000*CHOOSE(CONTROL!$C$42, 695, 695)*CHOOSE(CONTROL!$C$42, 0.5599, 0.5599)*CHOOSE(CONTROL!$C$42, 31, 31))/1000000</f>
        <v>12.063045499999998</v>
      </c>
      <c r="V79" s="56">
        <f>(1000*CHOOSE(CONTROL!$C$42, 580, 580)*CHOOSE(CONTROL!$C$42, 0.275, 0.275)*CHOOSE(CONTROL!$C$42, 31, 31))/1000000</f>
        <v>4.9444999999999997</v>
      </c>
      <c r="W79" s="56">
        <f>(1000*CHOOSE(CONTROL!$C$42, 0.0916, 0.0916)*CHOOSE(CONTROL!$C$42, 121.5, 121.5)*CHOOSE(CONTROL!$C$42, 31, 31))/1000000</f>
        <v>0.34501139999999997</v>
      </c>
      <c r="X79" s="56">
        <f>(31*0.1790888*145000/1000000)+(31*0.2374*100000/1000000)</f>
        <v>1.5409441560000001</v>
      </c>
      <c r="Y79" s="56"/>
      <c r="Z79" s="17"/>
      <c r="AA79" s="55"/>
      <c r="AB79" s="48">
        <f>(B79*194.205+C79*267.466+D79*133.845+E79*153.484+F79*40+G79*85+H79*0+I79*100+J79*300)/(194.205+267.466+133.845+153.484+0+40+85+100+300)</f>
        <v>5.548410021899528</v>
      </c>
      <c r="AC79" s="45">
        <f>(M79*'RAP TEMPLATE-GAS AVAILABILITY'!O78+N79*'RAP TEMPLATE-GAS AVAILABILITY'!P78+O79*'RAP TEMPLATE-GAS AVAILABILITY'!Q78+P79*'RAP TEMPLATE-GAS AVAILABILITY'!R78)/('RAP TEMPLATE-GAS AVAILABILITY'!O78+'RAP TEMPLATE-GAS AVAILABILITY'!P78+'RAP TEMPLATE-GAS AVAILABILITY'!Q78+'RAP TEMPLATE-GAS AVAILABILITY'!R78)</f>
        <v>5.5254884892086329</v>
      </c>
    </row>
    <row r="80" spans="1:29" ht="15.75" x14ac:dyDescent="0.25">
      <c r="A80" s="16">
        <v>42948</v>
      </c>
      <c r="B80" s="17">
        <f>CHOOSE(CONTROL!$C$42, 5.2174, 5.2174) * CHOOSE(CONTROL!$C$21, $C$9, 100%, $E$9)</f>
        <v>5.2173999999999996</v>
      </c>
      <c r="C80" s="17">
        <f>CHOOSE(CONTROL!$C$42, 5.2253, 5.2253) * CHOOSE(CONTROL!$C$21, $C$9, 100%, $E$9)</f>
        <v>5.2252999999999998</v>
      </c>
      <c r="D80" s="17">
        <f>CHOOSE(CONTROL!$C$42, 5.4853, 5.4853) * CHOOSE(CONTROL!$C$21, $C$9, 100%, $E$9)</f>
        <v>5.4852999999999996</v>
      </c>
      <c r="E80" s="17">
        <f>CHOOSE(CONTROL!$C$42, 5.5164, 5.5164) * CHOOSE(CONTROL!$C$21, $C$9, 100%, $E$9)</f>
        <v>5.5164</v>
      </c>
      <c r="F80" s="17">
        <f>CHOOSE(CONTROL!$C$42, 5.228, 5.228)*CHOOSE(CONTROL!$C$21, $C$9, 100%, $E$9)</f>
        <v>5.2279999999999998</v>
      </c>
      <c r="G80" s="17">
        <f>CHOOSE(CONTROL!$C$42, 5.2447, 5.2447)*CHOOSE(CONTROL!$C$21, $C$9, 100%, $E$9)</f>
        <v>5.2446999999999999</v>
      </c>
      <c r="H80" s="17">
        <f>CHOOSE(CONTROL!$C$42, 5.5048, 5.5048) * CHOOSE(CONTROL!$C$21, $C$9, 100%, $E$9)</f>
        <v>5.5048000000000004</v>
      </c>
      <c r="I80" s="17">
        <f>CHOOSE(CONTROL!$C$42, 5.2574, 5.2574)* CHOOSE(CONTROL!$C$21, $C$9, 100%, $E$9)</f>
        <v>5.2573999999999996</v>
      </c>
      <c r="J80" s="17">
        <f>CHOOSE(CONTROL!$C$42, 5.2206, 5.2206)* CHOOSE(CONTROL!$C$21, $C$9, 100%, $E$9)</f>
        <v>5.2206000000000001</v>
      </c>
      <c r="K80" s="52">
        <f>CHOOSE(CONTROL!$C$42, 5.2513, 5.2513) * CHOOSE(CONTROL!$C$21, $C$9, 100%, $E$9)</f>
        <v>5.2512999999999996</v>
      </c>
      <c r="L80" s="17">
        <f>CHOOSE(CONTROL!$C$42, 6.0918, 6.0918) * CHOOSE(CONTROL!$C$21, $C$9, 100%, $E$9)</f>
        <v>6.0918000000000001</v>
      </c>
      <c r="M80" s="17">
        <f>CHOOSE(CONTROL!$C$42, 5.1806, 5.1806) * CHOOSE(CONTROL!$C$21, $C$9, 100%, $E$9)</f>
        <v>5.1806000000000001</v>
      </c>
      <c r="N80" s="17">
        <f>CHOOSE(CONTROL!$C$42, 5.1972, 5.1972) * CHOOSE(CONTROL!$C$21, $C$9, 100%, $E$9)</f>
        <v>5.1971999999999996</v>
      </c>
      <c r="O80" s="17">
        <f>CHOOSE(CONTROL!$C$42, 5.4623, 5.4623) * CHOOSE(CONTROL!$C$21, $C$9, 100%, $E$9)</f>
        <v>5.4622999999999999</v>
      </c>
      <c r="P80" s="17">
        <f>CHOOSE(CONTROL!$C$42, 5.217, 5.217) * CHOOSE(CONTROL!$C$21, $C$9, 100%, $E$9)</f>
        <v>5.2169999999999996</v>
      </c>
      <c r="Q80" s="17">
        <f>CHOOSE(CONTROL!$C$42, 6.057, 6.057) * CHOOSE(CONTROL!$C$21, $C$9, 100%, $E$9)</f>
        <v>6.0570000000000004</v>
      </c>
      <c r="R80" s="17">
        <f>CHOOSE(CONTROL!$C$42, 6.6591, 6.6591) * CHOOSE(CONTROL!$C$21, $C$9, 100%, $E$9)</f>
        <v>6.6590999999999996</v>
      </c>
      <c r="S80" s="17">
        <f>CHOOSE(CONTROL!$C$42, 5.0477, 5.0477) * CHOOSE(CONTROL!$C$21, $C$9, 100%, $E$9)</f>
        <v>5.0476999999999999</v>
      </c>
      <c r="T80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80" s="56">
        <f>(1000*CHOOSE(CONTROL!$C$42, 695, 695)*CHOOSE(CONTROL!$C$42, 0.5599, 0.5599)*CHOOSE(CONTROL!$C$42, 31, 31))/1000000</f>
        <v>12.063045499999998</v>
      </c>
      <c r="V80" s="56">
        <f>(1000*CHOOSE(CONTROL!$C$42, 580, 580)*CHOOSE(CONTROL!$C$42, 0.275, 0.275)*CHOOSE(CONTROL!$C$42, 31, 31))/1000000</f>
        <v>4.9444999999999997</v>
      </c>
      <c r="W80" s="56">
        <f>(1000*CHOOSE(CONTROL!$C$42, 0.0916, 0.0916)*CHOOSE(CONTROL!$C$42, 121.5, 121.5)*CHOOSE(CONTROL!$C$42, 31, 31))/1000000</f>
        <v>0.34501139999999997</v>
      </c>
      <c r="X80" s="56">
        <f>(31*0.1790888*145000/1000000)+(31*0.2374*100000/1000000)</f>
        <v>1.5409441560000001</v>
      </c>
      <c r="Y80" s="56"/>
      <c r="Z80" s="17"/>
      <c r="AA80" s="55"/>
      <c r="AB80" s="48">
        <f>(B80*194.205+C80*267.466+D80*133.845+E80*153.484+F80*40+G80*85+H80*0+I80*100+J80*300)/(194.205+267.466+133.845+153.484+0+40+85+100+300)</f>
        <v>5.289273055651492</v>
      </c>
      <c r="AC80" s="45">
        <f>(M80*'RAP TEMPLATE-GAS AVAILABILITY'!O79+N80*'RAP TEMPLATE-GAS AVAILABILITY'!P79+O80*'RAP TEMPLATE-GAS AVAILABILITY'!Q79+P80*'RAP TEMPLATE-GAS AVAILABILITY'!R79)/('RAP TEMPLATE-GAS AVAILABILITY'!O79+'RAP TEMPLATE-GAS AVAILABILITY'!P79+'RAP TEMPLATE-GAS AVAILABILITY'!Q79+'RAP TEMPLATE-GAS AVAILABILITY'!R79)</f>
        <v>5.2686971223021581</v>
      </c>
    </row>
    <row r="81" spans="1:29" ht="15.75" x14ac:dyDescent="0.25">
      <c r="A81" s="16">
        <v>42979</v>
      </c>
      <c r="B81" s="17">
        <f>CHOOSE(CONTROL!$C$42, 4.8967, 4.8967) * CHOOSE(CONTROL!$C$21, $C$9, 100%, $E$9)</f>
        <v>4.8967000000000001</v>
      </c>
      <c r="C81" s="17">
        <f>CHOOSE(CONTROL!$C$42, 4.9047, 4.9047) * CHOOSE(CONTROL!$C$21, $C$9, 100%, $E$9)</f>
        <v>4.9047000000000001</v>
      </c>
      <c r="D81" s="17">
        <f>CHOOSE(CONTROL!$C$42, 5.1646, 5.1646) * CHOOSE(CONTROL!$C$21, $C$9, 100%, $E$9)</f>
        <v>5.1646000000000001</v>
      </c>
      <c r="E81" s="17">
        <f>CHOOSE(CONTROL!$C$42, 5.1958, 5.1958) * CHOOSE(CONTROL!$C$21, $C$9, 100%, $E$9)</f>
        <v>5.1958000000000002</v>
      </c>
      <c r="F81" s="17">
        <f>CHOOSE(CONTROL!$C$42, 4.9073, 4.9073)*CHOOSE(CONTROL!$C$21, $C$9, 100%, $E$9)</f>
        <v>4.9073000000000002</v>
      </c>
      <c r="G81" s="17">
        <f>CHOOSE(CONTROL!$C$42, 4.9241, 4.9241)*CHOOSE(CONTROL!$C$21, $C$9, 100%, $E$9)</f>
        <v>4.9241000000000001</v>
      </c>
      <c r="H81" s="17">
        <f>CHOOSE(CONTROL!$C$42, 5.1841, 5.1841) * CHOOSE(CONTROL!$C$21, $C$9, 100%, $E$9)</f>
        <v>5.1840999999999999</v>
      </c>
      <c r="I81" s="17">
        <f>CHOOSE(CONTROL!$C$42, 4.9357, 4.9357)* CHOOSE(CONTROL!$C$21, $C$9, 100%, $E$9)</f>
        <v>4.9356999999999998</v>
      </c>
      <c r="J81" s="17">
        <f>CHOOSE(CONTROL!$C$42, 4.8999, 4.8999)* CHOOSE(CONTROL!$C$21, $C$9, 100%, $E$9)</f>
        <v>4.8998999999999997</v>
      </c>
      <c r="K81" s="52">
        <f>CHOOSE(CONTROL!$C$42, 4.9297, 4.9297) * CHOOSE(CONTROL!$C$21, $C$9, 100%, $E$9)</f>
        <v>4.9297000000000004</v>
      </c>
      <c r="L81" s="17">
        <f>CHOOSE(CONTROL!$C$42, 5.7711, 5.7711) * CHOOSE(CONTROL!$C$21, $C$9, 100%, $E$9)</f>
        <v>5.7710999999999997</v>
      </c>
      <c r="M81" s="17">
        <f>CHOOSE(CONTROL!$C$42, 4.8629, 4.8629) * CHOOSE(CONTROL!$C$21, $C$9, 100%, $E$9)</f>
        <v>4.8628999999999998</v>
      </c>
      <c r="N81" s="17">
        <f>CHOOSE(CONTROL!$C$42, 4.8794, 4.8794) * CHOOSE(CONTROL!$C$21, $C$9, 100%, $E$9)</f>
        <v>4.8794000000000004</v>
      </c>
      <c r="O81" s="17">
        <f>CHOOSE(CONTROL!$C$42, 5.1445, 5.1445) * CHOOSE(CONTROL!$C$21, $C$9, 100%, $E$9)</f>
        <v>5.1444999999999999</v>
      </c>
      <c r="P81" s="17">
        <f>CHOOSE(CONTROL!$C$42, 4.8983, 4.8983) * CHOOSE(CONTROL!$C$21, $C$9, 100%, $E$9)</f>
        <v>4.8982999999999999</v>
      </c>
      <c r="Q81" s="17">
        <f>CHOOSE(CONTROL!$C$42, 5.7392, 5.7392) * CHOOSE(CONTROL!$C$21, $C$9, 100%, $E$9)</f>
        <v>5.7392000000000003</v>
      </c>
      <c r="R81" s="17">
        <f>CHOOSE(CONTROL!$C$42, 6.3405, 6.3405) * CHOOSE(CONTROL!$C$21, $C$9, 100%, $E$9)</f>
        <v>6.3404999999999996</v>
      </c>
      <c r="S81" s="17">
        <f>CHOOSE(CONTROL!$C$42, 4.7367, 4.7367) * CHOOSE(CONTROL!$C$21, $C$9, 100%, $E$9)</f>
        <v>4.7366999999999999</v>
      </c>
      <c r="T81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81" s="56">
        <f>(1000*CHOOSE(CONTROL!$C$42, 695, 695)*CHOOSE(CONTROL!$C$42, 0.5599, 0.5599)*CHOOSE(CONTROL!$C$42, 30, 30))/1000000</f>
        <v>11.673914999999997</v>
      </c>
      <c r="V81" s="56">
        <f>(1000*CHOOSE(CONTROL!$C$42, 580, 580)*CHOOSE(CONTROL!$C$42, 0.275, 0.275)*CHOOSE(CONTROL!$C$42, 30, 30))/1000000</f>
        <v>4.7850000000000001</v>
      </c>
      <c r="W81" s="56">
        <f>(1000*CHOOSE(CONTROL!$C$42, 0.0916, 0.0916)*CHOOSE(CONTROL!$C$42, 121.5, 121.5)*CHOOSE(CONTROL!$C$42, 30, 30))/1000000</f>
        <v>0.33388200000000001</v>
      </c>
      <c r="X81" s="56">
        <f>(30*0.1790888*145000/1000000)+(30*0.2374*100000/1000000)</f>
        <v>1.4912362799999999</v>
      </c>
      <c r="Y81" s="56"/>
      <c r="Z81" s="17"/>
      <c r="AA81" s="55"/>
      <c r="AB81" s="48">
        <f>(B81*194.205+C81*267.466+D81*133.845+E81*153.484+F81*40+G81*85+H81*0+I81*100+J81*300)/(194.205+267.466+133.845+153.484+0+40+85+100+300)</f>
        <v>4.9685342762166407</v>
      </c>
      <c r="AC81" s="45">
        <f>(M81*'RAP TEMPLATE-GAS AVAILABILITY'!O80+N81*'RAP TEMPLATE-GAS AVAILABILITY'!P80+O81*'RAP TEMPLATE-GAS AVAILABILITY'!Q80+P81*'RAP TEMPLATE-GAS AVAILABILITY'!R80)/('RAP TEMPLATE-GAS AVAILABILITY'!O80+'RAP TEMPLATE-GAS AVAILABILITY'!P80+'RAP TEMPLATE-GAS AVAILABILITY'!Q80+'RAP TEMPLATE-GAS AVAILABILITY'!R80)</f>
        <v>4.9508021582733814</v>
      </c>
    </row>
    <row r="82" spans="1:29" ht="15.75" x14ac:dyDescent="0.25">
      <c r="A82" s="16">
        <v>43009</v>
      </c>
      <c r="B82" s="17">
        <f>CHOOSE(CONTROL!$C$42, 4.8057, 4.8057) * CHOOSE(CONTROL!$C$21, $C$9, 100%, $E$9)</f>
        <v>4.8056999999999999</v>
      </c>
      <c r="C82" s="17">
        <f>CHOOSE(CONTROL!$C$42, 4.811, 4.811) * CHOOSE(CONTROL!$C$21, $C$9, 100%, $E$9)</f>
        <v>4.8109999999999999</v>
      </c>
      <c r="D82" s="17">
        <f>CHOOSE(CONTROL!$C$42, 5.0758, 5.0758) * CHOOSE(CONTROL!$C$21, $C$9, 100%, $E$9)</f>
        <v>5.0758000000000001</v>
      </c>
      <c r="E82" s="17">
        <f>CHOOSE(CONTROL!$C$42, 5.1047, 5.1047) * CHOOSE(CONTROL!$C$21, $C$9, 100%, $E$9)</f>
        <v>5.1047000000000002</v>
      </c>
      <c r="F82" s="17">
        <f>CHOOSE(CONTROL!$C$42, 4.8185, 4.8185)*CHOOSE(CONTROL!$C$21, $C$9, 100%, $E$9)</f>
        <v>4.8185000000000002</v>
      </c>
      <c r="G82" s="17">
        <f>CHOOSE(CONTROL!$C$42, 4.8351, 4.8351)*CHOOSE(CONTROL!$C$21, $C$9, 100%, $E$9)</f>
        <v>4.8350999999999997</v>
      </c>
      <c r="H82" s="17">
        <f>CHOOSE(CONTROL!$C$42, 5.0948, 5.0948) * CHOOSE(CONTROL!$C$21, $C$9, 100%, $E$9)</f>
        <v>5.0948000000000002</v>
      </c>
      <c r="I82" s="17">
        <f>CHOOSE(CONTROL!$C$42, 4.8462, 4.8462)* CHOOSE(CONTROL!$C$21, $C$9, 100%, $E$9)</f>
        <v>4.8461999999999996</v>
      </c>
      <c r="J82" s="17">
        <f>CHOOSE(CONTROL!$C$42, 4.8111, 4.8111)* CHOOSE(CONTROL!$C$21, $C$9, 100%, $E$9)</f>
        <v>4.8110999999999997</v>
      </c>
      <c r="K82" s="52">
        <f>CHOOSE(CONTROL!$C$42, 4.8401, 4.8401) * CHOOSE(CONTROL!$C$21, $C$9, 100%, $E$9)</f>
        <v>4.8400999999999996</v>
      </c>
      <c r="L82" s="17">
        <f>CHOOSE(CONTROL!$C$42, 5.6818, 5.6818) * CHOOSE(CONTROL!$C$21, $C$9, 100%, $E$9)</f>
        <v>5.6818</v>
      </c>
      <c r="M82" s="17">
        <f>CHOOSE(CONTROL!$C$42, 4.7748, 4.7748) * CHOOSE(CONTROL!$C$21, $C$9, 100%, $E$9)</f>
        <v>4.7747999999999999</v>
      </c>
      <c r="N82" s="17">
        <f>CHOOSE(CONTROL!$C$42, 4.7913, 4.7913) * CHOOSE(CONTROL!$C$21, $C$9, 100%, $E$9)</f>
        <v>4.7912999999999997</v>
      </c>
      <c r="O82" s="17">
        <f>CHOOSE(CONTROL!$C$42, 5.056, 5.056) * CHOOSE(CONTROL!$C$21, $C$9, 100%, $E$9)</f>
        <v>5.056</v>
      </c>
      <c r="P82" s="17">
        <f>CHOOSE(CONTROL!$C$42, 4.8095, 4.8095) * CHOOSE(CONTROL!$C$21, $C$9, 100%, $E$9)</f>
        <v>4.8094999999999999</v>
      </c>
      <c r="Q82" s="17">
        <f>CHOOSE(CONTROL!$C$42, 5.6507, 5.6507) * CHOOSE(CONTROL!$C$21, $C$9, 100%, $E$9)</f>
        <v>5.6506999999999996</v>
      </c>
      <c r="R82" s="17">
        <f>CHOOSE(CONTROL!$C$42, 6.2518, 6.2518) * CHOOSE(CONTROL!$C$21, $C$9, 100%, $E$9)</f>
        <v>6.2518000000000002</v>
      </c>
      <c r="S82" s="17">
        <f>CHOOSE(CONTROL!$C$42, 4.6501, 4.6501) * CHOOSE(CONTROL!$C$21, $C$9, 100%, $E$9)</f>
        <v>4.6501000000000001</v>
      </c>
      <c r="T82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82" s="56">
        <f>(1000*CHOOSE(CONTROL!$C$42, 695, 695)*CHOOSE(CONTROL!$C$42, 0.5599, 0.5599)*CHOOSE(CONTROL!$C$42, 31, 31))/1000000</f>
        <v>12.063045499999998</v>
      </c>
      <c r="V82" s="56">
        <f>(1000*CHOOSE(CONTROL!$C$42, 580, 580)*CHOOSE(CONTROL!$C$42, 0.275, 0.275)*CHOOSE(CONTROL!$C$42, 31, 31))/1000000</f>
        <v>4.9444999999999997</v>
      </c>
      <c r="W82" s="56">
        <f>(1000*CHOOSE(CONTROL!$C$42, 0.0916, 0.0916)*CHOOSE(CONTROL!$C$42, 121.5, 121.5)*CHOOSE(CONTROL!$C$42, 31, 31))/1000000</f>
        <v>0.34501139999999997</v>
      </c>
      <c r="X82" s="56">
        <f>(31*0.1790888*145000/1000000)+(31*0.2374*100000/1000000)</f>
        <v>1.5409441560000001</v>
      </c>
      <c r="Y82" s="56"/>
      <c r="Z82" s="17"/>
      <c r="AA82" s="55"/>
      <c r="AB82" s="48">
        <f>(B82*131.881+C82*277.167+D82*79.08+E82*225.872+F82*40+G82*85+H82*0+I82*100+J82*300)/(131.881+277.167+79.08+225.872+0+40+85+100+300)</f>
        <v>4.885639645762712</v>
      </c>
      <c r="AC82" s="45">
        <f>(M82*'RAP TEMPLATE-GAS AVAILABILITY'!O81+N82*'RAP TEMPLATE-GAS AVAILABILITY'!P81+O82*'RAP TEMPLATE-GAS AVAILABILITY'!Q81+P82*'RAP TEMPLATE-GAS AVAILABILITY'!R81)/('RAP TEMPLATE-GAS AVAILABILITY'!O81+'RAP TEMPLATE-GAS AVAILABILITY'!P81+'RAP TEMPLATE-GAS AVAILABILITY'!Q81+'RAP TEMPLATE-GAS AVAILABILITY'!R81)</f>
        <v>4.8624892086330931</v>
      </c>
    </row>
    <row r="83" spans="1:29" ht="15.75" x14ac:dyDescent="0.25">
      <c r="A83" s="16">
        <v>43040</v>
      </c>
      <c r="B83" s="17">
        <f>CHOOSE(CONTROL!$C$42, 4.9417, 4.9417) * CHOOSE(CONTROL!$C$21, $C$9, 100%, $E$9)</f>
        <v>4.9417</v>
      </c>
      <c r="C83" s="17">
        <f>CHOOSE(CONTROL!$C$42, 4.9468, 4.9468) * CHOOSE(CONTROL!$C$21, $C$9, 100%, $E$9)</f>
        <v>4.9467999999999996</v>
      </c>
      <c r="D83" s="17">
        <f>CHOOSE(CONTROL!$C$42, 5.0875, 5.0875) * CHOOSE(CONTROL!$C$21, $C$9, 100%, $E$9)</f>
        <v>5.0875000000000004</v>
      </c>
      <c r="E83" s="17">
        <f>CHOOSE(CONTROL!$C$42, 5.1212, 5.1212) * CHOOSE(CONTROL!$C$21, $C$9, 100%, $E$9)</f>
        <v>5.1212</v>
      </c>
      <c r="F83" s="17">
        <f>CHOOSE(CONTROL!$C$42, 4.955, 4.955)*CHOOSE(CONTROL!$C$21, $C$9, 100%, $E$9)</f>
        <v>4.9550000000000001</v>
      </c>
      <c r="G83" s="17">
        <f>CHOOSE(CONTROL!$C$42, 4.9719, 4.9719)*CHOOSE(CONTROL!$C$21, $C$9, 100%, $E$9)</f>
        <v>4.9718999999999998</v>
      </c>
      <c r="H83" s="17">
        <f>CHOOSE(CONTROL!$C$42, 5.1101, 5.1101) * CHOOSE(CONTROL!$C$21, $C$9, 100%, $E$9)</f>
        <v>5.1101000000000001</v>
      </c>
      <c r="I83" s="17">
        <f>CHOOSE(CONTROL!$C$42, 4.9794, 4.9794)* CHOOSE(CONTROL!$C$21, $C$9, 100%, $E$9)</f>
        <v>4.9794</v>
      </c>
      <c r="J83" s="17">
        <f>CHOOSE(CONTROL!$C$42, 4.9476, 4.9476)* CHOOSE(CONTROL!$C$21, $C$9, 100%, $E$9)</f>
        <v>4.9476000000000004</v>
      </c>
      <c r="K83" s="52">
        <f>CHOOSE(CONTROL!$C$42, 4.9734, 4.9734) * CHOOSE(CONTROL!$C$21, $C$9, 100%, $E$9)</f>
        <v>4.9733999999999998</v>
      </c>
      <c r="L83" s="17">
        <f>CHOOSE(CONTROL!$C$42, 5.6971, 5.6971) * CHOOSE(CONTROL!$C$21, $C$9, 100%, $E$9)</f>
        <v>5.6970999999999998</v>
      </c>
      <c r="M83" s="17">
        <f>CHOOSE(CONTROL!$C$42, 4.9101, 4.9101) * CHOOSE(CONTROL!$C$21, $C$9, 100%, $E$9)</f>
        <v>4.9100999999999999</v>
      </c>
      <c r="N83" s="17">
        <f>CHOOSE(CONTROL!$C$42, 4.9268, 4.9268) * CHOOSE(CONTROL!$C$21, $C$9, 100%, $E$9)</f>
        <v>4.9268000000000001</v>
      </c>
      <c r="O83" s="17">
        <f>CHOOSE(CONTROL!$C$42, 5.0711, 5.0711) * CHOOSE(CONTROL!$C$21, $C$9, 100%, $E$9)</f>
        <v>5.0711000000000004</v>
      </c>
      <c r="P83" s="17">
        <f>CHOOSE(CONTROL!$C$42, 4.9415, 4.9415) * CHOOSE(CONTROL!$C$21, $C$9, 100%, $E$9)</f>
        <v>4.9414999999999996</v>
      </c>
      <c r="Q83" s="17">
        <f>CHOOSE(CONTROL!$C$42, 5.6658, 5.6658) * CHOOSE(CONTROL!$C$21, $C$9, 100%, $E$9)</f>
        <v>5.6657999999999999</v>
      </c>
      <c r="R83" s="17">
        <f>CHOOSE(CONTROL!$C$42, 6.267, 6.267) * CHOOSE(CONTROL!$C$21, $C$9, 100%, $E$9)</f>
        <v>6.2670000000000003</v>
      </c>
      <c r="S83" s="17">
        <f>CHOOSE(CONTROL!$C$42, 4.7825, 4.7825) * CHOOSE(CONTROL!$C$21, $C$9, 100%, $E$9)</f>
        <v>4.7824999999999998</v>
      </c>
      <c r="T83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83" s="56">
        <f>(1000*CHOOSE(CONTROL!$C$42, 695, 695)*CHOOSE(CONTROL!$C$42, 0.5599, 0.5599)*CHOOSE(CONTROL!$C$42, 30, 30))/1000000</f>
        <v>11.673914999999997</v>
      </c>
      <c r="V83" s="56">
        <f>(1000*CHOOSE(CONTROL!$C$42, 580, 580)*CHOOSE(CONTROL!$C$42, 0.275, 0.275)*CHOOSE(CONTROL!$C$42, 30, 30))/1000000</f>
        <v>4.7850000000000001</v>
      </c>
      <c r="W83" s="56">
        <f>(1000*CHOOSE(CONTROL!$C$42, 0.0916, 0.0916)*CHOOSE(CONTROL!$C$42, 121.5, 121.5)*CHOOSE(CONTROL!$C$42, 30, 30))/1000000</f>
        <v>0.33388200000000001</v>
      </c>
      <c r="X83" s="56">
        <f>(30*0.2374*100000/1000000)</f>
        <v>0.71220000000000006</v>
      </c>
      <c r="Y83" s="56"/>
      <c r="Z83" s="17"/>
      <c r="AA83" s="55"/>
      <c r="AB83" s="48">
        <f>(B83*122.58+C83*297.941+D83*89.177+E83*140.302+F83*40+G83*60+H83*0+I83*100+J83*300)/(122.58+297.941+89.177+140.302+0+40+60+100+300)</f>
        <v>4.9830823606086954</v>
      </c>
      <c r="AC83" s="45">
        <f>(M83*'RAP TEMPLATE-GAS AVAILABILITY'!O82+N83*'RAP TEMPLATE-GAS AVAILABILITY'!P82+O83*'RAP TEMPLATE-GAS AVAILABILITY'!Q82+P83*'RAP TEMPLATE-GAS AVAILABILITY'!R82)/('RAP TEMPLATE-GAS AVAILABILITY'!O82+'RAP TEMPLATE-GAS AVAILABILITY'!P82+'RAP TEMPLATE-GAS AVAILABILITY'!Q82+'RAP TEMPLATE-GAS AVAILABILITY'!R82)</f>
        <v>4.9885503597122298</v>
      </c>
    </row>
    <row r="84" spans="1:29" ht="15.75" x14ac:dyDescent="0.25">
      <c r="A84" s="16">
        <v>43070</v>
      </c>
      <c r="B84" s="17">
        <f>CHOOSE(CONTROL!$C$42, 5.2888, 5.2888) * CHOOSE(CONTROL!$C$21, $C$9, 100%, $E$9)</f>
        <v>5.2888000000000002</v>
      </c>
      <c r="C84" s="17">
        <f>CHOOSE(CONTROL!$C$42, 5.2939, 5.2939) * CHOOSE(CONTROL!$C$21, $C$9, 100%, $E$9)</f>
        <v>5.2938999999999998</v>
      </c>
      <c r="D84" s="17">
        <f>CHOOSE(CONTROL!$C$42, 5.4345, 5.4345) * CHOOSE(CONTROL!$C$21, $C$9, 100%, $E$9)</f>
        <v>5.4344999999999999</v>
      </c>
      <c r="E84" s="17">
        <f>CHOOSE(CONTROL!$C$42, 5.4683, 5.4683) * CHOOSE(CONTROL!$C$21, $C$9, 100%, $E$9)</f>
        <v>5.4683000000000002</v>
      </c>
      <c r="F84" s="17">
        <f>CHOOSE(CONTROL!$C$42, 5.3045, 5.3045)*CHOOSE(CONTROL!$C$21, $C$9, 100%, $E$9)</f>
        <v>5.3045</v>
      </c>
      <c r="G84" s="17">
        <f>CHOOSE(CONTROL!$C$42, 5.322, 5.322)*CHOOSE(CONTROL!$C$21, $C$9, 100%, $E$9)</f>
        <v>5.3220000000000001</v>
      </c>
      <c r="H84" s="17">
        <f>CHOOSE(CONTROL!$C$42, 5.4571, 5.4571) * CHOOSE(CONTROL!$C$21, $C$9, 100%, $E$9)</f>
        <v>5.4570999999999996</v>
      </c>
      <c r="I84" s="17">
        <f>CHOOSE(CONTROL!$C$42, 5.3275, 5.3275)* CHOOSE(CONTROL!$C$21, $C$9, 100%, $E$9)</f>
        <v>5.3274999999999997</v>
      </c>
      <c r="J84" s="17">
        <f>CHOOSE(CONTROL!$C$42, 5.2971, 5.2971)* CHOOSE(CONTROL!$C$21, $C$9, 100%, $E$9)</f>
        <v>5.2971000000000004</v>
      </c>
      <c r="K84" s="52">
        <f>CHOOSE(CONTROL!$C$42, 5.3215, 5.3215) * CHOOSE(CONTROL!$C$21, $C$9, 100%, $E$9)</f>
        <v>5.3215000000000003</v>
      </c>
      <c r="L84" s="17">
        <f>CHOOSE(CONTROL!$C$42, 6.0441, 6.0441) * CHOOSE(CONTROL!$C$21, $C$9, 100%, $E$9)</f>
        <v>6.0441000000000003</v>
      </c>
      <c r="M84" s="17">
        <f>CHOOSE(CONTROL!$C$42, 5.2564, 5.2564) * CHOOSE(CONTROL!$C$21, $C$9, 100%, $E$9)</f>
        <v>5.2564000000000002</v>
      </c>
      <c r="N84" s="17">
        <f>CHOOSE(CONTROL!$C$42, 5.2738, 5.2738) * CHOOSE(CONTROL!$C$21, $C$9, 100%, $E$9)</f>
        <v>5.2737999999999996</v>
      </c>
      <c r="O84" s="17">
        <f>CHOOSE(CONTROL!$C$42, 5.4151, 5.4151) * CHOOSE(CONTROL!$C$21, $C$9, 100%, $E$9)</f>
        <v>5.4150999999999998</v>
      </c>
      <c r="P84" s="17">
        <f>CHOOSE(CONTROL!$C$42, 5.2865, 5.2865) * CHOOSE(CONTROL!$C$21, $C$9, 100%, $E$9)</f>
        <v>5.2865000000000002</v>
      </c>
      <c r="Q84" s="17">
        <f>CHOOSE(CONTROL!$C$42, 6.0098, 6.0098) * CHOOSE(CONTROL!$C$21, $C$9, 100%, $E$9)</f>
        <v>6.0098000000000003</v>
      </c>
      <c r="R84" s="17">
        <f>CHOOSE(CONTROL!$C$42, 6.6118, 6.6118) * CHOOSE(CONTROL!$C$21, $C$9, 100%, $E$9)</f>
        <v>6.6117999999999997</v>
      </c>
      <c r="S84" s="17">
        <f>CHOOSE(CONTROL!$C$42, 5.119, 5.119) * CHOOSE(CONTROL!$C$21, $C$9, 100%, $E$9)</f>
        <v>5.1189999999999998</v>
      </c>
      <c r="T84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84" s="56">
        <f>(1000*CHOOSE(CONTROL!$C$42, 695, 695)*CHOOSE(CONTROL!$C$42, 0.5599, 0.5599)*CHOOSE(CONTROL!$C$42, 31, 31))/1000000</f>
        <v>12.063045499999998</v>
      </c>
      <c r="V84" s="56">
        <f>(1000*CHOOSE(CONTROL!$C$42, 580, 580)*CHOOSE(CONTROL!$C$42, 0.275, 0.275)*CHOOSE(CONTROL!$C$42, 31, 31))/1000000</f>
        <v>4.9444999999999997</v>
      </c>
      <c r="W84" s="56">
        <f>(1000*CHOOSE(CONTROL!$C$42, 0.0916, 0.0916)*CHOOSE(CONTROL!$C$42, 121.5, 121.5)*CHOOSE(CONTROL!$C$42, 31, 31))/1000000</f>
        <v>0.34501139999999997</v>
      </c>
      <c r="X84" s="56">
        <f>(31*0.2374*100000/1000000)</f>
        <v>0.73594000000000004</v>
      </c>
      <c r="Y84" s="56"/>
      <c r="Z84" s="17"/>
      <c r="AA84" s="55"/>
      <c r="AB84" s="48">
        <f>(B84*122.58+C84*297.941+D84*89.177+E84*140.302+F84*40+G84*60+H84*0+I84*100+J84*300)/(122.58+297.941+89.177+140.302+0+40+60+100+300)</f>
        <v>5.3311276495652171</v>
      </c>
      <c r="AC84" s="45">
        <f>(M84*'RAP TEMPLATE-GAS AVAILABILITY'!O83+N84*'RAP TEMPLATE-GAS AVAILABILITY'!P83+O84*'RAP TEMPLATE-GAS AVAILABILITY'!Q83+P84*'RAP TEMPLATE-GAS AVAILABILITY'!R83)/('RAP TEMPLATE-GAS AVAILABILITY'!O83+'RAP TEMPLATE-GAS AVAILABILITY'!P83+'RAP TEMPLATE-GAS AVAILABILITY'!Q83+'RAP TEMPLATE-GAS AVAILABILITY'!R83)</f>
        <v>5.3336611510791361</v>
      </c>
    </row>
    <row r="85" spans="1:29" ht="15.75" x14ac:dyDescent="0.25">
      <c r="A85" s="16">
        <v>43101</v>
      </c>
      <c r="B85" s="17">
        <f>CHOOSE(CONTROL!$C$42, 5.9473, 5.9473) * CHOOSE(CONTROL!$C$21, $C$9, 100%, $E$9)</f>
        <v>5.9473000000000003</v>
      </c>
      <c r="C85" s="17">
        <f>CHOOSE(CONTROL!$C$42, 5.9524, 5.9524) * CHOOSE(CONTROL!$C$21, $C$9, 100%, $E$9)</f>
        <v>5.9523999999999999</v>
      </c>
      <c r="D85" s="17">
        <f>CHOOSE(CONTROL!$C$42, 6.0863, 6.0863) * CHOOSE(CONTROL!$C$21, $C$9, 100%, $E$9)</f>
        <v>6.0862999999999996</v>
      </c>
      <c r="E85" s="17">
        <f>CHOOSE(CONTROL!$C$42, 6.1201, 6.1201) * CHOOSE(CONTROL!$C$21, $C$9, 100%, $E$9)</f>
        <v>6.1200999999999999</v>
      </c>
      <c r="F85" s="17">
        <f>CHOOSE(CONTROL!$C$42, 5.9607, 5.9607)*CHOOSE(CONTROL!$C$21, $C$9, 100%, $E$9)</f>
        <v>5.9607000000000001</v>
      </c>
      <c r="G85" s="17">
        <f>CHOOSE(CONTROL!$C$42, 5.9776, 5.9776)*CHOOSE(CONTROL!$C$21, $C$9, 100%, $E$9)</f>
        <v>5.9775999999999998</v>
      </c>
      <c r="H85" s="17">
        <f>CHOOSE(CONTROL!$C$42, 6.109, 6.109) * CHOOSE(CONTROL!$C$21, $C$9, 100%, $E$9)</f>
        <v>6.109</v>
      </c>
      <c r="I85" s="17">
        <f>CHOOSE(CONTROL!$C$42, 5.9922, 5.9922)* CHOOSE(CONTROL!$C$21, $C$9, 100%, $E$9)</f>
        <v>5.9922000000000004</v>
      </c>
      <c r="J85" s="17">
        <f>CHOOSE(CONTROL!$C$42, 5.9533, 5.9533)* CHOOSE(CONTROL!$C$21, $C$9, 100%, $E$9)</f>
        <v>5.9532999999999996</v>
      </c>
      <c r="K85" s="52">
        <f>CHOOSE(CONTROL!$C$42, 5.9862, 5.9862) * CHOOSE(CONTROL!$C$21, $C$9, 100%, $E$9)</f>
        <v>5.9862000000000002</v>
      </c>
      <c r="L85" s="17">
        <f>CHOOSE(CONTROL!$C$42, 6.696, 6.696) * CHOOSE(CONTROL!$C$21, $C$9, 100%, $E$9)</f>
        <v>6.6959999999999997</v>
      </c>
      <c r="M85" s="17">
        <f>CHOOSE(CONTROL!$C$42, 5.9068, 5.9068) * CHOOSE(CONTROL!$C$21, $C$9, 100%, $E$9)</f>
        <v>5.9067999999999996</v>
      </c>
      <c r="N85" s="17">
        <f>CHOOSE(CONTROL!$C$42, 5.9235, 5.9235) * CHOOSE(CONTROL!$C$21, $C$9, 100%, $E$9)</f>
        <v>5.9234999999999998</v>
      </c>
      <c r="O85" s="17">
        <f>CHOOSE(CONTROL!$C$42, 6.061, 6.061) * CHOOSE(CONTROL!$C$21, $C$9, 100%, $E$9)</f>
        <v>6.0609999999999999</v>
      </c>
      <c r="P85" s="17">
        <f>CHOOSE(CONTROL!$C$42, 5.9452, 5.9452) * CHOOSE(CONTROL!$C$21, $C$9, 100%, $E$9)</f>
        <v>5.9451999999999998</v>
      </c>
      <c r="Q85" s="17">
        <f>CHOOSE(CONTROL!$C$42, 6.6557, 6.6557) * CHOOSE(CONTROL!$C$21, $C$9, 100%, $E$9)</f>
        <v>6.6557000000000004</v>
      </c>
      <c r="R85" s="17">
        <f>CHOOSE(CONTROL!$C$42, 7.2594, 7.2594) * CHOOSE(CONTROL!$C$21, $C$9, 100%, $E$9)</f>
        <v>7.2594000000000003</v>
      </c>
      <c r="S85" s="17">
        <f>CHOOSE(CONTROL!$C$42, 5.7576, 5.7576) * CHOOSE(CONTROL!$C$21, $C$9, 100%, $E$9)</f>
        <v>5.7576000000000001</v>
      </c>
      <c r="T85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85" s="56">
        <f>(1000*CHOOSE(CONTROL!$C$42, 695, 695)*CHOOSE(CONTROL!$C$42, 0.5599, 0.5599)*CHOOSE(CONTROL!$C$42, 31, 31))/1000000</f>
        <v>12.063045499999998</v>
      </c>
      <c r="V85" s="56">
        <f>(1000*CHOOSE(CONTROL!$C$42, 500, 500)*CHOOSE(CONTROL!$C$42, 0.275, 0.275)*CHOOSE(CONTROL!$C$42, 31, 31))/1000000</f>
        <v>4.2625000000000002</v>
      </c>
      <c r="W85" s="56">
        <f>(1000*CHOOSE(CONTROL!$C$42, 0.0916, 0.0916)*CHOOSE(CONTROL!$C$42, 121.5, 121.5)*CHOOSE(CONTROL!$C$42, 31, 31))/1000000</f>
        <v>0.34501139999999997</v>
      </c>
      <c r="X85" s="56">
        <f>(31*0.2374*100000/1000000)</f>
        <v>0.73594000000000004</v>
      </c>
      <c r="Y85" s="56"/>
      <c r="Z85" s="17"/>
      <c r="AA85" s="55"/>
      <c r="AB85" s="48">
        <f>(B85*122.58+C85*297.941+D85*89.177+E85*140.302+F85*40+G85*60+H85*0+I85*100+J85*300)/(122.58+297.941+89.177+140.302+0+40+60+100+300)</f>
        <v>5.9879985110434779</v>
      </c>
      <c r="AC85" s="45">
        <f>(M85*'RAP TEMPLATE-GAS AVAILABILITY'!O84+N85*'RAP TEMPLATE-GAS AVAILABILITY'!P84+O85*'RAP TEMPLATE-GAS AVAILABILITY'!Q84+P85*'RAP TEMPLATE-GAS AVAILABILITY'!R84)/('RAP TEMPLATE-GAS AVAILABILITY'!O84+'RAP TEMPLATE-GAS AVAILABILITY'!P84+'RAP TEMPLATE-GAS AVAILABILITY'!Q84+'RAP TEMPLATE-GAS AVAILABILITY'!R84)</f>
        <v>5.9831755395683448</v>
      </c>
    </row>
    <row r="86" spans="1:29" ht="15.75" x14ac:dyDescent="0.25">
      <c r="A86" s="16">
        <v>43132</v>
      </c>
      <c r="B86" s="17">
        <f>CHOOSE(CONTROL!$C$42, 6.0654, 6.0654) * CHOOSE(CONTROL!$C$21, $C$9, 100%, $E$9)</f>
        <v>6.0654000000000003</v>
      </c>
      <c r="C86" s="17">
        <f>CHOOSE(CONTROL!$C$42, 6.0705, 6.0705) * CHOOSE(CONTROL!$C$21, $C$9, 100%, $E$9)</f>
        <v>6.0705</v>
      </c>
      <c r="D86" s="17">
        <f>CHOOSE(CONTROL!$C$42, 6.2045, 6.2045) * CHOOSE(CONTROL!$C$21, $C$9, 100%, $E$9)</f>
        <v>6.2045000000000003</v>
      </c>
      <c r="E86" s="17">
        <f>CHOOSE(CONTROL!$C$42, 6.2382, 6.2382) * CHOOSE(CONTROL!$C$21, $C$9, 100%, $E$9)</f>
        <v>6.2382</v>
      </c>
      <c r="F86" s="17">
        <f>CHOOSE(CONTROL!$C$42, 6.0788, 6.0788)*CHOOSE(CONTROL!$C$21, $C$9, 100%, $E$9)</f>
        <v>6.0788000000000002</v>
      </c>
      <c r="G86" s="17">
        <f>CHOOSE(CONTROL!$C$42, 6.0957, 6.0957)*CHOOSE(CONTROL!$C$21, $C$9, 100%, $E$9)</f>
        <v>6.0956999999999999</v>
      </c>
      <c r="H86" s="17">
        <f>CHOOSE(CONTROL!$C$42, 6.2271, 6.2271) * CHOOSE(CONTROL!$C$21, $C$9, 100%, $E$9)</f>
        <v>6.2271000000000001</v>
      </c>
      <c r="I86" s="17">
        <f>CHOOSE(CONTROL!$C$42, 6.1107, 6.1107)* CHOOSE(CONTROL!$C$21, $C$9, 100%, $E$9)</f>
        <v>6.1106999999999996</v>
      </c>
      <c r="J86" s="17">
        <f>CHOOSE(CONTROL!$C$42, 6.0714, 6.0714)* CHOOSE(CONTROL!$C$21, $C$9, 100%, $E$9)</f>
        <v>6.0713999999999997</v>
      </c>
      <c r="K86" s="52">
        <f>CHOOSE(CONTROL!$C$42, 6.1047, 6.1047) * CHOOSE(CONTROL!$C$21, $C$9, 100%, $E$9)</f>
        <v>6.1047000000000002</v>
      </c>
      <c r="L86" s="17">
        <f>CHOOSE(CONTROL!$C$42, 6.8141, 6.8141) * CHOOSE(CONTROL!$C$21, $C$9, 100%, $E$9)</f>
        <v>6.8140999999999998</v>
      </c>
      <c r="M86" s="17">
        <f>CHOOSE(CONTROL!$C$42, 6.0238, 6.0238) * CHOOSE(CONTROL!$C$21, $C$9, 100%, $E$9)</f>
        <v>6.0237999999999996</v>
      </c>
      <c r="N86" s="17">
        <f>CHOOSE(CONTROL!$C$42, 6.0405, 6.0405) * CHOOSE(CONTROL!$C$21, $C$9, 100%, $E$9)</f>
        <v>6.0404999999999998</v>
      </c>
      <c r="O86" s="17">
        <f>CHOOSE(CONTROL!$C$42, 6.1781, 6.1781) * CHOOSE(CONTROL!$C$21, $C$9, 100%, $E$9)</f>
        <v>6.1780999999999997</v>
      </c>
      <c r="P86" s="17">
        <f>CHOOSE(CONTROL!$C$42, 6.0627, 6.0627) * CHOOSE(CONTROL!$C$21, $C$9, 100%, $E$9)</f>
        <v>6.0627000000000004</v>
      </c>
      <c r="Q86" s="17">
        <f>CHOOSE(CONTROL!$C$42, 6.7728, 6.7728) * CHOOSE(CONTROL!$C$21, $C$9, 100%, $E$9)</f>
        <v>6.7728000000000002</v>
      </c>
      <c r="R86" s="17">
        <f>CHOOSE(CONTROL!$C$42, 7.3767, 7.3767) * CHOOSE(CONTROL!$C$21, $C$9, 100%, $E$9)</f>
        <v>7.3766999999999996</v>
      </c>
      <c r="S86" s="17">
        <f>CHOOSE(CONTROL!$C$42, 5.8721, 5.8721) * CHOOSE(CONTROL!$C$21, $C$9, 100%, $E$9)</f>
        <v>5.8720999999999997</v>
      </c>
      <c r="T86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86" s="56">
        <f>(1000*CHOOSE(CONTROL!$C$42, 695, 695)*CHOOSE(CONTROL!$C$42, 0.5599, 0.5599)*CHOOSE(CONTROL!$C$42, 28, 28))/1000000</f>
        <v>10.895653999999999</v>
      </c>
      <c r="V86" s="56">
        <f>(1000*CHOOSE(CONTROL!$C$42, 500, 500)*CHOOSE(CONTROL!$C$42, 0.275, 0.275)*CHOOSE(CONTROL!$C$42, 28, 28))/1000000</f>
        <v>3.85</v>
      </c>
      <c r="W86" s="56">
        <f>(1000*CHOOSE(CONTROL!$C$42, 0.0916, 0.0916)*CHOOSE(CONTROL!$C$42, 121.5, 121.5)*CHOOSE(CONTROL!$C$42, 28, 28))/1000000</f>
        <v>0.31162319999999999</v>
      </c>
      <c r="X86" s="56">
        <f>(28*0.2374*100000/1000000)</f>
        <v>0.66471999999999998</v>
      </c>
      <c r="Y86" s="56"/>
      <c r="Z86" s="17"/>
      <c r="AA86" s="55"/>
      <c r="AB86" s="48">
        <f>(B86*122.58+C86*297.941+D86*89.177+E86*140.302+F86*40+G86*60+H86*0+I86*100+J86*300)/(122.58+297.941+89.177+140.302+0+40+60+100+300)</f>
        <v>6.1061410481739129</v>
      </c>
      <c r="AC86" s="45">
        <f>(M86*'RAP TEMPLATE-GAS AVAILABILITY'!O85+N86*'RAP TEMPLATE-GAS AVAILABILITY'!P85+O86*'RAP TEMPLATE-GAS AVAILABILITY'!Q85+P86*'RAP TEMPLATE-GAS AVAILABILITY'!R85)/('RAP TEMPLATE-GAS AVAILABILITY'!O85+'RAP TEMPLATE-GAS AVAILABILITY'!P85+'RAP TEMPLATE-GAS AVAILABILITY'!Q85+'RAP TEMPLATE-GAS AVAILABILITY'!R85)</f>
        <v>6.1002928057553962</v>
      </c>
    </row>
    <row r="87" spans="1:29" ht="15.75" x14ac:dyDescent="0.25">
      <c r="A87" s="16">
        <v>43160</v>
      </c>
      <c r="B87" s="17">
        <f>CHOOSE(CONTROL!$C$42, 5.9056, 5.9056) * CHOOSE(CONTROL!$C$21, $C$9, 100%, $E$9)</f>
        <v>5.9055999999999997</v>
      </c>
      <c r="C87" s="17">
        <f>CHOOSE(CONTROL!$C$42, 5.9107, 5.9107) * CHOOSE(CONTROL!$C$21, $C$9, 100%, $E$9)</f>
        <v>5.9107000000000003</v>
      </c>
      <c r="D87" s="17">
        <f>CHOOSE(CONTROL!$C$42, 6.0447, 6.0447) * CHOOSE(CONTROL!$C$21, $C$9, 100%, $E$9)</f>
        <v>6.0446999999999997</v>
      </c>
      <c r="E87" s="17">
        <f>CHOOSE(CONTROL!$C$42, 6.0784, 6.0784) * CHOOSE(CONTROL!$C$21, $C$9, 100%, $E$9)</f>
        <v>6.0784000000000002</v>
      </c>
      <c r="F87" s="17">
        <f>CHOOSE(CONTROL!$C$42, 5.9183, 5.9183)*CHOOSE(CONTROL!$C$21, $C$9, 100%, $E$9)</f>
        <v>5.9183000000000003</v>
      </c>
      <c r="G87" s="17">
        <f>CHOOSE(CONTROL!$C$42, 5.935, 5.935)*CHOOSE(CONTROL!$C$21, $C$9, 100%, $E$9)</f>
        <v>5.9349999999999996</v>
      </c>
      <c r="H87" s="17">
        <f>CHOOSE(CONTROL!$C$42, 6.0673, 6.0673) * CHOOSE(CONTROL!$C$21, $C$9, 100%, $E$9)</f>
        <v>6.0673000000000004</v>
      </c>
      <c r="I87" s="17">
        <f>CHOOSE(CONTROL!$C$42, 5.9505, 5.9505)* CHOOSE(CONTROL!$C$21, $C$9, 100%, $E$9)</f>
        <v>5.9504999999999999</v>
      </c>
      <c r="J87" s="17">
        <f>CHOOSE(CONTROL!$C$42, 5.9109, 5.9109)* CHOOSE(CONTROL!$C$21, $C$9, 100%, $E$9)</f>
        <v>5.9108999999999998</v>
      </c>
      <c r="K87" s="52">
        <f>CHOOSE(CONTROL!$C$42, 5.9444, 5.9444) * CHOOSE(CONTROL!$C$21, $C$9, 100%, $E$9)</f>
        <v>5.9443999999999999</v>
      </c>
      <c r="L87" s="17">
        <f>CHOOSE(CONTROL!$C$42, 6.6543, 6.6543) * CHOOSE(CONTROL!$C$21, $C$9, 100%, $E$9)</f>
        <v>6.6543000000000001</v>
      </c>
      <c r="M87" s="17">
        <f>CHOOSE(CONTROL!$C$42, 5.8647, 5.8647) * CHOOSE(CONTROL!$C$21, $C$9, 100%, $E$9)</f>
        <v>5.8647</v>
      </c>
      <c r="N87" s="17">
        <f>CHOOSE(CONTROL!$C$42, 5.8812, 5.8812) * CHOOSE(CONTROL!$C$21, $C$9, 100%, $E$9)</f>
        <v>5.8811999999999998</v>
      </c>
      <c r="O87" s="17">
        <f>CHOOSE(CONTROL!$C$42, 6.0197, 6.0197) * CHOOSE(CONTROL!$C$21, $C$9, 100%, $E$9)</f>
        <v>6.0197000000000003</v>
      </c>
      <c r="P87" s="17">
        <f>CHOOSE(CONTROL!$C$42, 5.9038, 5.9038) * CHOOSE(CONTROL!$C$21, $C$9, 100%, $E$9)</f>
        <v>5.9038000000000004</v>
      </c>
      <c r="Q87" s="17">
        <f>CHOOSE(CONTROL!$C$42, 6.6144, 6.6144) * CHOOSE(CONTROL!$C$21, $C$9, 100%, $E$9)</f>
        <v>6.6143999999999998</v>
      </c>
      <c r="R87" s="17">
        <f>CHOOSE(CONTROL!$C$42, 7.218, 7.218) * CHOOSE(CONTROL!$C$21, $C$9, 100%, $E$9)</f>
        <v>7.218</v>
      </c>
      <c r="S87" s="17">
        <f>CHOOSE(CONTROL!$C$42, 5.7172, 5.7172) * CHOOSE(CONTROL!$C$21, $C$9, 100%, $E$9)</f>
        <v>5.7172000000000001</v>
      </c>
      <c r="T87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87" s="56">
        <f>(1000*CHOOSE(CONTROL!$C$42, 695, 695)*CHOOSE(CONTROL!$C$42, 0.5599, 0.5599)*CHOOSE(CONTROL!$C$42, 31, 31))/1000000</f>
        <v>12.063045499999998</v>
      </c>
      <c r="V87" s="56">
        <f>(1000*CHOOSE(CONTROL!$C$42, 500, 500)*CHOOSE(CONTROL!$C$42, 0.275, 0.275)*CHOOSE(CONTROL!$C$42, 31, 31))/1000000</f>
        <v>4.2625000000000002</v>
      </c>
      <c r="W87" s="56">
        <f>(1000*CHOOSE(CONTROL!$C$42, 0.0916, 0.0916)*CHOOSE(CONTROL!$C$42, 121.5, 121.5)*CHOOSE(CONTROL!$C$42, 31, 31))/1000000</f>
        <v>0.34501139999999997</v>
      </c>
      <c r="X87" s="56">
        <f>(31*0.2374*100000/1000000)</f>
        <v>0.73594000000000004</v>
      </c>
      <c r="Y87" s="56"/>
      <c r="Z87" s="17"/>
      <c r="AA87" s="55"/>
      <c r="AB87" s="48">
        <f>(B87*122.58+C87*297.941+D87*89.177+E87*140.302+F87*40+G87*60+H87*0+I87*100+J87*300)/(122.58+297.941+89.177+140.302+0+40+60+100+300)</f>
        <v>5.9460523525217397</v>
      </c>
      <c r="AC87" s="45">
        <f>(M87*'RAP TEMPLATE-GAS AVAILABILITY'!O86+N87*'RAP TEMPLATE-GAS AVAILABILITY'!P86+O87*'RAP TEMPLATE-GAS AVAILABILITY'!Q86+P87*'RAP TEMPLATE-GAS AVAILABILITY'!R86)/('RAP TEMPLATE-GAS AVAILABILITY'!O86+'RAP TEMPLATE-GAS AVAILABILITY'!P86+'RAP TEMPLATE-GAS AVAILABILITY'!Q86+'RAP TEMPLATE-GAS AVAILABILITY'!R86)</f>
        <v>5.9415273381294966</v>
      </c>
    </row>
    <row r="88" spans="1:29" ht="15.75" x14ac:dyDescent="0.25">
      <c r="A88" s="16">
        <v>43191</v>
      </c>
      <c r="B88" s="17">
        <f>CHOOSE(CONTROL!$C$42, 5.9011, 5.9011) * CHOOSE(CONTROL!$C$21, $C$9, 100%, $E$9)</f>
        <v>5.9010999999999996</v>
      </c>
      <c r="C88" s="17">
        <f>CHOOSE(CONTROL!$C$42, 5.9056, 5.9056) * CHOOSE(CONTROL!$C$21, $C$9, 100%, $E$9)</f>
        <v>5.9055999999999997</v>
      </c>
      <c r="D88" s="17">
        <f>CHOOSE(CONTROL!$C$42, 6.1687, 6.1687) * CHOOSE(CONTROL!$C$21, $C$9, 100%, $E$9)</f>
        <v>6.1687000000000003</v>
      </c>
      <c r="E88" s="17">
        <f>CHOOSE(CONTROL!$C$42, 6.2005, 6.2005) * CHOOSE(CONTROL!$C$21, $C$9, 100%, $E$9)</f>
        <v>6.2004999999999999</v>
      </c>
      <c r="F88" s="17">
        <f>CHOOSE(CONTROL!$C$42, 5.912, 5.912)*CHOOSE(CONTROL!$C$21, $C$9, 100%, $E$9)</f>
        <v>5.9119999999999999</v>
      </c>
      <c r="G88" s="17">
        <f>CHOOSE(CONTROL!$C$42, 5.9282, 5.9282)*CHOOSE(CONTROL!$C$21, $C$9, 100%, $E$9)</f>
        <v>5.9282000000000004</v>
      </c>
      <c r="H88" s="17">
        <f>CHOOSE(CONTROL!$C$42, 6.1899, 6.1899) * CHOOSE(CONTROL!$C$21, $C$9, 100%, $E$9)</f>
        <v>6.1898999999999997</v>
      </c>
      <c r="I88" s="17">
        <f>CHOOSE(CONTROL!$C$42, 5.9446, 5.9446)* CHOOSE(CONTROL!$C$21, $C$9, 100%, $E$9)</f>
        <v>5.9446000000000003</v>
      </c>
      <c r="J88" s="17">
        <f>CHOOSE(CONTROL!$C$42, 5.9046, 5.9046)* CHOOSE(CONTROL!$C$21, $C$9, 100%, $E$9)</f>
        <v>5.9046000000000003</v>
      </c>
      <c r="K88" s="52">
        <f>CHOOSE(CONTROL!$C$42, 5.9386, 5.9386) * CHOOSE(CONTROL!$C$21, $C$9, 100%, $E$9)</f>
        <v>5.9386000000000001</v>
      </c>
      <c r="L88" s="17">
        <f>CHOOSE(CONTROL!$C$42, 6.7769, 6.7769) * CHOOSE(CONTROL!$C$21, $C$9, 100%, $E$9)</f>
        <v>6.7769000000000004</v>
      </c>
      <c r="M88" s="17">
        <f>CHOOSE(CONTROL!$C$42, 5.8585, 5.8585) * CHOOSE(CONTROL!$C$21, $C$9, 100%, $E$9)</f>
        <v>5.8585000000000003</v>
      </c>
      <c r="N88" s="17">
        <f>CHOOSE(CONTROL!$C$42, 5.8746, 5.8746) * CHOOSE(CONTROL!$C$21, $C$9, 100%, $E$9)</f>
        <v>5.8746</v>
      </c>
      <c r="O88" s="17">
        <f>CHOOSE(CONTROL!$C$42, 6.1412, 6.1412) * CHOOSE(CONTROL!$C$21, $C$9, 100%, $E$9)</f>
        <v>6.1412000000000004</v>
      </c>
      <c r="P88" s="17">
        <f>CHOOSE(CONTROL!$C$42, 5.8981, 5.8981) * CHOOSE(CONTROL!$C$21, $C$9, 100%, $E$9)</f>
        <v>5.8981000000000003</v>
      </c>
      <c r="Q88" s="17">
        <f>CHOOSE(CONTROL!$C$42, 6.7359, 6.7359) * CHOOSE(CONTROL!$C$21, $C$9, 100%, $E$9)</f>
        <v>6.7359</v>
      </c>
      <c r="R88" s="17">
        <f>CHOOSE(CONTROL!$C$42, 7.3398, 7.3398) * CHOOSE(CONTROL!$C$21, $C$9, 100%, $E$9)</f>
        <v>7.3398000000000003</v>
      </c>
      <c r="S88" s="17">
        <f>CHOOSE(CONTROL!$C$42, 5.7121, 5.7121) * CHOOSE(CONTROL!$C$21, $C$9, 100%, $E$9)</f>
        <v>5.7121000000000004</v>
      </c>
      <c r="T88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88" s="56">
        <f>(1000*CHOOSE(CONTROL!$C$42, 695, 695)*CHOOSE(CONTROL!$C$42, 0.5599, 0.5599)*CHOOSE(CONTROL!$C$42, 30, 30))/1000000</f>
        <v>11.673914999999997</v>
      </c>
      <c r="V88" s="56">
        <f>(1000*CHOOSE(CONTROL!$C$42, 500, 500)*CHOOSE(CONTROL!$C$42, 0.275, 0.275)*CHOOSE(CONTROL!$C$42, 30, 30))/1000000</f>
        <v>4.125</v>
      </c>
      <c r="W88" s="56">
        <f>(1000*CHOOSE(CONTROL!$C$42, 0.0916, 0.0916)*CHOOSE(CONTROL!$C$42, 121.5, 121.5)*CHOOSE(CONTROL!$C$42, 30, 30))/1000000</f>
        <v>0.33388200000000001</v>
      </c>
      <c r="X88" s="56">
        <f>(30*0.1790888*145000/1000000)+(30*0.2374*100000/1000000)</f>
        <v>1.4912362799999999</v>
      </c>
      <c r="Y88" s="56"/>
      <c r="Z88" s="17"/>
      <c r="AA88" s="55"/>
      <c r="AB88" s="48">
        <f>(B88*141.293+C88*267.993+D88*115.016+E88*189.698+F88*40+G88*85+H88*0+I88*100+J88*300)/(141.293+267.993+115.016+189.698+0+40+85+100+300)</f>
        <v>5.9793238347861175</v>
      </c>
      <c r="AC88" s="45">
        <f>(M88*'RAP TEMPLATE-GAS AVAILABILITY'!O87+N88*'RAP TEMPLATE-GAS AVAILABILITY'!P87+O88*'RAP TEMPLATE-GAS AVAILABILITY'!Q87+P88*'RAP TEMPLATE-GAS AVAILABILITY'!R87)/('RAP TEMPLATE-GAS AVAILABILITY'!O87+'RAP TEMPLATE-GAS AVAILABILITY'!P87+'RAP TEMPLATE-GAS AVAILABILITY'!Q87+'RAP TEMPLATE-GAS AVAILABILITY'!R87)</f>
        <v>5.9472230215827349</v>
      </c>
    </row>
    <row r="89" spans="1:29" ht="15.75" x14ac:dyDescent="0.25">
      <c r="A89" s="16">
        <v>43221</v>
      </c>
      <c r="B89" s="17">
        <f>CHOOSE(CONTROL!$C$42, 5.9667, 5.9667) * CHOOSE(CONTROL!$C$21, $C$9, 100%, $E$9)</f>
        <v>5.9667000000000003</v>
      </c>
      <c r="C89" s="17">
        <f>CHOOSE(CONTROL!$C$42, 5.9747, 5.9747) * CHOOSE(CONTROL!$C$21, $C$9, 100%, $E$9)</f>
        <v>5.9747000000000003</v>
      </c>
      <c r="D89" s="17">
        <f>CHOOSE(CONTROL!$C$42, 6.2346, 6.2346) * CHOOSE(CONTROL!$C$21, $C$9, 100%, $E$9)</f>
        <v>6.2346000000000004</v>
      </c>
      <c r="E89" s="17">
        <f>CHOOSE(CONTROL!$C$42, 6.2658, 6.2658) * CHOOSE(CONTROL!$C$21, $C$9, 100%, $E$9)</f>
        <v>6.2657999999999996</v>
      </c>
      <c r="F89" s="17">
        <f>CHOOSE(CONTROL!$C$42, 5.9764, 5.9764)*CHOOSE(CONTROL!$C$21, $C$9, 100%, $E$9)</f>
        <v>5.9763999999999999</v>
      </c>
      <c r="G89" s="17">
        <f>CHOOSE(CONTROL!$C$42, 5.9928, 5.9928)*CHOOSE(CONTROL!$C$21, $C$9, 100%, $E$9)</f>
        <v>5.9927999999999999</v>
      </c>
      <c r="H89" s="17">
        <f>CHOOSE(CONTROL!$C$42, 6.2541, 6.2541) * CHOOSE(CONTROL!$C$21, $C$9, 100%, $E$9)</f>
        <v>6.2541000000000002</v>
      </c>
      <c r="I89" s="17">
        <f>CHOOSE(CONTROL!$C$42, 6.0091, 6.0091)* CHOOSE(CONTROL!$C$21, $C$9, 100%, $E$9)</f>
        <v>6.0091000000000001</v>
      </c>
      <c r="J89" s="17">
        <f>CHOOSE(CONTROL!$C$42, 5.969, 5.969)* CHOOSE(CONTROL!$C$21, $C$9, 100%, $E$9)</f>
        <v>5.9690000000000003</v>
      </c>
      <c r="K89" s="52">
        <f>CHOOSE(CONTROL!$C$42, 6.003, 6.003) * CHOOSE(CONTROL!$C$21, $C$9, 100%, $E$9)</f>
        <v>6.0030000000000001</v>
      </c>
      <c r="L89" s="17">
        <f>CHOOSE(CONTROL!$C$42, 6.8411, 6.8411) * CHOOSE(CONTROL!$C$21, $C$9, 100%, $E$9)</f>
        <v>6.8411</v>
      </c>
      <c r="M89" s="17">
        <f>CHOOSE(CONTROL!$C$42, 5.9223, 5.9223) * CHOOSE(CONTROL!$C$21, $C$9, 100%, $E$9)</f>
        <v>5.9222999999999999</v>
      </c>
      <c r="N89" s="17">
        <f>CHOOSE(CONTROL!$C$42, 5.9386, 5.9386) * CHOOSE(CONTROL!$C$21, $C$9, 100%, $E$9)</f>
        <v>5.9386000000000001</v>
      </c>
      <c r="O89" s="17">
        <f>CHOOSE(CONTROL!$C$42, 6.2049, 6.2049) * CHOOSE(CONTROL!$C$21, $C$9, 100%, $E$9)</f>
        <v>6.2049000000000003</v>
      </c>
      <c r="P89" s="17">
        <f>CHOOSE(CONTROL!$C$42, 5.9619, 5.9619) * CHOOSE(CONTROL!$C$21, $C$9, 100%, $E$9)</f>
        <v>5.9619</v>
      </c>
      <c r="Q89" s="17">
        <f>CHOOSE(CONTROL!$C$42, 6.7996, 6.7996) * CHOOSE(CONTROL!$C$21, $C$9, 100%, $E$9)</f>
        <v>6.7995999999999999</v>
      </c>
      <c r="R89" s="17">
        <f>CHOOSE(CONTROL!$C$42, 7.4036, 7.4036) * CHOOSE(CONTROL!$C$21, $C$9, 100%, $E$9)</f>
        <v>7.4036</v>
      </c>
      <c r="S89" s="17">
        <f>CHOOSE(CONTROL!$C$42, 5.7743, 5.7743) * CHOOSE(CONTROL!$C$21, $C$9, 100%, $E$9)</f>
        <v>5.7743000000000002</v>
      </c>
      <c r="T89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89" s="56">
        <f>(1000*CHOOSE(CONTROL!$C$42, 695, 695)*CHOOSE(CONTROL!$C$42, 0.5599, 0.5599)*CHOOSE(CONTROL!$C$42, 31, 31))/1000000</f>
        <v>12.063045499999998</v>
      </c>
      <c r="V89" s="56">
        <f>(1000*CHOOSE(CONTROL!$C$42, 500, 500)*CHOOSE(CONTROL!$C$42, 0.275, 0.275)*CHOOSE(CONTROL!$C$42, 31, 31))/1000000</f>
        <v>4.2625000000000002</v>
      </c>
      <c r="W89" s="56">
        <f>(1000*CHOOSE(CONTROL!$C$42, 0.0916, 0.0916)*CHOOSE(CONTROL!$C$42, 121.5, 121.5)*CHOOSE(CONTROL!$C$42, 31, 31))/1000000</f>
        <v>0.34501139999999997</v>
      </c>
      <c r="X89" s="56">
        <f>(31*0.1790888*145000/1000000)+(31*0.2374*100000/1000000)</f>
        <v>1.5409441560000001</v>
      </c>
      <c r="Y89" s="56"/>
      <c r="Z89" s="17"/>
      <c r="AA89" s="55"/>
      <c r="AB89" s="48">
        <f>(B89*194.205+C89*267.466+D89*133.845+E89*153.484+F89*40+G89*85+H89*0+I89*100+J89*300)/(194.205+267.466+133.845+153.484+0+40+85+100+300)</f>
        <v>6.0384742291208786</v>
      </c>
      <c r="AC89" s="45">
        <f>(M89*'RAP TEMPLATE-GAS AVAILABILITY'!O88+N89*'RAP TEMPLATE-GAS AVAILABILITY'!P88+O89*'RAP TEMPLATE-GAS AVAILABILITY'!Q88+P89*'RAP TEMPLATE-GAS AVAILABILITY'!R88)/('RAP TEMPLATE-GAS AVAILABILITY'!O88+'RAP TEMPLATE-GAS AVAILABILITY'!P88+'RAP TEMPLATE-GAS AVAILABILITY'!Q88+'RAP TEMPLATE-GAS AVAILABILITY'!R88)</f>
        <v>6.0110410071942448</v>
      </c>
    </row>
    <row r="90" spans="1:29" ht="15.75" x14ac:dyDescent="0.25">
      <c r="A90" s="16">
        <v>43252</v>
      </c>
      <c r="B90" s="17">
        <f>CHOOSE(CONTROL!$C$42, 6.1482, 6.1482) * CHOOSE(CONTROL!$C$21, $C$9, 100%, $E$9)</f>
        <v>6.1482000000000001</v>
      </c>
      <c r="C90" s="17">
        <f>CHOOSE(CONTROL!$C$42, 6.1562, 6.1562) * CHOOSE(CONTROL!$C$21, $C$9, 100%, $E$9)</f>
        <v>6.1562000000000001</v>
      </c>
      <c r="D90" s="17">
        <f>CHOOSE(CONTROL!$C$42, 6.4161, 6.4161) * CHOOSE(CONTROL!$C$21, $C$9, 100%, $E$9)</f>
        <v>6.4161000000000001</v>
      </c>
      <c r="E90" s="17">
        <f>CHOOSE(CONTROL!$C$42, 6.4473, 6.4473) * CHOOSE(CONTROL!$C$21, $C$9, 100%, $E$9)</f>
        <v>6.4473000000000003</v>
      </c>
      <c r="F90" s="17">
        <f>CHOOSE(CONTROL!$C$42, 6.1582, 6.1582)*CHOOSE(CONTROL!$C$21, $C$9, 100%, $E$9)</f>
        <v>6.1581999999999999</v>
      </c>
      <c r="G90" s="17">
        <f>CHOOSE(CONTROL!$C$42, 6.1747, 6.1747)*CHOOSE(CONTROL!$C$21, $C$9, 100%, $E$9)</f>
        <v>6.1746999999999996</v>
      </c>
      <c r="H90" s="17">
        <f>CHOOSE(CONTROL!$C$42, 6.4356, 6.4356) * CHOOSE(CONTROL!$C$21, $C$9, 100%, $E$9)</f>
        <v>6.4356</v>
      </c>
      <c r="I90" s="17">
        <f>CHOOSE(CONTROL!$C$42, 6.1911, 6.1911)* CHOOSE(CONTROL!$C$21, $C$9, 100%, $E$9)</f>
        <v>6.1910999999999996</v>
      </c>
      <c r="J90" s="17">
        <f>CHOOSE(CONTROL!$C$42, 6.1508, 6.1508)* CHOOSE(CONTROL!$C$21, $C$9, 100%, $E$9)</f>
        <v>6.1508000000000003</v>
      </c>
      <c r="K90" s="52">
        <f>CHOOSE(CONTROL!$C$42, 6.1851, 6.1851) * CHOOSE(CONTROL!$C$21, $C$9, 100%, $E$9)</f>
        <v>6.1851000000000003</v>
      </c>
      <c r="L90" s="17">
        <f>CHOOSE(CONTROL!$C$42, 7.0226, 7.0226) * CHOOSE(CONTROL!$C$21, $C$9, 100%, $E$9)</f>
        <v>7.0225999999999997</v>
      </c>
      <c r="M90" s="17">
        <f>CHOOSE(CONTROL!$C$42, 6.1025, 6.1025) * CHOOSE(CONTROL!$C$21, $C$9, 100%, $E$9)</f>
        <v>6.1025</v>
      </c>
      <c r="N90" s="17">
        <f>CHOOSE(CONTROL!$C$42, 6.1188, 6.1188) * CHOOSE(CONTROL!$C$21, $C$9, 100%, $E$9)</f>
        <v>6.1188000000000002</v>
      </c>
      <c r="O90" s="17">
        <f>CHOOSE(CONTROL!$C$42, 6.3848, 6.3848) * CHOOSE(CONTROL!$C$21, $C$9, 100%, $E$9)</f>
        <v>6.3848000000000003</v>
      </c>
      <c r="P90" s="17">
        <f>CHOOSE(CONTROL!$C$42, 6.1423, 6.1423) * CHOOSE(CONTROL!$C$21, $C$9, 100%, $E$9)</f>
        <v>6.1422999999999996</v>
      </c>
      <c r="Q90" s="17">
        <f>CHOOSE(CONTROL!$C$42, 6.9795, 6.9795) * CHOOSE(CONTROL!$C$21, $C$9, 100%, $E$9)</f>
        <v>6.9794999999999998</v>
      </c>
      <c r="R90" s="17">
        <f>CHOOSE(CONTROL!$C$42, 7.5839, 7.5839) * CHOOSE(CONTROL!$C$21, $C$9, 100%, $E$9)</f>
        <v>7.5838999999999999</v>
      </c>
      <c r="S90" s="17">
        <f>CHOOSE(CONTROL!$C$42, 5.9503, 5.9503) * CHOOSE(CONTROL!$C$21, $C$9, 100%, $E$9)</f>
        <v>5.9503000000000004</v>
      </c>
      <c r="T90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90" s="56">
        <f>(1000*CHOOSE(CONTROL!$C$42, 695, 695)*CHOOSE(CONTROL!$C$42, 0.5599, 0.5599)*CHOOSE(CONTROL!$C$42, 30, 30))/1000000</f>
        <v>11.673914999999997</v>
      </c>
      <c r="V90" s="56">
        <f>(1000*CHOOSE(CONTROL!$C$42, 500, 500)*CHOOSE(CONTROL!$C$42, 0.275, 0.275)*CHOOSE(CONTROL!$C$42, 30, 30))/1000000</f>
        <v>4.125</v>
      </c>
      <c r="W90" s="56">
        <f>(1000*CHOOSE(CONTROL!$C$42, 0.0916, 0.0916)*CHOOSE(CONTROL!$C$42, 121.5, 121.5)*CHOOSE(CONTROL!$C$42, 30, 30))/1000000</f>
        <v>0.33388200000000001</v>
      </c>
      <c r="X90" s="56">
        <f>(30*0.1790888*145000/1000000)+(30*0.2374*100000/1000000)</f>
        <v>1.4912362799999999</v>
      </c>
      <c r="Y90" s="56"/>
      <c r="Z90" s="17"/>
      <c r="AA90" s="55"/>
      <c r="AB90" s="48">
        <f>(B90*194.205+C90*267.466+D90*133.845+E90*153.484+F90*40+G90*85+H90*0+I90*100+J90*300)/(194.205+267.466+133.845+153.484+0+40+85+100+300)</f>
        <v>6.2201202259811623</v>
      </c>
      <c r="AC90" s="45">
        <f>(M90*'RAP TEMPLATE-GAS AVAILABILITY'!O89+N90*'RAP TEMPLATE-GAS AVAILABILITY'!P89+O90*'RAP TEMPLATE-GAS AVAILABILITY'!Q89+P90*'RAP TEMPLATE-GAS AVAILABILITY'!R89)/('RAP TEMPLATE-GAS AVAILABILITY'!O89+'RAP TEMPLATE-GAS AVAILABILITY'!P89+'RAP TEMPLATE-GAS AVAILABILITY'!Q89+'RAP TEMPLATE-GAS AVAILABILITY'!R89)</f>
        <v>6.1911856115107913</v>
      </c>
    </row>
    <row r="91" spans="1:29" ht="15.75" x14ac:dyDescent="0.25">
      <c r="A91" s="16">
        <v>43282</v>
      </c>
      <c r="B91" s="17">
        <f>CHOOSE(CONTROL!$C$42, 6.0429, 6.0429) * CHOOSE(CONTROL!$C$21, $C$9, 100%, $E$9)</f>
        <v>6.0429000000000004</v>
      </c>
      <c r="C91" s="17">
        <f>CHOOSE(CONTROL!$C$42, 6.0509, 6.0509) * CHOOSE(CONTROL!$C$21, $C$9, 100%, $E$9)</f>
        <v>6.0509000000000004</v>
      </c>
      <c r="D91" s="17">
        <f>CHOOSE(CONTROL!$C$42, 6.3108, 6.3108) * CHOOSE(CONTROL!$C$21, $C$9, 100%, $E$9)</f>
        <v>6.3108000000000004</v>
      </c>
      <c r="E91" s="17">
        <f>CHOOSE(CONTROL!$C$42, 6.342, 6.342) * CHOOSE(CONTROL!$C$21, $C$9, 100%, $E$9)</f>
        <v>6.3419999999999996</v>
      </c>
      <c r="F91" s="17">
        <f>CHOOSE(CONTROL!$C$42, 6.0533, 6.0533)*CHOOSE(CONTROL!$C$21, $C$9, 100%, $E$9)</f>
        <v>6.0533000000000001</v>
      </c>
      <c r="G91" s="17">
        <f>CHOOSE(CONTROL!$C$42, 6.0699, 6.0699)*CHOOSE(CONTROL!$C$21, $C$9, 100%, $E$9)</f>
        <v>6.0698999999999996</v>
      </c>
      <c r="H91" s="17">
        <f>CHOOSE(CONTROL!$C$42, 6.3303, 6.3303) * CHOOSE(CONTROL!$C$21, $C$9, 100%, $E$9)</f>
        <v>6.3303000000000003</v>
      </c>
      <c r="I91" s="17">
        <f>CHOOSE(CONTROL!$C$42, 6.0855, 6.0855)* CHOOSE(CONTROL!$C$21, $C$9, 100%, $E$9)</f>
        <v>6.0854999999999997</v>
      </c>
      <c r="J91" s="17">
        <f>CHOOSE(CONTROL!$C$42, 6.0459, 6.0459)* CHOOSE(CONTROL!$C$21, $C$9, 100%, $E$9)</f>
        <v>6.0458999999999996</v>
      </c>
      <c r="K91" s="52">
        <f>CHOOSE(CONTROL!$C$42, 6.0795, 6.0795) * CHOOSE(CONTROL!$C$21, $C$9, 100%, $E$9)</f>
        <v>6.0795000000000003</v>
      </c>
      <c r="L91" s="17">
        <f>CHOOSE(CONTROL!$C$42, 6.9173, 6.9173) * CHOOSE(CONTROL!$C$21, $C$9, 100%, $E$9)</f>
        <v>6.9173</v>
      </c>
      <c r="M91" s="17">
        <f>CHOOSE(CONTROL!$C$42, 5.9985, 5.9985) * CHOOSE(CONTROL!$C$21, $C$9, 100%, $E$9)</f>
        <v>5.9984999999999999</v>
      </c>
      <c r="N91" s="17">
        <f>CHOOSE(CONTROL!$C$42, 6.015, 6.015) * CHOOSE(CONTROL!$C$21, $C$9, 100%, $E$9)</f>
        <v>6.0149999999999997</v>
      </c>
      <c r="O91" s="17">
        <f>CHOOSE(CONTROL!$C$42, 6.2804, 6.2804) * CHOOSE(CONTROL!$C$21, $C$9, 100%, $E$9)</f>
        <v>6.2804000000000002</v>
      </c>
      <c r="P91" s="17">
        <f>CHOOSE(CONTROL!$C$42, 6.0377, 6.0377) * CHOOSE(CONTROL!$C$21, $C$9, 100%, $E$9)</f>
        <v>6.0377000000000001</v>
      </c>
      <c r="Q91" s="17">
        <f>CHOOSE(CONTROL!$C$42, 6.8751, 6.8751) * CHOOSE(CONTROL!$C$21, $C$9, 100%, $E$9)</f>
        <v>6.8750999999999998</v>
      </c>
      <c r="R91" s="17">
        <f>CHOOSE(CONTROL!$C$42, 7.4793, 7.4793) * CHOOSE(CONTROL!$C$21, $C$9, 100%, $E$9)</f>
        <v>7.4793000000000003</v>
      </c>
      <c r="S91" s="17">
        <f>CHOOSE(CONTROL!$C$42, 5.8482, 5.8482) * CHOOSE(CONTROL!$C$21, $C$9, 100%, $E$9)</f>
        <v>5.8482000000000003</v>
      </c>
      <c r="T91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91" s="56">
        <f>(1000*CHOOSE(CONTROL!$C$42, 695, 695)*CHOOSE(CONTROL!$C$42, 0.5599, 0.5599)*CHOOSE(CONTROL!$C$42, 31, 31))/1000000</f>
        <v>12.063045499999998</v>
      </c>
      <c r="V91" s="56">
        <f>(1000*CHOOSE(CONTROL!$C$42, 500, 500)*CHOOSE(CONTROL!$C$42, 0.275, 0.275)*CHOOSE(CONTROL!$C$42, 31, 31))/1000000</f>
        <v>4.2625000000000002</v>
      </c>
      <c r="W91" s="56">
        <f>(1000*CHOOSE(CONTROL!$C$42, 0.0916, 0.0916)*CHOOSE(CONTROL!$C$42, 121.5, 121.5)*CHOOSE(CONTROL!$C$42, 31, 31))/1000000</f>
        <v>0.34501139999999997</v>
      </c>
      <c r="X91" s="56">
        <f>(31*0.1790888*145000/1000000)+(31*0.2374*100000/1000000)</f>
        <v>1.5409441560000001</v>
      </c>
      <c r="Y91" s="56"/>
      <c r="Z91" s="17"/>
      <c r="AA91" s="55"/>
      <c r="AB91" s="48">
        <f>(B91*194.205+C91*267.466+D91*133.845+E91*153.484+F91*40+G91*85+H91*0+I91*100+J91*300)/(194.205+267.466+133.845+153.484+0+40+85+100+300)</f>
        <v>6.1149367879905823</v>
      </c>
      <c r="AC91" s="45">
        <f>(M91*'RAP TEMPLATE-GAS AVAILABILITY'!O90+N91*'RAP TEMPLATE-GAS AVAILABILITY'!P90+O91*'RAP TEMPLATE-GAS AVAILABILITY'!Q90+P91*'RAP TEMPLATE-GAS AVAILABILITY'!R90)/('RAP TEMPLATE-GAS AVAILABILITY'!O90+'RAP TEMPLATE-GAS AVAILABILITY'!P90+'RAP TEMPLATE-GAS AVAILABILITY'!Q90+'RAP TEMPLATE-GAS AVAILABILITY'!R90)</f>
        <v>6.0870330935251786</v>
      </c>
    </row>
    <row r="92" spans="1:29" ht="15.75" x14ac:dyDescent="0.25">
      <c r="A92" s="16">
        <v>43313</v>
      </c>
      <c r="B92" s="17">
        <f>CHOOSE(CONTROL!$C$42, 5.7569, 5.7569) * CHOOSE(CONTROL!$C$21, $C$9, 100%, $E$9)</f>
        <v>5.7568999999999999</v>
      </c>
      <c r="C92" s="17">
        <f>CHOOSE(CONTROL!$C$42, 5.7648, 5.7648) * CHOOSE(CONTROL!$C$21, $C$9, 100%, $E$9)</f>
        <v>5.7648000000000001</v>
      </c>
      <c r="D92" s="17">
        <f>CHOOSE(CONTROL!$C$42, 6.0248, 6.0248) * CHOOSE(CONTROL!$C$21, $C$9, 100%, $E$9)</f>
        <v>6.0247999999999999</v>
      </c>
      <c r="E92" s="17">
        <f>CHOOSE(CONTROL!$C$42, 6.0559, 6.0559) * CHOOSE(CONTROL!$C$21, $C$9, 100%, $E$9)</f>
        <v>6.0559000000000003</v>
      </c>
      <c r="F92" s="17">
        <f>CHOOSE(CONTROL!$C$42, 5.7675, 5.7675)*CHOOSE(CONTROL!$C$21, $C$9, 100%, $E$9)</f>
        <v>5.7675000000000001</v>
      </c>
      <c r="G92" s="17">
        <f>CHOOSE(CONTROL!$C$42, 5.7842, 5.7842)*CHOOSE(CONTROL!$C$21, $C$9, 100%, $E$9)</f>
        <v>5.7842000000000002</v>
      </c>
      <c r="H92" s="17">
        <f>CHOOSE(CONTROL!$C$42, 6.0443, 6.0443) * CHOOSE(CONTROL!$C$21, $C$9, 100%, $E$9)</f>
        <v>6.0442999999999998</v>
      </c>
      <c r="I92" s="17">
        <f>CHOOSE(CONTROL!$C$42, 5.7986, 5.7986)* CHOOSE(CONTROL!$C$21, $C$9, 100%, $E$9)</f>
        <v>5.7986000000000004</v>
      </c>
      <c r="J92" s="17">
        <f>CHOOSE(CONTROL!$C$42, 5.7601, 5.7601)* CHOOSE(CONTROL!$C$21, $C$9, 100%, $E$9)</f>
        <v>5.7601000000000004</v>
      </c>
      <c r="K92" s="52">
        <f>CHOOSE(CONTROL!$C$42, 5.7925, 5.7925) * CHOOSE(CONTROL!$C$21, $C$9, 100%, $E$9)</f>
        <v>5.7925000000000004</v>
      </c>
      <c r="L92" s="17">
        <f>CHOOSE(CONTROL!$C$42, 6.6313, 6.6313) * CHOOSE(CONTROL!$C$21, $C$9, 100%, $E$9)</f>
        <v>6.6313000000000004</v>
      </c>
      <c r="M92" s="17">
        <f>CHOOSE(CONTROL!$C$42, 5.7153, 5.7153) * CHOOSE(CONTROL!$C$21, $C$9, 100%, $E$9)</f>
        <v>5.7153</v>
      </c>
      <c r="N92" s="17">
        <f>CHOOSE(CONTROL!$C$42, 5.7318, 5.7318) * CHOOSE(CONTROL!$C$21, $C$9, 100%, $E$9)</f>
        <v>5.7317999999999998</v>
      </c>
      <c r="O92" s="17">
        <f>CHOOSE(CONTROL!$C$42, 5.9969, 5.9969) * CHOOSE(CONTROL!$C$21, $C$9, 100%, $E$9)</f>
        <v>5.9969000000000001</v>
      </c>
      <c r="P92" s="17">
        <f>CHOOSE(CONTROL!$C$42, 5.7533, 5.7533) * CHOOSE(CONTROL!$C$21, $C$9, 100%, $E$9)</f>
        <v>5.7533000000000003</v>
      </c>
      <c r="Q92" s="17">
        <f>CHOOSE(CONTROL!$C$42, 6.5916, 6.5916) * CHOOSE(CONTROL!$C$21, $C$9, 100%, $E$9)</f>
        <v>6.5915999999999997</v>
      </c>
      <c r="R92" s="17">
        <f>CHOOSE(CONTROL!$C$42, 7.1951, 7.1951) * CHOOSE(CONTROL!$C$21, $C$9, 100%, $E$9)</f>
        <v>7.1951000000000001</v>
      </c>
      <c r="S92" s="17">
        <f>CHOOSE(CONTROL!$C$42, 5.5708, 5.5708) * CHOOSE(CONTROL!$C$21, $C$9, 100%, $E$9)</f>
        <v>5.5708000000000002</v>
      </c>
      <c r="T92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92" s="56">
        <f>(1000*CHOOSE(CONTROL!$C$42, 695, 695)*CHOOSE(CONTROL!$C$42, 0.5599, 0.5599)*CHOOSE(CONTROL!$C$42, 31, 31))/1000000</f>
        <v>12.063045499999998</v>
      </c>
      <c r="V92" s="56">
        <f>(1000*CHOOSE(CONTROL!$C$42, 500, 500)*CHOOSE(CONTROL!$C$42, 0.275, 0.275)*CHOOSE(CONTROL!$C$42, 31, 31))/1000000</f>
        <v>4.2625000000000002</v>
      </c>
      <c r="W92" s="56">
        <f>(1000*CHOOSE(CONTROL!$C$42, 0.0916, 0.0916)*CHOOSE(CONTROL!$C$42, 121.5, 121.5)*CHOOSE(CONTROL!$C$42, 31, 31))/1000000</f>
        <v>0.34501139999999997</v>
      </c>
      <c r="X92" s="56">
        <f>(31*0.1790888*145000/1000000)+(31*0.2374*100000/1000000)</f>
        <v>1.5409441560000001</v>
      </c>
      <c r="Y92" s="56"/>
      <c r="Z92" s="17"/>
      <c r="AA92" s="55"/>
      <c r="AB92" s="48">
        <f>(B92*194.205+C92*267.466+D92*133.845+E92*153.484+F92*40+G92*85+H92*0+I92*100+J92*300)/(194.205+267.466+133.845+153.484+0+40+85+100+300)</f>
        <v>5.828906493642072</v>
      </c>
      <c r="AC92" s="45">
        <f>(M92*'RAP TEMPLATE-GAS AVAILABILITY'!O91+N92*'RAP TEMPLATE-GAS AVAILABILITY'!P91+O92*'RAP TEMPLATE-GAS AVAILABILITY'!Q91+P92*'RAP TEMPLATE-GAS AVAILABILITY'!R91)/('RAP TEMPLATE-GAS AVAILABILITY'!O91+'RAP TEMPLATE-GAS AVAILABILITY'!P91+'RAP TEMPLATE-GAS AVAILABILITY'!Q91+'RAP TEMPLATE-GAS AVAILABILITY'!R91)</f>
        <v>5.8035762589928064</v>
      </c>
    </row>
    <row r="93" spans="1:29" ht="15.75" x14ac:dyDescent="0.25">
      <c r="A93" s="16">
        <v>43344</v>
      </c>
      <c r="B93" s="17">
        <f>CHOOSE(CONTROL!$C$42, 5.403, 5.403) * CHOOSE(CONTROL!$C$21, $C$9, 100%, $E$9)</f>
        <v>5.4029999999999996</v>
      </c>
      <c r="C93" s="17">
        <f>CHOOSE(CONTROL!$C$42, 5.411, 5.411) * CHOOSE(CONTROL!$C$21, $C$9, 100%, $E$9)</f>
        <v>5.4109999999999996</v>
      </c>
      <c r="D93" s="17">
        <f>CHOOSE(CONTROL!$C$42, 5.6709, 5.6709) * CHOOSE(CONTROL!$C$21, $C$9, 100%, $E$9)</f>
        <v>5.6708999999999996</v>
      </c>
      <c r="E93" s="17">
        <f>CHOOSE(CONTROL!$C$42, 5.7021, 5.7021) * CHOOSE(CONTROL!$C$21, $C$9, 100%, $E$9)</f>
        <v>5.7020999999999997</v>
      </c>
      <c r="F93" s="17">
        <f>CHOOSE(CONTROL!$C$42, 5.4136, 5.4136)*CHOOSE(CONTROL!$C$21, $C$9, 100%, $E$9)</f>
        <v>5.4135999999999997</v>
      </c>
      <c r="G93" s="17">
        <f>CHOOSE(CONTROL!$C$42, 5.4303, 5.4303)*CHOOSE(CONTROL!$C$21, $C$9, 100%, $E$9)</f>
        <v>5.4302999999999999</v>
      </c>
      <c r="H93" s="17">
        <f>CHOOSE(CONTROL!$C$42, 5.6904, 5.6904) * CHOOSE(CONTROL!$C$21, $C$9, 100%, $E$9)</f>
        <v>5.6904000000000003</v>
      </c>
      <c r="I93" s="17">
        <f>CHOOSE(CONTROL!$C$42, 5.4436, 5.4436)* CHOOSE(CONTROL!$C$21, $C$9, 100%, $E$9)</f>
        <v>5.4436</v>
      </c>
      <c r="J93" s="17">
        <f>CHOOSE(CONTROL!$C$42, 5.4062, 5.4062)* CHOOSE(CONTROL!$C$21, $C$9, 100%, $E$9)</f>
        <v>5.4062000000000001</v>
      </c>
      <c r="K93" s="52">
        <f>CHOOSE(CONTROL!$C$42, 5.4376, 5.4376) * CHOOSE(CONTROL!$C$21, $C$9, 100%, $E$9)</f>
        <v>5.4375999999999998</v>
      </c>
      <c r="L93" s="17">
        <f>CHOOSE(CONTROL!$C$42, 6.2774, 6.2774) * CHOOSE(CONTROL!$C$21, $C$9, 100%, $E$9)</f>
        <v>6.2774000000000001</v>
      </c>
      <c r="M93" s="17">
        <f>CHOOSE(CONTROL!$C$42, 5.3646, 5.3646) * CHOOSE(CONTROL!$C$21, $C$9, 100%, $E$9)</f>
        <v>5.3646000000000003</v>
      </c>
      <c r="N93" s="17">
        <f>CHOOSE(CONTROL!$C$42, 5.3812, 5.3812) * CHOOSE(CONTROL!$C$21, $C$9, 100%, $E$9)</f>
        <v>5.3811999999999998</v>
      </c>
      <c r="O93" s="17">
        <f>CHOOSE(CONTROL!$C$42, 5.6462, 5.6462) * CHOOSE(CONTROL!$C$21, $C$9, 100%, $E$9)</f>
        <v>5.6462000000000003</v>
      </c>
      <c r="P93" s="17">
        <f>CHOOSE(CONTROL!$C$42, 5.4016, 5.4016) * CHOOSE(CONTROL!$C$21, $C$9, 100%, $E$9)</f>
        <v>5.4016000000000002</v>
      </c>
      <c r="Q93" s="17">
        <f>CHOOSE(CONTROL!$C$42, 6.2409, 6.2409) * CHOOSE(CONTROL!$C$21, $C$9, 100%, $E$9)</f>
        <v>6.2408999999999999</v>
      </c>
      <c r="R93" s="17">
        <f>CHOOSE(CONTROL!$C$42, 6.8435, 6.8435) * CHOOSE(CONTROL!$C$21, $C$9, 100%, $E$9)</f>
        <v>6.8434999999999997</v>
      </c>
      <c r="S93" s="17">
        <f>CHOOSE(CONTROL!$C$42, 5.2277, 5.2277) * CHOOSE(CONTROL!$C$21, $C$9, 100%, $E$9)</f>
        <v>5.2276999999999996</v>
      </c>
      <c r="T93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93" s="56">
        <f>(1000*CHOOSE(CONTROL!$C$42, 695, 695)*CHOOSE(CONTROL!$C$42, 0.5599, 0.5599)*CHOOSE(CONTROL!$C$42, 30, 30))/1000000</f>
        <v>11.673914999999997</v>
      </c>
      <c r="V93" s="56">
        <f>(1000*CHOOSE(CONTROL!$C$42, 500, 500)*CHOOSE(CONTROL!$C$42, 0.275, 0.275)*CHOOSE(CONTROL!$C$42, 30, 30))/1000000</f>
        <v>4.125</v>
      </c>
      <c r="W93" s="56">
        <f>(1000*CHOOSE(CONTROL!$C$42, 0.0916, 0.0916)*CHOOSE(CONTROL!$C$42, 121.5, 121.5)*CHOOSE(CONTROL!$C$42, 30, 30))/1000000</f>
        <v>0.33388200000000001</v>
      </c>
      <c r="X93" s="56">
        <f>(30*0.1790888*145000/1000000)+(30*0.2374*100000/1000000)</f>
        <v>1.4912362799999999</v>
      </c>
      <c r="Y93" s="56"/>
      <c r="Z93" s="17"/>
      <c r="AA93" s="55"/>
      <c r="AB93" s="48">
        <f>(B93*194.205+C93*267.466+D93*133.845+E93*153.484+F93*40+G93*85+H93*0+I93*100+J93*300)/(194.205+267.466+133.845+153.484+0+40+85+100+300)</f>
        <v>5.4749531930141293</v>
      </c>
      <c r="AC93" s="45">
        <f>(M93*'RAP TEMPLATE-GAS AVAILABILITY'!O92+N93*'RAP TEMPLATE-GAS AVAILABILITY'!P92+O93*'RAP TEMPLATE-GAS AVAILABILITY'!Q92+P93*'RAP TEMPLATE-GAS AVAILABILITY'!R92)/('RAP TEMPLATE-GAS AVAILABILITY'!O92+'RAP TEMPLATE-GAS AVAILABILITY'!P92+'RAP TEMPLATE-GAS AVAILABILITY'!Q92+'RAP TEMPLATE-GAS AVAILABILITY'!R92)</f>
        <v>5.4527553956834529</v>
      </c>
    </row>
    <row r="94" spans="1:29" ht="15.75" x14ac:dyDescent="0.25">
      <c r="A94" s="16">
        <v>43374</v>
      </c>
      <c r="B94" s="17">
        <f>CHOOSE(CONTROL!$C$42, 5.3027, 5.3027) * CHOOSE(CONTROL!$C$21, $C$9, 100%, $E$9)</f>
        <v>5.3026999999999997</v>
      </c>
      <c r="C94" s="17">
        <f>CHOOSE(CONTROL!$C$42, 5.308, 5.308) * CHOOSE(CONTROL!$C$21, $C$9, 100%, $E$9)</f>
        <v>5.3079999999999998</v>
      </c>
      <c r="D94" s="17">
        <f>CHOOSE(CONTROL!$C$42, 5.5728, 5.5728) * CHOOSE(CONTROL!$C$21, $C$9, 100%, $E$9)</f>
        <v>5.5728</v>
      </c>
      <c r="E94" s="17">
        <f>CHOOSE(CONTROL!$C$42, 5.6017, 5.6017) * CHOOSE(CONTROL!$C$21, $C$9, 100%, $E$9)</f>
        <v>5.6017000000000001</v>
      </c>
      <c r="F94" s="17">
        <f>CHOOSE(CONTROL!$C$42, 5.3155, 5.3155)*CHOOSE(CONTROL!$C$21, $C$9, 100%, $E$9)</f>
        <v>5.3155000000000001</v>
      </c>
      <c r="G94" s="17">
        <f>CHOOSE(CONTROL!$C$42, 5.3321, 5.3321)*CHOOSE(CONTROL!$C$21, $C$9, 100%, $E$9)</f>
        <v>5.3320999999999996</v>
      </c>
      <c r="H94" s="17">
        <f>CHOOSE(CONTROL!$C$42, 5.5918, 5.5918) * CHOOSE(CONTROL!$C$21, $C$9, 100%, $E$9)</f>
        <v>5.5918000000000001</v>
      </c>
      <c r="I94" s="17">
        <f>CHOOSE(CONTROL!$C$42, 5.3447, 5.3447)* CHOOSE(CONTROL!$C$21, $C$9, 100%, $E$9)</f>
        <v>5.3446999999999996</v>
      </c>
      <c r="J94" s="17">
        <f>CHOOSE(CONTROL!$C$42, 5.3081, 5.3081)* CHOOSE(CONTROL!$C$21, $C$9, 100%, $E$9)</f>
        <v>5.3080999999999996</v>
      </c>
      <c r="K94" s="52">
        <f>CHOOSE(CONTROL!$C$42, 5.3387, 5.3387) * CHOOSE(CONTROL!$C$21, $C$9, 100%, $E$9)</f>
        <v>5.3387000000000002</v>
      </c>
      <c r="L94" s="17">
        <f>CHOOSE(CONTROL!$C$42, 6.1788, 6.1788) * CHOOSE(CONTROL!$C$21, $C$9, 100%, $E$9)</f>
        <v>6.1787999999999998</v>
      </c>
      <c r="M94" s="17">
        <f>CHOOSE(CONTROL!$C$42, 5.2674, 5.2674) * CHOOSE(CONTROL!$C$21, $C$9, 100%, $E$9)</f>
        <v>5.2674000000000003</v>
      </c>
      <c r="N94" s="17">
        <f>CHOOSE(CONTROL!$C$42, 5.2838, 5.2838) * CHOOSE(CONTROL!$C$21, $C$9, 100%, $E$9)</f>
        <v>5.2838000000000003</v>
      </c>
      <c r="O94" s="17">
        <f>CHOOSE(CONTROL!$C$42, 5.5486, 5.5486) * CHOOSE(CONTROL!$C$21, $C$9, 100%, $E$9)</f>
        <v>5.5486000000000004</v>
      </c>
      <c r="P94" s="17">
        <f>CHOOSE(CONTROL!$C$42, 5.3036, 5.3036) * CHOOSE(CONTROL!$C$21, $C$9, 100%, $E$9)</f>
        <v>5.3036000000000003</v>
      </c>
      <c r="Q94" s="17">
        <f>CHOOSE(CONTROL!$C$42, 6.1433, 6.1433) * CHOOSE(CONTROL!$C$21, $C$9, 100%, $E$9)</f>
        <v>6.1433</v>
      </c>
      <c r="R94" s="17">
        <f>CHOOSE(CONTROL!$C$42, 6.7456, 6.7456) * CHOOSE(CONTROL!$C$21, $C$9, 100%, $E$9)</f>
        <v>6.7455999999999996</v>
      </c>
      <c r="S94" s="17">
        <f>CHOOSE(CONTROL!$C$42, 5.1321, 5.1321) * CHOOSE(CONTROL!$C$21, $C$9, 100%, $E$9)</f>
        <v>5.1321000000000003</v>
      </c>
      <c r="T94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94" s="56">
        <f>(1000*CHOOSE(CONTROL!$C$42, 695, 695)*CHOOSE(CONTROL!$C$42, 0.5599, 0.5599)*CHOOSE(CONTROL!$C$42, 31, 31))/1000000</f>
        <v>12.063045499999998</v>
      </c>
      <c r="V94" s="56">
        <f>(1000*CHOOSE(CONTROL!$C$42, 500, 500)*CHOOSE(CONTROL!$C$42, 0.275, 0.275)*CHOOSE(CONTROL!$C$42, 31, 31))/1000000</f>
        <v>4.2625000000000002</v>
      </c>
      <c r="W94" s="56">
        <f>(1000*CHOOSE(CONTROL!$C$42, 0.0916, 0.0916)*CHOOSE(CONTROL!$C$42, 121.5, 121.5)*CHOOSE(CONTROL!$C$42, 31, 31))/1000000</f>
        <v>0.34501139999999997</v>
      </c>
      <c r="X94" s="56">
        <f>(31*0.1790888*145000/1000000)+(31*0.2374*100000/1000000)</f>
        <v>1.5409441560000001</v>
      </c>
      <c r="Y94" s="56"/>
      <c r="Z94" s="17"/>
      <c r="AA94" s="55"/>
      <c r="AB94" s="48">
        <f>(B94*131.881+C94*277.167+D94*79.08+E94*225.872+F94*40+G94*85+H94*0+I94*100+J94*300)/(131.881+277.167+79.08+225.872+0+40+85+100+300)</f>
        <v>5.3827607111380154</v>
      </c>
      <c r="AC94" s="45">
        <f>(M94*'RAP TEMPLATE-GAS AVAILABILITY'!O93+N94*'RAP TEMPLATE-GAS AVAILABILITY'!P93+O94*'RAP TEMPLATE-GAS AVAILABILITY'!Q93+P94*'RAP TEMPLATE-GAS AVAILABILITY'!R93)/('RAP TEMPLATE-GAS AVAILABILITY'!O93+'RAP TEMPLATE-GAS AVAILABILITY'!P93+'RAP TEMPLATE-GAS AVAILABILITY'!Q93+'RAP TEMPLATE-GAS AVAILABILITY'!R93)</f>
        <v>5.3552820143884903</v>
      </c>
    </row>
    <row r="95" spans="1:29" ht="15.75" x14ac:dyDescent="0.25">
      <c r="A95" s="16">
        <v>43405</v>
      </c>
      <c r="B95" s="17">
        <f>CHOOSE(CONTROL!$C$42, 5.4529, 5.4529) * CHOOSE(CONTROL!$C$21, $C$9, 100%, $E$9)</f>
        <v>5.4528999999999996</v>
      </c>
      <c r="C95" s="17">
        <f>CHOOSE(CONTROL!$C$42, 5.458, 5.458) * CHOOSE(CONTROL!$C$21, $C$9, 100%, $E$9)</f>
        <v>5.4580000000000002</v>
      </c>
      <c r="D95" s="17">
        <f>CHOOSE(CONTROL!$C$42, 5.5986, 5.5986) * CHOOSE(CONTROL!$C$21, $C$9, 100%, $E$9)</f>
        <v>5.5986000000000002</v>
      </c>
      <c r="E95" s="17">
        <f>CHOOSE(CONTROL!$C$42, 5.6324, 5.6324) * CHOOSE(CONTROL!$C$21, $C$9, 100%, $E$9)</f>
        <v>5.6323999999999996</v>
      </c>
      <c r="F95" s="17">
        <f>CHOOSE(CONTROL!$C$42, 5.4662, 5.4662)*CHOOSE(CONTROL!$C$21, $C$9, 100%, $E$9)</f>
        <v>5.4661999999999997</v>
      </c>
      <c r="G95" s="17">
        <f>CHOOSE(CONTROL!$C$42, 5.483, 5.483)*CHOOSE(CONTROL!$C$21, $C$9, 100%, $E$9)</f>
        <v>5.4829999999999997</v>
      </c>
      <c r="H95" s="17">
        <f>CHOOSE(CONTROL!$C$42, 5.6213, 5.6213) * CHOOSE(CONTROL!$C$21, $C$9, 100%, $E$9)</f>
        <v>5.6212999999999997</v>
      </c>
      <c r="I95" s="17">
        <f>CHOOSE(CONTROL!$C$42, 5.4922, 5.4922)* CHOOSE(CONTROL!$C$21, $C$9, 100%, $E$9)</f>
        <v>5.4922000000000004</v>
      </c>
      <c r="J95" s="17">
        <f>CHOOSE(CONTROL!$C$42, 5.4588, 5.4588)* CHOOSE(CONTROL!$C$21, $C$9, 100%, $E$9)</f>
        <v>5.4588000000000001</v>
      </c>
      <c r="K95" s="52">
        <f>CHOOSE(CONTROL!$C$42, 5.4861, 5.4861) * CHOOSE(CONTROL!$C$21, $C$9, 100%, $E$9)</f>
        <v>5.4861000000000004</v>
      </c>
      <c r="L95" s="17">
        <f>CHOOSE(CONTROL!$C$42, 6.2083, 6.2083) * CHOOSE(CONTROL!$C$21, $C$9, 100%, $E$9)</f>
        <v>6.2083000000000004</v>
      </c>
      <c r="M95" s="17">
        <f>CHOOSE(CONTROL!$C$42, 5.4167, 5.4167) * CHOOSE(CONTROL!$C$21, $C$9, 100%, $E$9)</f>
        <v>5.4166999999999996</v>
      </c>
      <c r="N95" s="17">
        <f>CHOOSE(CONTROL!$C$42, 5.4334, 5.4334) * CHOOSE(CONTROL!$C$21, $C$9, 100%, $E$9)</f>
        <v>5.4333999999999998</v>
      </c>
      <c r="O95" s="17">
        <f>CHOOSE(CONTROL!$C$42, 5.5777, 5.5777) * CHOOSE(CONTROL!$C$21, $C$9, 100%, $E$9)</f>
        <v>5.5777000000000001</v>
      </c>
      <c r="P95" s="17">
        <f>CHOOSE(CONTROL!$C$42, 5.4497, 5.4497) * CHOOSE(CONTROL!$C$21, $C$9, 100%, $E$9)</f>
        <v>5.4497</v>
      </c>
      <c r="Q95" s="17">
        <f>CHOOSE(CONTROL!$C$42, 6.1724, 6.1724) * CHOOSE(CONTROL!$C$21, $C$9, 100%, $E$9)</f>
        <v>6.1723999999999997</v>
      </c>
      <c r="R95" s="17">
        <f>CHOOSE(CONTROL!$C$42, 6.7748, 6.7748) * CHOOSE(CONTROL!$C$21, $C$9, 100%, $E$9)</f>
        <v>6.7747999999999999</v>
      </c>
      <c r="S95" s="17">
        <f>CHOOSE(CONTROL!$C$42, 5.2782, 5.2782) * CHOOSE(CONTROL!$C$21, $C$9, 100%, $E$9)</f>
        <v>5.2782</v>
      </c>
      <c r="T95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95" s="56">
        <f>(1000*CHOOSE(CONTROL!$C$42, 695, 695)*CHOOSE(CONTROL!$C$42, 0.5599, 0.5599)*CHOOSE(CONTROL!$C$42, 30, 30))/1000000</f>
        <v>11.673914999999997</v>
      </c>
      <c r="V95" s="56">
        <f>(1000*CHOOSE(CONTROL!$C$42, 500, 500)*CHOOSE(CONTROL!$C$42, 0.275, 0.275)*CHOOSE(CONTROL!$C$42, 30, 30))/1000000</f>
        <v>4.125</v>
      </c>
      <c r="W95" s="56">
        <f>(1000*CHOOSE(CONTROL!$C$42, 0.0916, 0.0916)*CHOOSE(CONTROL!$C$42, 121.5, 121.5)*CHOOSE(CONTROL!$C$42, 30, 30))/1000000</f>
        <v>0.33388200000000001</v>
      </c>
      <c r="X95" s="56">
        <f>(30*0.2374*100000/1000000)</f>
        <v>0.71220000000000006</v>
      </c>
      <c r="Y95" s="56"/>
      <c r="Z95" s="17"/>
      <c r="AA95" s="55"/>
      <c r="AB95" s="48">
        <f>(B95*122.58+C95*297.941+D95*89.177+E95*140.302+F95*40+G95*60+H95*0+I95*100+J95*300)/(122.58+297.941+89.177+140.302+0+40+60+100+300)</f>
        <v>5.4944085191304346</v>
      </c>
      <c r="AC95" s="45">
        <f>(M95*'RAP TEMPLATE-GAS AVAILABILITY'!O94+N95*'RAP TEMPLATE-GAS AVAILABILITY'!P94+O95*'RAP TEMPLATE-GAS AVAILABILITY'!Q94+P95*'RAP TEMPLATE-GAS AVAILABILITY'!R94)/('RAP TEMPLATE-GAS AVAILABILITY'!O94+'RAP TEMPLATE-GAS AVAILABILITY'!P94+'RAP TEMPLATE-GAS AVAILABILITY'!Q94+'RAP TEMPLATE-GAS AVAILABILITY'!R94)</f>
        <v>5.4953805755395679</v>
      </c>
    </row>
    <row r="96" spans="1:29" ht="15.75" x14ac:dyDescent="0.25">
      <c r="A96" s="16">
        <v>43435</v>
      </c>
      <c r="B96" s="17">
        <f>CHOOSE(CONTROL!$C$42, 5.8359, 5.8359) * CHOOSE(CONTROL!$C$21, $C$9, 100%, $E$9)</f>
        <v>5.8358999999999996</v>
      </c>
      <c r="C96" s="17">
        <f>CHOOSE(CONTROL!$C$42, 5.841, 5.841) * CHOOSE(CONTROL!$C$21, $C$9, 100%, $E$9)</f>
        <v>5.8410000000000002</v>
      </c>
      <c r="D96" s="17">
        <f>CHOOSE(CONTROL!$C$42, 5.9817, 5.9817) * CHOOSE(CONTROL!$C$21, $C$9, 100%, $E$9)</f>
        <v>5.9817</v>
      </c>
      <c r="E96" s="17">
        <f>CHOOSE(CONTROL!$C$42, 6.0154, 6.0154) * CHOOSE(CONTROL!$C$21, $C$9, 100%, $E$9)</f>
        <v>6.0153999999999996</v>
      </c>
      <c r="F96" s="17">
        <f>CHOOSE(CONTROL!$C$42, 5.8516, 5.8516)*CHOOSE(CONTROL!$C$21, $C$9, 100%, $E$9)</f>
        <v>5.8516000000000004</v>
      </c>
      <c r="G96" s="17">
        <f>CHOOSE(CONTROL!$C$42, 5.8691, 5.8691)*CHOOSE(CONTROL!$C$21, $C$9, 100%, $E$9)</f>
        <v>5.8691000000000004</v>
      </c>
      <c r="H96" s="17">
        <f>CHOOSE(CONTROL!$C$42, 6.0043, 6.0043) * CHOOSE(CONTROL!$C$21, $C$9, 100%, $E$9)</f>
        <v>6.0042999999999997</v>
      </c>
      <c r="I96" s="17">
        <f>CHOOSE(CONTROL!$C$42, 5.8764, 5.8764)* CHOOSE(CONTROL!$C$21, $C$9, 100%, $E$9)</f>
        <v>5.8764000000000003</v>
      </c>
      <c r="J96" s="17">
        <f>CHOOSE(CONTROL!$C$42, 5.8442, 5.8442)* CHOOSE(CONTROL!$C$21, $C$9, 100%, $E$9)</f>
        <v>5.8441999999999998</v>
      </c>
      <c r="K96" s="52">
        <f>CHOOSE(CONTROL!$C$42, 5.8704, 5.8704) * CHOOSE(CONTROL!$C$21, $C$9, 100%, $E$9)</f>
        <v>5.8704000000000001</v>
      </c>
      <c r="L96" s="17">
        <f>CHOOSE(CONTROL!$C$42, 6.5913, 6.5913) * CHOOSE(CONTROL!$C$21, $C$9, 100%, $E$9)</f>
        <v>6.5913000000000004</v>
      </c>
      <c r="M96" s="17">
        <f>CHOOSE(CONTROL!$C$42, 5.7987, 5.7987) * CHOOSE(CONTROL!$C$21, $C$9, 100%, $E$9)</f>
        <v>5.7987000000000002</v>
      </c>
      <c r="N96" s="17">
        <f>CHOOSE(CONTROL!$C$42, 5.816, 5.816) * CHOOSE(CONTROL!$C$21, $C$9, 100%, $E$9)</f>
        <v>5.8159999999999998</v>
      </c>
      <c r="O96" s="17">
        <f>CHOOSE(CONTROL!$C$42, 5.9573, 5.9573) * CHOOSE(CONTROL!$C$21, $C$9, 100%, $E$9)</f>
        <v>5.9573</v>
      </c>
      <c r="P96" s="17">
        <f>CHOOSE(CONTROL!$C$42, 5.8304, 5.8304) * CHOOSE(CONTROL!$C$21, $C$9, 100%, $E$9)</f>
        <v>5.8304</v>
      </c>
      <c r="Q96" s="17">
        <f>CHOOSE(CONTROL!$C$42, 6.552, 6.552) * CHOOSE(CONTROL!$C$21, $C$9, 100%, $E$9)</f>
        <v>6.5519999999999996</v>
      </c>
      <c r="R96" s="17">
        <f>CHOOSE(CONTROL!$C$42, 7.1554, 7.1554) * CHOOSE(CONTROL!$C$21, $C$9, 100%, $E$9)</f>
        <v>7.1554000000000002</v>
      </c>
      <c r="S96" s="17">
        <f>CHOOSE(CONTROL!$C$42, 5.6496, 5.6496) * CHOOSE(CONTROL!$C$21, $C$9, 100%, $E$9)</f>
        <v>5.6496000000000004</v>
      </c>
      <c r="T96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96" s="56">
        <f>(1000*CHOOSE(CONTROL!$C$42, 695, 695)*CHOOSE(CONTROL!$C$42, 0.5599, 0.5599)*CHOOSE(CONTROL!$C$42, 31, 31))/1000000</f>
        <v>12.063045499999998</v>
      </c>
      <c r="V96" s="56">
        <f>(1000*CHOOSE(CONTROL!$C$42, 500, 500)*CHOOSE(CONTROL!$C$42, 0.275, 0.275)*CHOOSE(CONTROL!$C$42, 31, 31))/1000000</f>
        <v>4.2625000000000002</v>
      </c>
      <c r="W96" s="56">
        <f>(1000*CHOOSE(CONTROL!$C$42, 0.0916, 0.0916)*CHOOSE(CONTROL!$C$42, 121.5, 121.5)*CHOOSE(CONTROL!$C$42, 31, 31))/1000000</f>
        <v>0.34501139999999997</v>
      </c>
      <c r="X96" s="56">
        <f>(31*0.2374*100000/1000000)</f>
        <v>0.73594000000000004</v>
      </c>
      <c r="Y96" s="56"/>
      <c r="Z96" s="17"/>
      <c r="AA96" s="55"/>
      <c r="AB96" s="48">
        <f>(B96*122.58+C96*297.941+D96*89.177+E96*140.302+F96*40+G96*60+H96*0+I96*100+J96*300)/(122.58+297.941+89.177+140.302+0+40+60+100+300)</f>
        <v>5.8783919258260875</v>
      </c>
      <c r="AC96" s="45">
        <f>(M96*'RAP TEMPLATE-GAS AVAILABILITY'!O95+N96*'RAP TEMPLATE-GAS AVAILABILITY'!P95+O96*'RAP TEMPLATE-GAS AVAILABILITY'!Q95+P96*'RAP TEMPLATE-GAS AVAILABILITY'!R95)/('RAP TEMPLATE-GAS AVAILABILITY'!O95+'RAP TEMPLATE-GAS AVAILABILITY'!P95+'RAP TEMPLATE-GAS AVAILABILITY'!Q95+'RAP TEMPLATE-GAS AVAILABILITY'!R95)</f>
        <v>5.8761402877697844</v>
      </c>
    </row>
    <row r="97" spans="1:29" ht="15.75" x14ac:dyDescent="0.25">
      <c r="A97" s="16">
        <v>43466</v>
      </c>
      <c r="B97" s="17">
        <f>CHOOSE(CONTROL!$C$42, 6.5031, 6.5031) * CHOOSE(CONTROL!$C$21, $C$9, 100%, $E$9)</f>
        <v>6.5030999999999999</v>
      </c>
      <c r="C97" s="17">
        <f>CHOOSE(CONTROL!$C$42, 6.5082, 6.5082) * CHOOSE(CONTROL!$C$21, $C$9, 100%, $E$9)</f>
        <v>6.5082000000000004</v>
      </c>
      <c r="D97" s="17">
        <f>CHOOSE(CONTROL!$C$42, 6.6422, 6.6422) * CHOOSE(CONTROL!$C$21, $C$9, 100%, $E$9)</f>
        <v>6.6421999999999999</v>
      </c>
      <c r="E97" s="17">
        <f>CHOOSE(CONTROL!$C$42, 6.6759, 6.6759) * CHOOSE(CONTROL!$C$21, $C$9, 100%, $E$9)</f>
        <v>6.6759000000000004</v>
      </c>
      <c r="F97" s="17">
        <f>CHOOSE(CONTROL!$C$42, 6.5166, 6.5166)*CHOOSE(CONTROL!$C$21, $C$9, 100%, $E$9)</f>
        <v>6.5166000000000004</v>
      </c>
      <c r="G97" s="17">
        <f>CHOOSE(CONTROL!$C$42, 6.5335, 6.5335)*CHOOSE(CONTROL!$C$21, $C$9, 100%, $E$9)</f>
        <v>6.5335000000000001</v>
      </c>
      <c r="H97" s="17">
        <f>CHOOSE(CONTROL!$C$42, 6.6648, 6.6648) * CHOOSE(CONTROL!$C$21, $C$9, 100%, $E$9)</f>
        <v>6.6647999999999996</v>
      </c>
      <c r="I97" s="17">
        <f>CHOOSE(CONTROL!$C$42, 6.5498, 6.5498)* CHOOSE(CONTROL!$C$21, $C$9, 100%, $E$9)</f>
        <v>6.5498000000000003</v>
      </c>
      <c r="J97" s="17">
        <f>CHOOSE(CONTROL!$C$42, 6.5092, 6.5092)* CHOOSE(CONTROL!$C$21, $C$9, 100%, $E$9)</f>
        <v>6.5091999999999999</v>
      </c>
      <c r="K97" s="52">
        <f>CHOOSE(CONTROL!$C$42, 6.5438, 6.5438) * CHOOSE(CONTROL!$C$21, $C$9, 100%, $E$9)</f>
        <v>6.5438000000000001</v>
      </c>
      <c r="L97" s="17">
        <f>CHOOSE(CONTROL!$C$42, 7.2518, 7.2518) * CHOOSE(CONTROL!$C$21, $C$9, 100%, $E$9)</f>
        <v>7.2518000000000002</v>
      </c>
      <c r="M97" s="17">
        <f>CHOOSE(CONTROL!$C$42, 6.4576, 6.4576) * CHOOSE(CONTROL!$C$21, $C$9, 100%, $E$9)</f>
        <v>6.4576000000000002</v>
      </c>
      <c r="N97" s="17">
        <f>CHOOSE(CONTROL!$C$42, 6.4744, 6.4744) * CHOOSE(CONTROL!$C$21, $C$9, 100%, $E$9)</f>
        <v>6.4744000000000002</v>
      </c>
      <c r="O97" s="17">
        <f>CHOOSE(CONTROL!$C$42, 6.6119, 6.6119) * CHOOSE(CONTROL!$C$21, $C$9, 100%, $E$9)</f>
        <v>6.6119000000000003</v>
      </c>
      <c r="P97" s="17">
        <f>CHOOSE(CONTROL!$C$42, 6.4978, 6.4978) * CHOOSE(CONTROL!$C$21, $C$9, 100%, $E$9)</f>
        <v>6.4977999999999998</v>
      </c>
      <c r="Q97" s="17">
        <f>CHOOSE(CONTROL!$C$42, 7.2066, 7.2066) * CHOOSE(CONTROL!$C$21, $C$9, 100%, $E$9)</f>
        <v>7.2065999999999999</v>
      </c>
      <c r="R97" s="17">
        <f>CHOOSE(CONTROL!$C$42, 7.8116, 7.8116) * CHOOSE(CONTROL!$C$21, $C$9, 100%, $E$9)</f>
        <v>7.8116000000000003</v>
      </c>
      <c r="S97" s="17">
        <f>CHOOSE(CONTROL!$C$42, 6.2966, 6.2966) * CHOOSE(CONTROL!$C$21, $C$9, 100%, $E$9)</f>
        <v>6.2965999999999998</v>
      </c>
      <c r="T97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97" s="56">
        <f>(1000*CHOOSE(CONTROL!$C$42, 695, 695)*CHOOSE(CONTROL!$C$42, 0.5599, 0.5599)*CHOOSE(CONTROL!$C$42, 31, 31))/1000000</f>
        <v>12.063045499999998</v>
      </c>
      <c r="V97" s="56">
        <f>(1000*CHOOSE(CONTROL!$C$42, 500, 500)*CHOOSE(CONTROL!$C$42, 0.275, 0.275)*CHOOSE(CONTROL!$C$42, 31, 31))/1000000</f>
        <v>4.2625000000000002</v>
      </c>
      <c r="W97" s="56">
        <f>(1000*CHOOSE(CONTROL!$C$42, 0.0916, 0.0916)*CHOOSE(CONTROL!$C$42, 121.5, 121.5)*CHOOSE(CONTROL!$C$42, 31, 31))/1000000</f>
        <v>0.34501139999999997</v>
      </c>
      <c r="X97" s="56">
        <f>(31*0.2374*100000/1000000)</f>
        <v>0.73594000000000004</v>
      </c>
      <c r="Y97" s="56"/>
      <c r="Z97" s="17"/>
      <c r="AA97" s="55"/>
      <c r="AB97" s="48">
        <f>(B97*122.58+C97*297.941+D97*89.177+E97*140.302+F97*40+G97*60+H97*0+I97*100+J97*300)/(122.58+297.941+89.177+140.302+0+40+60+100+300)</f>
        <v>6.5439975699130448</v>
      </c>
      <c r="AC97" s="45">
        <f>(M97*'RAP TEMPLATE-GAS AVAILABILITY'!O96+N97*'RAP TEMPLATE-GAS AVAILABILITY'!P96+O97*'RAP TEMPLATE-GAS AVAILABILITY'!Q96+P97*'RAP TEMPLATE-GAS AVAILABILITY'!R96)/('RAP TEMPLATE-GAS AVAILABILITY'!O96+'RAP TEMPLATE-GAS AVAILABILITY'!P96+'RAP TEMPLATE-GAS AVAILABILITY'!Q96+'RAP TEMPLATE-GAS AVAILABILITY'!R96)</f>
        <v>6.5342856115107919</v>
      </c>
    </row>
    <row r="98" spans="1:29" ht="15.75" x14ac:dyDescent="0.25">
      <c r="A98" s="16">
        <v>43497</v>
      </c>
      <c r="B98" s="17">
        <f>CHOOSE(CONTROL!$C$42, 6.6323, 6.6323) * CHOOSE(CONTROL!$C$21, $C$9, 100%, $E$9)</f>
        <v>6.6322999999999999</v>
      </c>
      <c r="C98" s="17">
        <f>CHOOSE(CONTROL!$C$42, 6.6374, 6.6374) * CHOOSE(CONTROL!$C$21, $C$9, 100%, $E$9)</f>
        <v>6.6374000000000004</v>
      </c>
      <c r="D98" s="17">
        <f>CHOOSE(CONTROL!$C$42, 6.7714, 6.7714) * CHOOSE(CONTROL!$C$21, $C$9, 100%, $E$9)</f>
        <v>6.7713999999999999</v>
      </c>
      <c r="E98" s="17">
        <f>CHOOSE(CONTROL!$C$42, 6.8051, 6.8051) * CHOOSE(CONTROL!$C$21, $C$9, 100%, $E$9)</f>
        <v>6.8051000000000004</v>
      </c>
      <c r="F98" s="17">
        <f>CHOOSE(CONTROL!$C$42, 6.6457, 6.6457)*CHOOSE(CONTROL!$C$21, $C$9, 100%, $E$9)</f>
        <v>6.6456999999999997</v>
      </c>
      <c r="G98" s="17">
        <f>CHOOSE(CONTROL!$C$42, 6.6626, 6.6626)*CHOOSE(CONTROL!$C$21, $C$9, 100%, $E$9)</f>
        <v>6.6626000000000003</v>
      </c>
      <c r="H98" s="17">
        <f>CHOOSE(CONTROL!$C$42, 6.794, 6.794) * CHOOSE(CONTROL!$C$21, $C$9, 100%, $E$9)</f>
        <v>6.7939999999999996</v>
      </c>
      <c r="I98" s="17">
        <f>CHOOSE(CONTROL!$C$42, 6.6794, 6.6794)* CHOOSE(CONTROL!$C$21, $C$9, 100%, $E$9)</f>
        <v>6.6794000000000002</v>
      </c>
      <c r="J98" s="17">
        <f>CHOOSE(CONTROL!$C$42, 6.6383, 6.6383)* CHOOSE(CONTROL!$C$21, $C$9, 100%, $E$9)</f>
        <v>6.6383000000000001</v>
      </c>
      <c r="K98" s="52">
        <f>CHOOSE(CONTROL!$C$42, 6.6734, 6.6734) * CHOOSE(CONTROL!$C$21, $C$9, 100%, $E$9)</f>
        <v>6.6734</v>
      </c>
      <c r="L98" s="17">
        <f>CHOOSE(CONTROL!$C$42, 7.381, 7.381) * CHOOSE(CONTROL!$C$21, $C$9, 100%, $E$9)</f>
        <v>7.3810000000000002</v>
      </c>
      <c r="M98" s="17">
        <f>CHOOSE(CONTROL!$C$42, 6.5856, 6.5856) * CHOOSE(CONTROL!$C$21, $C$9, 100%, $E$9)</f>
        <v>6.5856000000000003</v>
      </c>
      <c r="N98" s="17">
        <f>CHOOSE(CONTROL!$C$42, 6.6023, 6.6023) * CHOOSE(CONTROL!$C$21, $C$9, 100%, $E$9)</f>
        <v>6.6022999999999996</v>
      </c>
      <c r="O98" s="17">
        <f>CHOOSE(CONTROL!$C$42, 6.7399, 6.7399) * CHOOSE(CONTROL!$C$21, $C$9, 100%, $E$9)</f>
        <v>6.7398999999999996</v>
      </c>
      <c r="P98" s="17">
        <f>CHOOSE(CONTROL!$C$42, 6.6262, 6.6262) * CHOOSE(CONTROL!$C$21, $C$9, 100%, $E$9)</f>
        <v>6.6261999999999999</v>
      </c>
      <c r="Q98" s="17">
        <f>CHOOSE(CONTROL!$C$42, 7.3346, 7.3346) * CHOOSE(CONTROL!$C$21, $C$9, 100%, $E$9)</f>
        <v>7.3346</v>
      </c>
      <c r="R98" s="17">
        <f>CHOOSE(CONTROL!$C$42, 7.9399, 7.9399) * CHOOSE(CONTROL!$C$21, $C$9, 100%, $E$9)</f>
        <v>7.9398999999999997</v>
      </c>
      <c r="S98" s="17">
        <f>CHOOSE(CONTROL!$C$42, 6.4218, 6.4218) * CHOOSE(CONTROL!$C$21, $C$9, 100%, $E$9)</f>
        <v>6.4218000000000002</v>
      </c>
      <c r="T98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98" s="56">
        <f>(1000*CHOOSE(CONTROL!$C$42, 695, 695)*CHOOSE(CONTROL!$C$42, 0.5599, 0.5599)*CHOOSE(CONTROL!$C$42, 28, 28))/1000000</f>
        <v>10.895653999999999</v>
      </c>
      <c r="V98" s="56">
        <f>(1000*CHOOSE(CONTROL!$C$42, 500, 500)*CHOOSE(CONTROL!$C$42, 0.275, 0.275)*CHOOSE(CONTROL!$C$42, 28, 28))/1000000</f>
        <v>3.85</v>
      </c>
      <c r="W98" s="56">
        <f>(1000*CHOOSE(CONTROL!$C$42, 0.0916, 0.0916)*CHOOSE(CONTROL!$C$42, 121.5, 121.5)*CHOOSE(CONTROL!$C$42, 28, 28))/1000000</f>
        <v>0.31162319999999999</v>
      </c>
      <c r="X98" s="56">
        <f>(28*0.2374*100000/1000000)</f>
        <v>0.66471999999999998</v>
      </c>
      <c r="Y98" s="56"/>
      <c r="Z98" s="17"/>
      <c r="AA98" s="55"/>
      <c r="AB98" s="48">
        <f>(B98*122.58+C98*297.941+D98*89.177+E98*140.302+F98*40+G98*60+H98*0+I98*100+J98*300)/(122.58+297.941+89.177+140.302+0+40+60+100+300)</f>
        <v>6.673197569913043</v>
      </c>
      <c r="AC98" s="45">
        <f>(M98*'RAP TEMPLATE-GAS AVAILABILITY'!O97+N98*'RAP TEMPLATE-GAS AVAILABILITY'!P97+O98*'RAP TEMPLATE-GAS AVAILABILITY'!Q97+P98*'RAP TEMPLATE-GAS AVAILABILITY'!R97)/('RAP TEMPLATE-GAS AVAILABILITY'!O97+'RAP TEMPLATE-GAS AVAILABILITY'!P97+'RAP TEMPLATE-GAS AVAILABILITY'!Q97+'RAP TEMPLATE-GAS AVAILABILITY'!R97)</f>
        <v>6.6623374100719417</v>
      </c>
    </row>
    <row r="99" spans="1:29" ht="15.75" x14ac:dyDescent="0.25">
      <c r="A99" s="16">
        <v>43525</v>
      </c>
      <c r="B99" s="17">
        <f>CHOOSE(CONTROL!$C$42, 6.4576, 6.4576) * CHOOSE(CONTROL!$C$21, $C$9, 100%, $E$9)</f>
        <v>6.4576000000000002</v>
      </c>
      <c r="C99" s="17">
        <f>CHOOSE(CONTROL!$C$42, 6.4627, 6.4627) * CHOOSE(CONTROL!$C$21, $C$9, 100%, $E$9)</f>
        <v>6.4626999999999999</v>
      </c>
      <c r="D99" s="17">
        <f>CHOOSE(CONTROL!$C$42, 6.5966, 6.5966) * CHOOSE(CONTROL!$C$21, $C$9, 100%, $E$9)</f>
        <v>6.5965999999999996</v>
      </c>
      <c r="E99" s="17">
        <f>CHOOSE(CONTROL!$C$42, 6.6304, 6.6304) * CHOOSE(CONTROL!$C$21, $C$9, 100%, $E$9)</f>
        <v>6.6303999999999998</v>
      </c>
      <c r="F99" s="17">
        <f>CHOOSE(CONTROL!$C$42, 6.4702, 6.4702)*CHOOSE(CONTROL!$C$21, $C$9, 100%, $E$9)</f>
        <v>6.4702000000000002</v>
      </c>
      <c r="G99" s="17">
        <f>CHOOSE(CONTROL!$C$42, 6.4869, 6.4869)*CHOOSE(CONTROL!$C$21, $C$9, 100%, $E$9)</f>
        <v>6.4869000000000003</v>
      </c>
      <c r="H99" s="17">
        <f>CHOOSE(CONTROL!$C$42, 6.6193, 6.6193) * CHOOSE(CONTROL!$C$21, $C$9, 100%, $E$9)</f>
        <v>6.6193</v>
      </c>
      <c r="I99" s="17">
        <f>CHOOSE(CONTROL!$C$42, 6.5041, 6.5041)* CHOOSE(CONTROL!$C$21, $C$9, 100%, $E$9)</f>
        <v>6.5041000000000002</v>
      </c>
      <c r="J99" s="17">
        <f>CHOOSE(CONTROL!$C$42, 6.4628, 6.4628)* CHOOSE(CONTROL!$C$21, $C$9, 100%, $E$9)</f>
        <v>6.4627999999999997</v>
      </c>
      <c r="K99" s="52">
        <f>CHOOSE(CONTROL!$C$42, 6.4981, 6.4981) * CHOOSE(CONTROL!$C$21, $C$9, 100%, $E$9)</f>
        <v>6.4981</v>
      </c>
      <c r="L99" s="17">
        <f>CHOOSE(CONTROL!$C$42, 7.2063, 7.2063) * CHOOSE(CONTROL!$C$21, $C$9, 100%, $E$9)</f>
        <v>7.2062999999999997</v>
      </c>
      <c r="M99" s="17">
        <f>CHOOSE(CONTROL!$C$42, 6.4117, 6.4117) * CHOOSE(CONTROL!$C$21, $C$9, 100%, $E$9)</f>
        <v>6.4116999999999997</v>
      </c>
      <c r="N99" s="17">
        <f>CHOOSE(CONTROL!$C$42, 6.4282, 6.4282) * CHOOSE(CONTROL!$C$21, $C$9, 100%, $E$9)</f>
        <v>6.4282000000000004</v>
      </c>
      <c r="O99" s="17">
        <f>CHOOSE(CONTROL!$C$42, 6.5667, 6.5667) * CHOOSE(CONTROL!$C$21, $C$9, 100%, $E$9)</f>
        <v>6.5667</v>
      </c>
      <c r="P99" s="17">
        <f>CHOOSE(CONTROL!$C$42, 6.4525, 6.4525) * CHOOSE(CONTROL!$C$21, $C$9, 100%, $E$9)</f>
        <v>6.4524999999999997</v>
      </c>
      <c r="Q99" s="17">
        <f>CHOOSE(CONTROL!$C$42, 7.1614, 7.1614) * CHOOSE(CONTROL!$C$21, $C$9, 100%, $E$9)</f>
        <v>7.1614000000000004</v>
      </c>
      <c r="R99" s="17">
        <f>CHOOSE(CONTROL!$C$42, 7.7663, 7.7663) * CHOOSE(CONTROL!$C$21, $C$9, 100%, $E$9)</f>
        <v>7.7663000000000002</v>
      </c>
      <c r="S99" s="17">
        <f>CHOOSE(CONTROL!$C$42, 6.2524, 6.2524) * CHOOSE(CONTROL!$C$21, $C$9, 100%, $E$9)</f>
        <v>6.2523999999999997</v>
      </c>
      <c r="T99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99" s="56">
        <f>(1000*CHOOSE(CONTROL!$C$42, 695, 695)*CHOOSE(CONTROL!$C$42, 0.5599, 0.5599)*CHOOSE(CONTROL!$C$42, 31, 31))/1000000</f>
        <v>12.063045499999998</v>
      </c>
      <c r="V99" s="56">
        <f>(1000*CHOOSE(CONTROL!$C$42, 500, 500)*CHOOSE(CONTROL!$C$42, 0.275, 0.275)*CHOOSE(CONTROL!$C$42, 31, 31))/1000000</f>
        <v>4.2625000000000002</v>
      </c>
      <c r="W99" s="56">
        <f>(1000*CHOOSE(CONTROL!$C$42, 0.0916, 0.0916)*CHOOSE(CONTROL!$C$42, 121.5, 121.5)*CHOOSE(CONTROL!$C$42, 31, 31))/1000000</f>
        <v>0.34501139999999997</v>
      </c>
      <c r="X99" s="56">
        <f>(31*0.2374*100000/1000000)</f>
        <v>0.73594000000000004</v>
      </c>
      <c r="Y99" s="56"/>
      <c r="Z99" s="17"/>
      <c r="AA99" s="55"/>
      <c r="AB99" s="48">
        <f>(B99*122.58+C99*297.941+D99*89.177+E99*140.302+F99*40+G99*60+H99*0+I99*100+J99*300)/(122.58+297.941+89.177+140.302+0+40+60+100+300)</f>
        <v>6.4981489458260864</v>
      </c>
      <c r="AC99" s="45">
        <f>(M99*'RAP TEMPLATE-GAS AVAILABILITY'!O98+N99*'RAP TEMPLATE-GAS AVAILABILITY'!P98+O99*'RAP TEMPLATE-GAS AVAILABILITY'!Q98+P99*'RAP TEMPLATE-GAS AVAILABILITY'!R98)/('RAP TEMPLATE-GAS AVAILABILITY'!O98+'RAP TEMPLATE-GAS AVAILABILITY'!P98+'RAP TEMPLATE-GAS AVAILABILITY'!Q98+'RAP TEMPLATE-GAS AVAILABILITY'!R98)</f>
        <v>6.4887719424460428</v>
      </c>
    </row>
    <row r="100" spans="1:29" ht="15.75" x14ac:dyDescent="0.25">
      <c r="A100" s="16">
        <v>43556</v>
      </c>
      <c r="B100" s="17">
        <f>CHOOSE(CONTROL!$C$42, 6.4526, 6.4526) * CHOOSE(CONTROL!$C$21, $C$9, 100%, $E$9)</f>
        <v>6.4526000000000003</v>
      </c>
      <c r="C100" s="17">
        <f>CHOOSE(CONTROL!$C$42, 6.4571, 6.4571) * CHOOSE(CONTROL!$C$21, $C$9, 100%, $E$9)</f>
        <v>6.4570999999999996</v>
      </c>
      <c r="D100" s="17">
        <f>CHOOSE(CONTROL!$C$42, 6.7201, 6.7201) * CHOOSE(CONTROL!$C$21, $C$9, 100%, $E$9)</f>
        <v>6.7201000000000004</v>
      </c>
      <c r="E100" s="17">
        <f>CHOOSE(CONTROL!$C$42, 6.7519, 6.7519) * CHOOSE(CONTROL!$C$21, $C$9, 100%, $E$9)</f>
        <v>6.7519</v>
      </c>
      <c r="F100" s="17">
        <f>CHOOSE(CONTROL!$C$42, 6.4635, 6.4635)*CHOOSE(CONTROL!$C$21, $C$9, 100%, $E$9)</f>
        <v>6.4634999999999998</v>
      </c>
      <c r="G100" s="17">
        <f>CHOOSE(CONTROL!$C$42, 6.4796, 6.4796)*CHOOSE(CONTROL!$C$21, $C$9, 100%, $E$9)</f>
        <v>6.4795999999999996</v>
      </c>
      <c r="H100" s="17">
        <f>CHOOSE(CONTROL!$C$42, 6.7413, 6.7413) * CHOOSE(CONTROL!$C$21, $C$9, 100%, $E$9)</f>
        <v>6.7412999999999998</v>
      </c>
      <c r="I100" s="17">
        <f>CHOOSE(CONTROL!$C$42, 6.4978, 6.4978)* CHOOSE(CONTROL!$C$21, $C$9, 100%, $E$9)</f>
        <v>6.4977999999999998</v>
      </c>
      <c r="J100" s="17">
        <f>CHOOSE(CONTROL!$C$42, 6.4561, 6.4561)* CHOOSE(CONTROL!$C$21, $C$9, 100%, $E$9)</f>
        <v>6.4561000000000002</v>
      </c>
      <c r="K100" s="52">
        <f>CHOOSE(CONTROL!$C$42, 6.4917, 6.4917) * CHOOSE(CONTROL!$C$21, $C$9, 100%, $E$9)</f>
        <v>6.4916999999999998</v>
      </c>
      <c r="L100" s="17">
        <f>CHOOSE(CONTROL!$C$42, 7.3283, 7.3283) * CHOOSE(CONTROL!$C$21, $C$9, 100%, $E$9)</f>
        <v>7.3282999999999996</v>
      </c>
      <c r="M100" s="17">
        <f>CHOOSE(CONTROL!$C$42, 6.405, 6.405) * CHOOSE(CONTROL!$C$21, $C$9, 100%, $E$9)</f>
        <v>6.4050000000000002</v>
      </c>
      <c r="N100" s="17">
        <f>CHOOSE(CONTROL!$C$42, 6.421, 6.421) * CHOOSE(CONTROL!$C$21, $C$9, 100%, $E$9)</f>
        <v>6.4210000000000003</v>
      </c>
      <c r="O100" s="17">
        <f>CHOOSE(CONTROL!$C$42, 6.6877, 6.6877) * CHOOSE(CONTROL!$C$21, $C$9, 100%, $E$9)</f>
        <v>6.6877000000000004</v>
      </c>
      <c r="P100" s="17">
        <f>CHOOSE(CONTROL!$C$42, 6.4462, 6.4462) * CHOOSE(CONTROL!$C$21, $C$9, 100%, $E$9)</f>
        <v>6.4462000000000002</v>
      </c>
      <c r="Q100" s="17">
        <f>CHOOSE(CONTROL!$C$42, 7.2824, 7.2824) * CHOOSE(CONTROL!$C$21, $C$9, 100%, $E$9)</f>
        <v>7.2824</v>
      </c>
      <c r="R100" s="17">
        <f>CHOOSE(CONTROL!$C$42, 7.8876, 7.8876) * CHOOSE(CONTROL!$C$21, $C$9, 100%, $E$9)</f>
        <v>7.8875999999999999</v>
      </c>
      <c r="S100" s="17">
        <f>CHOOSE(CONTROL!$C$42, 6.2468, 6.2468) * CHOOSE(CONTROL!$C$21, $C$9, 100%, $E$9)</f>
        <v>6.2468000000000004</v>
      </c>
      <c r="T100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100" s="56">
        <f>(1000*CHOOSE(CONTROL!$C$42, 695, 695)*CHOOSE(CONTROL!$C$42, 0.5599, 0.5599)*CHOOSE(CONTROL!$C$42, 30, 30))/1000000</f>
        <v>11.673914999999997</v>
      </c>
      <c r="V100" s="56">
        <f>(1000*CHOOSE(CONTROL!$C$42, 500, 500)*CHOOSE(CONTROL!$C$42, 0.275, 0.275)*CHOOSE(CONTROL!$C$42, 30, 30))/1000000</f>
        <v>4.125</v>
      </c>
      <c r="W100" s="56">
        <f>(1000*CHOOSE(CONTROL!$C$42, 0.0916, 0.0916)*CHOOSE(CONTROL!$C$42, 121.5, 121.5)*CHOOSE(CONTROL!$C$42, 30, 30))/1000000</f>
        <v>0.33388200000000001</v>
      </c>
      <c r="X100" s="56">
        <f>(30*0.1790888*145000/1000000)+(30*0.2374*100000/1000000)</f>
        <v>1.4912362799999999</v>
      </c>
      <c r="Y100" s="56"/>
      <c r="Z100" s="17"/>
      <c r="AA100" s="55"/>
      <c r="AB100" s="48">
        <f>(B100*141.293+C100*267.993+D100*115.016+E100*189.698+F100*40+G100*85+H100*0+I100*100+J100*300)/(141.293+267.993+115.016+189.698+0+40+85+100+300)</f>
        <v>6.5309295882970133</v>
      </c>
      <c r="AC100" s="45">
        <f>(M100*'RAP TEMPLATE-GAS AVAILABILITY'!O99+N100*'RAP TEMPLATE-GAS AVAILABILITY'!P99+O100*'RAP TEMPLATE-GAS AVAILABILITY'!Q99+P100*'RAP TEMPLATE-GAS AVAILABILITY'!R99)/('RAP TEMPLATE-GAS AVAILABILITY'!O99+'RAP TEMPLATE-GAS AVAILABILITY'!P99+'RAP TEMPLATE-GAS AVAILABILITY'!Q99+'RAP TEMPLATE-GAS AVAILABILITY'!R99)</f>
        <v>6.493930215827338</v>
      </c>
    </row>
    <row r="101" spans="1:29" ht="15.75" x14ac:dyDescent="0.25">
      <c r="A101" s="16">
        <v>43586</v>
      </c>
      <c r="B101" s="17">
        <f>CHOOSE(CONTROL!$C$42, 6.5241, 6.5241) * CHOOSE(CONTROL!$C$21, $C$9, 100%, $E$9)</f>
        <v>6.5240999999999998</v>
      </c>
      <c r="C101" s="17">
        <f>CHOOSE(CONTROL!$C$42, 6.5321, 6.5321) * CHOOSE(CONTROL!$C$21, $C$9, 100%, $E$9)</f>
        <v>6.5320999999999998</v>
      </c>
      <c r="D101" s="17">
        <f>CHOOSE(CONTROL!$C$42, 6.7921, 6.7921) * CHOOSE(CONTROL!$C$21, $C$9, 100%, $E$9)</f>
        <v>6.7920999999999996</v>
      </c>
      <c r="E101" s="17">
        <f>CHOOSE(CONTROL!$C$42, 6.8232, 6.8232) * CHOOSE(CONTROL!$C$21, $C$9, 100%, $E$9)</f>
        <v>6.8231999999999999</v>
      </c>
      <c r="F101" s="17">
        <f>CHOOSE(CONTROL!$C$42, 6.5338, 6.5338)*CHOOSE(CONTROL!$C$21, $C$9, 100%, $E$9)</f>
        <v>6.5338000000000003</v>
      </c>
      <c r="G101" s="17">
        <f>CHOOSE(CONTROL!$C$42, 6.5503, 6.5503)*CHOOSE(CONTROL!$C$21, $C$9, 100%, $E$9)</f>
        <v>6.5503</v>
      </c>
      <c r="H101" s="17">
        <f>CHOOSE(CONTROL!$C$42, 6.8116, 6.8116) * CHOOSE(CONTROL!$C$21, $C$9, 100%, $E$9)</f>
        <v>6.8116000000000003</v>
      </c>
      <c r="I101" s="17">
        <f>CHOOSE(CONTROL!$C$42, 6.5682, 6.5682)* CHOOSE(CONTROL!$C$21, $C$9, 100%, $E$9)</f>
        <v>6.5682</v>
      </c>
      <c r="J101" s="17">
        <f>CHOOSE(CONTROL!$C$42, 6.5264, 6.5264)* CHOOSE(CONTROL!$C$21, $C$9, 100%, $E$9)</f>
        <v>6.5263999999999998</v>
      </c>
      <c r="K101" s="52">
        <f>CHOOSE(CONTROL!$C$42, 6.5622, 6.5622) * CHOOSE(CONTROL!$C$21, $C$9, 100%, $E$9)</f>
        <v>6.5621999999999998</v>
      </c>
      <c r="L101" s="17">
        <f>CHOOSE(CONTROL!$C$42, 7.3986, 7.3986) * CHOOSE(CONTROL!$C$21, $C$9, 100%, $E$9)</f>
        <v>7.3986000000000001</v>
      </c>
      <c r="M101" s="17">
        <f>CHOOSE(CONTROL!$C$42, 6.4747, 6.4747) * CHOOSE(CONTROL!$C$21, $C$9, 100%, $E$9)</f>
        <v>6.4747000000000003</v>
      </c>
      <c r="N101" s="17">
        <f>CHOOSE(CONTROL!$C$42, 6.491, 6.491) * CHOOSE(CONTROL!$C$21, $C$9, 100%, $E$9)</f>
        <v>6.4909999999999997</v>
      </c>
      <c r="O101" s="17">
        <f>CHOOSE(CONTROL!$C$42, 6.7573, 6.7573) * CHOOSE(CONTROL!$C$21, $C$9, 100%, $E$9)</f>
        <v>6.7572999999999999</v>
      </c>
      <c r="P101" s="17">
        <f>CHOOSE(CONTROL!$C$42, 6.516, 6.516) * CHOOSE(CONTROL!$C$21, $C$9, 100%, $E$9)</f>
        <v>6.516</v>
      </c>
      <c r="Q101" s="17">
        <f>CHOOSE(CONTROL!$C$42, 7.352, 7.352) * CHOOSE(CONTROL!$C$21, $C$9, 100%, $E$9)</f>
        <v>7.3520000000000003</v>
      </c>
      <c r="R101" s="17">
        <f>CHOOSE(CONTROL!$C$42, 7.9574, 7.9574) * CHOOSE(CONTROL!$C$21, $C$9, 100%, $E$9)</f>
        <v>7.9573999999999998</v>
      </c>
      <c r="S101" s="17">
        <f>CHOOSE(CONTROL!$C$42, 6.3149, 6.3149) * CHOOSE(CONTROL!$C$21, $C$9, 100%, $E$9)</f>
        <v>6.3148999999999997</v>
      </c>
      <c r="T101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101" s="56">
        <f>(1000*CHOOSE(CONTROL!$C$42, 695, 695)*CHOOSE(CONTROL!$C$42, 0.5599, 0.5599)*CHOOSE(CONTROL!$C$42, 31, 31))/1000000</f>
        <v>12.063045499999998</v>
      </c>
      <c r="V101" s="56">
        <f>(1000*CHOOSE(CONTROL!$C$42, 500, 500)*CHOOSE(CONTROL!$C$42, 0.275, 0.275)*CHOOSE(CONTROL!$C$42, 31, 31))/1000000</f>
        <v>4.2625000000000002</v>
      </c>
      <c r="W101" s="56">
        <f>(1000*CHOOSE(CONTROL!$C$42, 0.0916, 0.0916)*CHOOSE(CONTROL!$C$42, 121.5, 121.5)*CHOOSE(CONTROL!$C$42, 31, 31))/1000000</f>
        <v>0.34501139999999997</v>
      </c>
      <c r="X101" s="56">
        <f>(31*0.1790888*145000/1000000)+(31*0.2374*100000/1000000)</f>
        <v>1.5409441560000001</v>
      </c>
      <c r="Y101" s="56"/>
      <c r="Z101" s="17"/>
      <c r="AA101" s="55"/>
      <c r="AB101" s="48">
        <f>(B101*194.205+C101*267.466+D101*133.845+E101*153.484+F101*40+G101*85+H101*0+I101*100+J101*300)/(194.205+267.466+133.845+153.484+0+40+85+100+300)</f>
        <v>6.5960248448979586</v>
      </c>
      <c r="AC101" s="45">
        <f>(M101*'RAP TEMPLATE-GAS AVAILABILITY'!O100+N101*'RAP TEMPLATE-GAS AVAILABILITY'!P100+O101*'RAP TEMPLATE-GAS AVAILABILITY'!Q100+P101*'RAP TEMPLATE-GAS AVAILABILITY'!R100)/('RAP TEMPLATE-GAS AVAILABILITY'!O100+'RAP TEMPLATE-GAS AVAILABILITY'!P100+'RAP TEMPLATE-GAS AVAILABILITY'!Q100+'RAP TEMPLATE-GAS AVAILABILITY'!R100)</f>
        <v>6.5636856115107918</v>
      </c>
    </row>
    <row r="102" spans="1:29" ht="15.75" x14ac:dyDescent="0.25">
      <c r="A102" s="16">
        <v>43617</v>
      </c>
      <c r="B102" s="17">
        <f>CHOOSE(CONTROL!$C$42, 6.7226, 6.7226) * CHOOSE(CONTROL!$C$21, $C$9, 100%, $E$9)</f>
        <v>6.7225999999999999</v>
      </c>
      <c r="C102" s="17">
        <f>CHOOSE(CONTROL!$C$42, 6.7306, 6.7306) * CHOOSE(CONTROL!$C$21, $C$9, 100%, $E$9)</f>
        <v>6.7305999999999999</v>
      </c>
      <c r="D102" s="17">
        <f>CHOOSE(CONTROL!$C$42, 6.9906, 6.9906) * CHOOSE(CONTROL!$C$21, $C$9, 100%, $E$9)</f>
        <v>6.9905999999999997</v>
      </c>
      <c r="E102" s="17">
        <f>CHOOSE(CONTROL!$C$42, 7.0217, 7.0217) * CHOOSE(CONTROL!$C$21, $C$9, 100%, $E$9)</f>
        <v>7.0217000000000001</v>
      </c>
      <c r="F102" s="17">
        <f>CHOOSE(CONTROL!$C$42, 6.7326, 6.7326)*CHOOSE(CONTROL!$C$21, $C$9, 100%, $E$9)</f>
        <v>6.7325999999999997</v>
      </c>
      <c r="G102" s="17">
        <f>CHOOSE(CONTROL!$C$42, 6.7491, 6.7491)*CHOOSE(CONTROL!$C$21, $C$9, 100%, $E$9)</f>
        <v>6.7491000000000003</v>
      </c>
      <c r="H102" s="17">
        <f>CHOOSE(CONTROL!$C$42, 7.0101, 7.0101) * CHOOSE(CONTROL!$C$21, $C$9, 100%, $E$9)</f>
        <v>7.0101000000000004</v>
      </c>
      <c r="I102" s="17">
        <f>CHOOSE(CONTROL!$C$42, 6.7673, 6.7673)* CHOOSE(CONTROL!$C$21, $C$9, 100%, $E$9)</f>
        <v>6.7672999999999996</v>
      </c>
      <c r="J102" s="17">
        <f>CHOOSE(CONTROL!$C$42, 6.7252, 6.7252)* CHOOSE(CONTROL!$C$21, $C$9, 100%, $E$9)</f>
        <v>6.7252000000000001</v>
      </c>
      <c r="K102" s="52">
        <f>CHOOSE(CONTROL!$C$42, 6.7613, 6.7613) * CHOOSE(CONTROL!$C$21, $C$9, 100%, $E$9)</f>
        <v>6.7613000000000003</v>
      </c>
      <c r="L102" s="17">
        <f>CHOOSE(CONTROL!$C$42, 7.5971, 7.5971) * CHOOSE(CONTROL!$C$21, $C$9, 100%, $E$9)</f>
        <v>7.5971000000000002</v>
      </c>
      <c r="M102" s="17">
        <f>CHOOSE(CONTROL!$C$42, 6.6717, 6.6717) * CHOOSE(CONTROL!$C$21, $C$9, 100%, $E$9)</f>
        <v>6.6717000000000004</v>
      </c>
      <c r="N102" s="17">
        <f>CHOOSE(CONTROL!$C$42, 6.6881, 6.6881) * CHOOSE(CONTROL!$C$21, $C$9, 100%, $E$9)</f>
        <v>6.6881000000000004</v>
      </c>
      <c r="O102" s="17">
        <f>CHOOSE(CONTROL!$C$42, 6.954, 6.954) * CHOOSE(CONTROL!$C$21, $C$9, 100%, $E$9)</f>
        <v>6.9539999999999997</v>
      </c>
      <c r="P102" s="17">
        <f>CHOOSE(CONTROL!$C$42, 6.7134, 6.7134) * CHOOSE(CONTROL!$C$21, $C$9, 100%, $E$9)</f>
        <v>6.7134</v>
      </c>
      <c r="Q102" s="17">
        <f>CHOOSE(CONTROL!$C$42, 7.5487, 7.5487) * CHOOSE(CONTROL!$C$21, $C$9, 100%, $E$9)</f>
        <v>7.5487000000000002</v>
      </c>
      <c r="R102" s="17">
        <f>CHOOSE(CONTROL!$C$42, 8.1546, 8.1546) * CHOOSE(CONTROL!$C$21, $C$9, 100%, $E$9)</f>
        <v>8.1546000000000003</v>
      </c>
      <c r="S102" s="17">
        <f>CHOOSE(CONTROL!$C$42, 6.5074, 6.5074) * CHOOSE(CONTROL!$C$21, $C$9, 100%, $E$9)</f>
        <v>6.5073999999999996</v>
      </c>
      <c r="T102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102" s="56">
        <f>(1000*CHOOSE(CONTROL!$C$42, 695, 695)*CHOOSE(CONTROL!$C$42, 0.5599, 0.5599)*CHOOSE(CONTROL!$C$42, 30, 30))/1000000</f>
        <v>11.673914999999997</v>
      </c>
      <c r="V102" s="56">
        <f>(1000*CHOOSE(CONTROL!$C$42, 500, 500)*CHOOSE(CONTROL!$C$42, 0.275, 0.275)*CHOOSE(CONTROL!$C$42, 30, 30))/1000000</f>
        <v>4.125</v>
      </c>
      <c r="W102" s="56">
        <f>(1000*CHOOSE(CONTROL!$C$42, 0.0916, 0.0916)*CHOOSE(CONTROL!$C$42, 121.5, 121.5)*CHOOSE(CONTROL!$C$42, 30, 30))/1000000</f>
        <v>0.33388200000000001</v>
      </c>
      <c r="X102" s="56">
        <f>(30*0.1790888*145000/1000000)+(30*0.2374*100000/1000000)</f>
        <v>1.4912362799999999</v>
      </c>
      <c r="Y102" s="56"/>
      <c r="Z102" s="17"/>
      <c r="AA102" s="55"/>
      <c r="AB102" s="48">
        <f>(B102*194.205+C102*267.466+D102*133.845+E102*153.484+F102*40+G102*85+H102*0+I102*100+J102*300)/(194.205+267.466+133.845+153.484+0+40+85+100+300)</f>
        <v>6.7946720191522765</v>
      </c>
      <c r="AC102" s="45">
        <f>(M102*'RAP TEMPLATE-GAS AVAILABILITY'!O101+N102*'RAP TEMPLATE-GAS AVAILABILITY'!P101+O102*'RAP TEMPLATE-GAS AVAILABILITY'!Q101+P102*'RAP TEMPLATE-GAS AVAILABILITY'!R101)/('RAP TEMPLATE-GAS AVAILABILITY'!O101+'RAP TEMPLATE-GAS AVAILABILITY'!P101+'RAP TEMPLATE-GAS AVAILABILITY'!Q101+'RAP TEMPLATE-GAS AVAILABILITY'!R101)</f>
        <v>6.7606820143884896</v>
      </c>
    </row>
    <row r="103" spans="1:29" ht="15.75" x14ac:dyDescent="0.25">
      <c r="A103" s="16">
        <v>43647</v>
      </c>
      <c r="B103" s="17">
        <f>CHOOSE(CONTROL!$C$42, 6.6075, 6.6075) * CHOOSE(CONTROL!$C$21, $C$9, 100%, $E$9)</f>
        <v>6.6074999999999999</v>
      </c>
      <c r="C103" s="17">
        <f>CHOOSE(CONTROL!$C$42, 6.6155, 6.6155) * CHOOSE(CONTROL!$C$21, $C$9, 100%, $E$9)</f>
        <v>6.6154999999999999</v>
      </c>
      <c r="D103" s="17">
        <f>CHOOSE(CONTROL!$C$42, 6.8754, 6.8754) * CHOOSE(CONTROL!$C$21, $C$9, 100%, $E$9)</f>
        <v>6.8754</v>
      </c>
      <c r="E103" s="17">
        <f>CHOOSE(CONTROL!$C$42, 6.9066, 6.9066) * CHOOSE(CONTROL!$C$21, $C$9, 100%, $E$9)</f>
        <v>6.9066000000000001</v>
      </c>
      <c r="F103" s="17">
        <f>CHOOSE(CONTROL!$C$42, 6.6179, 6.6179)*CHOOSE(CONTROL!$C$21, $C$9, 100%, $E$9)</f>
        <v>6.6178999999999997</v>
      </c>
      <c r="G103" s="17">
        <f>CHOOSE(CONTROL!$C$42, 6.6345, 6.6345)*CHOOSE(CONTROL!$C$21, $C$9, 100%, $E$9)</f>
        <v>6.6345000000000001</v>
      </c>
      <c r="H103" s="17">
        <f>CHOOSE(CONTROL!$C$42, 6.8949, 6.8949) * CHOOSE(CONTROL!$C$21, $C$9, 100%, $E$9)</f>
        <v>6.8948999999999998</v>
      </c>
      <c r="I103" s="17">
        <f>CHOOSE(CONTROL!$C$42, 6.6518, 6.6518)* CHOOSE(CONTROL!$C$21, $C$9, 100%, $E$9)</f>
        <v>6.6517999999999997</v>
      </c>
      <c r="J103" s="17">
        <f>CHOOSE(CONTROL!$C$42, 6.6105, 6.6105)* CHOOSE(CONTROL!$C$21, $C$9, 100%, $E$9)</f>
        <v>6.6105</v>
      </c>
      <c r="K103" s="52">
        <f>CHOOSE(CONTROL!$C$42, 6.6458, 6.6458) * CHOOSE(CONTROL!$C$21, $C$9, 100%, $E$9)</f>
        <v>6.6458000000000004</v>
      </c>
      <c r="L103" s="17">
        <f>CHOOSE(CONTROL!$C$42, 7.4819, 7.4819) * CHOOSE(CONTROL!$C$21, $C$9, 100%, $E$9)</f>
        <v>7.4819000000000004</v>
      </c>
      <c r="M103" s="17">
        <f>CHOOSE(CONTROL!$C$42, 6.558, 6.558) * CHOOSE(CONTROL!$C$21, $C$9, 100%, $E$9)</f>
        <v>6.5579999999999998</v>
      </c>
      <c r="N103" s="17">
        <f>CHOOSE(CONTROL!$C$42, 6.5745, 6.5745) * CHOOSE(CONTROL!$C$21, $C$9, 100%, $E$9)</f>
        <v>6.5744999999999996</v>
      </c>
      <c r="O103" s="17">
        <f>CHOOSE(CONTROL!$C$42, 6.8399, 6.8399) * CHOOSE(CONTROL!$C$21, $C$9, 100%, $E$9)</f>
        <v>6.8399000000000001</v>
      </c>
      <c r="P103" s="17">
        <f>CHOOSE(CONTROL!$C$42, 6.5989, 6.5989) * CHOOSE(CONTROL!$C$21, $C$9, 100%, $E$9)</f>
        <v>6.5989000000000004</v>
      </c>
      <c r="Q103" s="17">
        <f>CHOOSE(CONTROL!$C$42, 7.4346, 7.4346) * CHOOSE(CONTROL!$C$21, $C$9, 100%, $E$9)</f>
        <v>7.4345999999999997</v>
      </c>
      <c r="R103" s="17">
        <f>CHOOSE(CONTROL!$C$42, 8.0402, 8.0402) * CHOOSE(CONTROL!$C$21, $C$9, 100%, $E$9)</f>
        <v>8.0402000000000005</v>
      </c>
      <c r="S103" s="17">
        <f>CHOOSE(CONTROL!$C$42, 6.3957, 6.3957) * CHOOSE(CONTROL!$C$21, $C$9, 100%, $E$9)</f>
        <v>6.3956999999999997</v>
      </c>
      <c r="T103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103" s="56">
        <f>(1000*CHOOSE(CONTROL!$C$42, 695, 695)*CHOOSE(CONTROL!$C$42, 0.5599, 0.5599)*CHOOSE(CONTROL!$C$42, 31, 31))/1000000</f>
        <v>12.063045499999998</v>
      </c>
      <c r="V103" s="56">
        <f>(1000*CHOOSE(CONTROL!$C$42, 500, 500)*CHOOSE(CONTROL!$C$42, 0.275, 0.275)*CHOOSE(CONTROL!$C$42, 31, 31))/1000000</f>
        <v>4.2625000000000002</v>
      </c>
      <c r="W103" s="56">
        <f>(1000*CHOOSE(CONTROL!$C$42, 0.0916, 0.0916)*CHOOSE(CONTROL!$C$42, 121.5, 121.5)*CHOOSE(CONTROL!$C$42, 31, 31))/1000000</f>
        <v>0.34501139999999997</v>
      </c>
      <c r="X103" s="56">
        <f>(31*0.1790888*145000/1000000)+(31*0.2374*100000/1000000)</f>
        <v>1.5409441560000001</v>
      </c>
      <c r="Y103" s="56"/>
      <c r="Z103" s="17"/>
      <c r="AA103" s="55"/>
      <c r="AB103" s="48">
        <f>(B103*194.205+C103*267.466+D103*133.845+E103*153.484+F103*40+G103*85+H103*0+I103*100+J103*300)/(194.205+267.466+133.845+153.484+0+40+85+100+300)</f>
        <v>6.6796702259811624</v>
      </c>
      <c r="AC103" s="45">
        <f>(M103*'RAP TEMPLATE-GAS AVAILABILITY'!O102+N103*'RAP TEMPLATE-GAS AVAILABILITY'!P102+O103*'RAP TEMPLATE-GAS AVAILABILITY'!Q102+P103*'RAP TEMPLATE-GAS AVAILABILITY'!R102)/('RAP TEMPLATE-GAS AVAILABILITY'!O102+'RAP TEMPLATE-GAS AVAILABILITY'!P102+'RAP TEMPLATE-GAS AVAILABILITY'!Q102+'RAP TEMPLATE-GAS AVAILABILITY'!R102)</f>
        <v>6.6467776978417268</v>
      </c>
    </row>
    <row r="104" spans="1:29" ht="15.75" x14ac:dyDescent="0.25">
      <c r="A104" s="16">
        <v>43678</v>
      </c>
      <c r="B104" s="17">
        <f>CHOOSE(CONTROL!$C$42, 6.2946, 6.2946) * CHOOSE(CONTROL!$C$21, $C$9, 100%, $E$9)</f>
        <v>6.2946</v>
      </c>
      <c r="C104" s="17">
        <f>CHOOSE(CONTROL!$C$42, 6.3026, 6.3026) * CHOOSE(CONTROL!$C$21, $C$9, 100%, $E$9)</f>
        <v>6.3026</v>
      </c>
      <c r="D104" s="17">
        <f>CHOOSE(CONTROL!$C$42, 6.5626, 6.5626) * CHOOSE(CONTROL!$C$21, $C$9, 100%, $E$9)</f>
        <v>6.5625999999999998</v>
      </c>
      <c r="E104" s="17">
        <f>CHOOSE(CONTROL!$C$42, 6.5937, 6.5937) * CHOOSE(CONTROL!$C$21, $C$9, 100%, $E$9)</f>
        <v>6.5937000000000001</v>
      </c>
      <c r="F104" s="17">
        <f>CHOOSE(CONTROL!$C$42, 6.3053, 6.3053)*CHOOSE(CONTROL!$C$21, $C$9, 100%, $E$9)</f>
        <v>6.3052999999999999</v>
      </c>
      <c r="G104" s="17">
        <f>CHOOSE(CONTROL!$C$42, 6.322, 6.322)*CHOOSE(CONTROL!$C$21, $C$9, 100%, $E$9)</f>
        <v>6.3220000000000001</v>
      </c>
      <c r="H104" s="17">
        <f>CHOOSE(CONTROL!$C$42, 6.5821, 6.5821) * CHOOSE(CONTROL!$C$21, $C$9, 100%, $E$9)</f>
        <v>6.5820999999999996</v>
      </c>
      <c r="I104" s="17">
        <f>CHOOSE(CONTROL!$C$42, 6.338, 6.338)* CHOOSE(CONTROL!$C$21, $C$9, 100%, $E$9)</f>
        <v>6.3380000000000001</v>
      </c>
      <c r="J104" s="17">
        <f>CHOOSE(CONTROL!$C$42, 6.2979, 6.2979)* CHOOSE(CONTROL!$C$21, $C$9, 100%, $E$9)</f>
        <v>6.2979000000000003</v>
      </c>
      <c r="K104" s="52">
        <f>CHOOSE(CONTROL!$C$42, 6.332, 6.332) * CHOOSE(CONTROL!$C$21, $C$9, 100%, $E$9)</f>
        <v>6.3319999999999999</v>
      </c>
      <c r="L104" s="17">
        <f>CHOOSE(CONTROL!$C$42, 7.1691, 7.1691) * CHOOSE(CONTROL!$C$21, $C$9, 100%, $E$9)</f>
        <v>7.1691000000000003</v>
      </c>
      <c r="M104" s="17">
        <f>CHOOSE(CONTROL!$C$42, 6.2482, 6.2482) * CHOOSE(CONTROL!$C$21, $C$9, 100%, $E$9)</f>
        <v>6.2481999999999998</v>
      </c>
      <c r="N104" s="17">
        <f>CHOOSE(CONTROL!$C$42, 6.2648, 6.2648) * CHOOSE(CONTROL!$C$21, $C$9, 100%, $E$9)</f>
        <v>6.2648000000000001</v>
      </c>
      <c r="O104" s="17">
        <f>CHOOSE(CONTROL!$C$42, 6.5299, 6.5299) * CHOOSE(CONTROL!$C$21, $C$9, 100%, $E$9)</f>
        <v>6.5298999999999996</v>
      </c>
      <c r="P104" s="17">
        <f>CHOOSE(CONTROL!$C$42, 6.2879, 6.2879) * CHOOSE(CONTROL!$C$21, $C$9, 100%, $E$9)</f>
        <v>6.2878999999999996</v>
      </c>
      <c r="Q104" s="17">
        <f>CHOOSE(CONTROL!$C$42, 7.1246, 7.1246) * CHOOSE(CONTROL!$C$21, $C$9, 100%, $E$9)</f>
        <v>7.1246</v>
      </c>
      <c r="R104" s="17">
        <f>CHOOSE(CONTROL!$C$42, 7.7294, 7.7294) * CHOOSE(CONTROL!$C$21, $C$9, 100%, $E$9)</f>
        <v>7.7294</v>
      </c>
      <c r="S104" s="17">
        <f>CHOOSE(CONTROL!$C$42, 6.0923, 6.0923) * CHOOSE(CONTROL!$C$21, $C$9, 100%, $E$9)</f>
        <v>6.0922999999999998</v>
      </c>
      <c r="T104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104" s="56">
        <f>(1000*CHOOSE(CONTROL!$C$42, 695, 695)*CHOOSE(CONTROL!$C$42, 0.5599, 0.5599)*CHOOSE(CONTROL!$C$42, 31, 31))/1000000</f>
        <v>12.063045499999998</v>
      </c>
      <c r="V104" s="56">
        <f>(1000*CHOOSE(CONTROL!$C$42, 500, 500)*CHOOSE(CONTROL!$C$42, 0.275, 0.275)*CHOOSE(CONTROL!$C$42, 31, 31))/1000000</f>
        <v>4.2625000000000002</v>
      </c>
      <c r="W104" s="56">
        <f>(1000*CHOOSE(CONTROL!$C$42, 0.0916, 0.0916)*CHOOSE(CONTROL!$C$42, 121.5, 121.5)*CHOOSE(CONTROL!$C$42, 31, 31))/1000000</f>
        <v>0.34501139999999997</v>
      </c>
      <c r="X104" s="56">
        <f>(31*0.1790888*145000/1000000)+(31*0.2374*100000/1000000)</f>
        <v>1.5409441560000001</v>
      </c>
      <c r="Y104" s="56"/>
      <c r="Z104" s="17"/>
      <c r="AA104" s="55"/>
      <c r="AB104" s="48">
        <f>(B104*194.205+C104*267.466+D104*133.845+E104*153.484+F104*40+G104*85+H104*0+I104*100+J104*300)/(194.205+267.466+133.845+153.484+0+40+85+100+300)</f>
        <v>6.366816838618524</v>
      </c>
      <c r="AC104" s="45">
        <f>(M104*'RAP TEMPLATE-GAS AVAILABILITY'!O103+N104*'RAP TEMPLATE-GAS AVAILABILITY'!P103+O104*'RAP TEMPLATE-GAS AVAILABILITY'!Q103+P104*'RAP TEMPLATE-GAS AVAILABILITY'!R103)/('RAP TEMPLATE-GAS AVAILABILITY'!O103+'RAP TEMPLATE-GAS AVAILABILITY'!P103+'RAP TEMPLATE-GAS AVAILABILITY'!Q103+'RAP TEMPLATE-GAS AVAILABILITY'!R103)</f>
        <v>6.3367719424460436</v>
      </c>
    </row>
    <row r="105" spans="1:29" ht="15.75" x14ac:dyDescent="0.25">
      <c r="A105" s="16">
        <v>43709</v>
      </c>
      <c r="B105" s="17">
        <f>CHOOSE(CONTROL!$C$42, 5.9077, 5.9077) * CHOOSE(CONTROL!$C$21, $C$9, 100%, $E$9)</f>
        <v>5.9077000000000002</v>
      </c>
      <c r="C105" s="17">
        <f>CHOOSE(CONTROL!$C$42, 5.9157, 5.9157) * CHOOSE(CONTROL!$C$21, $C$9, 100%, $E$9)</f>
        <v>5.9157000000000002</v>
      </c>
      <c r="D105" s="17">
        <f>CHOOSE(CONTROL!$C$42, 6.1756, 6.1756) * CHOOSE(CONTROL!$C$21, $C$9, 100%, $E$9)</f>
        <v>6.1756000000000002</v>
      </c>
      <c r="E105" s="17">
        <f>CHOOSE(CONTROL!$C$42, 6.2068, 6.2068) * CHOOSE(CONTROL!$C$21, $C$9, 100%, $E$9)</f>
        <v>6.2068000000000003</v>
      </c>
      <c r="F105" s="17">
        <f>CHOOSE(CONTROL!$C$42, 5.9183, 5.9183)*CHOOSE(CONTROL!$C$21, $C$9, 100%, $E$9)</f>
        <v>5.9183000000000003</v>
      </c>
      <c r="G105" s="17">
        <f>CHOOSE(CONTROL!$C$42, 5.935, 5.935)*CHOOSE(CONTROL!$C$21, $C$9, 100%, $E$9)</f>
        <v>5.9349999999999996</v>
      </c>
      <c r="H105" s="17">
        <f>CHOOSE(CONTROL!$C$42, 6.1951, 6.1951) * CHOOSE(CONTROL!$C$21, $C$9, 100%, $E$9)</f>
        <v>6.1951000000000001</v>
      </c>
      <c r="I105" s="17">
        <f>CHOOSE(CONTROL!$C$42, 5.9499, 5.9499)* CHOOSE(CONTROL!$C$21, $C$9, 100%, $E$9)</f>
        <v>5.9499000000000004</v>
      </c>
      <c r="J105" s="17">
        <f>CHOOSE(CONTROL!$C$42, 5.9109, 5.9109)* CHOOSE(CONTROL!$C$21, $C$9, 100%, $E$9)</f>
        <v>5.9108999999999998</v>
      </c>
      <c r="K105" s="52">
        <f>CHOOSE(CONTROL!$C$42, 5.9438, 5.9438) * CHOOSE(CONTROL!$C$21, $C$9, 100%, $E$9)</f>
        <v>5.9438000000000004</v>
      </c>
      <c r="L105" s="17">
        <f>CHOOSE(CONTROL!$C$42, 6.7821, 6.7821) * CHOOSE(CONTROL!$C$21, $C$9, 100%, $E$9)</f>
        <v>6.7820999999999998</v>
      </c>
      <c r="M105" s="17">
        <f>CHOOSE(CONTROL!$C$42, 5.8648, 5.8648) * CHOOSE(CONTROL!$C$21, $C$9, 100%, $E$9)</f>
        <v>5.8647999999999998</v>
      </c>
      <c r="N105" s="17">
        <f>CHOOSE(CONTROL!$C$42, 5.8813, 5.8813) * CHOOSE(CONTROL!$C$21, $C$9, 100%, $E$9)</f>
        <v>5.8813000000000004</v>
      </c>
      <c r="O105" s="17">
        <f>CHOOSE(CONTROL!$C$42, 6.1464, 6.1464) * CHOOSE(CONTROL!$C$21, $C$9, 100%, $E$9)</f>
        <v>6.1463999999999999</v>
      </c>
      <c r="P105" s="17">
        <f>CHOOSE(CONTROL!$C$42, 5.9032, 5.9032) * CHOOSE(CONTROL!$C$21, $C$9, 100%, $E$9)</f>
        <v>5.9032</v>
      </c>
      <c r="Q105" s="17">
        <f>CHOOSE(CONTROL!$C$42, 6.7411, 6.7411) * CHOOSE(CONTROL!$C$21, $C$9, 100%, $E$9)</f>
        <v>6.7411000000000003</v>
      </c>
      <c r="R105" s="17">
        <f>CHOOSE(CONTROL!$C$42, 7.3449, 7.3449) * CHOOSE(CONTROL!$C$21, $C$9, 100%, $E$9)</f>
        <v>7.3449</v>
      </c>
      <c r="S105" s="17">
        <f>CHOOSE(CONTROL!$C$42, 5.7171, 5.7171) * CHOOSE(CONTROL!$C$21, $C$9, 100%, $E$9)</f>
        <v>5.7171000000000003</v>
      </c>
      <c r="T105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105" s="56">
        <f>(1000*CHOOSE(CONTROL!$C$42, 695, 695)*CHOOSE(CONTROL!$C$42, 0.5599, 0.5599)*CHOOSE(CONTROL!$C$42, 30, 30))/1000000</f>
        <v>11.673914999999997</v>
      </c>
      <c r="V105" s="56">
        <f>(1000*CHOOSE(CONTROL!$C$42, 500, 500)*CHOOSE(CONTROL!$C$42, 0.275, 0.275)*CHOOSE(CONTROL!$C$42, 30, 30))/1000000</f>
        <v>4.125</v>
      </c>
      <c r="W105" s="56">
        <f>(1000*CHOOSE(CONTROL!$C$42, 0.0916, 0.0916)*CHOOSE(CONTROL!$C$42, 121.5, 121.5)*CHOOSE(CONTROL!$C$42, 30, 30))/1000000</f>
        <v>0.33388200000000001</v>
      </c>
      <c r="X105" s="56">
        <f>(30*0.1790888*145000/1000000)+(30*0.2374*100000/1000000)</f>
        <v>1.4912362799999999</v>
      </c>
      <c r="Y105" s="56"/>
      <c r="Z105" s="17"/>
      <c r="AA105" s="55"/>
      <c r="AB105" s="48">
        <f>(B105*194.205+C105*267.466+D105*133.845+E105*153.484+F105*40+G105*85+H105*0+I105*100+J105*300)/(194.205+267.466+133.845+153.484+0+40+85+100+300)</f>
        <v>5.979778781711147</v>
      </c>
      <c r="AC105" s="45">
        <f>(M105*'RAP TEMPLATE-GAS AVAILABILITY'!O104+N105*'RAP TEMPLATE-GAS AVAILABILITY'!P104+O105*'RAP TEMPLATE-GAS AVAILABILITY'!Q104+P105*'RAP TEMPLATE-GAS AVAILABILITY'!R104)/('RAP TEMPLATE-GAS AVAILABILITY'!O104+'RAP TEMPLATE-GAS AVAILABILITY'!P104+'RAP TEMPLATE-GAS AVAILABILITY'!Q104+'RAP TEMPLATE-GAS AVAILABILITY'!R104)</f>
        <v>5.9531338129496403</v>
      </c>
    </row>
    <row r="106" spans="1:29" ht="15.75" x14ac:dyDescent="0.25">
      <c r="A106" s="16">
        <v>43739</v>
      </c>
      <c r="B106" s="17">
        <f>CHOOSE(CONTROL!$C$42, 5.7982, 5.7982) * CHOOSE(CONTROL!$C$21, $C$9, 100%, $E$9)</f>
        <v>5.7981999999999996</v>
      </c>
      <c r="C106" s="17">
        <f>CHOOSE(CONTROL!$C$42, 5.8035, 5.8035) * CHOOSE(CONTROL!$C$21, $C$9, 100%, $E$9)</f>
        <v>5.8034999999999997</v>
      </c>
      <c r="D106" s="17">
        <f>CHOOSE(CONTROL!$C$42, 6.0683, 6.0683) * CHOOSE(CONTROL!$C$21, $C$9, 100%, $E$9)</f>
        <v>6.0682999999999998</v>
      </c>
      <c r="E106" s="17">
        <f>CHOOSE(CONTROL!$C$42, 6.0972, 6.0972) * CHOOSE(CONTROL!$C$21, $C$9, 100%, $E$9)</f>
        <v>6.0972</v>
      </c>
      <c r="F106" s="17">
        <f>CHOOSE(CONTROL!$C$42, 5.811, 5.811)*CHOOSE(CONTROL!$C$21, $C$9, 100%, $E$9)</f>
        <v>5.8109999999999999</v>
      </c>
      <c r="G106" s="17">
        <f>CHOOSE(CONTROL!$C$42, 5.8276, 5.8276)*CHOOSE(CONTROL!$C$21, $C$9, 100%, $E$9)</f>
        <v>5.8276000000000003</v>
      </c>
      <c r="H106" s="17">
        <f>CHOOSE(CONTROL!$C$42, 6.0873, 6.0873) * CHOOSE(CONTROL!$C$21, $C$9, 100%, $E$9)</f>
        <v>6.0872999999999999</v>
      </c>
      <c r="I106" s="17">
        <f>CHOOSE(CONTROL!$C$42, 5.8417, 5.8417)* CHOOSE(CONTROL!$C$21, $C$9, 100%, $E$9)</f>
        <v>5.8417000000000003</v>
      </c>
      <c r="J106" s="17">
        <f>CHOOSE(CONTROL!$C$42, 5.8036, 5.8036)* CHOOSE(CONTROL!$C$21, $C$9, 100%, $E$9)</f>
        <v>5.8036000000000003</v>
      </c>
      <c r="K106" s="52">
        <f>CHOOSE(CONTROL!$C$42, 5.8357, 5.8357) * CHOOSE(CONTROL!$C$21, $C$9, 100%, $E$9)</f>
        <v>5.8357000000000001</v>
      </c>
      <c r="L106" s="17">
        <f>CHOOSE(CONTROL!$C$42, 6.6743, 6.6743) * CHOOSE(CONTROL!$C$21, $C$9, 100%, $E$9)</f>
        <v>6.6742999999999997</v>
      </c>
      <c r="M106" s="17">
        <f>CHOOSE(CONTROL!$C$42, 5.7584, 5.7584) * CHOOSE(CONTROL!$C$21, $C$9, 100%, $E$9)</f>
        <v>5.7584</v>
      </c>
      <c r="N106" s="17">
        <f>CHOOSE(CONTROL!$C$42, 5.7748, 5.7748) * CHOOSE(CONTROL!$C$21, $C$9, 100%, $E$9)</f>
        <v>5.7747999999999999</v>
      </c>
      <c r="O106" s="17">
        <f>CHOOSE(CONTROL!$C$42, 6.0396, 6.0396) * CHOOSE(CONTROL!$C$21, $C$9, 100%, $E$9)</f>
        <v>6.0396000000000001</v>
      </c>
      <c r="P106" s="17">
        <f>CHOOSE(CONTROL!$C$42, 5.7961, 5.7961) * CHOOSE(CONTROL!$C$21, $C$9, 100%, $E$9)</f>
        <v>5.7961</v>
      </c>
      <c r="Q106" s="17">
        <f>CHOOSE(CONTROL!$C$42, 6.6343, 6.6343) * CHOOSE(CONTROL!$C$21, $C$9, 100%, $E$9)</f>
        <v>6.6342999999999996</v>
      </c>
      <c r="R106" s="17">
        <f>CHOOSE(CONTROL!$C$42, 7.2378, 7.2378) * CHOOSE(CONTROL!$C$21, $C$9, 100%, $E$9)</f>
        <v>7.2378</v>
      </c>
      <c r="S106" s="17">
        <f>CHOOSE(CONTROL!$C$42, 5.6126, 5.6126) * CHOOSE(CONTROL!$C$21, $C$9, 100%, $E$9)</f>
        <v>5.6125999999999996</v>
      </c>
      <c r="T106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106" s="56">
        <f>(1000*CHOOSE(CONTROL!$C$42, 695, 695)*CHOOSE(CONTROL!$C$42, 0.5599, 0.5599)*CHOOSE(CONTROL!$C$42, 31, 31))/1000000</f>
        <v>12.063045499999998</v>
      </c>
      <c r="V106" s="56">
        <f>(1000*CHOOSE(CONTROL!$C$42, 500, 500)*CHOOSE(CONTROL!$C$42, 0.275, 0.275)*CHOOSE(CONTROL!$C$42, 31, 31))/1000000</f>
        <v>4.2625000000000002</v>
      </c>
      <c r="W106" s="56">
        <f>(1000*CHOOSE(CONTROL!$C$42, 0.0916, 0.0916)*CHOOSE(CONTROL!$C$42, 121.5, 121.5)*CHOOSE(CONTROL!$C$42, 31, 31))/1000000</f>
        <v>0.34501139999999997</v>
      </c>
      <c r="X106" s="56">
        <f>(31*0.1790888*145000/1000000)+(31*0.2374*100000/1000000)</f>
        <v>1.5409441560000001</v>
      </c>
      <c r="Y106" s="56"/>
      <c r="Z106" s="17"/>
      <c r="AA106" s="55"/>
      <c r="AB106" s="48">
        <f>(B106*131.881+C106*277.167+D106*79.08+E106*225.872+F106*40+G106*85+H106*0+I106*100+J106*300)/(131.881+277.167+79.08+225.872+0+40+85+100+300)</f>
        <v>5.8783817765133168</v>
      </c>
      <c r="AC106" s="45">
        <f>(M106*'RAP TEMPLATE-GAS AVAILABILITY'!O105+N106*'RAP TEMPLATE-GAS AVAILABILITY'!P105+O106*'RAP TEMPLATE-GAS AVAILABILITY'!Q105+P106*'RAP TEMPLATE-GAS AVAILABILITY'!R105)/('RAP TEMPLATE-GAS AVAILABILITY'!O105+'RAP TEMPLATE-GAS AVAILABILITY'!P105+'RAP TEMPLATE-GAS AVAILABILITY'!Q105+'RAP TEMPLATE-GAS AVAILABILITY'!R105)</f>
        <v>5.8464978417266193</v>
      </c>
    </row>
    <row r="107" spans="1:29" ht="15.75" x14ac:dyDescent="0.25">
      <c r="A107" s="16">
        <v>43770</v>
      </c>
      <c r="B107" s="17">
        <f>CHOOSE(CONTROL!$C$42, 5.9624, 5.9624) * CHOOSE(CONTROL!$C$21, $C$9, 100%, $E$9)</f>
        <v>5.9623999999999997</v>
      </c>
      <c r="C107" s="17">
        <f>CHOOSE(CONTROL!$C$42, 5.9675, 5.9675) * CHOOSE(CONTROL!$C$21, $C$9, 100%, $E$9)</f>
        <v>5.9675000000000002</v>
      </c>
      <c r="D107" s="17">
        <f>CHOOSE(CONTROL!$C$42, 6.1082, 6.1082) * CHOOSE(CONTROL!$C$21, $C$9, 100%, $E$9)</f>
        <v>6.1082000000000001</v>
      </c>
      <c r="E107" s="17">
        <f>CHOOSE(CONTROL!$C$42, 6.142, 6.142) * CHOOSE(CONTROL!$C$21, $C$9, 100%, $E$9)</f>
        <v>6.1420000000000003</v>
      </c>
      <c r="F107" s="17">
        <f>CHOOSE(CONTROL!$C$42, 5.9757, 5.9757)*CHOOSE(CONTROL!$C$21, $C$9, 100%, $E$9)</f>
        <v>5.9756999999999998</v>
      </c>
      <c r="G107" s="17">
        <f>CHOOSE(CONTROL!$C$42, 5.9926, 5.9926)*CHOOSE(CONTROL!$C$21, $C$9, 100%, $E$9)</f>
        <v>5.9926000000000004</v>
      </c>
      <c r="H107" s="17">
        <f>CHOOSE(CONTROL!$C$42, 6.1308, 6.1308) * CHOOSE(CONTROL!$C$21, $C$9, 100%, $E$9)</f>
        <v>6.1307999999999998</v>
      </c>
      <c r="I107" s="17">
        <f>CHOOSE(CONTROL!$C$42, 6.0033, 6.0033)* CHOOSE(CONTROL!$C$21, $C$9, 100%, $E$9)</f>
        <v>6.0033000000000003</v>
      </c>
      <c r="J107" s="17">
        <f>CHOOSE(CONTROL!$C$42, 5.9683, 5.9683)* CHOOSE(CONTROL!$C$21, $C$9, 100%, $E$9)</f>
        <v>5.9683000000000002</v>
      </c>
      <c r="K107" s="52">
        <f>CHOOSE(CONTROL!$C$42, 5.9973, 5.9973) * CHOOSE(CONTROL!$C$21, $C$9, 100%, $E$9)</f>
        <v>5.9973000000000001</v>
      </c>
      <c r="L107" s="17">
        <f>CHOOSE(CONTROL!$C$42, 6.7178, 6.7178) * CHOOSE(CONTROL!$C$21, $C$9, 100%, $E$9)</f>
        <v>6.7178000000000004</v>
      </c>
      <c r="M107" s="17">
        <f>CHOOSE(CONTROL!$C$42, 5.9217, 5.9217) * CHOOSE(CONTROL!$C$21, $C$9, 100%, $E$9)</f>
        <v>5.9217000000000004</v>
      </c>
      <c r="N107" s="17">
        <f>CHOOSE(CONTROL!$C$42, 5.9384, 5.9384) * CHOOSE(CONTROL!$C$21, $C$9, 100%, $E$9)</f>
        <v>5.9383999999999997</v>
      </c>
      <c r="O107" s="17">
        <f>CHOOSE(CONTROL!$C$42, 6.0827, 6.0827) * CHOOSE(CONTROL!$C$21, $C$9, 100%, $E$9)</f>
        <v>6.0827</v>
      </c>
      <c r="P107" s="17">
        <f>CHOOSE(CONTROL!$C$42, 5.9562, 5.9562) * CHOOSE(CONTROL!$C$21, $C$9, 100%, $E$9)</f>
        <v>5.9561999999999999</v>
      </c>
      <c r="Q107" s="17">
        <f>CHOOSE(CONTROL!$C$42, 6.6774, 6.6774) * CHOOSE(CONTROL!$C$21, $C$9, 100%, $E$9)</f>
        <v>6.6773999999999996</v>
      </c>
      <c r="R107" s="17">
        <f>CHOOSE(CONTROL!$C$42, 7.2811, 7.2811) * CHOOSE(CONTROL!$C$21, $C$9, 100%, $E$9)</f>
        <v>7.2811000000000003</v>
      </c>
      <c r="S107" s="17">
        <f>CHOOSE(CONTROL!$C$42, 5.7723, 5.7723) * CHOOSE(CONTROL!$C$21, $C$9, 100%, $E$9)</f>
        <v>5.7723000000000004</v>
      </c>
      <c r="T107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107" s="56">
        <f>(1000*CHOOSE(CONTROL!$C$42, 695, 695)*CHOOSE(CONTROL!$C$42, 0.5599, 0.5599)*CHOOSE(CONTROL!$C$42, 30, 30))/1000000</f>
        <v>11.673914999999997</v>
      </c>
      <c r="V107" s="56">
        <f>(1000*CHOOSE(CONTROL!$C$42, 500, 500)*CHOOSE(CONTROL!$C$42, 0.275, 0.275)*CHOOSE(CONTROL!$C$42, 30, 30))/1000000</f>
        <v>4.125</v>
      </c>
      <c r="W107" s="56">
        <f>(1000*CHOOSE(CONTROL!$C$42, 0.0916, 0.0916)*CHOOSE(CONTROL!$C$42, 121.5, 121.5)*CHOOSE(CONTROL!$C$42, 30, 30))/1000000</f>
        <v>0.33388200000000001</v>
      </c>
      <c r="X107" s="56">
        <f>(30*0.2374*100000/1000000)</f>
        <v>0.71220000000000006</v>
      </c>
      <c r="Y107" s="56"/>
      <c r="Z107" s="17"/>
      <c r="AA107" s="55"/>
      <c r="AB107" s="48">
        <f>(B107*122.58+C107*297.941+D107*89.177+E107*140.302+F107*40+G107*60+H107*0+I107*100+J107*300)/(122.58+297.941+89.177+140.302+0+40+60+100+300)</f>
        <v>6.0040728216521737</v>
      </c>
      <c r="AC107" s="45">
        <f>(M107*'RAP TEMPLATE-GAS AVAILABILITY'!O106+N107*'RAP TEMPLATE-GAS AVAILABILITY'!P106+O107*'RAP TEMPLATE-GAS AVAILABILITY'!Q106+P107*'RAP TEMPLATE-GAS AVAILABILITY'!R106)/('RAP TEMPLATE-GAS AVAILABILITY'!O106+'RAP TEMPLATE-GAS AVAILABILITY'!P106+'RAP TEMPLATE-GAS AVAILABILITY'!Q106+'RAP TEMPLATE-GAS AVAILABILITY'!R106)</f>
        <v>6.0005964028776972</v>
      </c>
    </row>
    <row r="108" spans="1:29" ht="15.75" x14ac:dyDescent="0.25">
      <c r="A108" s="16">
        <v>43800</v>
      </c>
      <c r="B108" s="17">
        <f>CHOOSE(CONTROL!$C$42, 6.3813, 6.3813) * CHOOSE(CONTROL!$C$21, $C$9, 100%, $E$9)</f>
        <v>6.3813000000000004</v>
      </c>
      <c r="C108" s="17">
        <f>CHOOSE(CONTROL!$C$42, 6.3864, 6.3864) * CHOOSE(CONTROL!$C$21, $C$9, 100%, $E$9)</f>
        <v>6.3864000000000001</v>
      </c>
      <c r="D108" s="17">
        <f>CHOOSE(CONTROL!$C$42, 6.5271, 6.5271) * CHOOSE(CONTROL!$C$21, $C$9, 100%, $E$9)</f>
        <v>6.5270999999999999</v>
      </c>
      <c r="E108" s="17">
        <f>CHOOSE(CONTROL!$C$42, 6.5608, 6.5608) * CHOOSE(CONTROL!$C$21, $C$9, 100%, $E$9)</f>
        <v>6.5608000000000004</v>
      </c>
      <c r="F108" s="17">
        <f>CHOOSE(CONTROL!$C$42, 6.3971, 6.3971)*CHOOSE(CONTROL!$C$21, $C$9, 100%, $E$9)</f>
        <v>6.3971</v>
      </c>
      <c r="G108" s="17">
        <f>CHOOSE(CONTROL!$C$42, 6.4145, 6.4145)*CHOOSE(CONTROL!$C$21, $C$9, 100%, $E$9)</f>
        <v>6.4145000000000003</v>
      </c>
      <c r="H108" s="17">
        <f>CHOOSE(CONTROL!$C$42, 6.5497, 6.5497) * CHOOSE(CONTROL!$C$21, $C$9, 100%, $E$9)</f>
        <v>6.5496999999999996</v>
      </c>
      <c r="I108" s="17">
        <f>CHOOSE(CONTROL!$C$42, 6.4235, 6.4235)* CHOOSE(CONTROL!$C$21, $C$9, 100%, $E$9)</f>
        <v>6.4234999999999998</v>
      </c>
      <c r="J108" s="17">
        <f>CHOOSE(CONTROL!$C$42, 6.3897, 6.3897)* CHOOSE(CONTROL!$C$21, $C$9, 100%, $E$9)</f>
        <v>6.3897000000000004</v>
      </c>
      <c r="K108" s="52">
        <f>CHOOSE(CONTROL!$C$42, 6.4175, 6.4175) * CHOOSE(CONTROL!$C$21, $C$9, 100%, $E$9)</f>
        <v>6.4175000000000004</v>
      </c>
      <c r="L108" s="17">
        <f>CHOOSE(CONTROL!$C$42, 7.1367, 7.1367) * CHOOSE(CONTROL!$C$21, $C$9, 100%, $E$9)</f>
        <v>7.1367000000000003</v>
      </c>
      <c r="M108" s="17">
        <f>CHOOSE(CONTROL!$C$42, 6.3392, 6.3392) * CHOOSE(CONTROL!$C$21, $C$9, 100%, $E$9)</f>
        <v>6.3391999999999999</v>
      </c>
      <c r="N108" s="17">
        <f>CHOOSE(CONTROL!$C$42, 6.3565, 6.3565) * CHOOSE(CONTROL!$C$21, $C$9, 100%, $E$9)</f>
        <v>6.3564999999999996</v>
      </c>
      <c r="O108" s="17">
        <f>CHOOSE(CONTROL!$C$42, 6.4978, 6.4978) * CHOOSE(CONTROL!$C$21, $C$9, 100%, $E$9)</f>
        <v>6.4977999999999998</v>
      </c>
      <c r="P108" s="17">
        <f>CHOOSE(CONTROL!$C$42, 6.3726, 6.3726) * CHOOSE(CONTROL!$C$21, $C$9, 100%, $E$9)</f>
        <v>6.3726000000000003</v>
      </c>
      <c r="Q108" s="17">
        <f>CHOOSE(CONTROL!$C$42, 7.0925, 7.0925) * CHOOSE(CONTROL!$C$21, $C$9, 100%, $E$9)</f>
        <v>7.0925000000000002</v>
      </c>
      <c r="R108" s="17">
        <f>CHOOSE(CONTROL!$C$42, 7.6973, 7.6973) * CHOOSE(CONTROL!$C$21, $C$9, 100%, $E$9)</f>
        <v>7.6973000000000003</v>
      </c>
      <c r="S108" s="17">
        <f>CHOOSE(CONTROL!$C$42, 6.1785, 6.1785) * CHOOSE(CONTROL!$C$21, $C$9, 100%, $E$9)</f>
        <v>6.1784999999999997</v>
      </c>
      <c r="T108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108" s="56">
        <f>(1000*CHOOSE(CONTROL!$C$42, 695, 695)*CHOOSE(CONTROL!$C$42, 0.5599, 0.5599)*CHOOSE(CONTROL!$C$42, 31, 31))/1000000</f>
        <v>12.063045499999998</v>
      </c>
      <c r="V108" s="56">
        <f>(1000*CHOOSE(CONTROL!$C$42, 500, 500)*CHOOSE(CONTROL!$C$42, 0.275, 0.275)*CHOOSE(CONTROL!$C$42, 31, 31))/1000000</f>
        <v>4.2625000000000002</v>
      </c>
      <c r="W108" s="56">
        <f>(1000*CHOOSE(CONTROL!$C$42, 0.0916, 0.0916)*CHOOSE(CONTROL!$C$42, 121.5, 121.5)*CHOOSE(CONTROL!$C$42, 31, 31))/1000000</f>
        <v>0.34501139999999997</v>
      </c>
      <c r="X108" s="56">
        <f>(31*0.2374*100000/1000000)</f>
        <v>0.73594000000000004</v>
      </c>
      <c r="Y108" s="56"/>
      <c r="Z108" s="17"/>
      <c r="AA108" s="55"/>
      <c r="AB108" s="48">
        <f>(B108*122.58+C108*297.941+D108*89.177+E108*140.302+F108*40+G108*60+H108*0+I108*100+J108*300)/(122.58+297.941+89.177+140.302+0+40+60+100+300)</f>
        <v>6.4239693171304344</v>
      </c>
      <c r="AC108" s="45">
        <f>(M108*'RAP TEMPLATE-GAS AVAILABILITY'!O107+N108*'RAP TEMPLATE-GAS AVAILABILITY'!P107+O108*'RAP TEMPLATE-GAS AVAILABILITY'!Q107+P108*'RAP TEMPLATE-GAS AVAILABILITY'!R107)/('RAP TEMPLATE-GAS AVAILABILITY'!O107+'RAP TEMPLATE-GAS AVAILABILITY'!P107+'RAP TEMPLATE-GAS AVAILABILITY'!Q107+'RAP TEMPLATE-GAS AVAILABILITY'!R107)</f>
        <v>6.4168848920863306</v>
      </c>
    </row>
    <row r="109" spans="1:29" ht="15.75" x14ac:dyDescent="0.25">
      <c r="A109" s="16">
        <v>43831</v>
      </c>
      <c r="B109" s="17">
        <f>CHOOSE(CONTROL!$C$42, 7.0561, 7.0561) * CHOOSE(CONTROL!$C$21, $C$9, 100%, $E$9)</f>
        <v>7.0560999999999998</v>
      </c>
      <c r="C109" s="17">
        <f>CHOOSE(CONTROL!$C$42, 7.0612, 7.0612) * CHOOSE(CONTROL!$C$21, $C$9, 100%, $E$9)</f>
        <v>7.0612000000000004</v>
      </c>
      <c r="D109" s="17">
        <f>CHOOSE(CONTROL!$C$42, 7.1952, 7.1952) * CHOOSE(CONTROL!$C$21, $C$9, 100%, $E$9)</f>
        <v>7.1951999999999998</v>
      </c>
      <c r="E109" s="17">
        <f>CHOOSE(CONTROL!$C$42, 7.2289, 7.2289) * CHOOSE(CONTROL!$C$21, $C$9, 100%, $E$9)</f>
        <v>7.2289000000000003</v>
      </c>
      <c r="F109" s="17">
        <f>CHOOSE(CONTROL!$C$42, 7.0696, 7.0696)*CHOOSE(CONTROL!$C$21, $C$9, 100%, $E$9)</f>
        <v>7.0696000000000003</v>
      </c>
      <c r="G109" s="17">
        <f>CHOOSE(CONTROL!$C$42, 7.0865, 7.0865)*CHOOSE(CONTROL!$C$21, $C$9, 100%, $E$9)</f>
        <v>7.0865</v>
      </c>
      <c r="H109" s="17">
        <f>CHOOSE(CONTROL!$C$42, 7.2178, 7.2178) * CHOOSE(CONTROL!$C$21, $C$9, 100%, $E$9)</f>
        <v>7.2178000000000004</v>
      </c>
      <c r="I109" s="17">
        <f>CHOOSE(CONTROL!$C$42, 7.1045, 7.1045)* CHOOSE(CONTROL!$C$21, $C$9, 100%, $E$9)</f>
        <v>7.1044999999999998</v>
      </c>
      <c r="J109" s="17">
        <f>CHOOSE(CONTROL!$C$42, 7.0622, 7.0622)* CHOOSE(CONTROL!$C$21, $C$9, 100%, $E$9)</f>
        <v>7.0621999999999998</v>
      </c>
      <c r="K109" s="52">
        <f>CHOOSE(CONTROL!$C$42, 7.0985, 7.0985) * CHOOSE(CONTROL!$C$21, $C$9, 100%, $E$9)</f>
        <v>7.0984999999999996</v>
      </c>
      <c r="L109" s="17">
        <f>CHOOSE(CONTROL!$C$42, 7.8048, 7.8048) * CHOOSE(CONTROL!$C$21, $C$9, 100%, $E$9)</f>
        <v>7.8048000000000002</v>
      </c>
      <c r="M109" s="17">
        <f>CHOOSE(CONTROL!$C$42, 7.0057, 7.0057) * CHOOSE(CONTROL!$C$21, $C$9, 100%, $E$9)</f>
        <v>7.0057</v>
      </c>
      <c r="N109" s="17">
        <f>CHOOSE(CONTROL!$C$42, 7.0224, 7.0224) * CHOOSE(CONTROL!$C$21, $C$9, 100%, $E$9)</f>
        <v>7.0224000000000002</v>
      </c>
      <c r="O109" s="17">
        <f>CHOOSE(CONTROL!$C$42, 7.1599, 7.1599) * CHOOSE(CONTROL!$C$21, $C$9, 100%, $E$9)</f>
        <v>7.1599000000000004</v>
      </c>
      <c r="P109" s="17">
        <f>CHOOSE(CONTROL!$C$42, 7.0475, 7.0475) * CHOOSE(CONTROL!$C$21, $C$9, 100%, $E$9)</f>
        <v>7.0475000000000003</v>
      </c>
      <c r="Q109" s="17">
        <f>CHOOSE(CONTROL!$C$42, 7.7546, 7.7546) * CHOOSE(CONTROL!$C$21, $C$9, 100%, $E$9)</f>
        <v>7.7545999999999999</v>
      </c>
      <c r="R109" s="17">
        <f>CHOOSE(CONTROL!$C$42, 8.361, 8.361) * CHOOSE(CONTROL!$C$21, $C$9, 100%, $E$9)</f>
        <v>8.3610000000000007</v>
      </c>
      <c r="S109" s="17">
        <f>CHOOSE(CONTROL!$C$42, 6.8328, 6.8328) * CHOOSE(CONTROL!$C$21, $C$9, 100%, $E$9)</f>
        <v>6.8327999999999998</v>
      </c>
      <c r="T109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109" s="56">
        <f>(1000*CHOOSE(CONTROL!$C$42, 695, 695)*CHOOSE(CONTROL!$C$42, 0.5599, 0.5599)*CHOOSE(CONTROL!$C$42, 31, 31))/1000000</f>
        <v>12.063045499999998</v>
      </c>
      <c r="V109" s="56">
        <f>(1000*CHOOSE(CONTROL!$C$42, 500, 500)*CHOOSE(CONTROL!$C$42, 0.275, 0.275)*CHOOSE(CONTROL!$C$42, 31, 31))/1000000</f>
        <v>4.2625000000000002</v>
      </c>
      <c r="W109" s="56">
        <f>(1000*CHOOSE(CONTROL!$C$42, 0.0916, 0.0916)*CHOOSE(CONTROL!$C$42, 121.5, 121.5)*CHOOSE(CONTROL!$C$42, 31, 31))/1000000</f>
        <v>0.34501139999999997</v>
      </c>
      <c r="X109" s="56">
        <f>(31*0.2374*100000/1000000)</f>
        <v>0.73594000000000004</v>
      </c>
      <c r="Y109" s="56"/>
      <c r="Z109" s="17"/>
      <c r="AA109" s="55"/>
      <c r="AB109" s="48">
        <f>(B109*122.58+C109*297.941+D109*89.177+E109*140.302+F109*40+G109*60+H109*0+I109*100+J109*300)/(122.58+297.941+89.177+140.302+0+40+60+100+300)</f>
        <v>7.0971453959999993</v>
      </c>
      <c r="AC109" s="45">
        <f>(M109*'RAP TEMPLATE-GAS AVAILABILITY'!O108+N109*'RAP TEMPLATE-GAS AVAILABILITY'!P108+O109*'RAP TEMPLATE-GAS AVAILABILITY'!Q108+P109*'RAP TEMPLATE-GAS AVAILABILITY'!R108)/('RAP TEMPLATE-GAS AVAILABILITY'!O108+'RAP TEMPLATE-GAS AVAILABILITY'!P108+'RAP TEMPLATE-GAS AVAILABILITY'!Q108+'RAP TEMPLATE-GAS AVAILABILITY'!R108)</f>
        <v>7.0825647482014382</v>
      </c>
    </row>
    <row r="110" spans="1:29" ht="15.75" x14ac:dyDescent="0.25">
      <c r="A110" s="16">
        <v>43862</v>
      </c>
      <c r="B110" s="17">
        <f>CHOOSE(CONTROL!$C$42, 7.1963, 7.1963) * CHOOSE(CONTROL!$C$21, $C$9, 100%, $E$9)</f>
        <v>7.1962999999999999</v>
      </c>
      <c r="C110" s="17">
        <f>CHOOSE(CONTROL!$C$42, 7.2014, 7.2014) * CHOOSE(CONTROL!$C$21, $C$9, 100%, $E$9)</f>
        <v>7.2013999999999996</v>
      </c>
      <c r="D110" s="17">
        <f>CHOOSE(CONTROL!$C$42, 7.3354, 7.3354) * CHOOSE(CONTROL!$C$21, $C$9, 100%, $E$9)</f>
        <v>7.3353999999999999</v>
      </c>
      <c r="E110" s="17">
        <f>CHOOSE(CONTROL!$C$42, 7.3691, 7.3691) * CHOOSE(CONTROL!$C$21, $C$9, 100%, $E$9)</f>
        <v>7.3691000000000004</v>
      </c>
      <c r="F110" s="17">
        <f>CHOOSE(CONTROL!$C$42, 7.2097, 7.2097)*CHOOSE(CONTROL!$C$21, $C$9, 100%, $E$9)</f>
        <v>7.2096999999999998</v>
      </c>
      <c r="G110" s="17">
        <f>CHOOSE(CONTROL!$C$42, 7.2266, 7.2266)*CHOOSE(CONTROL!$C$21, $C$9, 100%, $E$9)</f>
        <v>7.2266000000000004</v>
      </c>
      <c r="H110" s="17">
        <f>CHOOSE(CONTROL!$C$42, 7.358, 7.358) * CHOOSE(CONTROL!$C$21, $C$9, 100%, $E$9)</f>
        <v>7.3579999999999997</v>
      </c>
      <c r="I110" s="17">
        <f>CHOOSE(CONTROL!$C$42, 7.2451, 7.2451)* CHOOSE(CONTROL!$C$21, $C$9, 100%, $E$9)</f>
        <v>7.2450999999999999</v>
      </c>
      <c r="J110" s="17">
        <f>CHOOSE(CONTROL!$C$42, 7.2023, 7.2023)* CHOOSE(CONTROL!$C$21, $C$9, 100%, $E$9)</f>
        <v>7.2023000000000001</v>
      </c>
      <c r="K110" s="52">
        <f>CHOOSE(CONTROL!$C$42, 7.2391, 7.2391) * CHOOSE(CONTROL!$C$21, $C$9, 100%, $E$9)</f>
        <v>7.2390999999999996</v>
      </c>
      <c r="L110" s="17">
        <f>CHOOSE(CONTROL!$C$42, 7.945, 7.945) * CHOOSE(CONTROL!$C$21, $C$9, 100%, $E$9)</f>
        <v>7.9450000000000003</v>
      </c>
      <c r="M110" s="17">
        <f>CHOOSE(CONTROL!$C$42, 7.1445, 7.1445) * CHOOSE(CONTROL!$C$21, $C$9, 100%, $E$9)</f>
        <v>7.1444999999999999</v>
      </c>
      <c r="N110" s="17">
        <f>CHOOSE(CONTROL!$C$42, 7.1613, 7.1613) * CHOOSE(CONTROL!$C$21, $C$9, 100%, $E$9)</f>
        <v>7.1612999999999998</v>
      </c>
      <c r="O110" s="17">
        <f>CHOOSE(CONTROL!$C$42, 7.2988, 7.2988) * CHOOSE(CONTROL!$C$21, $C$9, 100%, $E$9)</f>
        <v>7.2988</v>
      </c>
      <c r="P110" s="17">
        <f>CHOOSE(CONTROL!$C$42, 7.1868, 7.1868) * CHOOSE(CONTROL!$C$21, $C$9, 100%, $E$9)</f>
        <v>7.1867999999999999</v>
      </c>
      <c r="Q110" s="17">
        <f>CHOOSE(CONTROL!$C$42, 7.8935, 7.8935) * CHOOSE(CONTROL!$C$21, $C$9, 100%, $E$9)</f>
        <v>7.8935000000000004</v>
      </c>
      <c r="R110" s="17">
        <f>CHOOSE(CONTROL!$C$42, 8.5003, 8.5003) * CHOOSE(CONTROL!$C$21, $C$9, 100%, $E$9)</f>
        <v>8.5002999999999993</v>
      </c>
      <c r="S110" s="17">
        <f>CHOOSE(CONTROL!$C$42, 6.9688, 6.9688) * CHOOSE(CONTROL!$C$21, $C$9, 100%, $E$9)</f>
        <v>6.9687999999999999</v>
      </c>
      <c r="T110" s="56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110" s="56">
        <f>(1000*CHOOSE(CONTROL!$C$42, 695, 695)*CHOOSE(CONTROL!$C$42, 0.5599, 0.5599)*CHOOSE(CONTROL!$C$42, 29, 29))/1000000</f>
        <v>11.284784499999999</v>
      </c>
      <c r="V110" s="56">
        <f>(1000*CHOOSE(CONTROL!$C$42, 500, 500)*CHOOSE(CONTROL!$C$42, 0.275, 0.275)*CHOOSE(CONTROL!$C$42, 29, 29))/1000000</f>
        <v>3.9874999999999998</v>
      </c>
      <c r="W110" s="56">
        <f>(1000*CHOOSE(CONTROL!$C$42, 0.0916, 0.0916)*CHOOSE(CONTROL!$C$42, 121.5, 121.5)*CHOOSE(CONTROL!$C$42, 29, 29))/1000000</f>
        <v>0.3227526</v>
      </c>
      <c r="X110" s="56">
        <f>(29*0.2374*100000/1000000)</f>
        <v>0.68845999999999996</v>
      </c>
      <c r="Y110" s="56"/>
      <c r="Z110" s="17"/>
      <c r="AA110" s="55"/>
      <c r="AB110" s="48">
        <f>(B110*122.58+C110*297.941+D110*89.177+E110*140.302+F110*40+G110*60+H110*0+I110*100+J110*300)/(122.58+297.941+89.177+140.302+0+40+60+100+300)</f>
        <v>7.2373453960000003</v>
      </c>
      <c r="AC110" s="45">
        <f>(M110*'RAP TEMPLATE-GAS AVAILABILITY'!O109+N110*'RAP TEMPLATE-GAS AVAILABILITY'!P109+O110*'RAP TEMPLATE-GAS AVAILABILITY'!Q109+P110*'RAP TEMPLATE-GAS AVAILABILITY'!R109)/('RAP TEMPLATE-GAS AVAILABILITY'!O109+'RAP TEMPLATE-GAS AVAILABILITY'!P109+'RAP TEMPLATE-GAS AVAILABILITY'!Q109+'RAP TEMPLATE-GAS AVAILABILITY'!R109)</f>
        <v>7.2214877697841731</v>
      </c>
    </row>
    <row r="111" spans="1:29" ht="15.75" x14ac:dyDescent="0.25">
      <c r="A111" s="16">
        <v>43891</v>
      </c>
      <c r="B111" s="17">
        <f>CHOOSE(CONTROL!$C$42, 7.0067, 7.0067) * CHOOSE(CONTROL!$C$21, $C$9, 100%, $E$9)</f>
        <v>7.0067000000000004</v>
      </c>
      <c r="C111" s="17">
        <f>CHOOSE(CONTROL!$C$42, 7.0118, 7.0118) * CHOOSE(CONTROL!$C$21, $C$9, 100%, $E$9)</f>
        <v>7.0118</v>
      </c>
      <c r="D111" s="17">
        <f>CHOOSE(CONTROL!$C$42, 7.1457, 7.1457) * CHOOSE(CONTROL!$C$21, $C$9, 100%, $E$9)</f>
        <v>7.1456999999999997</v>
      </c>
      <c r="E111" s="17">
        <f>CHOOSE(CONTROL!$C$42, 7.1795, 7.1795) * CHOOSE(CONTROL!$C$21, $C$9, 100%, $E$9)</f>
        <v>7.1795</v>
      </c>
      <c r="F111" s="17">
        <f>CHOOSE(CONTROL!$C$42, 7.0193, 7.0193)*CHOOSE(CONTROL!$C$21, $C$9, 100%, $E$9)</f>
        <v>7.0193000000000003</v>
      </c>
      <c r="G111" s="17">
        <f>CHOOSE(CONTROL!$C$42, 7.036, 7.036)*CHOOSE(CONTROL!$C$21, $C$9, 100%, $E$9)</f>
        <v>7.0359999999999996</v>
      </c>
      <c r="H111" s="17">
        <f>CHOOSE(CONTROL!$C$42, 7.1684, 7.1684) * CHOOSE(CONTROL!$C$21, $C$9, 100%, $E$9)</f>
        <v>7.1684000000000001</v>
      </c>
      <c r="I111" s="17">
        <f>CHOOSE(CONTROL!$C$42, 7.0549, 7.0549)* CHOOSE(CONTROL!$C$21, $C$9, 100%, $E$9)</f>
        <v>7.0548999999999999</v>
      </c>
      <c r="J111" s="17">
        <f>CHOOSE(CONTROL!$C$42, 7.0119, 7.0119)* CHOOSE(CONTROL!$C$21, $C$9, 100%, $E$9)</f>
        <v>7.0118999999999998</v>
      </c>
      <c r="K111" s="52">
        <f>CHOOSE(CONTROL!$C$42, 7.0489, 7.0489) * CHOOSE(CONTROL!$C$21, $C$9, 100%, $E$9)</f>
        <v>7.0488999999999997</v>
      </c>
      <c r="L111" s="17">
        <f>CHOOSE(CONTROL!$C$42, 7.7554, 7.7554) * CHOOSE(CONTROL!$C$21, $C$9, 100%, $E$9)</f>
        <v>7.7553999999999998</v>
      </c>
      <c r="M111" s="17">
        <f>CHOOSE(CONTROL!$C$42, 6.9559, 6.9559) * CHOOSE(CONTROL!$C$21, $C$9, 100%, $E$9)</f>
        <v>6.9558999999999997</v>
      </c>
      <c r="N111" s="17">
        <f>CHOOSE(CONTROL!$C$42, 6.9724, 6.9724) * CHOOSE(CONTROL!$C$21, $C$9, 100%, $E$9)</f>
        <v>6.9724000000000004</v>
      </c>
      <c r="O111" s="17">
        <f>CHOOSE(CONTROL!$C$42, 7.1109, 7.1109) * CHOOSE(CONTROL!$C$21, $C$9, 100%, $E$9)</f>
        <v>7.1109</v>
      </c>
      <c r="P111" s="17">
        <f>CHOOSE(CONTROL!$C$42, 6.9983, 6.9983) * CHOOSE(CONTROL!$C$21, $C$9, 100%, $E$9)</f>
        <v>6.9983000000000004</v>
      </c>
      <c r="Q111" s="17">
        <f>CHOOSE(CONTROL!$C$42, 7.7056, 7.7056) * CHOOSE(CONTROL!$C$21, $C$9, 100%, $E$9)</f>
        <v>7.7055999999999996</v>
      </c>
      <c r="R111" s="17">
        <f>CHOOSE(CONTROL!$C$42, 8.3119, 8.3119) * CHOOSE(CONTROL!$C$21, $C$9, 100%, $E$9)</f>
        <v>8.3118999999999996</v>
      </c>
      <c r="S111" s="17">
        <f>CHOOSE(CONTROL!$C$42, 6.7849, 6.7849) * CHOOSE(CONTROL!$C$21, $C$9, 100%, $E$9)</f>
        <v>6.7849000000000004</v>
      </c>
      <c r="T111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111" s="56">
        <f>(1000*CHOOSE(CONTROL!$C$42, 695, 695)*CHOOSE(CONTROL!$C$42, 0.5599, 0.5599)*CHOOSE(CONTROL!$C$42, 31, 31))/1000000</f>
        <v>12.063045499999998</v>
      </c>
      <c r="V111" s="56">
        <f>(1000*CHOOSE(CONTROL!$C$42, 500, 500)*CHOOSE(CONTROL!$C$42, 0.275, 0.275)*CHOOSE(CONTROL!$C$42, 31, 31))/1000000</f>
        <v>4.2625000000000002</v>
      </c>
      <c r="W111" s="56">
        <f>(1000*CHOOSE(CONTROL!$C$42, 0.0916, 0.0916)*CHOOSE(CONTROL!$C$42, 121.5, 121.5)*CHOOSE(CONTROL!$C$42, 31, 31))/1000000</f>
        <v>0.34501139999999997</v>
      </c>
      <c r="X111" s="56">
        <f>(31*0.2374*100000/1000000)</f>
        <v>0.73594000000000004</v>
      </c>
      <c r="Y111" s="56"/>
      <c r="Z111" s="17"/>
      <c r="AA111" s="55"/>
      <c r="AB111" s="48">
        <f>(B111*122.58+C111*297.941+D111*89.177+E111*140.302+F111*40+G111*60+H111*0+I111*100+J111*300)/(122.58+297.941+89.177+140.302+0+40+60+100+300)</f>
        <v>7.0473967719130437</v>
      </c>
      <c r="AC111" s="45">
        <f>(M111*'RAP TEMPLATE-GAS AVAILABILITY'!O110+N111*'RAP TEMPLATE-GAS AVAILABILITY'!P110+O111*'RAP TEMPLATE-GAS AVAILABILITY'!Q110+P111*'RAP TEMPLATE-GAS AVAILABILITY'!R110)/('RAP TEMPLATE-GAS AVAILABILITY'!O110+'RAP TEMPLATE-GAS AVAILABILITY'!P110+'RAP TEMPLATE-GAS AVAILABILITY'!Q110+'RAP TEMPLATE-GAS AVAILABILITY'!R110)</f>
        <v>7.0332021582733812</v>
      </c>
    </row>
    <row r="112" spans="1:29" ht="15.75" x14ac:dyDescent="0.25">
      <c r="A112" s="16">
        <v>43922</v>
      </c>
      <c r="B112" s="17">
        <f>CHOOSE(CONTROL!$C$42, 7.0011, 7.0011) * CHOOSE(CONTROL!$C$21, $C$9, 100%, $E$9)</f>
        <v>7.0011000000000001</v>
      </c>
      <c r="C112" s="17">
        <f>CHOOSE(CONTROL!$C$42, 7.0057, 7.0057) * CHOOSE(CONTROL!$C$21, $C$9, 100%, $E$9)</f>
        <v>7.0057</v>
      </c>
      <c r="D112" s="17">
        <f>CHOOSE(CONTROL!$C$42, 7.2687, 7.2687) * CHOOSE(CONTROL!$C$21, $C$9, 100%, $E$9)</f>
        <v>7.2686999999999999</v>
      </c>
      <c r="E112" s="17">
        <f>CHOOSE(CONTROL!$C$42, 7.3005, 7.3005) * CHOOSE(CONTROL!$C$21, $C$9, 100%, $E$9)</f>
        <v>7.3005000000000004</v>
      </c>
      <c r="F112" s="17">
        <f>CHOOSE(CONTROL!$C$42, 7.0121, 7.0121)*CHOOSE(CONTROL!$C$21, $C$9, 100%, $E$9)</f>
        <v>7.0121000000000002</v>
      </c>
      <c r="G112" s="17">
        <f>CHOOSE(CONTROL!$C$42, 7.0282, 7.0282)*CHOOSE(CONTROL!$C$21, $C$9, 100%, $E$9)</f>
        <v>7.0282</v>
      </c>
      <c r="H112" s="17">
        <f>CHOOSE(CONTROL!$C$42, 7.2899, 7.2899) * CHOOSE(CONTROL!$C$21, $C$9, 100%, $E$9)</f>
        <v>7.2899000000000003</v>
      </c>
      <c r="I112" s="17">
        <f>CHOOSE(CONTROL!$C$42, 7.0481, 7.0481)* CHOOSE(CONTROL!$C$21, $C$9, 100%, $E$9)</f>
        <v>7.0480999999999998</v>
      </c>
      <c r="J112" s="17">
        <f>CHOOSE(CONTROL!$C$42, 7.0047, 7.0047)* CHOOSE(CONTROL!$C$21, $C$9, 100%, $E$9)</f>
        <v>7.0046999999999997</v>
      </c>
      <c r="K112" s="52">
        <f>CHOOSE(CONTROL!$C$42, 7.042, 7.042) * CHOOSE(CONTROL!$C$21, $C$9, 100%, $E$9)</f>
        <v>7.0419999999999998</v>
      </c>
      <c r="L112" s="17">
        <f>CHOOSE(CONTROL!$C$42, 7.8769, 7.8769) * CHOOSE(CONTROL!$C$21, $C$9, 100%, $E$9)</f>
        <v>7.8769</v>
      </c>
      <c r="M112" s="17">
        <f>CHOOSE(CONTROL!$C$42, 6.9487, 6.9487) * CHOOSE(CONTROL!$C$21, $C$9, 100%, $E$9)</f>
        <v>6.9486999999999997</v>
      </c>
      <c r="N112" s="17">
        <f>CHOOSE(CONTROL!$C$42, 6.9647, 6.9647) * CHOOSE(CONTROL!$C$21, $C$9, 100%, $E$9)</f>
        <v>6.9646999999999997</v>
      </c>
      <c r="O112" s="17">
        <f>CHOOSE(CONTROL!$C$42, 7.2314, 7.2314) * CHOOSE(CONTROL!$C$21, $C$9, 100%, $E$9)</f>
        <v>7.2313999999999998</v>
      </c>
      <c r="P112" s="17">
        <f>CHOOSE(CONTROL!$C$42, 6.9916, 6.9916) * CHOOSE(CONTROL!$C$21, $C$9, 100%, $E$9)</f>
        <v>6.9916</v>
      </c>
      <c r="Q112" s="17">
        <f>CHOOSE(CONTROL!$C$42, 7.8261, 7.8261) * CHOOSE(CONTROL!$C$21, $C$9, 100%, $E$9)</f>
        <v>7.8261000000000003</v>
      </c>
      <c r="R112" s="17">
        <f>CHOOSE(CONTROL!$C$42, 8.4326, 8.4326) * CHOOSE(CONTROL!$C$21, $C$9, 100%, $E$9)</f>
        <v>8.4326000000000008</v>
      </c>
      <c r="S112" s="17">
        <f>CHOOSE(CONTROL!$C$42, 6.7788, 6.7788) * CHOOSE(CONTROL!$C$21, $C$9, 100%, $E$9)</f>
        <v>6.7788000000000004</v>
      </c>
      <c r="T112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112" s="56">
        <f>(1000*CHOOSE(CONTROL!$C$42, 695, 695)*CHOOSE(CONTROL!$C$42, 0.5599, 0.5599)*CHOOSE(CONTROL!$C$42, 30, 30))/1000000</f>
        <v>11.673914999999997</v>
      </c>
      <c r="V112" s="56">
        <f>(1000*CHOOSE(CONTROL!$C$42, 500, 500)*CHOOSE(CONTROL!$C$42, 0.275, 0.275)*CHOOSE(CONTROL!$C$42, 30, 30))/1000000</f>
        <v>4.125</v>
      </c>
      <c r="W112" s="56">
        <f>(1000*CHOOSE(CONTROL!$C$42, 0.0916, 0.0916)*CHOOSE(CONTROL!$C$42, 121.5, 121.5)*CHOOSE(CONTROL!$C$42, 30, 30))/1000000</f>
        <v>0.33388200000000001</v>
      </c>
      <c r="X112" s="56">
        <f>(30*0.1790888*145000/1000000)+(30*0.2374*100000/1000000)</f>
        <v>1.4912362799999999</v>
      </c>
      <c r="Y112" s="56"/>
      <c r="Z112" s="17"/>
      <c r="AA112" s="55"/>
      <c r="AB112" s="48">
        <f>(B112*141.293+C112*267.993+D112*115.016+E112*189.698+F112*40+G112*85+H112*0+I112*100+J112*300)/(141.293+267.993+115.016+189.698+0+40+85+100+300)</f>
        <v>7.0796553919289762</v>
      </c>
      <c r="AC112" s="45">
        <f>(M112*'RAP TEMPLATE-GAS AVAILABILITY'!O111+N112*'RAP TEMPLATE-GAS AVAILABILITY'!P111+O112*'RAP TEMPLATE-GAS AVAILABILITY'!Q111+P112*'RAP TEMPLATE-GAS AVAILABILITY'!R111)/('RAP TEMPLATE-GAS AVAILABILITY'!O111+'RAP TEMPLATE-GAS AVAILABILITY'!P111+'RAP TEMPLATE-GAS AVAILABILITY'!Q111+'RAP TEMPLATE-GAS AVAILABILITY'!R111)</f>
        <v>7.0378748201438857</v>
      </c>
    </row>
    <row r="113" spans="1:29" ht="15.75" x14ac:dyDescent="0.25">
      <c r="A113" s="16">
        <v>43952</v>
      </c>
      <c r="B113" s="17">
        <f>CHOOSE(CONTROL!$C$42, 7.0787, 7.0787) * CHOOSE(CONTROL!$C$21, $C$9, 100%, $E$9)</f>
        <v>7.0787000000000004</v>
      </c>
      <c r="C113" s="17">
        <f>CHOOSE(CONTROL!$C$42, 7.0867, 7.0867) * CHOOSE(CONTROL!$C$21, $C$9, 100%, $E$9)</f>
        <v>7.0867000000000004</v>
      </c>
      <c r="D113" s="17">
        <f>CHOOSE(CONTROL!$C$42, 7.3466, 7.3466) * CHOOSE(CONTROL!$C$21, $C$9, 100%, $E$9)</f>
        <v>7.3465999999999996</v>
      </c>
      <c r="E113" s="17">
        <f>CHOOSE(CONTROL!$C$42, 7.3778, 7.3778) * CHOOSE(CONTROL!$C$21, $C$9, 100%, $E$9)</f>
        <v>7.3777999999999997</v>
      </c>
      <c r="F113" s="17">
        <f>CHOOSE(CONTROL!$C$42, 7.0884, 7.0884)*CHOOSE(CONTROL!$C$21, $C$9, 100%, $E$9)</f>
        <v>7.0884</v>
      </c>
      <c r="G113" s="17">
        <f>CHOOSE(CONTROL!$C$42, 7.1049, 7.1049)*CHOOSE(CONTROL!$C$21, $C$9, 100%, $E$9)</f>
        <v>7.1048999999999998</v>
      </c>
      <c r="H113" s="17">
        <f>CHOOSE(CONTROL!$C$42, 7.3661, 7.3661) * CHOOSE(CONTROL!$C$21, $C$9, 100%, $E$9)</f>
        <v>7.3661000000000003</v>
      </c>
      <c r="I113" s="17">
        <f>CHOOSE(CONTROL!$C$42, 7.1245, 7.1245)* CHOOSE(CONTROL!$C$21, $C$9, 100%, $E$9)</f>
        <v>7.1245000000000003</v>
      </c>
      <c r="J113" s="17">
        <f>CHOOSE(CONTROL!$C$42, 7.081, 7.081)* CHOOSE(CONTROL!$C$21, $C$9, 100%, $E$9)</f>
        <v>7.0810000000000004</v>
      </c>
      <c r="K113" s="52">
        <f>CHOOSE(CONTROL!$C$42, 7.1185, 7.1185) * CHOOSE(CONTROL!$C$21, $C$9, 100%, $E$9)</f>
        <v>7.1185</v>
      </c>
      <c r="L113" s="17">
        <f>CHOOSE(CONTROL!$C$42, 7.9531, 7.9531) * CHOOSE(CONTROL!$C$21, $C$9, 100%, $E$9)</f>
        <v>7.9531000000000001</v>
      </c>
      <c r="M113" s="17">
        <f>CHOOSE(CONTROL!$C$42, 7.0243, 7.0243) * CHOOSE(CONTROL!$C$21, $C$9, 100%, $E$9)</f>
        <v>7.0243000000000002</v>
      </c>
      <c r="N113" s="17">
        <f>CHOOSE(CONTROL!$C$42, 7.0406, 7.0406) * CHOOSE(CONTROL!$C$21, $C$9, 100%, $E$9)</f>
        <v>7.0406000000000004</v>
      </c>
      <c r="O113" s="17">
        <f>CHOOSE(CONTROL!$C$42, 7.3069, 7.3069) * CHOOSE(CONTROL!$C$21, $C$9, 100%, $E$9)</f>
        <v>7.3068999999999997</v>
      </c>
      <c r="P113" s="17">
        <f>CHOOSE(CONTROL!$C$42, 7.0673, 7.0673) * CHOOSE(CONTROL!$C$21, $C$9, 100%, $E$9)</f>
        <v>7.0673000000000004</v>
      </c>
      <c r="Q113" s="17">
        <f>CHOOSE(CONTROL!$C$42, 7.9016, 7.9016) * CHOOSE(CONTROL!$C$21, $C$9, 100%, $E$9)</f>
        <v>7.9016000000000002</v>
      </c>
      <c r="R113" s="17">
        <f>CHOOSE(CONTROL!$C$42, 8.5084, 8.5084) * CHOOSE(CONTROL!$C$21, $C$9, 100%, $E$9)</f>
        <v>8.5084</v>
      </c>
      <c r="S113" s="17">
        <f>CHOOSE(CONTROL!$C$42, 6.8527, 6.8527) * CHOOSE(CONTROL!$C$21, $C$9, 100%, $E$9)</f>
        <v>6.8526999999999996</v>
      </c>
      <c r="T113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113" s="56">
        <f>(1000*CHOOSE(CONTROL!$C$42, 695, 695)*CHOOSE(CONTROL!$C$42, 0.5599, 0.5599)*CHOOSE(CONTROL!$C$42, 31, 31))/1000000</f>
        <v>12.063045499999998</v>
      </c>
      <c r="V113" s="56">
        <f>(1000*CHOOSE(CONTROL!$C$42, 500, 500)*CHOOSE(CONTROL!$C$42, 0.275, 0.275)*CHOOSE(CONTROL!$C$42, 31, 31))/1000000</f>
        <v>4.2625000000000002</v>
      </c>
      <c r="W113" s="56">
        <f>(1000*CHOOSE(CONTROL!$C$42, 0.0916, 0.0916)*CHOOSE(CONTROL!$C$42, 121.5, 121.5)*CHOOSE(CONTROL!$C$42, 31, 31))/1000000</f>
        <v>0.34501139999999997</v>
      </c>
      <c r="X113" s="56">
        <f>(31*0.1790888*145000/1000000)+(31*0.2374*100000/1000000)</f>
        <v>1.5409441560000001</v>
      </c>
      <c r="Y113" s="56"/>
      <c r="Z113" s="17"/>
      <c r="AA113" s="55"/>
      <c r="AB113" s="48">
        <f>(B113*194.205+C113*267.466+D113*133.845+E113*153.484+F113*40+G113*85+H113*0+I113*100+J113*300)/(194.205+267.466+133.845+153.484+0+40+85+100+300)</f>
        <v>7.1507477770015706</v>
      </c>
      <c r="AC113" s="45">
        <f>(M113*'RAP TEMPLATE-GAS AVAILABILITY'!O112+N113*'RAP TEMPLATE-GAS AVAILABILITY'!P112+O113*'RAP TEMPLATE-GAS AVAILABILITY'!Q112+P113*'RAP TEMPLATE-GAS AVAILABILITY'!R112)/('RAP TEMPLATE-GAS AVAILABILITY'!O112+'RAP TEMPLATE-GAS AVAILABILITY'!P112+'RAP TEMPLATE-GAS AVAILABILITY'!Q112+'RAP TEMPLATE-GAS AVAILABILITY'!R112)</f>
        <v>7.113530215827339</v>
      </c>
    </row>
    <row r="114" spans="1:29" ht="15.75" x14ac:dyDescent="0.25">
      <c r="A114" s="16">
        <v>43983</v>
      </c>
      <c r="B114" s="17">
        <f>CHOOSE(CONTROL!$C$42, 7.2941, 7.2941) * CHOOSE(CONTROL!$C$21, $C$9, 100%, $E$9)</f>
        <v>7.2941000000000003</v>
      </c>
      <c r="C114" s="17">
        <f>CHOOSE(CONTROL!$C$42, 7.3021, 7.3021) * CHOOSE(CONTROL!$C$21, $C$9, 100%, $E$9)</f>
        <v>7.3021000000000003</v>
      </c>
      <c r="D114" s="17">
        <f>CHOOSE(CONTROL!$C$42, 7.562, 7.562) * CHOOSE(CONTROL!$C$21, $C$9, 100%, $E$9)</f>
        <v>7.5620000000000003</v>
      </c>
      <c r="E114" s="17">
        <f>CHOOSE(CONTROL!$C$42, 7.5932, 7.5932) * CHOOSE(CONTROL!$C$21, $C$9, 100%, $E$9)</f>
        <v>7.5932000000000004</v>
      </c>
      <c r="F114" s="17">
        <f>CHOOSE(CONTROL!$C$42, 7.3041, 7.3041)*CHOOSE(CONTROL!$C$21, $C$9, 100%, $E$9)</f>
        <v>7.3041</v>
      </c>
      <c r="G114" s="17">
        <f>CHOOSE(CONTROL!$C$42, 7.3206, 7.3206)*CHOOSE(CONTROL!$C$21, $C$9, 100%, $E$9)</f>
        <v>7.3205999999999998</v>
      </c>
      <c r="H114" s="17">
        <f>CHOOSE(CONTROL!$C$42, 7.5815, 7.5815) * CHOOSE(CONTROL!$C$21, $C$9, 100%, $E$9)</f>
        <v>7.5815000000000001</v>
      </c>
      <c r="I114" s="17">
        <f>CHOOSE(CONTROL!$C$42, 7.3406, 7.3406)* CHOOSE(CONTROL!$C$21, $C$9, 100%, $E$9)</f>
        <v>7.3406000000000002</v>
      </c>
      <c r="J114" s="17">
        <f>CHOOSE(CONTROL!$C$42, 7.2967, 7.2967)* CHOOSE(CONTROL!$C$21, $C$9, 100%, $E$9)</f>
        <v>7.2967000000000004</v>
      </c>
      <c r="K114" s="52">
        <f>CHOOSE(CONTROL!$C$42, 7.3346, 7.3346) * CHOOSE(CONTROL!$C$21, $C$9, 100%, $E$9)</f>
        <v>7.3346</v>
      </c>
      <c r="L114" s="17">
        <f>CHOOSE(CONTROL!$C$42, 8.1685, 8.1685) * CHOOSE(CONTROL!$C$21, $C$9, 100%, $E$9)</f>
        <v>8.1684999999999999</v>
      </c>
      <c r="M114" s="17">
        <f>CHOOSE(CONTROL!$C$42, 7.2381, 7.2381) * CHOOSE(CONTROL!$C$21, $C$9, 100%, $E$9)</f>
        <v>7.2381000000000002</v>
      </c>
      <c r="N114" s="17">
        <f>CHOOSE(CONTROL!$C$42, 7.2545, 7.2545) * CHOOSE(CONTROL!$C$21, $C$9, 100%, $E$9)</f>
        <v>7.2545000000000002</v>
      </c>
      <c r="O114" s="17">
        <f>CHOOSE(CONTROL!$C$42, 7.5204, 7.5204) * CHOOSE(CONTROL!$C$21, $C$9, 100%, $E$9)</f>
        <v>7.5204000000000004</v>
      </c>
      <c r="P114" s="17">
        <f>CHOOSE(CONTROL!$C$42, 7.2814, 7.2814) * CHOOSE(CONTROL!$C$21, $C$9, 100%, $E$9)</f>
        <v>7.2813999999999997</v>
      </c>
      <c r="Q114" s="17">
        <f>CHOOSE(CONTROL!$C$42, 8.1151, 8.1151) * CHOOSE(CONTROL!$C$21, $C$9, 100%, $E$9)</f>
        <v>8.1151</v>
      </c>
      <c r="R114" s="17">
        <f>CHOOSE(CONTROL!$C$42, 8.7223, 8.7223) * CHOOSE(CONTROL!$C$21, $C$9, 100%, $E$9)</f>
        <v>8.7223000000000006</v>
      </c>
      <c r="S114" s="17">
        <f>CHOOSE(CONTROL!$C$42, 7.0615, 7.0615) * CHOOSE(CONTROL!$C$21, $C$9, 100%, $E$9)</f>
        <v>7.0614999999999997</v>
      </c>
      <c r="T114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114" s="56">
        <f>(1000*CHOOSE(CONTROL!$C$42, 695, 695)*CHOOSE(CONTROL!$C$42, 0.5599, 0.5599)*CHOOSE(CONTROL!$C$42, 30, 30))/1000000</f>
        <v>11.673914999999997</v>
      </c>
      <c r="V114" s="56">
        <f>(1000*CHOOSE(CONTROL!$C$42, 500, 500)*CHOOSE(CONTROL!$C$42, 0.275, 0.275)*CHOOSE(CONTROL!$C$42, 30, 30))/1000000</f>
        <v>4.125</v>
      </c>
      <c r="W114" s="56">
        <f>(1000*CHOOSE(CONTROL!$C$42, 0.0916, 0.0916)*CHOOSE(CONTROL!$C$42, 121.5, 121.5)*CHOOSE(CONTROL!$C$42, 30, 30))/1000000</f>
        <v>0.33388200000000001</v>
      </c>
      <c r="X114" s="56">
        <f>(30*0.1790888*145000/1000000)+(30*0.2374*100000/1000000)</f>
        <v>1.4912362799999999</v>
      </c>
      <c r="Y114" s="56"/>
      <c r="Z114" s="17"/>
      <c r="AA114" s="55"/>
      <c r="AB114" s="48">
        <f>(B114*194.205+C114*267.466+D114*133.845+E114*153.484+F114*40+G114*85+H114*0+I114*100+J114*300)/(194.205+267.466+133.845+153.484+0+40+85+100+300)</f>
        <v>7.3663028005494526</v>
      </c>
      <c r="AC114" s="45">
        <f>(M114*'RAP TEMPLATE-GAS AVAILABILITY'!O113+N114*'RAP TEMPLATE-GAS AVAILABILITY'!P113+O114*'RAP TEMPLATE-GAS AVAILABILITY'!Q113+P114*'RAP TEMPLATE-GAS AVAILABILITY'!R113)/('RAP TEMPLATE-GAS AVAILABILITY'!O113+'RAP TEMPLATE-GAS AVAILABILITY'!P113+'RAP TEMPLATE-GAS AVAILABILITY'!Q113+'RAP TEMPLATE-GAS AVAILABILITY'!R113)</f>
        <v>7.3273122302158287</v>
      </c>
    </row>
    <row r="115" spans="1:29" ht="15.75" x14ac:dyDescent="0.25">
      <c r="A115" s="16">
        <v>44013</v>
      </c>
      <c r="B115" s="17">
        <f>CHOOSE(CONTROL!$C$42, 7.1691, 7.1691) * CHOOSE(CONTROL!$C$21, $C$9, 100%, $E$9)</f>
        <v>7.1691000000000003</v>
      </c>
      <c r="C115" s="17">
        <f>CHOOSE(CONTROL!$C$42, 7.1771, 7.1771) * CHOOSE(CONTROL!$C$21, $C$9, 100%, $E$9)</f>
        <v>7.1771000000000003</v>
      </c>
      <c r="D115" s="17">
        <f>CHOOSE(CONTROL!$C$42, 7.4371, 7.4371) * CHOOSE(CONTROL!$C$21, $C$9, 100%, $E$9)</f>
        <v>7.4371</v>
      </c>
      <c r="E115" s="17">
        <f>CHOOSE(CONTROL!$C$42, 7.4682, 7.4682) * CHOOSE(CONTROL!$C$21, $C$9, 100%, $E$9)</f>
        <v>7.4682000000000004</v>
      </c>
      <c r="F115" s="17">
        <f>CHOOSE(CONTROL!$C$42, 7.1795, 7.1795)*CHOOSE(CONTROL!$C$21, $C$9, 100%, $E$9)</f>
        <v>7.1795</v>
      </c>
      <c r="G115" s="17">
        <f>CHOOSE(CONTROL!$C$42, 7.1962, 7.1962)*CHOOSE(CONTROL!$C$21, $C$9, 100%, $E$9)</f>
        <v>7.1962000000000002</v>
      </c>
      <c r="H115" s="17">
        <f>CHOOSE(CONTROL!$C$42, 7.4566, 7.4566) * CHOOSE(CONTROL!$C$21, $C$9, 100%, $E$9)</f>
        <v>7.4565999999999999</v>
      </c>
      <c r="I115" s="17">
        <f>CHOOSE(CONTROL!$C$42, 7.2152, 7.2152)* CHOOSE(CONTROL!$C$21, $C$9, 100%, $E$9)</f>
        <v>7.2152000000000003</v>
      </c>
      <c r="J115" s="17">
        <f>CHOOSE(CONTROL!$C$42, 7.1721, 7.1721)* CHOOSE(CONTROL!$C$21, $C$9, 100%, $E$9)</f>
        <v>7.1721000000000004</v>
      </c>
      <c r="K115" s="52">
        <f>CHOOSE(CONTROL!$C$42, 7.2092, 7.2092) * CHOOSE(CONTROL!$C$21, $C$9, 100%, $E$9)</f>
        <v>7.2092000000000001</v>
      </c>
      <c r="L115" s="17">
        <f>CHOOSE(CONTROL!$C$42, 8.0436, 8.0436) * CHOOSE(CONTROL!$C$21, $C$9, 100%, $E$9)</f>
        <v>8.0435999999999996</v>
      </c>
      <c r="M115" s="17">
        <f>CHOOSE(CONTROL!$C$42, 7.1146, 7.1146) * CHOOSE(CONTROL!$C$21, $C$9, 100%, $E$9)</f>
        <v>7.1146000000000003</v>
      </c>
      <c r="N115" s="17">
        <f>CHOOSE(CONTROL!$C$42, 7.1311, 7.1311) * CHOOSE(CONTROL!$C$21, $C$9, 100%, $E$9)</f>
        <v>7.1311</v>
      </c>
      <c r="O115" s="17">
        <f>CHOOSE(CONTROL!$C$42, 7.3965, 7.3965) * CHOOSE(CONTROL!$C$21, $C$9, 100%, $E$9)</f>
        <v>7.3964999999999996</v>
      </c>
      <c r="P115" s="17">
        <f>CHOOSE(CONTROL!$C$42, 7.1572, 7.1572) * CHOOSE(CONTROL!$C$21, $C$9, 100%, $E$9)</f>
        <v>7.1571999999999996</v>
      </c>
      <c r="Q115" s="17">
        <f>CHOOSE(CONTROL!$C$42, 7.9912, 7.9912) * CHOOSE(CONTROL!$C$21, $C$9, 100%, $E$9)</f>
        <v>7.9912000000000001</v>
      </c>
      <c r="R115" s="17">
        <f>CHOOSE(CONTROL!$C$42, 8.5982, 8.5982) * CHOOSE(CONTROL!$C$21, $C$9, 100%, $E$9)</f>
        <v>8.5982000000000003</v>
      </c>
      <c r="S115" s="17">
        <f>CHOOSE(CONTROL!$C$42, 6.9403, 6.9403) * CHOOSE(CONTROL!$C$21, $C$9, 100%, $E$9)</f>
        <v>6.9402999999999997</v>
      </c>
      <c r="T115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115" s="56">
        <f>(1000*CHOOSE(CONTROL!$C$42, 695, 695)*CHOOSE(CONTROL!$C$42, 0.5599, 0.5599)*CHOOSE(CONTROL!$C$42, 31, 31))/1000000</f>
        <v>12.063045499999998</v>
      </c>
      <c r="V115" s="56">
        <f>(1000*CHOOSE(CONTROL!$C$42, 500, 500)*CHOOSE(CONTROL!$C$42, 0.275, 0.275)*CHOOSE(CONTROL!$C$42, 31, 31))/1000000</f>
        <v>4.2625000000000002</v>
      </c>
      <c r="W115" s="56">
        <f>(1000*CHOOSE(CONTROL!$C$42, 0.0916, 0.0916)*CHOOSE(CONTROL!$C$42, 121.5, 121.5)*CHOOSE(CONTROL!$C$42, 31, 31))/1000000</f>
        <v>0.34501139999999997</v>
      </c>
      <c r="X115" s="56">
        <f>(31*0.1790888*145000/1000000)+(31*0.2374*100000/1000000)</f>
        <v>1.5409441560000001</v>
      </c>
      <c r="Y115" s="56"/>
      <c r="Z115" s="17"/>
      <c r="AA115" s="55"/>
      <c r="AB115" s="48">
        <f>(B115*194.205+C115*267.466+D115*133.845+E115*153.484+F115*40+G115*85+H115*0+I115*100+J115*300)/(194.205+267.466+133.845+153.484+0+40+85+100+300)</f>
        <v>7.2414286910518069</v>
      </c>
      <c r="AC115" s="45">
        <f>(M115*'RAP TEMPLATE-GAS AVAILABILITY'!O114+N115*'RAP TEMPLATE-GAS AVAILABILITY'!P114+O115*'RAP TEMPLATE-GAS AVAILABILITY'!Q114+P115*'RAP TEMPLATE-GAS AVAILABILITY'!R114)/('RAP TEMPLATE-GAS AVAILABILITY'!O114+'RAP TEMPLATE-GAS AVAILABILITY'!P114+'RAP TEMPLATE-GAS AVAILABILITY'!Q114+'RAP TEMPLATE-GAS AVAILABILITY'!R114)</f>
        <v>7.2036223021582746</v>
      </c>
    </row>
    <row r="116" spans="1:29" ht="15.75" x14ac:dyDescent="0.25">
      <c r="A116" s="16">
        <v>44044</v>
      </c>
      <c r="B116" s="17">
        <f>CHOOSE(CONTROL!$C$42, 6.8297, 6.8297) * CHOOSE(CONTROL!$C$21, $C$9, 100%, $E$9)</f>
        <v>6.8296999999999999</v>
      </c>
      <c r="C116" s="17">
        <f>CHOOSE(CONTROL!$C$42, 6.8377, 6.8377) * CHOOSE(CONTROL!$C$21, $C$9, 100%, $E$9)</f>
        <v>6.8376999999999999</v>
      </c>
      <c r="D116" s="17">
        <f>CHOOSE(CONTROL!$C$42, 7.0976, 7.0976) * CHOOSE(CONTROL!$C$21, $C$9, 100%, $E$9)</f>
        <v>7.0975999999999999</v>
      </c>
      <c r="E116" s="17">
        <f>CHOOSE(CONTROL!$C$42, 7.1288, 7.1288) * CHOOSE(CONTROL!$C$21, $C$9, 100%, $E$9)</f>
        <v>7.1288</v>
      </c>
      <c r="F116" s="17">
        <f>CHOOSE(CONTROL!$C$42, 6.8403, 6.8403)*CHOOSE(CONTROL!$C$21, $C$9, 100%, $E$9)</f>
        <v>6.8403</v>
      </c>
      <c r="G116" s="17">
        <f>CHOOSE(CONTROL!$C$42, 6.857, 6.857)*CHOOSE(CONTROL!$C$21, $C$9, 100%, $E$9)</f>
        <v>6.8570000000000002</v>
      </c>
      <c r="H116" s="17">
        <f>CHOOSE(CONTROL!$C$42, 7.1171, 7.1171) * CHOOSE(CONTROL!$C$21, $C$9, 100%, $E$9)</f>
        <v>7.1170999999999998</v>
      </c>
      <c r="I116" s="17">
        <f>CHOOSE(CONTROL!$C$42, 6.8747, 6.8747)* CHOOSE(CONTROL!$C$21, $C$9, 100%, $E$9)</f>
        <v>6.8746999999999998</v>
      </c>
      <c r="J116" s="17">
        <f>CHOOSE(CONTROL!$C$42, 6.8329, 6.8329)* CHOOSE(CONTROL!$C$21, $C$9, 100%, $E$9)</f>
        <v>6.8329000000000004</v>
      </c>
      <c r="K116" s="52">
        <f>CHOOSE(CONTROL!$C$42, 6.8687, 6.8687) * CHOOSE(CONTROL!$C$21, $C$9, 100%, $E$9)</f>
        <v>6.8686999999999996</v>
      </c>
      <c r="L116" s="17">
        <f>CHOOSE(CONTROL!$C$42, 7.7041, 7.7041) * CHOOSE(CONTROL!$C$21, $C$9, 100%, $E$9)</f>
        <v>7.7041000000000004</v>
      </c>
      <c r="M116" s="17">
        <f>CHOOSE(CONTROL!$C$42, 6.7785, 6.7785) * CHOOSE(CONTROL!$C$21, $C$9, 100%, $E$9)</f>
        <v>6.7785000000000002</v>
      </c>
      <c r="N116" s="17">
        <f>CHOOSE(CONTROL!$C$42, 6.795, 6.795) * CHOOSE(CONTROL!$C$21, $C$9, 100%, $E$9)</f>
        <v>6.7949999999999999</v>
      </c>
      <c r="O116" s="17">
        <f>CHOOSE(CONTROL!$C$42, 7.0601, 7.0601) * CHOOSE(CONTROL!$C$21, $C$9, 100%, $E$9)</f>
        <v>7.0601000000000003</v>
      </c>
      <c r="P116" s="17">
        <f>CHOOSE(CONTROL!$C$42, 6.8198, 6.8198) * CHOOSE(CONTROL!$C$21, $C$9, 100%, $E$9)</f>
        <v>6.8197999999999999</v>
      </c>
      <c r="Q116" s="17">
        <f>CHOOSE(CONTROL!$C$42, 7.6548, 7.6548) * CHOOSE(CONTROL!$C$21, $C$9, 100%, $E$9)</f>
        <v>7.6547999999999998</v>
      </c>
      <c r="R116" s="17">
        <f>CHOOSE(CONTROL!$C$42, 8.2609, 8.2609) * CHOOSE(CONTROL!$C$21, $C$9, 100%, $E$9)</f>
        <v>8.2608999999999995</v>
      </c>
      <c r="S116" s="17">
        <f>CHOOSE(CONTROL!$C$42, 6.6112, 6.6112) * CHOOSE(CONTROL!$C$21, $C$9, 100%, $E$9)</f>
        <v>6.6112000000000002</v>
      </c>
      <c r="T116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116" s="56">
        <f>(1000*CHOOSE(CONTROL!$C$42, 695, 695)*CHOOSE(CONTROL!$C$42, 0.5599, 0.5599)*CHOOSE(CONTROL!$C$42, 31, 31))/1000000</f>
        <v>12.063045499999998</v>
      </c>
      <c r="V116" s="56">
        <f>(1000*CHOOSE(CONTROL!$C$42, 500, 500)*CHOOSE(CONTROL!$C$42, 0.275, 0.275)*CHOOSE(CONTROL!$C$42, 31, 31))/1000000</f>
        <v>4.2625000000000002</v>
      </c>
      <c r="W116" s="56">
        <f>(1000*CHOOSE(CONTROL!$C$42, 0.0916, 0.0916)*CHOOSE(CONTROL!$C$42, 121.5, 121.5)*CHOOSE(CONTROL!$C$42, 31, 31))/1000000</f>
        <v>0.34501139999999997</v>
      </c>
      <c r="X116" s="56">
        <f>(31*0.1790888*145000/1000000)+(31*0.2374*100000/1000000)</f>
        <v>1.5409441560000001</v>
      </c>
      <c r="Y116" s="56"/>
      <c r="Z116" s="17"/>
      <c r="AA116" s="55"/>
      <c r="AB116" s="48">
        <f>(B116*194.205+C116*267.466+D116*133.845+E116*153.484+F116*40+G116*85+H116*0+I116*100+J116*300)/(194.205+267.466+133.845+153.484+0+40+85+100+300)</f>
        <v>6.9019985619309265</v>
      </c>
      <c r="AC116" s="45">
        <f>(M116*'RAP TEMPLATE-GAS AVAILABILITY'!O115+N116*'RAP TEMPLATE-GAS AVAILABILITY'!P115+O116*'RAP TEMPLATE-GAS AVAILABILITY'!Q115+P116*'RAP TEMPLATE-GAS AVAILABILITY'!R115)/('RAP TEMPLATE-GAS AVAILABILITY'!O115+'RAP TEMPLATE-GAS AVAILABILITY'!P115+'RAP TEMPLATE-GAS AVAILABILITY'!Q115+'RAP TEMPLATE-GAS AVAILABILITY'!R115)</f>
        <v>6.8672510791366905</v>
      </c>
    </row>
    <row r="117" spans="1:29" ht="15.75" x14ac:dyDescent="0.25">
      <c r="A117" s="16">
        <v>44075</v>
      </c>
      <c r="B117" s="17">
        <f>CHOOSE(CONTROL!$C$42, 6.4098, 6.4098) * CHOOSE(CONTROL!$C$21, $C$9, 100%, $E$9)</f>
        <v>6.4097999999999997</v>
      </c>
      <c r="C117" s="17">
        <f>CHOOSE(CONTROL!$C$42, 6.4178, 6.4178) * CHOOSE(CONTROL!$C$21, $C$9, 100%, $E$9)</f>
        <v>6.4177999999999997</v>
      </c>
      <c r="D117" s="17">
        <f>CHOOSE(CONTROL!$C$42, 6.6777, 6.6777) * CHOOSE(CONTROL!$C$21, $C$9, 100%, $E$9)</f>
        <v>6.6776999999999997</v>
      </c>
      <c r="E117" s="17">
        <f>CHOOSE(CONTROL!$C$42, 6.7089, 6.7089) * CHOOSE(CONTROL!$C$21, $C$9, 100%, $E$9)</f>
        <v>6.7088999999999999</v>
      </c>
      <c r="F117" s="17">
        <f>CHOOSE(CONTROL!$C$42, 6.4204, 6.4204)*CHOOSE(CONTROL!$C$21, $C$9, 100%, $E$9)</f>
        <v>6.4203999999999999</v>
      </c>
      <c r="G117" s="17">
        <f>CHOOSE(CONTROL!$C$42, 6.4371, 6.4371)*CHOOSE(CONTROL!$C$21, $C$9, 100%, $E$9)</f>
        <v>6.4371</v>
      </c>
      <c r="H117" s="17">
        <f>CHOOSE(CONTROL!$C$42, 6.6972, 6.6972) * CHOOSE(CONTROL!$C$21, $C$9, 100%, $E$9)</f>
        <v>6.6971999999999996</v>
      </c>
      <c r="I117" s="17">
        <f>CHOOSE(CONTROL!$C$42, 6.4535, 6.4535)* CHOOSE(CONTROL!$C$21, $C$9, 100%, $E$9)</f>
        <v>6.4535</v>
      </c>
      <c r="J117" s="17">
        <f>CHOOSE(CONTROL!$C$42, 6.413, 6.413)* CHOOSE(CONTROL!$C$21, $C$9, 100%, $E$9)</f>
        <v>6.4130000000000003</v>
      </c>
      <c r="K117" s="52">
        <f>CHOOSE(CONTROL!$C$42, 6.4475, 6.4475) * CHOOSE(CONTROL!$C$21, $C$9, 100%, $E$9)</f>
        <v>6.4474999999999998</v>
      </c>
      <c r="L117" s="17">
        <f>CHOOSE(CONTROL!$C$42, 7.2842, 7.2842) * CHOOSE(CONTROL!$C$21, $C$9, 100%, $E$9)</f>
        <v>7.2842000000000002</v>
      </c>
      <c r="M117" s="17">
        <f>CHOOSE(CONTROL!$C$42, 6.3623, 6.3623) * CHOOSE(CONTROL!$C$21, $C$9, 100%, $E$9)</f>
        <v>6.3623000000000003</v>
      </c>
      <c r="N117" s="17">
        <f>CHOOSE(CONTROL!$C$42, 6.3789, 6.3789) * CHOOSE(CONTROL!$C$21, $C$9, 100%, $E$9)</f>
        <v>6.3788999999999998</v>
      </c>
      <c r="O117" s="17">
        <f>CHOOSE(CONTROL!$C$42, 6.644, 6.644) * CHOOSE(CONTROL!$C$21, $C$9, 100%, $E$9)</f>
        <v>6.6440000000000001</v>
      </c>
      <c r="P117" s="17">
        <f>CHOOSE(CONTROL!$C$42, 6.4023, 6.4023) * CHOOSE(CONTROL!$C$21, $C$9, 100%, $E$9)</f>
        <v>6.4023000000000003</v>
      </c>
      <c r="Q117" s="17">
        <f>CHOOSE(CONTROL!$C$42, 7.2387, 7.2387) * CHOOSE(CONTROL!$C$21, $C$9, 100%, $E$9)</f>
        <v>7.2386999999999997</v>
      </c>
      <c r="R117" s="17">
        <f>CHOOSE(CONTROL!$C$42, 7.8438, 7.8438) * CHOOSE(CONTROL!$C$21, $C$9, 100%, $E$9)</f>
        <v>7.8437999999999999</v>
      </c>
      <c r="S117" s="17">
        <f>CHOOSE(CONTROL!$C$42, 6.204, 6.204) * CHOOSE(CONTROL!$C$21, $C$9, 100%, $E$9)</f>
        <v>6.2039999999999997</v>
      </c>
      <c r="T117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117" s="56">
        <f>(1000*CHOOSE(CONTROL!$C$42, 695, 695)*CHOOSE(CONTROL!$C$42, 0.5599, 0.5599)*CHOOSE(CONTROL!$C$42, 30, 30))/1000000</f>
        <v>11.673914999999997</v>
      </c>
      <c r="V117" s="56">
        <f>(1000*CHOOSE(CONTROL!$C$42, 500, 500)*CHOOSE(CONTROL!$C$42, 0.275, 0.275)*CHOOSE(CONTROL!$C$42, 30, 30))/1000000</f>
        <v>4.125</v>
      </c>
      <c r="W117" s="56">
        <f>(1000*CHOOSE(CONTROL!$C$42, 0.0916, 0.0916)*CHOOSE(CONTROL!$C$42, 121.5, 121.5)*CHOOSE(CONTROL!$C$42, 30, 30))/1000000</f>
        <v>0.33388200000000001</v>
      </c>
      <c r="X117" s="56">
        <f>(30*0.1790888*145000/1000000)+(30*0.2374*100000/1000000)</f>
        <v>1.4912362799999999</v>
      </c>
      <c r="Y117" s="56"/>
      <c r="Z117" s="17"/>
      <c r="AA117" s="55"/>
      <c r="AB117" s="48">
        <f>(B117*194.205+C117*267.466+D117*133.845+E117*153.484+F117*40+G117*85+H117*0+I117*100+J117*300)/(194.205+267.466+133.845+153.484+0+40+85+100+300)</f>
        <v>6.4819965211146</v>
      </c>
      <c r="AC117" s="45">
        <f>(M117*'RAP TEMPLATE-GAS AVAILABILITY'!O116+N117*'RAP TEMPLATE-GAS AVAILABILITY'!P116+O117*'RAP TEMPLATE-GAS AVAILABILITY'!Q116+P117*'RAP TEMPLATE-GAS AVAILABILITY'!R116)/('RAP TEMPLATE-GAS AVAILABILITY'!O116+'RAP TEMPLATE-GAS AVAILABILITY'!P116+'RAP TEMPLATE-GAS AVAILABILITY'!Q116+'RAP TEMPLATE-GAS AVAILABILITY'!R116)</f>
        <v>6.4509151079136693</v>
      </c>
    </row>
    <row r="118" spans="1:29" ht="15.75" x14ac:dyDescent="0.25">
      <c r="A118" s="16">
        <v>44105</v>
      </c>
      <c r="B118" s="17">
        <f>CHOOSE(CONTROL!$C$42, 6.2911, 6.2911) * CHOOSE(CONTROL!$C$21, $C$9, 100%, $E$9)</f>
        <v>6.2911000000000001</v>
      </c>
      <c r="C118" s="17">
        <f>CHOOSE(CONTROL!$C$42, 6.2964, 6.2964) * CHOOSE(CONTROL!$C$21, $C$9, 100%, $E$9)</f>
        <v>6.2964000000000002</v>
      </c>
      <c r="D118" s="17">
        <f>CHOOSE(CONTROL!$C$42, 6.5612, 6.5612) * CHOOSE(CONTROL!$C$21, $C$9, 100%, $E$9)</f>
        <v>6.5612000000000004</v>
      </c>
      <c r="E118" s="17">
        <f>CHOOSE(CONTROL!$C$42, 6.5901, 6.5901) * CHOOSE(CONTROL!$C$21, $C$9, 100%, $E$9)</f>
        <v>6.5900999999999996</v>
      </c>
      <c r="F118" s="17">
        <f>CHOOSE(CONTROL!$C$42, 6.3039, 6.3039)*CHOOSE(CONTROL!$C$21, $C$9, 100%, $E$9)</f>
        <v>6.3038999999999996</v>
      </c>
      <c r="G118" s="17">
        <f>CHOOSE(CONTROL!$C$42, 6.3205, 6.3205)*CHOOSE(CONTROL!$C$21, $C$9, 100%, $E$9)</f>
        <v>6.3205</v>
      </c>
      <c r="H118" s="17">
        <f>CHOOSE(CONTROL!$C$42, 6.5802, 6.5802) * CHOOSE(CONTROL!$C$21, $C$9, 100%, $E$9)</f>
        <v>6.5801999999999996</v>
      </c>
      <c r="I118" s="17">
        <f>CHOOSE(CONTROL!$C$42, 6.3362, 6.3362)* CHOOSE(CONTROL!$C$21, $C$9, 100%, $E$9)</f>
        <v>6.3361999999999998</v>
      </c>
      <c r="J118" s="17">
        <f>CHOOSE(CONTROL!$C$42, 6.2965, 6.2965)* CHOOSE(CONTROL!$C$21, $C$9, 100%, $E$9)</f>
        <v>6.2965</v>
      </c>
      <c r="K118" s="52">
        <f>CHOOSE(CONTROL!$C$42, 6.3301, 6.3301) * CHOOSE(CONTROL!$C$21, $C$9, 100%, $E$9)</f>
        <v>6.3300999999999998</v>
      </c>
      <c r="L118" s="17">
        <f>CHOOSE(CONTROL!$C$42, 7.1672, 7.1672) * CHOOSE(CONTROL!$C$21, $C$9, 100%, $E$9)</f>
        <v>7.1672000000000002</v>
      </c>
      <c r="M118" s="17">
        <f>CHOOSE(CONTROL!$C$42, 6.2469, 6.2469) * CHOOSE(CONTROL!$C$21, $C$9, 100%, $E$9)</f>
        <v>6.2469000000000001</v>
      </c>
      <c r="N118" s="17">
        <f>CHOOSE(CONTROL!$C$42, 6.2633, 6.2633) * CHOOSE(CONTROL!$C$21, $C$9, 100%, $E$9)</f>
        <v>6.2633000000000001</v>
      </c>
      <c r="O118" s="17">
        <f>CHOOSE(CONTROL!$C$42, 6.528, 6.528) * CHOOSE(CONTROL!$C$21, $C$9, 100%, $E$9)</f>
        <v>6.5279999999999996</v>
      </c>
      <c r="P118" s="17">
        <f>CHOOSE(CONTROL!$C$42, 6.2861, 6.2861) * CHOOSE(CONTROL!$C$21, $C$9, 100%, $E$9)</f>
        <v>6.2861000000000002</v>
      </c>
      <c r="Q118" s="17">
        <f>CHOOSE(CONTROL!$C$42, 7.1227, 7.1227) * CHOOSE(CONTROL!$C$21, $C$9, 100%, $E$9)</f>
        <v>7.1227</v>
      </c>
      <c r="R118" s="17">
        <f>CHOOSE(CONTROL!$C$42, 7.7275, 7.7275) * CHOOSE(CONTROL!$C$21, $C$9, 100%, $E$9)</f>
        <v>7.7275</v>
      </c>
      <c r="S118" s="17">
        <f>CHOOSE(CONTROL!$C$42, 6.0905, 6.0905) * CHOOSE(CONTROL!$C$21, $C$9, 100%, $E$9)</f>
        <v>6.0904999999999996</v>
      </c>
      <c r="T118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118" s="56">
        <f>(1000*CHOOSE(CONTROL!$C$42, 695, 695)*CHOOSE(CONTROL!$C$42, 0.5599, 0.5599)*CHOOSE(CONTROL!$C$42, 31, 31))/1000000</f>
        <v>12.063045499999998</v>
      </c>
      <c r="V118" s="56">
        <f>(1000*CHOOSE(CONTROL!$C$42, 500, 500)*CHOOSE(CONTROL!$C$42, 0.275, 0.275)*CHOOSE(CONTROL!$C$42, 31, 31))/1000000</f>
        <v>4.2625000000000002</v>
      </c>
      <c r="W118" s="56">
        <f>(1000*CHOOSE(CONTROL!$C$42, 0.0916, 0.0916)*CHOOSE(CONTROL!$C$42, 121.5, 121.5)*CHOOSE(CONTROL!$C$42, 31, 31))/1000000</f>
        <v>0.34501139999999997</v>
      </c>
      <c r="X118" s="56">
        <f>(31*0.1790888*145000/1000000)+(31*0.2374*100000/1000000)</f>
        <v>1.5409441560000001</v>
      </c>
      <c r="Y118" s="56"/>
      <c r="Z118" s="17"/>
      <c r="AA118" s="55"/>
      <c r="AB118" s="48">
        <f>(B118*131.881+C118*277.167+D118*79.08+E118*225.872+F118*40+G118*85+H118*0+I118*100+J118*300)/(131.881+277.167+79.08+225.872+0+40+85+100+300)</f>
        <v>6.3714109129136398</v>
      </c>
      <c r="AC118" s="45">
        <f>(M118*'RAP TEMPLATE-GAS AVAILABILITY'!O117+N118*'RAP TEMPLATE-GAS AVAILABILITY'!P117+O118*'RAP TEMPLATE-GAS AVAILABILITY'!Q117+P118*'RAP TEMPLATE-GAS AVAILABILITY'!R117)/('RAP TEMPLATE-GAS AVAILABILITY'!O117+'RAP TEMPLATE-GAS AVAILABILITY'!P117+'RAP TEMPLATE-GAS AVAILABILITY'!Q117+'RAP TEMPLATE-GAS AVAILABILITY'!R117)</f>
        <v>6.3351856115107914</v>
      </c>
    </row>
    <row r="119" spans="1:29" ht="15.75" x14ac:dyDescent="0.25">
      <c r="A119" s="16">
        <v>44136</v>
      </c>
      <c r="B119" s="17">
        <f>CHOOSE(CONTROL!$C$42, 6.4694, 6.4694) * CHOOSE(CONTROL!$C$21, $C$9, 100%, $E$9)</f>
        <v>6.4694000000000003</v>
      </c>
      <c r="C119" s="17">
        <f>CHOOSE(CONTROL!$C$42, 6.4745, 6.4745) * CHOOSE(CONTROL!$C$21, $C$9, 100%, $E$9)</f>
        <v>6.4744999999999999</v>
      </c>
      <c r="D119" s="17">
        <f>CHOOSE(CONTROL!$C$42, 6.6151, 6.6151) * CHOOSE(CONTROL!$C$21, $C$9, 100%, $E$9)</f>
        <v>6.6151</v>
      </c>
      <c r="E119" s="17">
        <f>CHOOSE(CONTROL!$C$42, 6.6489, 6.6489) * CHOOSE(CONTROL!$C$21, $C$9, 100%, $E$9)</f>
        <v>6.6489000000000003</v>
      </c>
      <c r="F119" s="17">
        <f>CHOOSE(CONTROL!$C$42, 6.4827, 6.4827)*CHOOSE(CONTROL!$C$21, $C$9, 100%, $E$9)</f>
        <v>6.4827000000000004</v>
      </c>
      <c r="G119" s="17">
        <f>CHOOSE(CONTROL!$C$42, 6.4995, 6.4995)*CHOOSE(CONTROL!$C$21, $C$9, 100%, $E$9)</f>
        <v>6.4995000000000003</v>
      </c>
      <c r="H119" s="17">
        <f>CHOOSE(CONTROL!$C$42, 6.6378, 6.6378) * CHOOSE(CONTROL!$C$21, $C$9, 100%, $E$9)</f>
        <v>6.6378000000000004</v>
      </c>
      <c r="I119" s="17">
        <f>CHOOSE(CONTROL!$C$42, 6.5118, 6.5118)* CHOOSE(CONTROL!$C$21, $C$9, 100%, $E$9)</f>
        <v>6.5118</v>
      </c>
      <c r="J119" s="17">
        <f>CHOOSE(CONTROL!$C$42, 6.4753, 6.4753)* CHOOSE(CONTROL!$C$21, $C$9, 100%, $E$9)</f>
        <v>6.4752999999999998</v>
      </c>
      <c r="K119" s="52">
        <f>CHOOSE(CONTROL!$C$42, 6.5058, 6.5058) * CHOOSE(CONTROL!$C$21, $C$9, 100%, $E$9)</f>
        <v>6.5057999999999998</v>
      </c>
      <c r="L119" s="17">
        <f>CHOOSE(CONTROL!$C$42, 7.2248, 7.2248) * CHOOSE(CONTROL!$C$21, $C$9, 100%, $E$9)</f>
        <v>7.2248000000000001</v>
      </c>
      <c r="M119" s="17">
        <f>CHOOSE(CONTROL!$C$42, 6.424, 6.424) * CHOOSE(CONTROL!$C$21, $C$9, 100%, $E$9)</f>
        <v>6.4240000000000004</v>
      </c>
      <c r="N119" s="17">
        <f>CHOOSE(CONTROL!$C$42, 6.4407, 6.4407) * CHOOSE(CONTROL!$C$21, $C$9, 100%, $E$9)</f>
        <v>6.4406999999999996</v>
      </c>
      <c r="O119" s="17">
        <f>CHOOSE(CONTROL!$C$42, 6.5851, 6.5851) * CHOOSE(CONTROL!$C$21, $C$9, 100%, $E$9)</f>
        <v>6.5850999999999997</v>
      </c>
      <c r="P119" s="17">
        <f>CHOOSE(CONTROL!$C$42, 6.4601, 6.4601) * CHOOSE(CONTROL!$C$21, $C$9, 100%, $E$9)</f>
        <v>6.4600999999999997</v>
      </c>
      <c r="Q119" s="17">
        <f>CHOOSE(CONTROL!$C$42, 7.1798, 7.1798) * CHOOSE(CONTROL!$C$21, $C$9, 100%, $E$9)</f>
        <v>7.1798000000000002</v>
      </c>
      <c r="R119" s="17">
        <f>CHOOSE(CONTROL!$C$42, 7.7847, 7.7847) * CHOOSE(CONTROL!$C$21, $C$9, 100%, $E$9)</f>
        <v>7.7847</v>
      </c>
      <c r="S119" s="17">
        <f>CHOOSE(CONTROL!$C$42, 6.2639, 6.2639) * CHOOSE(CONTROL!$C$21, $C$9, 100%, $E$9)</f>
        <v>6.2638999999999996</v>
      </c>
      <c r="T119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119" s="56">
        <f>(1000*CHOOSE(CONTROL!$C$42, 695, 695)*CHOOSE(CONTROL!$C$42, 0.5599, 0.5599)*CHOOSE(CONTROL!$C$42, 30, 30))/1000000</f>
        <v>11.673914999999997</v>
      </c>
      <c r="V119" s="56">
        <f>(1000*CHOOSE(CONTROL!$C$42, 500, 500)*CHOOSE(CONTROL!$C$42, 0.275, 0.275)*CHOOSE(CONTROL!$C$42, 30, 30))/1000000</f>
        <v>4.125</v>
      </c>
      <c r="W119" s="56">
        <f>(1000*CHOOSE(CONTROL!$C$42, 0.0916, 0.0916)*CHOOSE(CONTROL!$C$42, 121.5, 121.5)*CHOOSE(CONTROL!$C$42, 30, 30))/1000000</f>
        <v>0.33388200000000001</v>
      </c>
      <c r="X119" s="56">
        <f>(30*0.2374*100000/1000000)</f>
        <v>0.71220000000000006</v>
      </c>
      <c r="Y119" s="56"/>
      <c r="Z119" s="17"/>
      <c r="AA119" s="55"/>
      <c r="AB119" s="48">
        <f>(B119*122.58+C119*297.941+D119*89.177+E119*140.302+F119*40+G119*60+H119*0+I119*100+J119*300)/(122.58+297.941+89.177+140.302+0+40+60+100+300)</f>
        <v>6.5111780843478257</v>
      </c>
      <c r="AC119" s="45">
        <f>(M119*'RAP TEMPLATE-GAS AVAILABILITY'!O118+N119*'RAP TEMPLATE-GAS AVAILABILITY'!P118+O119*'RAP TEMPLATE-GAS AVAILABILITY'!Q118+P119*'RAP TEMPLATE-GAS AVAILABILITY'!R118)/('RAP TEMPLATE-GAS AVAILABILITY'!O118+'RAP TEMPLATE-GAS AVAILABILITY'!P118+'RAP TEMPLATE-GAS AVAILABILITY'!Q118+'RAP TEMPLATE-GAS AVAILABILITY'!R118)</f>
        <v>6.503171942446043</v>
      </c>
    </row>
    <row r="120" spans="1:29" ht="15.75" x14ac:dyDescent="0.25">
      <c r="A120" s="16">
        <v>44166</v>
      </c>
      <c r="B120" s="17">
        <f>CHOOSE(CONTROL!$C$42, 6.924, 6.924) * CHOOSE(CONTROL!$C$21, $C$9, 100%, $E$9)</f>
        <v>6.9240000000000004</v>
      </c>
      <c r="C120" s="17">
        <f>CHOOSE(CONTROL!$C$42, 6.929, 6.929) * CHOOSE(CONTROL!$C$21, $C$9, 100%, $E$9)</f>
        <v>6.9290000000000003</v>
      </c>
      <c r="D120" s="17">
        <f>CHOOSE(CONTROL!$C$42, 7.0697, 7.0697) * CHOOSE(CONTROL!$C$21, $C$9, 100%, $E$9)</f>
        <v>7.0697000000000001</v>
      </c>
      <c r="E120" s="17">
        <f>CHOOSE(CONTROL!$C$42, 7.1035, 7.1035) * CHOOSE(CONTROL!$C$21, $C$9, 100%, $E$9)</f>
        <v>7.1035000000000004</v>
      </c>
      <c r="F120" s="17">
        <f>CHOOSE(CONTROL!$C$42, 6.9397, 6.9397)*CHOOSE(CONTROL!$C$21, $C$9, 100%, $E$9)</f>
        <v>6.9397000000000002</v>
      </c>
      <c r="G120" s="17">
        <f>CHOOSE(CONTROL!$C$42, 6.9572, 6.9572)*CHOOSE(CONTROL!$C$21, $C$9, 100%, $E$9)</f>
        <v>6.9572000000000003</v>
      </c>
      <c r="H120" s="17">
        <f>CHOOSE(CONTROL!$C$42, 7.0923, 7.0923) * CHOOSE(CONTROL!$C$21, $C$9, 100%, $E$9)</f>
        <v>7.0922999999999998</v>
      </c>
      <c r="I120" s="17">
        <f>CHOOSE(CONTROL!$C$42, 6.9678, 6.9678)* CHOOSE(CONTROL!$C$21, $C$9, 100%, $E$9)</f>
        <v>6.9678000000000004</v>
      </c>
      <c r="J120" s="17">
        <f>CHOOSE(CONTROL!$C$42, 6.9323, 6.9323)* CHOOSE(CONTROL!$C$21, $C$9, 100%, $E$9)</f>
        <v>6.9322999999999997</v>
      </c>
      <c r="K120" s="52">
        <f>CHOOSE(CONTROL!$C$42, 6.9618, 6.9618) * CHOOSE(CONTROL!$C$21, $C$9, 100%, $E$9)</f>
        <v>6.9618000000000002</v>
      </c>
      <c r="L120" s="17">
        <f>CHOOSE(CONTROL!$C$42, 7.6793, 7.6793) * CHOOSE(CONTROL!$C$21, $C$9, 100%, $E$9)</f>
        <v>7.6792999999999996</v>
      </c>
      <c r="M120" s="17">
        <f>CHOOSE(CONTROL!$C$42, 6.8769, 6.8769) * CHOOSE(CONTROL!$C$21, $C$9, 100%, $E$9)</f>
        <v>6.8769</v>
      </c>
      <c r="N120" s="17">
        <f>CHOOSE(CONTROL!$C$42, 6.8943, 6.8943) * CHOOSE(CONTROL!$C$21, $C$9, 100%, $E$9)</f>
        <v>6.8943000000000003</v>
      </c>
      <c r="O120" s="17">
        <f>CHOOSE(CONTROL!$C$42, 7.0356, 7.0356) * CHOOSE(CONTROL!$C$21, $C$9, 100%, $E$9)</f>
        <v>7.0355999999999996</v>
      </c>
      <c r="P120" s="17">
        <f>CHOOSE(CONTROL!$C$42, 6.912, 6.912) * CHOOSE(CONTROL!$C$21, $C$9, 100%, $E$9)</f>
        <v>6.9119999999999999</v>
      </c>
      <c r="Q120" s="17">
        <f>CHOOSE(CONTROL!$C$42, 7.6303, 7.6303) * CHOOSE(CONTROL!$C$21, $C$9, 100%, $E$9)</f>
        <v>7.6303000000000001</v>
      </c>
      <c r="R120" s="17">
        <f>CHOOSE(CONTROL!$C$42, 8.2363, 8.2363) * CHOOSE(CONTROL!$C$21, $C$9, 100%, $E$9)</f>
        <v>8.2363</v>
      </c>
      <c r="S120" s="17">
        <f>CHOOSE(CONTROL!$C$42, 6.7046, 6.7046) * CHOOSE(CONTROL!$C$21, $C$9, 100%, $E$9)</f>
        <v>6.7046000000000001</v>
      </c>
      <c r="T120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120" s="56">
        <f>(1000*CHOOSE(CONTROL!$C$42, 695, 695)*CHOOSE(CONTROL!$C$42, 0.5599, 0.5599)*CHOOSE(CONTROL!$C$42, 31, 31))/1000000</f>
        <v>12.063045499999998</v>
      </c>
      <c r="V120" s="56">
        <f>(1000*CHOOSE(CONTROL!$C$42, 500, 500)*CHOOSE(CONTROL!$C$42, 0.275, 0.275)*CHOOSE(CONTROL!$C$42, 31, 31))/1000000</f>
        <v>4.2625000000000002</v>
      </c>
      <c r="W120" s="56">
        <f>(1000*CHOOSE(CONTROL!$C$42, 0.0916, 0.0916)*CHOOSE(CONTROL!$C$42, 121.5, 121.5)*CHOOSE(CONTROL!$C$42, 31, 31))/1000000</f>
        <v>0.34501139999999997</v>
      </c>
      <c r="X120" s="56">
        <f>(31*0.2374*100000/1000000)</f>
        <v>0.73594000000000004</v>
      </c>
      <c r="Y120" s="56"/>
      <c r="Z120" s="17"/>
      <c r="AA120" s="55"/>
      <c r="AB120" s="48">
        <f>(B120*122.58+C120*297.941+D120*89.177+E120*140.302+F120*40+G120*60+H120*0+I120*100+J120*300)/(122.58+297.941+89.177+140.302+0+40+60+100+300)</f>
        <v>6.9667452199130437</v>
      </c>
      <c r="AC120" s="45">
        <f>(M120*'RAP TEMPLATE-GAS AVAILABILITY'!O119+N120*'RAP TEMPLATE-GAS AVAILABILITY'!P119+O120*'RAP TEMPLATE-GAS AVAILABILITY'!Q119+P120*'RAP TEMPLATE-GAS AVAILABILITY'!R119)/('RAP TEMPLATE-GAS AVAILABILITY'!O119+'RAP TEMPLATE-GAS AVAILABILITY'!P119+'RAP TEMPLATE-GAS AVAILABILITY'!Q119+'RAP TEMPLATE-GAS AVAILABILITY'!R119)</f>
        <v>6.9548805755395682</v>
      </c>
    </row>
    <row r="121" spans="1:29" ht="15.75" x14ac:dyDescent="0.25">
      <c r="A121" s="16">
        <v>44197</v>
      </c>
      <c r="B121" s="17">
        <f>CHOOSE(CONTROL!$C$42, 7.467, 7.467) * CHOOSE(CONTROL!$C$21, $C$9, 100%, $E$9)</f>
        <v>7.4669999999999996</v>
      </c>
      <c r="C121" s="17">
        <f>CHOOSE(CONTROL!$C$42, 7.4721, 7.4721) * CHOOSE(CONTROL!$C$21, $C$9, 100%, $E$9)</f>
        <v>7.4721000000000002</v>
      </c>
      <c r="D121" s="17">
        <f>CHOOSE(CONTROL!$C$42, 7.606, 7.606) * CHOOSE(CONTROL!$C$21, $C$9, 100%, $E$9)</f>
        <v>7.6059999999999999</v>
      </c>
      <c r="E121" s="17">
        <f>CHOOSE(CONTROL!$C$42, 7.6398, 7.6398) * CHOOSE(CONTROL!$C$21, $C$9, 100%, $E$9)</f>
        <v>7.6398000000000001</v>
      </c>
      <c r="F121" s="17">
        <f>CHOOSE(CONTROL!$C$42, 7.4805, 7.4805)*CHOOSE(CONTROL!$C$21, $C$9, 100%, $E$9)</f>
        <v>7.4805000000000001</v>
      </c>
      <c r="G121" s="17">
        <f>CHOOSE(CONTROL!$C$42, 7.4973, 7.4973)*CHOOSE(CONTROL!$C$21, $C$9, 100%, $E$9)</f>
        <v>7.4973000000000001</v>
      </c>
      <c r="H121" s="17">
        <f>CHOOSE(CONTROL!$C$42, 7.6287, 7.6287) * CHOOSE(CONTROL!$C$21, $C$9, 100%, $E$9)</f>
        <v>7.6287000000000003</v>
      </c>
      <c r="I121" s="17">
        <f>CHOOSE(CONTROL!$C$42, 7.5167, 7.5167)* CHOOSE(CONTROL!$C$21, $C$9, 100%, $E$9)</f>
        <v>7.5167000000000002</v>
      </c>
      <c r="J121" s="17">
        <f>CHOOSE(CONTROL!$C$42, 7.4731, 7.4731)* CHOOSE(CONTROL!$C$21, $C$9, 100%, $E$9)</f>
        <v>7.4730999999999996</v>
      </c>
      <c r="K121" s="52">
        <f>CHOOSE(CONTROL!$C$42, 7.5106, 7.5106) * CHOOSE(CONTROL!$C$21, $C$9, 100%, $E$9)</f>
        <v>7.5106000000000002</v>
      </c>
      <c r="L121" s="17">
        <f>CHOOSE(CONTROL!$C$42, 8.2157, 8.2157) * CHOOSE(CONTROL!$C$21, $C$9, 100%, $E$9)</f>
        <v>8.2157</v>
      </c>
      <c r="M121" s="17">
        <f>CHOOSE(CONTROL!$C$42, 7.4128, 7.4128) * CHOOSE(CONTROL!$C$21, $C$9, 100%, $E$9)</f>
        <v>7.4127999999999998</v>
      </c>
      <c r="N121" s="17">
        <f>CHOOSE(CONTROL!$C$42, 7.4296, 7.4296) * CHOOSE(CONTROL!$C$21, $C$9, 100%, $E$9)</f>
        <v>7.4295999999999998</v>
      </c>
      <c r="O121" s="17">
        <f>CHOOSE(CONTROL!$C$42, 7.5671, 7.5671) * CHOOSE(CONTROL!$C$21, $C$9, 100%, $E$9)</f>
        <v>7.5670999999999999</v>
      </c>
      <c r="P121" s="17">
        <f>CHOOSE(CONTROL!$C$42, 7.4559, 7.4559) * CHOOSE(CONTROL!$C$21, $C$9, 100%, $E$9)</f>
        <v>7.4558999999999997</v>
      </c>
      <c r="Q121" s="17">
        <f>CHOOSE(CONTROL!$C$42, 8.1618, 8.1618) * CHOOSE(CONTROL!$C$21, $C$9, 100%, $E$9)</f>
        <v>8.1617999999999995</v>
      </c>
      <c r="R121" s="17">
        <f>CHOOSE(CONTROL!$C$42, 8.7692, 8.7692) * CHOOSE(CONTROL!$C$21, $C$9, 100%, $E$9)</f>
        <v>8.7691999999999997</v>
      </c>
      <c r="S121" s="17">
        <f>CHOOSE(CONTROL!$C$42, 7.2312, 7.2312) * CHOOSE(CONTROL!$C$21, $C$9, 100%, $E$9)</f>
        <v>7.2312000000000003</v>
      </c>
      <c r="T121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121" s="56">
        <f>(1000*CHOOSE(CONTROL!$C$42, 695, 695)*CHOOSE(CONTROL!$C$42, 0.5599, 0.5599)*CHOOSE(CONTROL!$C$42, 31, 31))/1000000</f>
        <v>12.063045499999998</v>
      </c>
      <c r="V121" s="56">
        <f>(1000*CHOOSE(CONTROL!$C$42, 500, 500)*CHOOSE(CONTROL!$C$42, 0.275, 0.275)*CHOOSE(CONTROL!$C$42, 31, 31))/1000000</f>
        <v>4.2625000000000002</v>
      </c>
      <c r="W121" s="56">
        <f>(1000*CHOOSE(CONTROL!$C$42, 0.0916, 0.0916)*CHOOSE(CONTROL!$C$42, 121.5, 121.5)*CHOOSE(CONTROL!$C$42, 31, 31))/1000000</f>
        <v>0.34501139999999997</v>
      </c>
      <c r="X121" s="56">
        <f>(31*0.2374*100000/1000000)</f>
        <v>0.73594000000000004</v>
      </c>
      <c r="Y121" s="56"/>
      <c r="Z121" s="17"/>
      <c r="AA121" s="55"/>
      <c r="AB121" s="48">
        <f>(B121*122.58+C121*297.941+D121*89.177+E121*140.302+F121*40+G121*60+H121*0+I121*100+J121*300)/(122.58+297.941+89.177+140.302+0+40+60+100+300)</f>
        <v>7.5081454675652166</v>
      </c>
      <c r="AC121" s="45">
        <f>(M121*'RAP TEMPLATE-GAS AVAILABILITY'!O120+N121*'RAP TEMPLATE-GAS AVAILABILITY'!P120+O121*'RAP TEMPLATE-GAS AVAILABILITY'!Q120+P121*'RAP TEMPLATE-GAS AVAILABILITY'!R120)/('RAP TEMPLATE-GAS AVAILABILITY'!O120+'RAP TEMPLATE-GAS AVAILABILITY'!P120+'RAP TEMPLATE-GAS AVAILABILITY'!Q120+'RAP TEMPLATE-GAS AVAILABILITY'!R120)</f>
        <v>7.4899028776978422</v>
      </c>
    </row>
    <row r="122" spans="1:29" ht="15.75" x14ac:dyDescent="0.25">
      <c r="A122" s="16">
        <v>44228</v>
      </c>
      <c r="B122" s="17">
        <f>CHOOSE(CONTROL!$C$42, 7.6154, 7.6154) * CHOOSE(CONTROL!$C$21, $C$9, 100%, $E$9)</f>
        <v>7.6154000000000002</v>
      </c>
      <c r="C122" s="17">
        <f>CHOOSE(CONTROL!$C$42, 7.6205, 7.6205) * CHOOSE(CONTROL!$C$21, $C$9, 100%, $E$9)</f>
        <v>7.6204999999999998</v>
      </c>
      <c r="D122" s="17">
        <f>CHOOSE(CONTROL!$C$42, 7.7544, 7.7544) * CHOOSE(CONTROL!$C$21, $C$9, 100%, $E$9)</f>
        <v>7.7544000000000004</v>
      </c>
      <c r="E122" s="17">
        <f>CHOOSE(CONTROL!$C$42, 7.7882, 7.7882) * CHOOSE(CONTROL!$C$21, $C$9, 100%, $E$9)</f>
        <v>7.7881999999999998</v>
      </c>
      <c r="F122" s="17">
        <f>CHOOSE(CONTROL!$C$42, 7.6288, 7.6288)*CHOOSE(CONTROL!$C$21, $C$9, 100%, $E$9)</f>
        <v>7.6288</v>
      </c>
      <c r="G122" s="17">
        <f>CHOOSE(CONTROL!$C$42, 7.6456, 7.6456)*CHOOSE(CONTROL!$C$21, $C$9, 100%, $E$9)</f>
        <v>7.6456</v>
      </c>
      <c r="H122" s="17">
        <f>CHOOSE(CONTROL!$C$42, 7.777, 7.777) * CHOOSE(CONTROL!$C$21, $C$9, 100%, $E$9)</f>
        <v>7.7770000000000001</v>
      </c>
      <c r="I122" s="17">
        <f>CHOOSE(CONTROL!$C$42, 7.6655, 7.6655)* CHOOSE(CONTROL!$C$21, $C$9, 100%, $E$9)</f>
        <v>7.6654999999999998</v>
      </c>
      <c r="J122" s="17">
        <f>CHOOSE(CONTROL!$C$42, 7.6214, 7.6214)* CHOOSE(CONTROL!$C$21, $C$9, 100%, $E$9)</f>
        <v>7.6214000000000004</v>
      </c>
      <c r="K122" s="52">
        <f>CHOOSE(CONTROL!$C$42, 7.6595, 7.6595) * CHOOSE(CONTROL!$C$21, $C$9, 100%, $E$9)</f>
        <v>7.6595000000000004</v>
      </c>
      <c r="L122" s="17">
        <f>CHOOSE(CONTROL!$C$42, 8.364, 8.364) * CHOOSE(CONTROL!$C$21, $C$9, 100%, $E$9)</f>
        <v>8.3640000000000008</v>
      </c>
      <c r="M122" s="17">
        <f>CHOOSE(CONTROL!$C$42, 7.5598, 7.5598) * CHOOSE(CONTROL!$C$21, $C$9, 100%, $E$9)</f>
        <v>7.5598000000000001</v>
      </c>
      <c r="N122" s="17">
        <f>CHOOSE(CONTROL!$C$42, 7.5766, 7.5766) * CHOOSE(CONTROL!$C$21, $C$9, 100%, $E$9)</f>
        <v>7.5766</v>
      </c>
      <c r="O122" s="17">
        <f>CHOOSE(CONTROL!$C$42, 7.7141, 7.7141) * CHOOSE(CONTROL!$C$21, $C$9, 100%, $E$9)</f>
        <v>7.7141000000000002</v>
      </c>
      <c r="P122" s="17">
        <f>CHOOSE(CONTROL!$C$42, 7.6034, 7.6034) * CHOOSE(CONTROL!$C$21, $C$9, 100%, $E$9)</f>
        <v>7.6033999999999997</v>
      </c>
      <c r="Q122" s="17">
        <f>CHOOSE(CONTROL!$C$42, 8.3088, 8.3088) * CHOOSE(CONTROL!$C$21, $C$9, 100%, $E$9)</f>
        <v>8.3087999999999997</v>
      </c>
      <c r="R122" s="17">
        <f>CHOOSE(CONTROL!$C$42, 8.9166, 8.9166) * CHOOSE(CONTROL!$C$21, $C$9, 100%, $E$9)</f>
        <v>8.9166000000000007</v>
      </c>
      <c r="S122" s="17">
        <f>CHOOSE(CONTROL!$C$42, 7.3751, 7.3751) * CHOOSE(CONTROL!$C$21, $C$9, 100%, $E$9)</f>
        <v>7.3750999999999998</v>
      </c>
      <c r="T122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122" s="56">
        <f>(1000*CHOOSE(CONTROL!$C$42, 695, 695)*CHOOSE(CONTROL!$C$42, 0.5599, 0.5599)*CHOOSE(CONTROL!$C$42, 28, 28))/1000000</f>
        <v>10.895653999999999</v>
      </c>
      <c r="V122" s="56">
        <f>(1000*CHOOSE(CONTROL!$C$42, 500, 500)*CHOOSE(CONTROL!$C$42, 0.275, 0.275)*CHOOSE(CONTROL!$C$42, 28, 28))/1000000</f>
        <v>3.85</v>
      </c>
      <c r="W122" s="56">
        <f>(1000*CHOOSE(CONTROL!$C$42, 0.0916, 0.0916)*CHOOSE(CONTROL!$C$42, 121.5, 121.5)*CHOOSE(CONTROL!$C$42, 28, 28))/1000000</f>
        <v>0.31162319999999999</v>
      </c>
      <c r="X122" s="56">
        <f>(28*0.2374*100000/1000000)</f>
        <v>0.66471999999999998</v>
      </c>
      <c r="Y122" s="56"/>
      <c r="Z122" s="17"/>
      <c r="AA122" s="55"/>
      <c r="AB122" s="48">
        <f>(B122*122.58+C122*297.941+D122*89.177+E122*140.302+F122*40+G122*60+H122*0+I122*100+J122*300)/(122.58+297.941+89.177+140.302+0+40+60+100+300)</f>
        <v>7.6565454675652163</v>
      </c>
      <c r="AC122" s="45">
        <f>(M122*'RAP TEMPLATE-GAS AVAILABILITY'!O121+N122*'RAP TEMPLATE-GAS AVAILABILITY'!P121+O122*'RAP TEMPLATE-GAS AVAILABILITY'!Q121+P122*'RAP TEMPLATE-GAS AVAILABILITY'!R121)/('RAP TEMPLATE-GAS AVAILABILITY'!O121+'RAP TEMPLATE-GAS AVAILABILITY'!P121+'RAP TEMPLATE-GAS AVAILABILITY'!Q121+'RAP TEMPLATE-GAS AVAILABILITY'!R121)</f>
        <v>7.6369748201438856</v>
      </c>
    </row>
    <row r="123" spans="1:29" ht="15.75" x14ac:dyDescent="0.25">
      <c r="A123" s="16">
        <v>44256</v>
      </c>
      <c r="B123" s="17">
        <f>CHOOSE(CONTROL!$C$42, 7.4147, 7.4147) * CHOOSE(CONTROL!$C$21, $C$9, 100%, $E$9)</f>
        <v>7.4146999999999998</v>
      </c>
      <c r="C123" s="17">
        <f>CHOOSE(CONTROL!$C$42, 7.4198, 7.4198) * CHOOSE(CONTROL!$C$21, $C$9, 100%, $E$9)</f>
        <v>7.4198000000000004</v>
      </c>
      <c r="D123" s="17">
        <f>CHOOSE(CONTROL!$C$42, 7.5537, 7.5537) * CHOOSE(CONTROL!$C$21, $C$9, 100%, $E$9)</f>
        <v>7.5537000000000001</v>
      </c>
      <c r="E123" s="17">
        <f>CHOOSE(CONTROL!$C$42, 7.5875, 7.5875) * CHOOSE(CONTROL!$C$21, $C$9, 100%, $E$9)</f>
        <v>7.5875000000000004</v>
      </c>
      <c r="F123" s="17">
        <f>CHOOSE(CONTROL!$C$42, 7.4273, 7.4273)*CHOOSE(CONTROL!$C$21, $C$9, 100%, $E$9)</f>
        <v>7.4272999999999998</v>
      </c>
      <c r="G123" s="17">
        <f>CHOOSE(CONTROL!$C$42, 7.444, 7.444)*CHOOSE(CONTROL!$C$21, $C$9, 100%, $E$9)</f>
        <v>7.444</v>
      </c>
      <c r="H123" s="17">
        <f>CHOOSE(CONTROL!$C$42, 7.5764, 7.5764) * CHOOSE(CONTROL!$C$21, $C$9, 100%, $E$9)</f>
        <v>7.5763999999999996</v>
      </c>
      <c r="I123" s="17">
        <f>CHOOSE(CONTROL!$C$42, 7.4642, 7.4642)* CHOOSE(CONTROL!$C$21, $C$9, 100%, $E$9)</f>
        <v>7.4641999999999999</v>
      </c>
      <c r="J123" s="17">
        <f>CHOOSE(CONTROL!$C$42, 7.4199, 7.4199)* CHOOSE(CONTROL!$C$21, $C$9, 100%, $E$9)</f>
        <v>7.4199000000000002</v>
      </c>
      <c r="K123" s="52">
        <f>CHOOSE(CONTROL!$C$42, 7.4581, 7.4581) * CHOOSE(CONTROL!$C$21, $C$9, 100%, $E$9)</f>
        <v>7.4581</v>
      </c>
      <c r="L123" s="17">
        <f>CHOOSE(CONTROL!$C$42, 8.1634, 8.1634) * CHOOSE(CONTROL!$C$21, $C$9, 100%, $E$9)</f>
        <v>8.1633999999999993</v>
      </c>
      <c r="M123" s="17">
        <f>CHOOSE(CONTROL!$C$42, 7.3602, 7.3602) * CHOOSE(CONTROL!$C$21, $C$9, 100%, $E$9)</f>
        <v>7.3601999999999999</v>
      </c>
      <c r="N123" s="17">
        <f>CHOOSE(CONTROL!$C$42, 7.3767, 7.3767) * CHOOSE(CONTROL!$C$21, $C$9, 100%, $E$9)</f>
        <v>7.3766999999999996</v>
      </c>
      <c r="O123" s="17">
        <f>CHOOSE(CONTROL!$C$42, 7.5152, 7.5152) * CHOOSE(CONTROL!$C$21, $C$9, 100%, $E$9)</f>
        <v>7.5152000000000001</v>
      </c>
      <c r="P123" s="17">
        <f>CHOOSE(CONTROL!$C$42, 7.4039, 7.4039) * CHOOSE(CONTROL!$C$21, $C$9, 100%, $E$9)</f>
        <v>7.4039000000000001</v>
      </c>
      <c r="Q123" s="17">
        <f>CHOOSE(CONTROL!$C$42, 8.1099, 8.1099) * CHOOSE(CONTROL!$C$21, $C$9, 100%, $E$9)</f>
        <v>8.1098999999999997</v>
      </c>
      <c r="R123" s="17">
        <f>CHOOSE(CONTROL!$C$42, 8.7172, 8.7172) * CHOOSE(CONTROL!$C$21, $C$9, 100%, $E$9)</f>
        <v>8.7172000000000001</v>
      </c>
      <c r="S123" s="17">
        <f>CHOOSE(CONTROL!$C$42, 7.1805, 7.1805) * CHOOSE(CONTROL!$C$21, $C$9, 100%, $E$9)</f>
        <v>7.1805000000000003</v>
      </c>
      <c r="T123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123" s="56">
        <f>(1000*CHOOSE(CONTROL!$C$42, 695, 695)*CHOOSE(CONTROL!$C$42, 0.5599, 0.5599)*CHOOSE(CONTROL!$C$42, 31, 31))/1000000</f>
        <v>12.063045499999998</v>
      </c>
      <c r="V123" s="56">
        <f>(1000*CHOOSE(CONTROL!$C$42, 500, 500)*CHOOSE(CONTROL!$C$42, 0.275, 0.275)*CHOOSE(CONTROL!$C$42, 31, 31))/1000000</f>
        <v>4.2625000000000002</v>
      </c>
      <c r="W123" s="56">
        <f>(1000*CHOOSE(CONTROL!$C$42, 0.0916, 0.0916)*CHOOSE(CONTROL!$C$42, 121.5, 121.5)*CHOOSE(CONTROL!$C$42, 31, 31))/1000000</f>
        <v>0.34501139999999997</v>
      </c>
      <c r="X123" s="56">
        <f>(31*0.2374*100000/1000000)</f>
        <v>0.73594000000000004</v>
      </c>
      <c r="Y123" s="56"/>
      <c r="Z123" s="17"/>
      <c r="AA123" s="55"/>
      <c r="AB123" s="48">
        <f>(B123*122.58+C123*297.941+D123*89.177+E123*140.302+F123*40+G123*60+H123*0+I123*100+J123*300)/(122.58+297.941+89.177+140.302+0+40+60+100+300)</f>
        <v>7.455509815391304</v>
      </c>
      <c r="AC123" s="45">
        <f>(M123*'RAP TEMPLATE-GAS AVAILABILITY'!O122+N123*'RAP TEMPLATE-GAS AVAILABILITY'!P122+O123*'RAP TEMPLATE-GAS AVAILABILITY'!Q122+P123*'RAP TEMPLATE-GAS AVAILABILITY'!R122)/('RAP TEMPLATE-GAS AVAILABILITY'!O122+'RAP TEMPLATE-GAS AVAILABILITY'!P122+'RAP TEMPLATE-GAS AVAILABILITY'!Q122+'RAP TEMPLATE-GAS AVAILABILITY'!R122)</f>
        <v>7.4376892086330937</v>
      </c>
    </row>
    <row r="124" spans="1:29" ht="15.75" x14ac:dyDescent="0.25">
      <c r="A124" s="16">
        <v>44287</v>
      </c>
      <c r="B124" s="17">
        <f>CHOOSE(CONTROL!$C$42, 7.4088, 7.4088) * CHOOSE(CONTROL!$C$21, $C$9, 100%, $E$9)</f>
        <v>7.4088000000000003</v>
      </c>
      <c r="C124" s="17">
        <f>CHOOSE(CONTROL!$C$42, 7.4133, 7.4133) * CHOOSE(CONTROL!$C$21, $C$9, 100%, $E$9)</f>
        <v>7.4132999999999996</v>
      </c>
      <c r="D124" s="17">
        <f>CHOOSE(CONTROL!$C$42, 7.6763, 7.6763) * CHOOSE(CONTROL!$C$21, $C$9, 100%, $E$9)</f>
        <v>7.6763000000000003</v>
      </c>
      <c r="E124" s="17">
        <f>CHOOSE(CONTROL!$C$42, 7.7081, 7.7081) * CHOOSE(CONTROL!$C$21, $C$9, 100%, $E$9)</f>
        <v>7.7081</v>
      </c>
      <c r="F124" s="17">
        <f>CHOOSE(CONTROL!$C$42, 7.4197, 7.4197)*CHOOSE(CONTROL!$C$21, $C$9, 100%, $E$9)</f>
        <v>7.4196999999999997</v>
      </c>
      <c r="G124" s="17">
        <f>CHOOSE(CONTROL!$C$42, 7.4358, 7.4358)*CHOOSE(CONTROL!$C$21, $C$9, 100%, $E$9)</f>
        <v>7.4358000000000004</v>
      </c>
      <c r="H124" s="17">
        <f>CHOOSE(CONTROL!$C$42, 7.6975, 7.6975) * CHOOSE(CONTROL!$C$21, $C$9, 100%, $E$9)</f>
        <v>7.6974999999999998</v>
      </c>
      <c r="I124" s="17">
        <f>CHOOSE(CONTROL!$C$42, 7.457, 7.457)* CHOOSE(CONTROL!$C$21, $C$9, 100%, $E$9)</f>
        <v>7.4569999999999999</v>
      </c>
      <c r="J124" s="17">
        <f>CHOOSE(CONTROL!$C$42, 7.4123, 7.4123)* CHOOSE(CONTROL!$C$21, $C$9, 100%, $E$9)</f>
        <v>7.4123000000000001</v>
      </c>
      <c r="K124" s="52">
        <f>CHOOSE(CONTROL!$C$42, 7.4509, 7.4509) * CHOOSE(CONTROL!$C$21, $C$9, 100%, $E$9)</f>
        <v>7.4508999999999999</v>
      </c>
      <c r="L124" s="17">
        <f>CHOOSE(CONTROL!$C$42, 8.2845, 8.2845) * CHOOSE(CONTROL!$C$21, $C$9, 100%, $E$9)</f>
        <v>8.2844999999999995</v>
      </c>
      <c r="M124" s="17">
        <f>CHOOSE(CONTROL!$C$42, 7.3526, 7.3526) * CHOOSE(CONTROL!$C$21, $C$9, 100%, $E$9)</f>
        <v>7.3525999999999998</v>
      </c>
      <c r="N124" s="17">
        <f>CHOOSE(CONTROL!$C$42, 7.3686, 7.3686) * CHOOSE(CONTROL!$C$21, $C$9, 100%, $E$9)</f>
        <v>7.3685999999999998</v>
      </c>
      <c r="O124" s="17">
        <f>CHOOSE(CONTROL!$C$42, 7.6353, 7.6353) * CHOOSE(CONTROL!$C$21, $C$9, 100%, $E$9)</f>
        <v>7.6353</v>
      </c>
      <c r="P124" s="17">
        <f>CHOOSE(CONTROL!$C$42, 7.3967, 7.3967) * CHOOSE(CONTROL!$C$21, $C$9, 100%, $E$9)</f>
        <v>7.3967000000000001</v>
      </c>
      <c r="Q124" s="17">
        <f>CHOOSE(CONTROL!$C$42, 8.23, 8.23) * CHOOSE(CONTROL!$C$21, $C$9, 100%, $E$9)</f>
        <v>8.23</v>
      </c>
      <c r="R124" s="17">
        <f>CHOOSE(CONTROL!$C$42, 8.8376, 8.8376) * CHOOSE(CONTROL!$C$21, $C$9, 100%, $E$9)</f>
        <v>8.8376000000000001</v>
      </c>
      <c r="S124" s="17">
        <f>CHOOSE(CONTROL!$C$42, 7.174, 7.174) * CHOOSE(CONTROL!$C$21, $C$9, 100%, $E$9)</f>
        <v>7.1740000000000004</v>
      </c>
      <c r="T124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124" s="56">
        <f>(1000*CHOOSE(CONTROL!$C$42, 695, 695)*CHOOSE(CONTROL!$C$42, 0.5599, 0.5599)*CHOOSE(CONTROL!$C$42, 30, 30))/1000000</f>
        <v>11.673914999999997</v>
      </c>
      <c r="V124" s="56">
        <f>(1000*CHOOSE(CONTROL!$C$42, 500, 500)*CHOOSE(CONTROL!$C$42, 0.275, 0.275)*CHOOSE(CONTROL!$C$42, 30, 30))/1000000</f>
        <v>4.125</v>
      </c>
      <c r="W124" s="56">
        <f>(1000*CHOOSE(CONTROL!$C$42, 0.0916, 0.0916)*CHOOSE(CONTROL!$C$42, 121.5, 121.5)*CHOOSE(CONTROL!$C$42, 30, 30))/1000000</f>
        <v>0.33388200000000001</v>
      </c>
      <c r="X124" s="56">
        <f>(30*0.1790888*145000/1000000)+(30*0.2374*100000/1000000)</f>
        <v>1.4912362799999999</v>
      </c>
      <c r="Y124" s="56"/>
      <c r="Z124" s="17"/>
      <c r="AA124" s="55"/>
      <c r="AB124" s="48">
        <f>(B124*141.293+C124*267.993+D124*115.016+E124*189.698+F124*40+G124*85+H124*0+I124*100+J124*300)/(141.293+267.993+115.016+189.698+0+40+85+100+300)</f>
        <v>7.4873717190476183</v>
      </c>
      <c r="AC124" s="45">
        <f>(M124*'RAP TEMPLATE-GAS AVAILABILITY'!O123+N124*'RAP TEMPLATE-GAS AVAILABILITY'!P123+O124*'RAP TEMPLATE-GAS AVAILABILITY'!Q123+P124*'RAP TEMPLATE-GAS AVAILABILITY'!R123)/('RAP TEMPLATE-GAS AVAILABILITY'!O123+'RAP TEMPLATE-GAS AVAILABILITY'!P123+'RAP TEMPLATE-GAS AVAILABILITY'!Q123+'RAP TEMPLATE-GAS AVAILABILITY'!R123)</f>
        <v>7.4419474820143892</v>
      </c>
    </row>
    <row r="125" spans="1:29" ht="15.75" x14ac:dyDescent="0.25">
      <c r="A125" s="16">
        <v>44317</v>
      </c>
      <c r="B125" s="17">
        <f>CHOOSE(CONTROL!$C$42, 7.4908, 7.4908) * CHOOSE(CONTROL!$C$21, $C$9, 100%, $E$9)</f>
        <v>7.4908000000000001</v>
      </c>
      <c r="C125" s="17">
        <f>CHOOSE(CONTROL!$C$42, 7.4988, 7.4988) * CHOOSE(CONTROL!$C$21, $C$9, 100%, $E$9)</f>
        <v>7.4988000000000001</v>
      </c>
      <c r="D125" s="17">
        <f>CHOOSE(CONTROL!$C$42, 7.7587, 7.7587) * CHOOSE(CONTROL!$C$21, $C$9, 100%, $E$9)</f>
        <v>7.7587000000000002</v>
      </c>
      <c r="E125" s="17">
        <f>CHOOSE(CONTROL!$C$42, 7.7899, 7.7899) * CHOOSE(CONTROL!$C$21, $C$9, 100%, $E$9)</f>
        <v>7.7899000000000003</v>
      </c>
      <c r="F125" s="17">
        <f>CHOOSE(CONTROL!$C$42, 7.5005, 7.5005)*CHOOSE(CONTROL!$C$21, $C$9, 100%, $E$9)</f>
        <v>7.5004999999999997</v>
      </c>
      <c r="G125" s="17">
        <f>CHOOSE(CONTROL!$C$42, 7.5169, 7.5169)*CHOOSE(CONTROL!$C$21, $C$9, 100%, $E$9)</f>
        <v>7.5168999999999997</v>
      </c>
      <c r="H125" s="17">
        <f>CHOOSE(CONTROL!$C$42, 7.7782, 7.7782) * CHOOSE(CONTROL!$C$21, $C$9, 100%, $E$9)</f>
        <v>7.7782</v>
      </c>
      <c r="I125" s="17">
        <f>CHOOSE(CONTROL!$C$42, 7.5379, 7.5379)* CHOOSE(CONTROL!$C$21, $C$9, 100%, $E$9)</f>
        <v>7.5378999999999996</v>
      </c>
      <c r="J125" s="17">
        <f>CHOOSE(CONTROL!$C$42, 7.4931, 7.4931)* CHOOSE(CONTROL!$C$21, $C$9, 100%, $E$9)</f>
        <v>7.4931000000000001</v>
      </c>
      <c r="K125" s="52">
        <f>CHOOSE(CONTROL!$C$42, 7.5318, 7.5318) * CHOOSE(CONTROL!$C$21, $C$9, 100%, $E$9)</f>
        <v>7.5317999999999996</v>
      </c>
      <c r="L125" s="17">
        <f>CHOOSE(CONTROL!$C$42, 8.3652, 8.3652) * CHOOSE(CONTROL!$C$21, $C$9, 100%, $E$9)</f>
        <v>8.3651999999999997</v>
      </c>
      <c r="M125" s="17">
        <f>CHOOSE(CONTROL!$C$42, 7.4327, 7.4327) * CHOOSE(CONTROL!$C$21, $C$9, 100%, $E$9)</f>
        <v>7.4326999999999996</v>
      </c>
      <c r="N125" s="17">
        <f>CHOOSE(CONTROL!$C$42, 7.449, 7.449) * CHOOSE(CONTROL!$C$21, $C$9, 100%, $E$9)</f>
        <v>7.4489999999999998</v>
      </c>
      <c r="O125" s="17">
        <f>CHOOSE(CONTROL!$C$42, 7.7153, 7.7153) * CHOOSE(CONTROL!$C$21, $C$9, 100%, $E$9)</f>
        <v>7.7153</v>
      </c>
      <c r="P125" s="17">
        <f>CHOOSE(CONTROL!$C$42, 7.4769, 7.4769) * CHOOSE(CONTROL!$C$21, $C$9, 100%, $E$9)</f>
        <v>7.4768999999999997</v>
      </c>
      <c r="Q125" s="17">
        <f>CHOOSE(CONTROL!$C$42, 8.31, 8.31) * CHOOSE(CONTROL!$C$21, $C$9, 100%, $E$9)</f>
        <v>8.31</v>
      </c>
      <c r="R125" s="17">
        <f>CHOOSE(CONTROL!$C$42, 8.9177, 8.9177) * CHOOSE(CONTROL!$C$21, $C$9, 100%, $E$9)</f>
        <v>8.9177</v>
      </c>
      <c r="S125" s="17">
        <f>CHOOSE(CONTROL!$C$42, 7.2522, 7.2522) * CHOOSE(CONTROL!$C$21, $C$9, 100%, $E$9)</f>
        <v>7.2522000000000002</v>
      </c>
      <c r="T125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125" s="56">
        <f>(1000*CHOOSE(CONTROL!$C$42, 695, 695)*CHOOSE(CONTROL!$C$42, 0.5599, 0.5599)*CHOOSE(CONTROL!$C$42, 31, 31))/1000000</f>
        <v>12.063045499999998</v>
      </c>
      <c r="V125" s="56">
        <f>(1000*CHOOSE(CONTROL!$C$42, 500, 500)*CHOOSE(CONTROL!$C$42, 0.275, 0.275)*CHOOSE(CONTROL!$C$42, 31, 31))/1000000</f>
        <v>4.2625000000000002</v>
      </c>
      <c r="W125" s="56">
        <f>(1000*CHOOSE(CONTROL!$C$42, 0.0916, 0.0916)*CHOOSE(CONTROL!$C$42, 121.5, 121.5)*CHOOSE(CONTROL!$C$42, 31, 31))/1000000</f>
        <v>0.34501139999999997</v>
      </c>
      <c r="X125" s="56">
        <f>(31*0.1790888*145000/1000000)+(31*0.2374*100000/1000000)</f>
        <v>1.5409441560000001</v>
      </c>
      <c r="Y125" s="56"/>
      <c r="Z125" s="17"/>
      <c r="AA125" s="55"/>
      <c r="AB125" s="48">
        <f>(B125*194.205+C125*267.466+D125*133.845+E125*153.484+F125*40+G125*85+H125*0+I125*100+J125*300)/(194.205+267.466+133.845+153.484+0+40+85+100+300)</f>
        <v>7.5629431459183669</v>
      </c>
      <c r="AC125" s="45">
        <f>(M125*'RAP TEMPLATE-GAS AVAILABILITY'!O124+N125*'RAP TEMPLATE-GAS AVAILABILITY'!P124+O125*'RAP TEMPLATE-GAS AVAILABILITY'!Q124+P125*'RAP TEMPLATE-GAS AVAILABILITY'!R124)/('RAP TEMPLATE-GAS AVAILABILITY'!O124+'RAP TEMPLATE-GAS AVAILABILITY'!P124+'RAP TEMPLATE-GAS AVAILABILITY'!Q124+'RAP TEMPLATE-GAS AVAILABILITY'!R124)</f>
        <v>7.5221028776978418</v>
      </c>
    </row>
    <row r="126" spans="1:29" ht="15.75" x14ac:dyDescent="0.25">
      <c r="A126" s="16">
        <v>44348</v>
      </c>
      <c r="B126" s="17">
        <f>CHOOSE(CONTROL!$C$42, 7.7187, 7.7187) * CHOOSE(CONTROL!$C$21, $C$9, 100%, $E$9)</f>
        <v>7.7187000000000001</v>
      </c>
      <c r="C126" s="17">
        <f>CHOOSE(CONTROL!$C$42, 7.7267, 7.7267) * CHOOSE(CONTROL!$C$21, $C$9, 100%, $E$9)</f>
        <v>7.7267000000000001</v>
      </c>
      <c r="D126" s="17">
        <f>CHOOSE(CONTROL!$C$42, 7.9867, 7.9867) * CHOOSE(CONTROL!$C$21, $C$9, 100%, $E$9)</f>
        <v>7.9866999999999999</v>
      </c>
      <c r="E126" s="17">
        <f>CHOOSE(CONTROL!$C$42, 8.0178, 8.0178) * CHOOSE(CONTROL!$C$21, $C$9, 100%, $E$9)</f>
        <v>8.0177999999999994</v>
      </c>
      <c r="F126" s="17">
        <f>CHOOSE(CONTROL!$C$42, 7.7287, 7.7287)*CHOOSE(CONTROL!$C$21, $C$9, 100%, $E$9)</f>
        <v>7.7286999999999999</v>
      </c>
      <c r="G126" s="17">
        <f>CHOOSE(CONTROL!$C$42, 7.7452, 7.7452)*CHOOSE(CONTROL!$C$21, $C$9, 100%, $E$9)</f>
        <v>7.7451999999999996</v>
      </c>
      <c r="H126" s="17">
        <f>CHOOSE(CONTROL!$C$42, 8.0062, 8.0062) * CHOOSE(CONTROL!$C$21, $C$9, 100%, $E$9)</f>
        <v>8.0061999999999998</v>
      </c>
      <c r="I126" s="17">
        <f>CHOOSE(CONTROL!$C$42, 7.7665, 7.7665)* CHOOSE(CONTROL!$C$21, $C$9, 100%, $E$9)</f>
        <v>7.7664999999999997</v>
      </c>
      <c r="J126" s="17">
        <f>CHOOSE(CONTROL!$C$42, 7.7213, 7.7213)* CHOOSE(CONTROL!$C$21, $C$9, 100%, $E$9)</f>
        <v>7.7213000000000003</v>
      </c>
      <c r="K126" s="52">
        <f>CHOOSE(CONTROL!$C$42, 7.7605, 7.7605) * CHOOSE(CONTROL!$C$21, $C$9, 100%, $E$9)</f>
        <v>7.7605000000000004</v>
      </c>
      <c r="L126" s="17">
        <f>CHOOSE(CONTROL!$C$42, 8.5932, 8.5932) * CHOOSE(CONTROL!$C$21, $C$9, 100%, $E$9)</f>
        <v>8.5931999999999995</v>
      </c>
      <c r="M126" s="17">
        <f>CHOOSE(CONTROL!$C$42, 7.6589, 7.6589) * CHOOSE(CONTROL!$C$21, $C$9, 100%, $E$9)</f>
        <v>7.6589</v>
      </c>
      <c r="N126" s="17">
        <f>CHOOSE(CONTROL!$C$42, 7.6753, 7.6753) * CHOOSE(CONTROL!$C$21, $C$9, 100%, $E$9)</f>
        <v>7.6753</v>
      </c>
      <c r="O126" s="17">
        <f>CHOOSE(CONTROL!$C$42, 7.9412, 7.9412) * CHOOSE(CONTROL!$C$21, $C$9, 100%, $E$9)</f>
        <v>7.9412000000000003</v>
      </c>
      <c r="P126" s="17">
        <f>CHOOSE(CONTROL!$C$42, 7.7035, 7.7035) * CHOOSE(CONTROL!$C$21, $C$9, 100%, $E$9)</f>
        <v>7.7035</v>
      </c>
      <c r="Q126" s="17">
        <f>CHOOSE(CONTROL!$C$42, 8.5359, 8.5359) * CHOOSE(CONTROL!$C$21, $C$9, 100%, $E$9)</f>
        <v>8.5358999999999998</v>
      </c>
      <c r="R126" s="17">
        <f>CHOOSE(CONTROL!$C$42, 9.1442, 9.1442) * CHOOSE(CONTROL!$C$21, $C$9, 100%, $E$9)</f>
        <v>9.1441999999999997</v>
      </c>
      <c r="S126" s="17">
        <f>CHOOSE(CONTROL!$C$42, 7.4733, 7.4733) * CHOOSE(CONTROL!$C$21, $C$9, 100%, $E$9)</f>
        <v>7.4733000000000001</v>
      </c>
      <c r="T126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126" s="56">
        <f>(1000*CHOOSE(CONTROL!$C$42, 695, 695)*CHOOSE(CONTROL!$C$42, 0.5599, 0.5599)*CHOOSE(CONTROL!$C$42, 30, 30))/1000000</f>
        <v>11.673914999999997</v>
      </c>
      <c r="V126" s="56">
        <f>(1000*CHOOSE(CONTROL!$C$42, 500, 500)*CHOOSE(CONTROL!$C$42, 0.275, 0.275)*CHOOSE(CONTROL!$C$42, 30, 30))/1000000</f>
        <v>4.125</v>
      </c>
      <c r="W126" s="56">
        <f>(1000*CHOOSE(CONTROL!$C$42, 0.0916, 0.0916)*CHOOSE(CONTROL!$C$42, 121.5, 121.5)*CHOOSE(CONTROL!$C$42, 30, 30))/1000000</f>
        <v>0.33388200000000001</v>
      </c>
      <c r="X126" s="56">
        <f>(30*0.1790888*145000/1000000)+(30*0.2374*100000/1000000)</f>
        <v>1.4912362799999999</v>
      </c>
      <c r="Y126" s="56"/>
      <c r="Z126" s="17"/>
      <c r="AA126" s="55"/>
      <c r="AB126" s="48">
        <f>(B126*194.205+C126*267.466+D126*133.845+E126*153.484+F126*40+G126*85+H126*0+I126*100+J126*300)/(194.205+267.466+133.845+153.484+0+40+85+100+300)</f>
        <v>7.7910153472527472</v>
      </c>
      <c r="AC126" s="45">
        <f>(M126*'RAP TEMPLATE-GAS AVAILABILITY'!O125+N126*'RAP TEMPLATE-GAS AVAILABILITY'!P125+O126*'RAP TEMPLATE-GAS AVAILABILITY'!Q125+P126*'RAP TEMPLATE-GAS AVAILABILITY'!R125)/('RAP TEMPLATE-GAS AVAILABILITY'!O125+'RAP TEMPLATE-GAS AVAILABILITY'!P125+'RAP TEMPLATE-GAS AVAILABILITY'!Q125+'RAP TEMPLATE-GAS AVAILABILITY'!R125)</f>
        <v>7.7482992805755408</v>
      </c>
    </row>
    <row r="127" spans="1:29" ht="15.75" x14ac:dyDescent="0.25">
      <c r="A127" s="16">
        <v>44378</v>
      </c>
      <c r="B127" s="17">
        <f>CHOOSE(CONTROL!$C$42, 7.5865, 7.5865) * CHOOSE(CONTROL!$C$21, $C$9, 100%, $E$9)</f>
        <v>7.5865</v>
      </c>
      <c r="C127" s="17">
        <f>CHOOSE(CONTROL!$C$42, 7.5945, 7.5945) * CHOOSE(CONTROL!$C$21, $C$9, 100%, $E$9)</f>
        <v>7.5945</v>
      </c>
      <c r="D127" s="17">
        <f>CHOOSE(CONTROL!$C$42, 7.8544, 7.8544) * CHOOSE(CONTROL!$C$21, $C$9, 100%, $E$9)</f>
        <v>7.8544</v>
      </c>
      <c r="E127" s="17">
        <f>CHOOSE(CONTROL!$C$42, 7.8856, 7.8856) * CHOOSE(CONTROL!$C$21, $C$9, 100%, $E$9)</f>
        <v>7.8856000000000002</v>
      </c>
      <c r="F127" s="17">
        <f>CHOOSE(CONTROL!$C$42, 7.5969, 7.5969)*CHOOSE(CONTROL!$C$21, $C$9, 100%, $E$9)</f>
        <v>7.5968999999999998</v>
      </c>
      <c r="G127" s="17">
        <f>CHOOSE(CONTROL!$C$42, 7.6135, 7.6135)*CHOOSE(CONTROL!$C$21, $C$9, 100%, $E$9)</f>
        <v>7.6135000000000002</v>
      </c>
      <c r="H127" s="17">
        <f>CHOOSE(CONTROL!$C$42, 7.8739, 7.8739) * CHOOSE(CONTROL!$C$21, $C$9, 100%, $E$9)</f>
        <v>7.8738999999999999</v>
      </c>
      <c r="I127" s="17">
        <f>CHOOSE(CONTROL!$C$42, 7.6339, 7.6339)* CHOOSE(CONTROL!$C$21, $C$9, 100%, $E$9)</f>
        <v>7.6338999999999997</v>
      </c>
      <c r="J127" s="17">
        <f>CHOOSE(CONTROL!$C$42, 7.5895, 7.5895)* CHOOSE(CONTROL!$C$21, $C$9, 100%, $E$9)</f>
        <v>7.5895000000000001</v>
      </c>
      <c r="K127" s="52">
        <f>CHOOSE(CONTROL!$C$42, 7.6278, 7.6278) * CHOOSE(CONTROL!$C$21, $C$9, 100%, $E$9)</f>
        <v>7.6277999999999997</v>
      </c>
      <c r="L127" s="17">
        <f>CHOOSE(CONTROL!$C$42, 8.4609, 8.4609) * CHOOSE(CONTROL!$C$21, $C$9, 100%, $E$9)</f>
        <v>8.4609000000000005</v>
      </c>
      <c r="M127" s="17">
        <f>CHOOSE(CONTROL!$C$42, 7.5282, 7.5282) * CHOOSE(CONTROL!$C$21, $C$9, 100%, $E$9)</f>
        <v>7.5282</v>
      </c>
      <c r="N127" s="17">
        <f>CHOOSE(CONTROL!$C$42, 7.5447, 7.5447) * CHOOSE(CONTROL!$C$21, $C$9, 100%, $E$9)</f>
        <v>7.5446999999999997</v>
      </c>
      <c r="O127" s="17">
        <f>CHOOSE(CONTROL!$C$42, 7.8101, 7.8101) * CHOOSE(CONTROL!$C$21, $C$9, 100%, $E$9)</f>
        <v>7.8101000000000003</v>
      </c>
      <c r="P127" s="17">
        <f>CHOOSE(CONTROL!$C$42, 7.5721, 7.5721) * CHOOSE(CONTROL!$C$21, $C$9, 100%, $E$9)</f>
        <v>7.5720999999999998</v>
      </c>
      <c r="Q127" s="17">
        <f>CHOOSE(CONTROL!$C$42, 8.4048, 8.4048) * CHOOSE(CONTROL!$C$21, $C$9, 100%, $E$9)</f>
        <v>8.4047999999999998</v>
      </c>
      <c r="R127" s="17">
        <f>CHOOSE(CONTROL!$C$42, 9.0128, 9.0128) * CHOOSE(CONTROL!$C$21, $C$9, 100%, $E$9)</f>
        <v>9.0128000000000004</v>
      </c>
      <c r="S127" s="17">
        <f>CHOOSE(CONTROL!$C$42, 7.345, 7.345) * CHOOSE(CONTROL!$C$21, $C$9, 100%, $E$9)</f>
        <v>7.3449999999999998</v>
      </c>
      <c r="T127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127" s="56">
        <f>(1000*CHOOSE(CONTROL!$C$42, 695, 695)*CHOOSE(CONTROL!$C$42, 0.5599, 0.5599)*CHOOSE(CONTROL!$C$42, 31, 31))/1000000</f>
        <v>12.063045499999998</v>
      </c>
      <c r="V127" s="56">
        <f>(1000*CHOOSE(CONTROL!$C$42, 500, 500)*CHOOSE(CONTROL!$C$42, 0.275, 0.275)*CHOOSE(CONTROL!$C$42, 31, 31))/1000000</f>
        <v>4.2625000000000002</v>
      </c>
      <c r="W127" s="56">
        <f>(1000*CHOOSE(CONTROL!$C$42, 0.0916, 0.0916)*CHOOSE(CONTROL!$C$42, 121.5, 121.5)*CHOOSE(CONTROL!$C$42, 31, 31))/1000000</f>
        <v>0.34501139999999997</v>
      </c>
      <c r="X127" s="56">
        <f>(31*0.1790888*145000/1000000)+(31*0.2374*100000/1000000)</f>
        <v>1.5409441560000001</v>
      </c>
      <c r="Y127" s="56"/>
      <c r="Z127" s="17"/>
      <c r="AA127" s="55"/>
      <c r="AB127" s="48">
        <f>(B127*194.205+C127*267.466+D127*133.845+E127*153.484+F127*40+G127*85+H127*0+I127*100+J127*300)/(194.205+267.466+133.845+153.484+0+40+85+100+300)</f>
        <v>7.6589135540816331</v>
      </c>
      <c r="AC127" s="45">
        <f>(M127*'RAP TEMPLATE-GAS AVAILABILITY'!O126+N127*'RAP TEMPLATE-GAS AVAILABILITY'!P126+O127*'RAP TEMPLATE-GAS AVAILABILITY'!Q126+P127*'RAP TEMPLATE-GAS AVAILABILITY'!R126)/('RAP TEMPLATE-GAS AVAILABILITY'!O126+'RAP TEMPLATE-GAS AVAILABILITY'!P126+'RAP TEMPLATE-GAS AVAILABILITY'!Q126+'RAP TEMPLATE-GAS AVAILABILITY'!R126)</f>
        <v>7.6174093525179858</v>
      </c>
    </row>
    <row r="128" spans="1:29" ht="15.75" x14ac:dyDescent="0.25">
      <c r="A128" s="16">
        <v>44409</v>
      </c>
      <c r="B128" s="17">
        <f>CHOOSE(CONTROL!$C$42, 7.2272, 7.2272) * CHOOSE(CONTROL!$C$21, $C$9, 100%, $E$9)</f>
        <v>7.2271999999999998</v>
      </c>
      <c r="C128" s="17">
        <f>CHOOSE(CONTROL!$C$42, 7.2352, 7.2352) * CHOOSE(CONTROL!$C$21, $C$9, 100%, $E$9)</f>
        <v>7.2351999999999999</v>
      </c>
      <c r="D128" s="17">
        <f>CHOOSE(CONTROL!$C$42, 7.4951, 7.4951) * CHOOSE(CONTROL!$C$21, $C$9, 100%, $E$9)</f>
        <v>7.4950999999999999</v>
      </c>
      <c r="E128" s="17">
        <f>CHOOSE(CONTROL!$C$42, 7.5263, 7.5263) * CHOOSE(CONTROL!$C$21, $C$9, 100%, $E$9)</f>
        <v>7.5263</v>
      </c>
      <c r="F128" s="17">
        <f>CHOOSE(CONTROL!$C$42, 7.2378, 7.2378)*CHOOSE(CONTROL!$C$21, $C$9, 100%, $E$9)</f>
        <v>7.2378</v>
      </c>
      <c r="G128" s="17">
        <f>CHOOSE(CONTROL!$C$42, 7.2545, 7.2545)*CHOOSE(CONTROL!$C$21, $C$9, 100%, $E$9)</f>
        <v>7.2545000000000002</v>
      </c>
      <c r="H128" s="17">
        <f>CHOOSE(CONTROL!$C$42, 7.5146, 7.5146) * CHOOSE(CONTROL!$C$21, $C$9, 100%, $E$9)</f>
        <v>7.5145999999999997</v>
      </c>
      <c r="I128" s="17">
        <f>CHOOSE(CONTROL!$C$42, 7.2735, 7.2735)* CHOOSE(CONTROL!$C$21, $C$9, 100%, $E$9)</f>
        <v>7.2735000000000003</v>
      </c>
      <c r="J128" s="17">
        <f>CHOOSE(CONTROL!$C$42, 7.2304, 7.2304)* CHOOSE(CONTROL!$C$21, $C$9, 100%, $E$9)</f>
        <v>7.2304000000000004</v>
      </c>
      <c r="K128" s="52">
        <f>CHOOSE(CONTROL!$C$42, 7.2674, 7.2674) * CHOOSE(CONTROL!$C$21, $C$9, 100%, $E$9)</f>
        <v>7.2674000000000003</v>
      </c>
      <c r="L128" s="17">
        <f>CHOOSE(CONTROL!$C$42, 8.1016, 8.1016) * CHOOSE(CONTROL!$C$21, $C$9, 100%, $E$9)</f>
        <v>8.1015999999999995</v>
      </c>
      <c r="M128" s="17">
        <f>CHOOSE(CONTROL!$C$42, 7.1724, 7.1724) * CHOOSE(CONTROL!$C$21, $C$9, 100%, $E$9)</f>
        <v>7.1723999999999997</v>
      </c>
      <c r="N128" s="17">
        <f>CHOOSE(CONTROL!$C$42, 7.189, 7.189) * CHOOSE(CONTROL!$C$21, $C$9, 100%, $E$9)</f>
        <v>7.1890000000000001</v>
      </c>
      <c r="O128" s="17">
        <f>CHOOSE(CONTROL!$C$42, 7.454, 7.454) * CHOOSE(CONTROL!$C$21, $C$9, 100%, $E$9)</f>
        <v>7.4539999999999997</v>
      </c>
      <c r="P128" s="17">
        <f>CHOOSE(CONTROL!$C$42, 7.2149, 7.2149) * CHOOSE(CONTROL!$C$21, $C$9, 100%, $E$9)</f>
        <v>7.2149000000000001</v>
      </c>
      <c r="Q128" s="17">
        <f>CHOOSE(CONTROL!$C$42, 8.0487, 8.0487) * CHOOSE(CONTROL!$C$21, $C$9, 100%, $E$9)</f>
        <v>8.0487000000000002</v>
      </c>
      <c r="R128" s="17">
        <f>CHOOSE(CONTROL!$C$42, 8.6559, 8.6559) * CHOOSE(CONTROL!$C$21, $C$9, 100%, $E$9)</f>
        <v>8.6559000000000008</v>
      </c>
      <c r="S128" s="17">
        <f>CHOOSE(CONTROL!$C$42, 6.9966, 6.9966) * CHOOSE(CONTROL!$C$21, $C$9, 100%, $E$9)</f>
        <v>6.9965999999999999</v>
      </c>
      <c r="T128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128" s="56">
        <f>(1000*CHOOSE(CONTROL!$C$42, 695, 695)*CHOOSE(CONTROL!$C$42, 0.5599, 0.5599)*CHOOSE(CONTROL!$C$42, 31, 31))/1000000</f>
        <v>12.063045499999998</v>
      </c>
      <c r="V128" s="56">
        <f>(1000*CHOOSE(CONTROL!$C$42, 500, 500)*CHOOSE(CONTROL!$C$42, 0.275, 0.275)*CHOOSE(CONTROL!$C$42, 31, 31))/1000000</f>
        <v>4.2625000000000002</v>
      </c>
      <c r="W128" s="56">
        <f>(1000*CHOOSE(CONTROL!$C$42, 0.0916, 0.0916)*CHOOSE(CONTROL!$C$42, 121.5, 121.5)*CHOOSE(CONTROL!$C$42, 31, 31))/1000000</f>
        <v>0.34501139999999997</v>
      </c>
      <c r="X128" s="56">
        <f>(31*0.1790888*145000/1000000)+(31*0.2374*100000/1000000)</f>
        <v>1.5409441560000001</v>
      </c>
      <c r="Y128" s="56"/>
      <c r="Z128" s="17"/>
      <c r="AA128" s="55"/>
      <c r="AB128" s="48">
        <f>(B128*194.205+C128*267.466+D128*133.845+E128*153.484+F128*40+G128*85+H128*0+I128*100+J128*300)/(194.205+267.466+133.845+153.484+0+40+85+100+300)</f>
        <v>7.2996006027472529</v>
      </c>
      <c r="AC128" s="45">
        <f>(M128*'RAP TEMPLATE-GAS AVAILABILITY'!O127+N128*'RAP TEMPLATE-GAS AVAILABILITY'!P127+O128*'RAP TEMPLATE-GAS AVAILABILITY'!Q127+P128*'RAP TEMPLATE-GAS AVAILABILITY'!R127)/('RAP TEMPLATE-GAS AVAILABILITY'!O127+'RAP TEMPLATE-GAS AVAILABILITY'!P127+'RAP TEMPLATE-GAS AVAILABILITY'!Q127+'RAP TEMPLATE-GAS AVAILABILITY'!R127)</f>
        <v>7.2613467625899277</v>
      </c>
    </row>
    <row r="129" spans="1:29" ht="15.75" x14ac:dyDescent="0.25">
      <c r="A129" s="16">
        <v>44440</v>
      </c>
      <c r="B129" s="17">
        <f>CHOOSE(CONTROL!$C$42, 6.7828, 6.7828) * CHOOSE(CONTROL!$C$21, $C$9, 100%, $E$9)</f>
        <v>6.7827999999999999</v>
      </c>
      <c r="C129" s="17">
        <f>CHOOSE(CONTROL!$C$42, 6.7908, 6.7908) * CHOOSE(CONTROL!$C$21, $C$9, 100%, $E$9)</f>
        <v>6.7907999999999999</v>
      </c>
      <c r="D129" s="17">
        <f>CHOOSE(CONTROL!$C$42, 7.0507, 7.0507) * CHOOSE(CONTROL!$C$21, $C$9, 100%, $E$9)</f>
        <v>7.0507</v>
      </c>
      <c r="E129" s="17">
        <f>CHOOSE(CONTROL!$C$42, 7.0819, 7.0819) * CHOOSE(CONTROL!$C$21, $C$9, 100%, $E$9)</f>
        <v>7.0819000000000001</v>
      </c>
      <c r="F129" s="17">
        <f>CHOOSE(CONTROL!$C$42, 6.7935, 6.7935)*CHOOSE(CONTROL!$C$21, $C$9, 100%, $E$9)</f>
        <v>6.7934999999999999</v>
      </c>
      <c r="G129" s="17">
        <f>CHOOSE(CONTROL!$C$42, 6.8102, 6.8102)*CHOOSE(CONTROL!$C$21, $C$9, 100%, $E$9)</f>
        <v>6.8102</v>
      </c>
      <c r="H129" s="17">
        <f>CHOOSE(CONTROL!$C$42, 7.0703, 7.0703) * CHOOSE(CONTROL!$C$21, $C$9, 100%, $E$9)</f>
        <v>7.0702999999999996</v>
      </c>
      <c r="I129" s="17">
        <f>CHOOSE(CONTROL!$C$42, 6.8277, 6.8277)* CHOOSE(CONTROL!$C$21, $C$9, 100%, $E$9)</f>
        <v>6.8277000000000001</v>
      </c>
      <c r="J129" s="17">
        <f>CHOOSE(CONTROL!$C$42, 6.7861, 6.7861)* CHOOSE(CONTROL!$C$21, $C$9, 100%, $E$9)</f>
        <v>6.7861000000000002</v>
      </c>
      <c r="K129" s="52">
        <f>CHOOSE(CONTROL!$C$42, 6.8217, 6.8217) * CHOOSE(CONTROL!$C$21, $C$9, 100%, $E$9)</f>
        <v>6.8216999999999999</v>
      </c>
      <c r="L129" s="17">
        <f>CHOOSE(CONTROL!$C$42, 7.6573, 7.6573) * CHOOSE(CONTROL!$C$21, $C$9, 100%, $E$9)</f>
        <v>7.6573000000000002</v>
      </c>
      <c r="M129" s="17">
        <f>CHOOSE(CONTROL!$C$42, 6.732, 6.732) * CHOOSE(CONTROL!$C$21, $C$9, 100%, $E$9)</f>
        <v>6.7320000000000002</v>
      </c>
      <c r="N129" s="17">
        <f>CHOOSE(CONTROL!$C$42, 6.7486, 6.7486) * CHOOSE(CONTROL!$C$21, $C$9, 100%, $E$9)</f>
        <v>6.7485999999999997</v>
      </c>
      <c r="O129" s="17">
        <f>CHOOSE(CONTROL!$C$42, 7.0137, 7.0137) * CHOOSE(CONTROL!$C$21, $C$9, 100%, $E$9)</f>
        <v>7.0137</v>
      </c>
      <c r="P129" s="17">
        <f>CHOOSE(CONTROL!$C$42, 6.7732, 6.7732) * CHOOSE(CONTROL!$C$21, $C$9, 100%, $E$9)</f>
        <v>6.7732000000000001</v>
      </c>
      <c r="Q129" s="17">
        <f>CHOOSE(CONTROL!$C$42, 7.6084, 7.6084) * CHOOSE(CONTROL!$C$21, $C$9, 100%, $E$9)</f>
        <v>7.6083999999999996</v>
      </c>
      <c r="R129" s="17">
        <f>CHOOSE(CONTROL!$C$42, 8.2144, 8.2144) * CHOOSE(CONTROL!$C$21, $C$9, 100%, $E$9)</f>
        <v>8.2143999999999995</v>
      </c>
      <c r="S129" s="17">
        <f>CHOOSE(CONTROL!$C$42, 6.5657, 6.5657) * CHOOSE(CONTROL!$C$21, $C$9, 100%, $E$9)</f>
        <v>6.5656999999999996</v>
      </c>
      <c r="T129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129" s="56">
        <f>(1000*CHOOSE(CONTROL!$C$42, 695, 695)*CHOOSE(CONTROL!$C$42, 0.5599, 0.5599)*CHOOSE(CONTROL!$C$42, 30, 30))/1000000</f>
        <v>11.673914999999997</v>
      </c>
      <c r="V129" s="56">
        <f>(1000*CHOOSE(CONTROL!$C$42, 500, 500)*CHOOSE(CONTROL!$C$42, 0.275, 0.275)*CHOOSE(CONTROL!$C$42, 30, 30))/1000000</f>
        <v>4.125</v>
      </c>
      <c r="W129" s="56">
        <f>(1000*CHOOSE(CONTROL!$C$42, 0.0916, 0.0916)*CHOOSE(CONTROL!$C$42, 121.5, 121.5)*CHOOSE(CONTROL!$C$42, 30, 30))/1000000</f>
        <v>0.33388200000000001</v>
      </c>
      <c r="X129" s="56">
        <f>(30*0.1790888*145000/1000000)+(30*0.2374*100000/1000000)</f>
        <v>1.4912362799999999</v>
      </c>
      <c r="Y129" s="56"/>
      <c r="Z129" s="17"/>
      <c r="AA129" s="55"/>
      <c r="AB129" s="48">
        <f>(B129*194.205+C129*267.466+D129*133.845+E129*153.484+F129*40+G129*85+H129*0+I129*100+J129*300)/(194.205+267.466+133.845+153.484+0+40+85+100+300)</f>
        <v>6.8551240721350082</v>
      </c>
      <c r="AC129" s="45">
        <f>(M129*'RAP TEMPLATE-GAS AVAILABILITY'!O128+N129*'RAP TEMPLATE-GAS AVAILABILITY'!P128+O129*'RAP TEMPLATE-GAS AVAILABILITY'!Q128+P129*'RAP TEMPLATE-GAS AVAILABILITY'!R128)/('RAP TEMPLATE-GAS AVAILABILITY'!O128+'RAP TEMPLATE-GAS AVAILABILITY'!P128+'RAP TEMPLATE-GAS AVAILABILITY'!Q128+'RAP TEMPLATE-GAS AVAILABILITY'!R128)</f>
        <v>6.8207877697841726</v>
      </c>
    </row>
    <row r="130" spans="1:29" ht="15.75" x14ac:dyDescent="0.25">
      <c r="A130" s="16">
        <v>44470</v>
      </c>
      <c r="B130" s="17">
        <f>CHOOSE(CONTROL!$C$42, 6.6573, 6.6573) * CHOOSE(CONTROL!$C$21, $C$9, 100%, $E$9)</f>
        <v>6.6573000000000002</v>
      </c>
      <c r="C130" s="17">
        <f>CHOOSE(CONTROL!$C$42, 6.6626, 6.6626) * CHOOSE(CONTROL!$C$21, $C$9, 100%, $E$9)</f>
        <v>6.6626000000000003</v>
      </c>
      <c r="D130" s="17">
        <f>CHOOSE(CONTROL!$C$42, 6.9274, 6.9274) * CHOOSE(CONTROL!$C$21, $C$9, 100%, $E$9)</f>
        <v>6.9273999999999996</v>
      </c>
      <c r="E130" s="17">
        <f>CHOOSE(CONTROL!$C$42, 6.9563, 6.9563) * CHOOSE(CONTROL!$C$21, $C$9, 100%, $E$9)</f>
        <v>6.9562999999999997</v>
      </c>
      <c r="F130" s="17">
        <f>CHOOSE(CONTROL!$C$42, 6.6702, 6.6702)*CHOOSE(CONTROL!$C$21, $C$9, 100%, $E$9)</f>
        <v>6.6702000000000004</v>
      </c>
      <c r="G130" s="17">
        <f>CHOOSE(CONTROL!$C$42, 6.6867, 6.6867)*CHOOSE(CONTROL!$C$21, $C$9, 100%, $E$9)</f>
        <v>6.6867000000000001</v>
      </c>
      <c r="H130" s="17">
        <f>CHOOSE(CONTROL!$C$42, 6.9465, 6.9465) * CHOOSE(CONTROL!$C$21, $C$9, 100%, $E$9)</f>
        <v>6.9465000000000003</v>
      </c>
      <c r="I130" s="17">
        <f>CHOOSE(CONTROL!$C$42, 6.7035, 6.7035)* CHOOSE(CONTROL!$C$21, $C$9, 100%, $E$9)</f>
        <v>6.7035</v>
      </c>
      <c r="J130" s="17">
        <f>CHOOSE(CONTROL!$C$42, 6.6628, 6.6628)* CHOOSE(CONTROL!$C$21, $C$9, 100%, $E$9)</f>
        <v>6.6627999999999998</v>
      </c>
      <c r="K130" s="52">
        <f>CHOOSE(CONTROL!$C$42, 6.6975, 6.6975) * CHOOSE(CONTROL!$C$21, $C$9, 100%, $E$9)</f>
        <v>6.6974999999999998</v>
      </c>
      <c r="L130" s="17">
        <f>CHOOSE(CONTROL!$C$42, 7.5335, 7.5335) * CHOOSE(CONTROL!$C$21, $C$9, 100%, $E$9)</f>
        <v>7.5335000000000001</v>
      </c>
      <c r="M130" s="17">
        <f>CHOOSE(CONTROL!$C$42, 6.6098, 6.6098) * CHOOSE(CONTROL!$C$21, $C$9, 100%, $E$9)</f>
        <v>6.6097999999999999</v>
      </c>
      <c r="N130" s="17">
        <f>CHOOSE(CONTROL!$C$42, 6.6263, 6.6263) * CHOOSE(CONTROL!$C$21, $C$9, 100%, $E$9)</f>
        <v>6.6262999999999996</v>
      </c>
      <c r="O130" s="17">
        <f>CHOOSE(CONTROL!$C$42, 6.891, 6.891) * CHOOSE(CONTROL!$C$21, $C$9, 100%, $E$9)</f>
        <v>6.891</v>
      </c>
      <c r="P130" s="17">
        <f>CHOOSE(CONTROL!$C$42, 6.6501, 6.6501) * CHOOSE(CONTROL!$C$21, $C$9, 100%, $E$9)</f>
        <v>6.6501000000000001</v>
      </c>
      <c r="Q130" s="17">
        <f>CHOOSE(CONTROL!$C$42, 7.4857, 7.4857) * CHOOSE(CONTROL!$C$21, $C$9, 100%, $E$9)</f>
        <v>7.4856999999999996</v>
      </c>
      <c r="R130" s="17">
        <f>CHOOSE(CONTROL!$C$42, 8.0914, 8.0914) * CHOOSE(CONTROL!$C$21, $C$9, 100%, $E$9)</f>
        <v>8.0914000000000001</v>
      </c>
      <c r="S130" s="17">
        <f>CHOOSE(CONTROL!$C$42, 6.4457, 6.4457) * CHOOSE(CONTROL!$C$21, $C$9, 100%, $E$9)</f>
        <v>6.4457000000000004</v>
      </c>
      <c r="T130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130" s="56">
        <f>(1000*CHOOSE(CONTROL!$C$42, 695, 695)*CHOOSE(CONTROL!$C$42, 0.5599, 0.5599)*CHOOSE(CONTROL!$C$42, 31, 31))/1000000</f>
        <v>12.063045499999998</v>
      </c>
      <c r="V130" s="56">
        <f>(1000*CHOOSE(CONTROL!$C$42, 500, 500)*CHOOSE(CONTROL!$C$42, 0.275, 0.275)*CHOOSE(CONTROL!$C$42, 31, 31))/1000000</f>
        <v>4.2625000000000002</v>
      </c>
      <c r="W130" s="56">
        <f>(1000*CHOOSE(CONTROL!$C$42, 0.0916, 0.0916)*CHOOSE(CONTROL!$C$42, 121.5, 121.5)*CHOOSE(CONTROL!$C$42, 31, 31))/1000000</f>
        <v>0.34501139999999997</v>
      </c>
      <c r="X130" s="56">
        <f>(31*0.1790888*145000/1000000)+(31*0.2374*100000/1000000)</f>
        <v>1.5409441560000001</v>
      </c>
      <c r="Y130" s="56"/>
      <c r="Z130" s="17"/>
      <c r="AA130" s="55"/>
      <c r="AB130" s="48">
        <f>(B130*131.881+C130*277.167+D130*79.08+E130*225.872+F130*40+G130*85+H130*0+I130*100+J130*300)/(131.881+277.167+79.08+225.872+0+40+85+100+300)</f>
        <v>6.7377271356739303</v>
      </c>
      <c r="AC130" s="45">
        <f>(M130*'RAP TEMPLATE-GAS AVAILABILITY'!O129+N130*'RAP TEMPLATE-GAS AVAILABILITY'!P129+O130*'RAP TEMPLATE-GAS AVAILABILITY'!Q129+P130*'RAP TEMPLATE-GAS AVAILABILITY'!R129)/('RAP TEMPLATE-GAS AVAILABILITY'!O129+'RAP TEMPLATE-GAS AVAILABILITY'!P129+'RAP TEMPLATE-GAS AVAILABILITY'!Q129+'RAP TEMPLATE-GAS AVAILABILITY'!R129)</f>
        <v>6.6982949640287766</v>
      </c>
    </row>
    <row r="131" spans="1:29" ht="15.75" x14ac:dyDescent="0.25">
      <c r="A131" s="16">
        <v>44501</v>
      </c>
      <c r="B131" s="17">
        <f>CHOOSE(CONTROL!$C$42, 6.846, 6.846) * CHOOSE(CONTROL!$C$21, $C$9, 100%, $E$9)</f>
        <v>6.8460000000000001</v>
      </c>
      <c r="C131" s="17">
        <f>CHOOSE(CONTROL!$C$42, 6.8511, 6.8511) * CHOOSE(CONTROL!$C$21, $C$9, 100%, $E$9)</f>
        <v>6.8510999999999997</v>
      </c>
      <c r="D131" s="17">
        <f>CHOOSE(CONTROL!$C$42, 6.9918, 6.9918) * CHOOSE(CONTROL!$C$21, $C$9, 100%, $E$9)</f>
        <v>6.9917999999999996</v>
      </c>
      <c r="E131" s="17">
        <f>CHOOSE(CONTROL!$C$42, 7.0256, 7.0256) * CHOOSE(CONTROL!$C$21, $C$9, 100%, $E$9)</f>
        <v>7.0255999999999998</v>
      </c>
      <c r="F131" s="17">
        <f>CHOOSE(CONTROL!$C$42, 6.8593, 6.8593)*CHOOSE(CONTROL!$C$21, $C$9, 100%, $E$9)</f>
        <v>6.8593000000000002</v>
      </c>
      <c r="G131" s="17">
        <f>CHOOSE(CONTROL!$C$42, 6.8762, 6.8762)*CHOOSE(CONTROL!$C$21, $C$9, 100%, $E$9)</f>
        <v>6.8761999999999999</v>
      </c>
      <c r="H131" s="17">
        <f>CHOOSE(CONTROL!$C$42, 7.0144, 7.0144) * CHOOSE(CONTROL!$C$21, $C$9, 100%, $E$9)</f>
        <v>7.0144000000000002</v>
      </c>
      <c r="I131" s="17">
        <f>CHOOSE(CONTROL!$C$42, 6.8897, 6.8897)* CHOOSE(CONTROL!$C$21, $C$9, 100%, $E$9)</f>
        <v>6.8897000000000004</v>
      </c>
      <c r="J131" s="17">
        <f>CHOOSE(CONTROL!$C$42, 6.8519, 6.8519)* CHOOSE(CONTROL!$C$21, $C$9, 100%, $E$9)</f>
        <v>6.8518999999999997</v>
      </c>
      <c r="K131" s="52">
        <f>CHOOSE(CONTROL!$C$42, 6.8836, 6.8836) * CHOOSE(CONTROL!$C$21, $C$9, 100%, $E$9)</f>
        <v>6.8836000000000004</v>
      </c>
      <c r="L131" s="17">
        <f>CHOOSE(CONTROL!$C$42, 7.6014, 7.6014) * CHOOSE(CONTROL!$C$21, $C$9, 100%, $E$9)</f>
        <v>7.6013999999999999</v>
      </c>
      <c r="M131" s="17">
        <f>CHOOSE(CONTROL!$C$42, 6.7973, 6.7973) * CHOOSE(CONTROL!$C$21, $C$9, 100%, $E$9)</f>
        <v>6.7972999999999999</v>
      </c>
      <c r="N131" s="17">
        <f>CHOOSE(CONTROL!$C$42, 6.814, 6.814) * CHOOSE(CONTROL!$C$21, $C$9, 100%, $E$9)</f>
        <v>6.8140000000000001</v>
      </c>
      <c r="O131" s="17">
        <f>CHOOSE(CONTROL!$C$42, 6.9583, 6.9583) * CHOOSE(CONTROL!$C$21, $C$9, 100%, $E$9)</f>
        <v>6.9583000000000004</v>
      </c>
      <c r="P131" s="17">
        <f>CHOOSE(CONTROL!$C$42, 6.8346, 6.8346) * CHOOSE(CONTROL!$C$21, $C$9, 100%, $E$9)</f>
        <v>6.8346</v>
      </c>
      <c r="Q131" s="17">
        <f>CHOOSE(CONTROL!$C$42, 7.553, 7.553) * CHOOSE(CONTROL!$C$21, $C$9, 100%, $E$9)</f>
        <v>7.5529999999999999</v>
      </c>
      <c r="R131" s="17">
        <f>CHOOSE(CONTROL!$C$42, 8.1589, 8.1589) * CHOOSE(CONTROL!$C$21, $C$9, 100%, $E$9)</f>
        <v>8.1588999999999992</v>
      </c>
      <c r="S131" s="17">
        <f>CHOOSE(CONTROL!$C$42, 6.6291, 6.6291) * CHOOSE(CONTROL!$C$21, $C$9, 100%, $E$9)</f>
        <v>6.6291000000000002</v>
      </c>
      <c r="T131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131" s="56">
        <f>(1000*CHOOSE(CONTROL!$C$42, 695, 695)*CHOOSE(CONTROL!$C$42, 0.5599, 0.5599)*CHOOSE(CONTROL!$C$42, 30, 30))/1000000</f>
        <v>11.673914999999997</v>
      </c>
      <c r="V131" s="56">
        <f>(1000*CHOOSE(CONTROL!$C$42, 500, 500)*CHOOSE(CONTROL!$C$42, 0.275, 0.275)*CHOOSE(CONTROL!$C$42, 30, 30))/1000000</f>
        <v>4.125</v>
      </c>
      <c r="W131" s="56">
        <f>(1000*CHOOSE(CONTROL!$C$42, 0.0916, 0.0916)*CHOOSE(CONTROL!$C$42, 121.5, 121.5)*CHOOSE(CONTROL!$C$42, 30, 30))/1000000</f>
        <v>0.33388200000000001</v>
      </c>
      <c r="X131" s="56">
        <f>(30*0.2374*100000/1000000)</f>
        <v>0.71220000000000006</v>
      </c>
      <c r="Y131" s="56"/>
      <c r="Z131" s="17"/>
      <c r="AA131" s="55"/>
      <c r="AB131" s="48">
        <f>(B131*122.58+C131*297.941+D131*89.177+E131*140.302+F131*40+G131*60+H131*0+I131*100+J131*300)/(122.58+297.941+89.177+140.302+0+40+60+100+300)</f>
        <v>6.8879162999130443</v>
      </c>
      <c r="AC131" s="45">
        <f>(M131*'RAP TEMPLATE-GAS AVAILABILITY'!O130+N131*'RAP TEMPLATE-GAS AVAILABILITY'!P130+O131*'RAP TEMPLATE-GAS AVAILABILITY'!Q130+P131*'RAP TEMPLATE-GAS AVAILABILITY'!R130)/('RAP TEMPLATE-GAS AVAILABILITY'!O130+'RAP TEMPLATE-GAS AVAILABILITY'!P130+'RAP TEMPLATE-GAS AVAILABILITY'!Q130+'RAP TEMPLATE-GAS AVAILABILITY'!R130)</f>
        <v>6.8765992805755394</v>
      </c>
    </row>
    <row r="132" spans="1:29" ht="15.75" x14ac:dyDescent="0.25">
      <c r="A132" s="16">
        <v>44531</v>
      </c>
      <c r="B132" s="17">
        <f>CHOOSE(CONTROL!$C$42, 7.3271, 7.3271) * CHOOSE(CONTROL!$C$21, $C$9, 100%, $E$9)</f>
        <v>7.3270999999999997</v>
      </c>
      <c r="C132" s="17">
        <f>CHOOSE(CONTROL!$C$42, 7.3322, 7.3322) * CHOOSE(CONTROL!$C$21, $C$9, 100%, $E$9)</f>
        <v>7.3322000000000003</v>
      </c>
      <c r="D132" s="17">
        <f>CHOOSE(CONTROL!$C$42, 7.4729, 7.4729) * CHOOSE(CONTROL!$C$21, $C$9, 100%, $E$9)</f>
        <v>7.4729000000000001</v>
      </c>
      <c r="E132" s="17">
        <f>CHOOSE(CONTROL!$C$42, 7.5066, 7.5066) * CHOOSE(CONTROL!$C$21, $C$9, 100%, $E$9)</f>
        <v>7.5065999999999997</v>
      </c>
      <c r="F132" s="17">
        <f>CHOOSE(CONTROL!$C$42, 7.3428, 7.3428)*CHOOSE(CONTROL!$C$21, $C$9, 100%, $E$9)</f>
        <v>7.3428000000000004</v>
      </c>
      <c r="G132" s="17">
        <f>CHOOSE(CONTROL!$C$42, 7.3603, 7.3603)*CHOOSE(CONTROL!$C$21, $C$9, 100%, $E$9)</f>
        <v>7.3602999999999996</v>
      </c>
      <c r="H132" s="17">
        <f>CHOOSE(CONTROL!$C$42, 7.4955, 7.4955) * CHOOSE(CONTROL!$C$21, $C$9, 100%, $E$9)</f>
        <v>7.4954999999999998</v>
      </c>
      <c r="I132" s="17">
        <f>CHOOSE(CONTROL!$C$42, 7.3722, 7.3722)* CHOOSE(CONTROL!$C$21, $C$9, 100%, $E$9)</f>
        <v>7.3722000000000003</v>
      </c>
      <c r="J132" s="17">
        <f>CHOOSE(CONTROL!$C$42, 7.3354, 7.3354)* CHOOSE(CONTROL!$C$21, $C$9, 100%, $E$9)</f>
        <v>7.3353999999999999</v>
      </c>
      <c r="K132" s="52">
        <f>CHOOSE(CONTROL!$C$42, 7.3662, 7.3662) * CHOOSE(CONTROL!$C$21, $C$9, 100%, $E$9)</f>
        <v>7.3662000000000001</v>
      </c>
      <c r="L132" s="17">
        <f>CHOOSE(CONTROL!$C$42, 8.0825, 8.0825) * CHOOSE(CONTROL!$C$21, $C$9, 100%, $E$9)</f>
        <v>8.0824999999999996</v>
      </c>
      <c r="M132" s="17">
        <f>CHOOSE(CONTROL!$C$42, 7.2765, 7.2765) * CHOOSE(CONTROL!$C$21, $C$9, 100%, $E$9)</f>
        <v>7.2765000000000004</v>
      </c>
      <c r="N132" s="17">
        <f>CHOOSE(CONTROL!$C$42, 7.2938, 7.2938) * CHOOSE(CONTROL!$C$21, $C$9, 100%, $E$9)</f>
        <v>7.2938000000000001</v>
      </c>
      <c r="O132" s="17">
        <f>CHOOSE(CONTROL!$C$42, 7.4351, 7.4351) * CHOOSE(CONTROL!$C$21, $C$9, 100%, $E$9)</f>
        <v>7.4351000000000003</v>
      </c>
      <c r="P132" s="17">
        <f>CHOOSE(CONTROL!$C$42, 7.3128, 7.3128) * CHOOSE(CONTROL!$C$21, $C$9, 100%, $E$9)</f>
        <v>7.3128000000000002</v>
      </c>
      <c r="Q132" s="17">
        <f>CHOOSE(CONTROL!$C$42, 8.0298, 8.0298) * CHOOSE(CONTROL!$C$21, $C$9, 100%, $E$9)</f>
        <v>8.0297999999999998</v>
      </c>
      <c r="R132" s="17">
        <f>CHOOSE(CONTROL!$C$42, 8.6369, 8.6369) * CHOOSE(CONTROL!$C$21, $C$9, 100%, $E$9)</f>
        <v>8.6369000000000007</v>
      </c>
      <c r="S132" s="17">
        <f>CHOOSE(CONTROL!$C$42, 7.0956, 7.0956) * CHOOSE(CONTROL!$C$21, $C$9, 100%, $E$9)</f>
        <v>7.0956000000000001</v>
      </c>
      <c r="T132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132" s="56">
        <f>(1000*CHOOSE(CONTROL!$C$42, 695, 695)*CHOOSE(CONTROL!$C$42, 0.5599, 0.5599)*CHOOSE(CONTROL!$C$42, 31, 31))/1000000</f>
        <v>12.063045499999998</v>
      </c>
      <c r="V132" s="56">
        <f>(1000*CHOOSE(CONTROL!$C$42, 500, 500)*CHOOSE(CONTROL!$C$42, 0.275, 0.275)*CHOOSE(CONTROL!$C$42, 31, 31))/1000000</f>
        <v>4.2625000000000002</v>
      </c>
      <c r="W132" s="56">
        <f>(1000*CHOOSE(CONTROL!$C$42, 0.0916, 0.0916)*CHOOSE(CONTROL!$C$42, 121.5, 121.5)*CHOOSE(CONTROL!$C$42, 31, 31))/1000000</f>
        <v>0.34501139999999997</v>
      </c>
      <c r="X132" s="56">
        <f>(31*0.2374*100000/1000000)</f>
        <v>0.73594000000000004</v>
      </c>
      <c r="Y132" s="56"/>
      <c r="Z132" s="17"/>
      <c r="AA132" s="55"/>
      <c r="AB132" s="48">
        <f>(B132*122.58+C132*297.941+D132*89.177+E132*140.302+F132*40+G132*60+H132*0+I132*100+J132*300)/(122.58+297.941+89.177+140.302+0+40+60+100+300)</f>
        <v>7.3699919258260866</v>
      </c>
      <c r="AC132" s="45">
        <f>(M132*'RAP TEMPLATE-GAS AVAILABILITY'!O131+N132*'RAP TEMPLATE-GAS AVAILABILITY'!P131+O132*'RAP TEMPLATE-GAS AVAILABILITY'!Q131+P132*'RAP TEMPLATE-GAS AVAILABILITY'!R131)/('RAP TEMPLATE-GAS AVAILABILITY'!O131+'RAP TEMPLATE-GAS AVAILABILITY'!P131+'RAP TEMPLATE-GAS AVAILABILITY'!Q131+'RAP TEMPLATE-GAS AVAILABILITY'!R131)</f>
        <v>7.3546021582733809</v>
      </c>
    </row>
    <row r="133" spans="1:29" ht="15.75" x14ac:dyDescent="0.25">
      <c r="A133" s="16">
        <v>44562</v>
      </c>
      <c r="B133" s="17">
        <f>CHOOSE(CONTROL!$C$42, 7.7808, 7.7808) * CHOOSE(CONTROL!$C$21, $C$9, 100%, $E$9)</f>
        <v>7.7808000000000002</v>
      </c>
      <c r="C133" s="17">
        <f>CHOOSE(CONTROL!$C$42, 7.7859, 7.7859) * CHOOSE(CONTROL!$C$21, $C$9, 100%, $E$9)</f>
        <v>7.7858999999999998</v>
      </c>
      <c r="D133" s="17">
        <f>CHOOSE(CONTROL!$C$42, 7.9198, 7.9198) * CHOOSE(CONTROL!$C$21, $C$9, 100%, $E$9)</f>
        <v>7.9198000000000004</v>
      </c>
      <c r="E133" s="17">
        <f>CHOOSE(CONTROL!$C$42, 7.9536, 7.9536) * CHOOSE(CONTROL!$C$21, $C$9, 100%, $E$9)</f>
        <v>7.9535999999999998</v>
      </c>
      <c r="F133" s="17">
        <f>CHOOSE(CONTROL!$C$42, 7.7942, 7.7942)*CHOOSE(CONTROL!$C$21, $C$9, 100%, $E$9)</f>
        <v>7.7942</v>
      </c>
      <c r="G133" s="17">
        <f>CHOOSE(CONTROL!$C$42, 7.8111, 7.8111)*CHOOSE(CONTROL!$C$21, $C$9, 100%, $E$9)</f>
        <v>7.8110999999999997</v>
      </c>
      <c r="H133" s="17">
        <f>CHOOSE(CONTROL!$C$42, 7.9425, 7.9425) * CHOOSE(CONTROL!$C$21, $C$9, 100%, $E$9)</f>
        <v>7.9424999999999999</v>
      </c>
      <c r="I133" s="17">
        <f>CHOOSE(CONTROL!$C$42, 7.8314, 7.8314)* CHOOSE(CONTROL!$C$21, $C$9, 100%, $E$9)</f>
        <v>7.8314000000000004</v>
      </c>
      <c r="J133" s="17">
        <f>CHOOSE(CONTROL!$C$42, 7.7868, 7.7868)* CHOOSE(CONTROL!$C$21, $C$9, 100%, $E$9)</f>
        <v>7.7868000000000004</v>
      </c>
      <c r="K133" s="52">
        <f>CHOOSE(CONTROL!$C$42, 7.8254, 7.8254) * CHOOSE(CONTROL!$C$21, $C$9, 100%, $E$9)</f>
        <v>7.8254000000000001</v>
      </c>
      <c r="L133" s="17">
        <f>CHOOSE(CONTROL!$C$42, 8.5295, 8.5295) * CHOOSE(CONTROL!$C$21, $C$9, 100%, $E$9)</f>
        <v>8.5295000000000005</v>
      </c>
      <c r="M133" s="17">
        <f>CHOOSE(CONTROL!$C$42, 7.7238, 7.7238) * CHOOSE(CONTROL!$C$21, $C$9, 100%, $E$9)</f>
        <v>7.7237999999999998</v>
      </c>
      <c r="N133" s="17">
        <f>CHOOSE(CONTROL!$C$42, 7.7406, 7.7406) * CHOOSE(CONTROL!$C$21, $C$9, 100%, $E$9)</f>
        <v>7.7405999999999997</v>
      </c>
      <c r="O133" s="17">
        <f>CHOOSE(CONTROL!$C$42, 7.878, 7.878) * CHOOSE(CONTROL!$C$21, $C$9, 100%, $E$9)</f>
        <v>7.8780000000000001</v>
      </c>
      <c r="P133" s="17">
        <f>CHOOSE(CONTROL!$C$42, 7.7678, 7.7678) * CHOOSE(CONTROL!$C$21, $C$9, 100%, $E$9)</f>
        <v>7.7678000000000003</v>
      </c>
      <c r="Q133" s="17">
        <f>CHOOSE(CONTROL!$C$42, 8.4727, 8.4727) * CHOOSE(CONTROL!$C$21, $C$9, 100%, $E$9)</f>
        <v>8.4726999999999997</v>
      </c>
      <c r="R133" s="17">
        <f>CHOOSE(CONTROL!$C$42, 9.0809, 9.0809) * CHOOSE(CONTROL!$C$21, $C$9, 100%, $E$9)</f>
        <v>9.0808999999999997</v>
      </c>
      <c r="S133" s="17">
        <f>CHOOSE(CONTROL!$C$42, 7.5355, 7.5355) * CHOOSE(CONTROL!$C$21, $C$9, 100%, $E$9)</f>
        <v>7.5354999999999999</v>
      </c>
      <c r="T133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133" s="56">
        <f>(1000*CHOOSE(CONTROL!$C$42, 695, 695)*CHOOSE(CONTROL!$C$42, 0.5599, 0.5599)*CHOOSE(CONTROL!$C$42, 31, 31))/1000000</f>
        <v>12.063045499999998</v>
      </c>
      <c r="V133" s="56">
        <f>(1000*CHOOSE(CONTROL!$C$42, 500, 500)*CHOOSE(CONTROL!$C$42, 0.275, 0.275)*CHOOSE(CONTROL!$C$42, 31, 31))/1000000</f>
        <v>4.2625000000000002</v>
      </c>
      <c r="W133" s="56">
        <f>(1000*CHOOSE(CONTROL!$C$42, 0.0916, 0.0916)*CHOOSE(CONTROL!$C$42, 121.5, 121.5)*CHOOSE(CONTROL!$C$42, 31, 31))/1000000</f>
        <v>0.34501139999999997</v>
      </c>
      <c r="X133" s="56">
        <f>(31*0.2374*100000/1000000)</f>
        <v>0.73594000000000004</v>
      </c>
      <c r="Y133" s="56"/>
      <c r="Z133" s="17"/>
      <c r="AA133" s="55"/>
      <c r="AB133" s="48">
        <f>(B133*122.58+C133*297.941+D133*89.177+E133*140.302+F133*40+G133*60+H133*0+I133*100+J133*300)/(122.58+297.941+89.177+140.302+0+40+60+100+300)</f>
        <v>7.8219941632173917</v>
      </c>
      <c r="AC133" s="45">
        <f>(M133*'RAP TEMPLATE-GAS AVAILABILITY'!O132+N133*'RAP TEMPLATE-GAS AVAILABILITY'!P132+O133*'RAP TEMPLATE-GAS AVAILABILITY'!Q132+P133*'RAP TEMPLATE-GAS AVAILABILITY'!R132)/('RAP TEMPLATE-GAS AVAILABILITY'!O132+'RAP TEMPLATE-GAS AVAILABILITY'!P132+'RAP TEMPLATE-GAS AVAILABILITY'!Q132+'RAP TEMPLATE-GAS AVAILABILITY'!R132)</f>
        <v>7.8009870503597121</v>
      </c>
    </row>
    <row r="134" spans="1:29" ht="15.75" x14ac:dyDescent="0.25">
      <c r="A134" s="16">
        <v>44593</v>
      </c>
      <c r="B134" s="17">
        <f>CHOOSE(CONTROL!$C$42, 7.9354, 7.9354) * CHOOSE(CONTROL!$C$21, $C$9, 100%, $E$9)</f>
        <v>7.9353999999999996</v>
      </c>
      <c r="C134" s="17">
        <f>CHOOSE(CONTROL!$C$42, 7.9405, 7.9405) * CHOOSE(CONTROL!$C$21, $C$9, 100%, $E$9)</f>
        <v>7.9405000000000001</v>
      </c>
      <c r="D134" s="17">
        <f>CHOOSE(CONTROL!$C$42, 8.0744, 8.0744) * CHOOSE(CONTROL!$C$21, $C$9, 100%, $E$9)</f>
        <v>8.0744000000000007</v>
      </c>
      <c r="E134" s="17">
        <f>CHOOSE(CONTROL!$C$42, 8.1082, 8.1082) * CHOOSE(CONTROL!$C$21, $C$9, 100%, $E$9)</f>
        <v>8.1082000000000001</v>
      </c>
      <c r="F134" s="17">
        <f>CHOOSE(CONTROL!$C$42, 7.9488, 7.9488)*CHOOSE(CONTROL!$C$21, $C$9, 100%, $E$9)</f>
        <v>7.9488000000000003</v>
      </c>
      <c r="G134" s="17">
        <f>CHOOSE(CONTROL!$C$42, 7.9657, 7.9657)*CHOOSE(CONTROL!$C$21, $C$9, 100%, $E$9)</f>
        <v>7.9657</v>
      </c>
      <c r="H134" s="17">
        <f>CHOOSE(CONTROL!$C$42, 8.0971, 8.0971) * CHOOSE(CONTROL!$C$21, $C$9, 100%, $E$9)</f>
        <v>8.0970999999999993</v>
      </c>
      <c r="I134" s="17">
        <f>CHOOSE(CONTROL!$C$42, 7.9865, 7.9865)* CHOOSE(CONTROL!$C$21, $C$9, 100%, $E$9)</f>
        <v>7.9865000000000004</v>
      </c>
      <c r="J134" s="17">
        <f>CHOOSE(CONTROL!$C$42, 7.9414, 7.9414)* CHOOSE(CONTROL!$C$21, $C$9, 100%, $E$9)</f>
        <v>7.9413999999999998</v>
      </c>
      <c r="K134" s="52">
        <f>CHOOSE(CONTROL!$C$42, 7.9805, 7.9805) * CHOOSE(CONTROL!$C$21, $C$9, 100%, $E$9)</f>
        <v>7.9805000000000001</v>
      </c>
      <c r="L134" s="17">
        <f>CHOOSE(CONTROL!$C$42, 8.6841, 8.6841) * CHOOSE(CONTROL!$C$21, $C$9, 100%, $E$9)</f>
        <v>8.6841000000000008</v>
      </c>
      <c r="M134" s="17">
        <f>CHOOSE(CONTROL!$C$42, 7.877, 7.877) * CHOOSE(CONTROL!$C$21, $C$9, 100%, $E$9)</f>
        <v>7.8769999999999998</v>
      </c>
      <c r="N134" s="17">
        <f>CHOOSE(CONTROL!$C$42, 7.8937, 7.8937) * CHOOSE(CONTROL!$C$21, $C$9, 100%, $E$9)</f>
        <v>7.8936999999999999</v>
      </c>
      <c r="O134" s="17">
        <f>CHOOSE(CONTROL!$C$42, 8.0313, 8.0313) * CHOOSE(CONTROL!$C$21, $C$9, 100%, $E$9)</f>
        <v>8.0312999999999999</v>
      </c>
      <c r="P134" s="17">
        <f>CHOOSE(CONTROL!$C$42, 7.9215, 7.9215) * CHOOSE(CONTROL!$C$21, $C$9, 100%, $E$9)</f>
        <v>7.9215</v>
      </c>
      <c r="Q134" s="17">
        <f>CHOOSE(CONTROL!$C$42, 8.626, 8.626) * CHOOSE(CONTROL!$C$21, $C$9, 100%, $E$9)</f>
        <v>8.6259999999999994</v>
      </c>
      <c r="R134" s="17">
        <f>CHOOSE(CONTROL!$C$42, 9.2345, 9.2345) * CHOOSE(CONTROL!$C$21, $C$9, 100%, $E$9)</f>
        <v>9.2345000000000006</v>
      </c>
      <c r="S134" s="17">
        <f>CHOOSE(CONTROL!$C$42, 7.6854, 7.6854) * CHOOSE(CONTROL!$C$21, $C$9, 100%, $E$9)</f>
        <v>7.6853999999999996</v>
      </c>
      <c r="T134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134" s="56">
        <f>(1000*CHOOSE(CONTROL!$C$42, 695, 695)*CHOOSE(CONTROL!$C$42, 0.5599, 0.5599)*CHOOSE(CONTROL!$C$42, 28, 28))/1000000</f>
        <v>10.895653999999999</v>
      </c>
      <c r="V134" s="56">
        <f>(1000*CHOOSE(CONTROL!$C$42, 500, 500)*CHOOSE(CONTROL!$C$42, 0.275, 0.275)*CHOOSE(CONTROL!$C$42, 28, 28))/1000000</f>
        <v>3.85</v>
      </c>
      <c r="W134" s="56">
        <f>(1000*CHOOSE(CONTROL!$C$42, 0.0916, 0.0916)*CHOOSE(CONTROL!$C$42, 121.5, 121.5)*CHOOSE(CONTROL!$C$42, 28, 28))/1000000</f>
        <v>0.31162319999999999</v>
      </c>
      <c r="X134" s="56">
        <f>(28*0.2374*100000/1000000)</f>
        <v>0.66471999999999998</v>
      </c>
      <c r="Y134" s="56"/>
      <c r="Z134" s="17"/>
      <c r="AA134" s="55"/>
      <c r="AB134" s="48">
        <f>(B134*122.58+C134*297.941+D134*89.177+E134*140.302+F134*40+G134*60+H134*0+I134*100+J134*300)/(122.58+297.941+89.177+140.302+0+40+60+100+300)</f>
        <v>7.9766376414782609</v>
      </c>
      <c r="AC134" s="45">
        <f>(M134*'RAP TEMPLATE-GAS AVAILABILITY'!O133+N134*'RAP TEMPLATE-GAS AVAILABILITY'!P133+O134*'RAP TEMPLATE-GAS AVAILABILITY'!Q133+P134*'RAP TEMPLATE-GAS AVAILABILITY'!R133)/('RAP TEMPLATE-GAS AVAILABILITY'!O133+'RAP TEMPLATE-GAS AVAILABILITY'!P133+'RAP TEMPLATE-GAS AVAILABILITY'!Q133+'RAP TEMPLATE-GAS AVAILABILITY'!R133)</f>
        <v>7.9542985611510781</v>
      </c>
    </row>
    <row r="135" spans="1:29" ht="15.75" x14ac:dyDescent="0.25">
      <c r="A135" s="16">
        <v>44621</v>
      </c>
      <c r="B135" s="17">
        <f>CHOOSE(CONTROL!$C$42, 7.7263, 7.7263) * CHOOSE(CONTROL!$C$21, $C$9, 100%, $E$9)</f>
        <v>7.7263000000000002</v>
      </c>
      <c r="C135" s="17">
        <f>CHOOSE(CONTROL!$C$42, 7.7314, 7.7314) * CHOOSE(CONTROL!$C$21, $C$9, 100%, $E$9)</f>
        <v>7.7313999999999998</v>
      </c>
      <c r="D135" s="17">
        <f>CHOOSE(CONTROL!$C$42, 7.8653, 7.8653) * CHOOSE(CONTROL!$C$21, $C$9, 100%, $E$9)</f>
        <v>7.8653000000000004</v>
      </c>
      <c r="E135" s="17">
        <f>CHOOSE(CONTROL!$C$42, 7.8991, 7.8991) * CHOOSE(CONTROL!$C$21, $C$9, 100%, $E$9)</f>
        <v>7.8990999999999998</v>
      </c>
      <c r="F135" s="17">
        <f>CHOOSE(CONTROL!$C$42, 7.7389, 7.7389)*CHOOSE(CONTROL!$C$21, $C$9, 100%, $E$9)</f>
        <v>7.7389000000000001</v>
      </c>
      <c r="G135" s="17">
        <f>CHOOSE(CONTROL!$C$42, 7.7556, 7.7556)*CHOOSE(CONTROL!$C$21, $C$9, 100%, $E$9)</f>
        <v>7.7556000000000003</v>
      </c>
      <c r="H135" s="17">
        <f>CHOOSE(CONTROL!$C$42, 7.8879, 7.8879) * CHOOSE(CONTROL!$C$21, $C$9, 100%, $E$9)</f>
        <v>7.8879000000000001</v>
      </c>
      <c r="I135" s="17">
        <f>CHOOSE(CONTROL!$C$42, 7.7767, 7.7767)* CHOOSE(CONTROL!$C$21, $C$9, 100%, $E$9)</f>
        <v>7.7766999999999999</v>
      </c>
      <c r="J135" s="17">
        <f>CHOOSE(CONTROL!$C$42, 7.7315, 7.7315)* CHOOSE(CONTROL!$C$21, $C$9, 100%, $E$9)</f>
        <v>7.7314999999999996</v>
      </c>
      <c r="K135" s="52">
        <f>CHOOSE(CONTROL!$C$42, 7.7707, 7.7707) * CHOOSE(CONTROL!$C$21, $C$9, 100%, $E$9)</f>
        <v>7.7706999999999997</v>
      </c>
      <c r="L135" s="17">
        <f>CHOOSE(CONTROL!$C$42, 8.4749, 8.4749) * CHOOSE(CONTROL!$C$21, $C$9, 100%, $E$9)</f>
        <v>8.4748999999999999</v>
      </c>
      <c r="M135" s="17">
        <f>CHOOSE(CONTROL!$C$42, 7.669, 7.669) * CHOOSE(CONTROL!$C$21, $C$9, 100%, $E$9)</f>
        <v>7.6689999999999996</v>
      </c>
      <c r="N135" s="17">
        <f>CHOOSE(CONTROL!$C$42, 7.6855, 7.6855) * CHOOSE(CONTROL!$C$21, $C$9, 100%, $E$9)</f>
        <v>7.6855000000000002</v>
      </c>
      <c r="O135" s="17">
        <f>CHOOSE(CONTROL!$C$42, 7.824, 7.824) * CHOOSE(CONTROL!$C$21, $C$9, 100%, $E$9)</f>
        <v>7.8239999999999998</v>
      </c>
      <c r="P135" s="17">
        <f>CHOOSE(CONTROL!$C$42, 7.7137, 7.7137) * CHOOSE(CONTROL!$C$21, $C$9, 100%, $E$9)</f>
        <v>7.7137000000000002</v>
      </c>
      <c r="Q135" s="17">
        <f>CHOOSE(CONTROL!$C$42, 8.4187, 8.4187) * CHOOSE(CONTROL!$C$21, $C$9, 100%, $E$9)</f>
        <v>8.4186999999999994</v>
      </c>
      <c r="R135" s="17">
        <f>CHOOSE(CONTROL!$C$42, 9.0268, 9.0268) * CHOOSE(CONTROL!$C$21, $C$9, 100%, $E$9)</f>
        <v>9.0267999999999997</v>
      </c>
      <c r="S135" s="17">
        <f>CHOOSE(CONTROL!$C$42, 7.4827, 7.4827) * CHOOSE(CONTROL!$C$21, $C$9, 100%, $E$9)</f>
        <v>7.4827000000000004</v>
      </c>
      <c r="T135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135" s="56">
        <f>(1000*CHOOSE(CONTROL!$C$42, 695, 695)*CHOOSE(CONTROL!$C$42, 0.5599, 0.5599)*CHOOSE(CONTROL!$C$42, 31, 31))/1000000</f>
        <v>12.063045499999998</v>
      </c>
      <c r="V135" s="56">
        <f>(1000*CHOOSE(CONTROL!$C$42, 500, 500)*CHOOSE(CONTROL!$C$42, 0.275, 0.275)*CHOOSE(CONTROL!$C$42, 31, 31))/1000000</f>
        <v>4.2625000000000002</v>
      </c>
      <c r="W135" s="56">
        <f>(1000*CHOOSE(CONTROL!$C$42, 0.0916, 0.0916)*CHOOSE(CONTROL!$C$42, 121.5, 121.5)*CHOOSE(CONTROL!$C$42, 31, 31))/1000000</f>
        <v>0.34501139999999997</v>
      </c>
      <c r="X135" s="56">
        <f>(31*0.2374*100000/1000000)</f>
        <v>0.73594000000000004</v>
      </c>
      <c r="Y135" s="56"/>
      <c r="Z135" s="17"/>
      <c r="AA135" s="55"/>
      <c r="AB135" s="48">
        <f>(B135*122.58+C135*297.941+D135*89.177+E135*140.302+F135*40+G135*60+H135*0+I135*100+J135*300)/(122.58+297.941+89.177+140.302+0+40+60+100+300)</f>
        <v>7.7671880762608696</v>
      </c>
      <c r="AC135" s="45">
        <f>(M135*'RAP TEMPLATE-GAS AVAILABILITY'!O134+N135*'RAP TEMPLATE-GAS AVAILABILITY'!P134+O135*'RAP TEMPLATE-GAS AVAILABILITY'!Q134+P135*'RAP TEMPLATE-GAS AVAILABILITY'!R134)/('RAP TEMPLATE-GAS AVAILABILITY'!O134+'RAP TEMPLATE-GAS AVAILABILITY'!P134+'RAP TEMPLATE-GAS AVAILABILITY'!Q134+'RAP TEMPLATE-GAS AVAILABILITY'!R134)</f>
        <v>7.7466330935251797</v>
      </c>
    </row>
    <row r="136" spans="1:29" ht="15.75" x14ac:dyDescent="0.25">
      <c r="A136" s="16">
        <v>44652</v>
      </c>
      <c r="B136" s="17">
        <f>CHOOSE(CONTROL!$C$42, 7.7201, 7.7201) * CHOOSE(CONTROL!$C$21, $C$9, 100%, $E$9)</f>
        <v>7.7201000000000004</v>
      </c>
      <c r="C136" s="17">
        <f>CHOOSE(CONTROL!$C$42, 7.7246, 7.7246) * CHOOSE(CONTROL!$C$21, $C$9, 100%, $E$9)</f>
        <v>7.7245999999999997</v>
      </c>
      <c r="D136" s="17">
        <f>CHOOSE(CONTROL!$C$42, 7.9876, 7.9876) * CHOOSE(CONTROL!$C$21, $C$9, 100%, $E$9)</f>
        <v>7.9875999999999996</v>
      </c>
      <c r="E136" s="17">
        <f>CHOOSE(CONTROL!$C$42, 8.0194, 8.0194) * CHOOSE(CONTROL!$C$21, $C$9, 100%, $E$9)</f>
        <v>8.0193999999999992</v>
      </c>
      <c r="F136" s="17">
        <f>CHOOSE(CONTROL!$C$42, 7.731, 7.731)*CHOOSE(CONTROL!$C$21, $C$9, 100%, $E$9)</f>
        <v>7.7309999999999999</v>
      </c>
      <c r="G136" s="17">
        <f>CHOOSE(CONTROL!$C$42, 7.7471, 7.7471)*CHOOSE(CONTROL!$C$21, $C$9, 100%, $E$9)</f>
        <v>7.7470999999999997</v>
      </c>
      <c r="H136" s="17">
        <f>CHOOSE(CONTROL!$C$42, 8.0088, 8.0088) * CHOOSE(CONTROL!$C$21, $C$9, 100%, $E$9)</f>
        <v>8.0088000000000008</v>
      </c>
      <c r="I136" s="17">
        <f>CHOOSE(CONTROL!$C$42, 7.7692, 7.7692)* CHOOSE(CONTROL!$C$21, $C$9, 100%, $E$9)</f>
        <v>7.7691999999999997</v>
      </c>
      <c r="J136" s="17">
        <f>CHOOSE(CONTROL!$C$42, 7.7236, 7.7236)* CHOOSE(CONTROL!$C$21, $C$9, 100%, $E$9)</f>
        <v>7.7236000000000002</v>
      </c>
      <c r="K136" s="52">
        <f>CHOOSE(CONTROL!$C$42, 7.7632, 7.7632) * CHOOSE(CONTROL!$C$21, $C$9, 100%, $E$9)</f>
        <v>7.7632000000000003</v>
      </c>
      <c r="L136" s="17">
        <f>CHOOSE(CONTROL!$C$42, 8.5958, 8.5958) * CHOOSE(CONTROL!$C$21, $C$9, 100%, $E$9)</f>
        <v>8.5958000000000006</v>
      </c>
      <c r="M136" s="17">
        <f>CHOOSE(CONTROL!$C$42, 7.6611, 7.6611) * CHOOSE(CONTROL!$C$21, $C$9, 100%, $E$9)</f>
        <v>7.6611000000000002</v>
      </c>
      <c r="N136" s="17">
        <f>CHOOSE(CONTROL!$C$42, 7.6771, 7.6771) * CHOOSE(CONTROL!$C$21, $C$9, 100%, $E$9)</f>
        <v>7.6771000000000003</v>
      </c>
      <c r="O136" s="17">
        <f>CHOOSE(CONTROL!$C$42, 7.9438, 7.9438) * CHOOSE(CONTROL!$C$21, $C$9, 100%, $E$9)</f>
        <v>7.9438000000000004</v>
      </c>
      <c r="P136" s="17">
        <f>CHOOSE(CONTROL!$C$42, 7.7062, 7.7062) * CHOOSE(CONTROL!$C$21, $C$9, 100%, $E$9)</f>
        <v>7.7061999999999999</v>
      </c>
      <c r="Q136" s="17">
        <f>CHOOSE(CONTROL!$C$42, 8.5385, 8.5385) * CHOOSE(CONTROL!$C$21, $C$9, 100%, $E$9)</f>
        <v>8.5385000000000009</v>
      </c>
      <c r="R136" s="17">
        <f>CHOOSE(CONTROL!$C$42, 9.1469, 9.1469) * CHOOSE(CONTROL!$C$21, $C$9, 100%, $E$9)</f>
        <v>9.1469000000000005</v>
      </c>
      <c r="S136" s="17">
        <f>CHOOSE(CONTROL!$C$42, 7.4759, 7.4759) * CHOOSE(CONTROL!$C$21, $C$9, 100%, $E$9)</f>
        <v>7.4759000000000002</v>
      </c>
      <c r="T136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136" s="56">
        <f>(1000*CHOOSE(CONTROL!$C$42, 695, 695)*CHOOSE(CONTROL!$C$42, 0.5599, 0.5599)*CHOOSE(CONTROL!$C$42, 30, 30))/1000000</f>
        <v>11.673914999999997</v>
      </c>
      <c r="V136" s="56">
        <f>(1000*CHOOSE(CONTROL!$C$42, 500, 500)*CHOOSE(CONTROL!$C$42, 0.275, 0.275)*CHOOSE(CONTROL!$C$42, 30, 30))/1000000</f>
        <v>4.125</v>
      </c>
      <c r="W136" s="56">
        <f>(1000*CHOOSE(CONTROL!$C$42, 0.0916, 0.0916)*CHOOSE(CONTROL!$C$42, 121.5, 121.5)*CHOOSE(CONTROL!$C$42, 30, 30))/1000000</f>
        <v>0.33388200000000001</v>
      </c>
      <c r="X136" s="56">
        <f>(30*0.1790888*145000/1000000)+(30*0.2374*100000/1000000)</f>
        <v>1.4912362799999999</v>
      </c>
      <c r="Y136" s="56"/>
      <c r="Z136" s="17"/>
      <c r="AA136" s="55"/>
      <c r="AB136" s="48">
        <f>(B136*141.293+C136*267.993+D136*115.016+E136*189.698+F136*40+G136*85+H136*0+I136*100+J136*300)/(141.293+267.993+115.016+189.698+0+40+85+100+300)</f>
        <v>7.7987443582728009</v>
      </c>
      <c r="AC136" s="45">
        <f>(M136*'RAP TEMPLATE-GAS AVAILABILITY'!O135+N136*'RAP TEMPLATE-GAS AVAILABILITY'!P135+O136*'RAP TEMPLATE-GAS AVAILABILITY'!Q135+P136*'RAP TEMPLATE-GAS AVAILABILITY'!R135)/('RAP TEMPLATE-GAS AVAILABILITY'!O135+'RAP TEMPLATE-GAS AVAILABILITY'!P135+'RAP TEMPLATE-GAS AVAILABILITY'!Q135+'RAP TEMPLATE-GAS AVAILABILITY'!R135)</f>
        <v>7.750591366906475</v>
      </c>
    </row>
    <row r="137" spans="1:29" ht="15.75" x14ac:dyDescent="0.25">
      <c r="A137" s="16">
        <v>44682</v>
      </c>
      <c r="B137" s="17">
        <f>CHOOSE(CONTROL!$C$42, 7.8055, 7.8055) * CHOOSE(CONTROL!$C$21, $C$9, 100%, $E$9)</f>
        <v>7.8055000000000003</v>
      </c>
      <c r="C137" s="17">
        <f>CHOOSE(CONTROL!$C$42, 7.8135, 7.8135) * CHOOSE(CONTROL!$C$21, $C$9, 100%, $E$9)</f>
        <v>7.8135000000000003</v>
      </c>
      <c r="D137" s="17">
        <f>CHOOSE(CONTROL!$C$42, 8.0734, 8.0734) * CHOOSE(CONTROL!$C$21, $C$9, 100%, $E$9)</f>
        <v>8.0733999999999995</v>
      </c>
      <c r="E137" s="17">
        <f>CHOOSE(CONTROL!$C$42, 8.1046, 8.1046) * CHOOSE(CONTROL!$C$21, $C$9, 100%, $E$9)</f>
        <v>8.1045999999999996</v>
      </c>
      <c r="F137" s="17">
        <f>CHOOSE(CONTROL!$C$42, 7.8151, 7.8151)*CHOOSE(CONTROL!$C$21, $C$9, 100%, $E$9)</f>
        <v>7.8151000000000002</v>
      </c>
      <c r="G137" s="17">
        <f>CHOOSE(CONTROL!$C$42, 7.8316, 7.8316)*CHOOSE(CONTROL!$C$21, $C$9, 100%, $E$9)</f>
        <v>7.8315999999999999</v>
      </c>
      <c r="H137" s="17">
        <f>CHOOSE(CONTROL!$C$42, 8.0929, 8.0929) * CHOOSE(CONTROL!$C$21, $C$9, 100%, $E$9)</f>
        <v>8.0929000000000002</v>
      </c>
      <c r="I137" s="17">
        <f>CHOOSE(CONTROL!$C$42, 7.8535, 7.8535)* CHOOSE(CONTROL!$C$21, $C$9, 100%, $E$9)</f>
        <v>7.8535000000000004</v>
      </c>
      <c r="J137" s="17">
        <f>CHOOSE(CONTROL!$C$42, 7.8077, 7.8077)* CHOOSE(CONTROL!$C$21, $C$9, 100%, $E$9)</f>
        <v>7.8076999999999996</v>
      </c>
      <c r="K137" s="52">
        <f>CHOOSE(CONTROL!$C$42, 7.8475, 7.8475) * CHOOSE(CONTROL!$C$21, $C$9, 100%, $E$9)</f>
        <v>7.8475000000000001</v>
      </c>
      <c r="L137" s="17">
        <f>CHOOSE(CONTROL!$C$42, 8.6799, 8.6799) * CHOOSE(CONTROL!$C$21, $C$9, 100%, $E$9)</f>
        <v>8.6798999999999999</v>
      </c>
      <c r="M137" s="17">
        <f>CHOOSE(CONTROL!$C$42, 7.7445, 7.7445) * CHOOSE(CONTROL!$C$21, $C$9, 100%, $E$9)</f>
        <v>7.7445000000000004</v>
      </c>
      <c r="N137" s="17">
        <f>CHOOSE(CONTROL!$C$42, 7.7608, 7.7608) * CHOOSE(CONTROL!$C$21, $C$9, 100%, $E$9)</f>
        <v>7.7607999999999997</v>
      </c>
      <c r="O137" s="17">
        <f>CHOOSE(CONTROL!$C$42, 8.0271, 8.0271) * CHOOSE(CONTROL!$C$21, $C$9, 100%, $E$9)</f>
        <v>8.0271000000000008</v>
      </c>
      <c r="P137" s="17">
        <f>CHOOSE(CONTROL!$C$42, 7.7898, 7.7898) * CHOOSE(CONTROL!$C$21, $C$9, 100%, $E$9)</f>
        <v>7.7897999999999996</v>
      </c>
      <c r="Q137" s="17">
        <f>CHOOSE(CONTROL!$C$42, 8.6218, 8.6218) * CHOOSE(CONTROL!$C$21, $C$9, 100%, $E$9)</f>
        <v>8.6218000000000004</v>
      </c>
      <c r="R137" s="17">
        <f>CHOOSE(CONTROL!$C$42, 9.2304, 9.2304) * CHOOSE(CONTROL!$C$21, $C$9, 100%, $E$9)</f>
        <v>9.2303999999999995</v>
      </c>
      <c r="S137" s="17">
        <f>CHOOSE(CONTROL!$C$42, 7.5574, 7.5574) * CHOOSE(CONTROL!$C$21, $C$9, 100%, $E$9)</f>
        <v>7.5574000000000003</v>
      </c>
      <c r="T137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137" s="56">
        <f>(1000*CHOOSE(CONTROL!$C$42, 695, 695)*CHOOSE(CONTROL!$C$42, 0.5599, 0.5599)*CHOOSE(CONTROL!$C$42, 31, 31))/1000000</f>
        <v>12.063045499999998</v>
      </c>
      <c r="V137" s="56">
        <f>(1000*CHOOSE(CONTROL!$C$42, 500, 500)*CHOOSE(CONTROL!$C$42, 0.275, 0.275)*CHOOSE(CONTROL!$C$42, 31, 31))/1000000</f>
        <v>4.2625000000000002</v>
      </c>
      <c r="W137" s="56">
        <f>(1000*CHOOSE(CONTROL!$C$42, 0.0916, 0.0916)*CHOOSE(CONTROL!$C$42, 121.5, 121.5)*CHOOSE(CONTROL!$C$42, 31, 31))/1000000</f>
        <v>0.34501139999999997</v>
      </c>
      <c r="X137" s="56">
        <f>(31*0.1790888*145000/1000000)+(31*0.2374*100000/1000000)</f>
        <v>1.5409441560000001</v>
      </c>
      <c r="Y137" s="56"/>
      <c r="Z137" s="17"/>
      <c r="AA137" s="55"/>
      <c r="AB137" s="48">
        <f>(B137*194.205+C137*267.466+D137*133.845+E137*153.484+F137*40+G137*85+H137*0+I137*100+J137*300)/(194.205+267.466+133.845+153.484+0+40+85+100+300)</f>
        <v>7.8776871019623238</v>
      </c>
      <c r="AC137" s="45">
        <f>(M137*'RAP TEMPLATE-GAS AVAILABILITY'!O136+N137*'RAP TEMPLATE-GAS AVAILABILITY'!P136+O137*'RAP TEMPLATE-GAS AVAILABILITY'!Q136+P137*'RAP TEMPLATE-GAS AVAILABILITY'!R136)/('RAP TEMPLATE-GAS AVAILABILITY'!O136+'RAP TEMPLATE-GAS AVAILABILITY'!P136+'RAP TEMPLATE-GAS AVAILABILITY'!Q136+'RAP TEMPLATE-GAS AVAILABILITY'!R136)</f>
        <v>7.8340611510791378</v>
      </c>
    </row>
    <row r="138" spans="1:29" ht="15.75" x14ac:dyDescent="0.25">
      <c r="A138" s="16">
        <v>44713</v>
      </c>
      <c r="B138" s="17">
        <f>CHOOSE(CONTROL!$C$42, 8.043, 8.043) * CHOOSE(CONTROL!$C$21, $C$9, 100%, $E$9)</f>
        <v>8.0429999999999993</v>
      </c>
      <c r="C138" s="17">
        <f>CHOOSE(CONTROL!$C$42, 8.051, 8.051) * CHOOSE(CONTROL!$C$21, $C$9, 100%, $E$9)</f>
        <v>8.0510000000000002</v>
      </c>
      <c r="D138" s="17">
        <f>CHOOSE(CONTROL!$C$42, 8.3109, 8.3109) * CHOOSE(CONTROL!$C$21, $C$9, 100%, $E$9)</f>
        <v>8.3109000000000002</v>
      </c>
      <c r="E138" s="17">
        <f>CHOOSE(CONTROL!$C$42, 8.3421, 8.3421) * CHOOSE(CONTROL!$C$21, $C$9, 100%, $E$9)</f>
        <v>8.3421000000000003</v>
      </c>
      <c r="F138" s="17">
        <f>CHOOSE(CONTROL!$C$42, 8.053, 8.053)*CHOOSE(CONTROL!$C$21, $C$9, 100%, $E$9)</f>
        <v>8.0530000000000008</v>
      </c>
      <c r="G138" s="17">
        <f>CHOOSE(CONTROL!$C$42, 8.0695, 8.0695)*CHOOSE(CONTROL!$C$21, $C$9, 100%, $E$9)</f>
        <v>8.0694999999999997</v>
      </c>
      <c r="H138" s="17">
        <f>CHOOSE(CONTROL!$C$42, 8.3304, 8.3304) * CHOOSE(CONTROL!$C$21, $C$9, 100%, $E$9)</f>
        <v>8.3303999999999991</v>
      </c>
      <c r="I138" s="17">
        <f>CHOOSE(CONTROL!$C$42, 8.0918, 8.0918)* CHOOSE(CONTROL!$C$21, $C$9, 100%, $E$9)</f>
        <v>8.0917999999999992</v>
      </c>
      <c r="J138" s="17">
        <f>CHOOSE(CONTROL!$C$42, 8.0456, 8.0456)* CHOOSE(CONTROL!$C$21, $C$9, 100%, $E$9)</f>
        <v>8.0456000000000003</v>
      </c>
      <c r="K138" s="52">
        <f>CHOOSE(CONTROL!$C$42, 8.0858, 8.0858) * CHOOSE(CONTROL!$C$21, $C$9, 100%, $E$9)</f>
        <v>8.0858000000000008</v>
      </c>
      <c r="L138" s="17">
        <f>CHOOSE(CONTROL!$C$42, 8.9174, 8.9174) * CHOOSE(CONTROL!$C$21, $C$9, 100%, $E$9)</f>
        <v>8.9174000000000007</v>
      </c>
      <c r="M138" s="17">
        <f>CHOOSE(CONTROL!$C$42, 7.9802, 7.9802) * CHOOSE(CONTROL!$C$21, $C$9, 100%, $E$9)</f>
        <v>7.9802</v>
      </c>
      <c r="N138" s="17">
        <f>CHOOSE(CONTROL!$C$42, 7.9966, 7.9966) * CHOOSE(CONTROL!$C$21, $C$9, 100%, $E$9)</f>
        <v>7.9965999999999999</v>
      </c>
      <c r="O138" s="17">
        <f>CHOOSE(CONTROL!$C$42, 8.2625, 8.2625) * CHOOSE(CONTROL!$C$21, $C$9, 100%, $E$9)</f>
        <v>8.2624999999999993</v>
      </c>
      <c r="P138" s="17">
        <f>CHOOSE(CONTROL!$C$42, 8.0259, 8.0259) * CHOOSE(CONTROL!$C$21, $C$9, 100%, $E$9)</f>
        <v>8.0259</v>
      </c>
      <c r="Q138" s="17">
        <f>CHOOSE(CONTROL!$C$42, 8.8572, 8.8572) * CHOOSE(CONTROL!$C$21, $C$9, 100%, $E$9)</f>
        <v>8.8572000000000006</v>
      </c>
      <c r="R138" s="17">
        <f>CHOOSE(CONTROL!$C$42, 9.4664, 9.4664) * CHOOSE(CONTROL!$C$21, $C$9, 100%, $E$9)</f>
        <v>9.4664000000000001</v>
      </c>
      <c r="S138" s="17">
        <f>CHOOSE(CONTROL!$C$42, 7.7877, 7.7877) * CHOOSE(CONTROL!$C$21, $C$9, 100%, $E$9)</f>
        <v>7.7877000000000001</v>
      </c>
      <c r="T138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138" s="56">
        <f>(1000*CHOOSE(CONTROL!$C$42, 695, 695)*CHOOSE(CONTROL!$C$42, 0.5599, 0.5599)*CHOOSE(CONTROL!$C$42, 30, 30))/1000000</f>
        <v>11.673914999999997</v>
      </c>
      <c r="V138" s="56">
        <f>(1000*CHOOSE(CONTROL!$C$42, 500, 500)*CHOOSE(CONTROL!$C$42, 0.275, 0.275)*CHOOSE(CONTROL!$C$42, 30, 30))/1000000</f>
        <v>4.125</v>
      </c>
      <c r="W138" s="56">
        <f>(1000*CHOOSE(CONTROL!$C$42, 0.0916, 0.0916)*CHOOSE(CONTROL!$C$42, 121.5, 121.5)*CHOOSE(CONTROL!$C$42, 30, 30))/1000000</f>
        <v>0.33388200000000001</v>
      </c>
      <c r="X138" s="56">
        <f>(30*0.1790888*145000/1000000)+(30*0.2374*100000/1000000)</f>
        <v>1.4912362799999999</v>
      </c>
      <c r="Y138" s="56"/>
      <c r="Z138" s="17"/>
      <c r="AA138" s="55"/>
      <c r="AB138" s="48">
        <f>(B138*194.205+C138*267.466+D138*133.845+E138*153.484+F138*40+G138*85+H138*0+I138*100+J138*300)/(194.205+267.466+133.845+153.484+0+40+85+100+300)</f>
        <v>8.1153833343014128</v>
      </c>
      <c r="AC138" s="45">
        <f>(M138*'RAP TEMPLATE-GAS AVAILABILITY'!O137+N138*'RAP TEMPLATE-GAS AVAILABILITY'!P137+O138*'RAP TEMPLATE-GAS AVAILABILITY'!Q137+P138*'RAP TEMPLATE-GAS AVAILABILITY'!R137)/('RAP TEMPLATE-GAS AVAILABILITY'!O137+'RAP TEMPLATE-GAS AVAILABILITY'!P137+'RAP TEMPLATE-GAS AVAILABILITY'!Q137+'RAP TEMPLATE-GAS AVAILABILITY'!R137)</f>
        <v>8.0697575539568351</v>
      </c>
    </row>
    <row r="139" spans="1:29" ht="15.75" x14ac:dyDescent="0.25">
      <c r="A139" s="16">
        <v>44743</v>
      </c>
      <c r="B139" s="17">
        <f>CHOOSE(CONTROL!$C$42, 7.9052, 7.9052) * CHOOSE(CONTROL!$C$21, $C$9, 100%, $E$9)</f>
        <v>7.9051999999999998</v>
      </c>
      <c r="C139" s="17">
        <f>CHOOSE(CONTROL!$C$42, 7.9132, 7.9132) * CHOOSE(CONTROL!$C$21, $C$9, 100%, $E$9)</f>
        <v>7.9131999999999998</v>
      </c>
      <c r="D139" s="17">
        <f>CHOOSE(CONTROL!$C$42, 8.1731, 8.1731) * CHOOSE(CONTROL!$C$21, $C$9, 100%, $E$9)</f>
        <v>8.1730999999999998</v>
      </c>
      <c r="E139" s="17">
        <f>CHOOSE(CONTROL!$C$42, 8.2043, 8.2043) * CHOOSE(CONTROL!$C$21, $C$9, 100%, $E$9)</f>
        <v>8.2042999999999999</v>
      </c>
      <c r="F139" s="17">
        <f>CHOOSE(CONTROL!$C$42, 7.9156, 7.9156)*CHOOSE(CONTROL!$C$21, $C$9, 100%, $E$9)</f>
        <v>7.9156000000000004</v>
      </c>
      <c r="G139" s="17">
        <f>CHOOSE(CONTROL!$C$42, 7.9322, 7.9322)*CHOOSE(CONTROL!$C$21, $C$9, 100%, $E$9)</f>
        <v>7.9321999999999999</v>
      </c>
      <c r="H139" s="17">
        <f>CHOOSE(CONTROL!$C$42, 8.1926, 8.1926) * CHOOSE(CONTROL!$C$21, $C$9, 100%, $E$9)</f>
        <v>8.1926000000000005</v>
      </c>
      <c r="I139" s="17">
        <f>CHOOSE(CONTROL!$C$42, 7.9536, 7.9536)* CHOOSE(CONTROL!$C$21, $C$9, 100%, $E$9)</f>
        <v>7.9535999999999998</v>
      </c>
      <c r="J139" s="17">
        <f>CHOOSE(CONTROL!$C$42, 7.9082, 7.9082)* CHOOSE(CONTROL!$C$21, $C$9, 100%, $E$9)</f>
        <v>7.9081999999999999</v>
      </c>
      <c r="K139" s="52">
        <f>CHOOSE(CONTROL!$C$42, 7.9475, 7.9475) * CHOOSE(CONTROL!$C$21, $C$9, 100%, $E$9)</f>
        <v>7.9474999999999998</v>
      </c>
      <c r="L139" s="17">
        <f>CHOOSE(CONTROL!$C$42, 8.7796, 8.7796) * CHOOSE(CONTROL!$C$21, $C$9, 100%, $E$9)</f>
        <v>8.7796000000000003</v>
      </c>
      <c r="M139" s="17">
        <f>CHOOSE(CONTROL!$C$42, 7.8441, 7.8441) * CHOOSE(CONTROL!$C$21, $C$9, 100%, $E$9)</f>
        <v>7.8441000000000001</v>
      </c>
      <c r="N139" s="17">
        <f>CHOOSE(CONTROL!$C$42, 7.8606, 7.8606) * CHOOSE(CONTROL!$C$21, $C$9, 100%, $E$9)</f>
        <v>7.8605999999999998</v>
      </c>
      <c r="O139" s="17">
        <f>CHOOSE(CONTROL!$C$42, 8.1259, 8.1259) * CHOOSE(CONTROL!$C$21, $C$9, 100%, $E$9)</f>
        <v>8.1258999999999997</v>
      </c>
      <c r="P139" s="17">
        <f>CHOOSE(CONTROL!$C$42, 7.8889, 7.8889) * CHOOSE(CONTROL!$C$21, $C$9, 100%, $E$9)</f>
        <v>7.8888999999999996</v>
      </c>
      <c r="Q139" s="17">
        <f>CHOOSE(CONTROL!$C$42, 8.7206, 8.7206) * CHOOSE(CONTROL!$C$21, $C$9, 100%, $E$9)</f>
        <v>8.7205999999999992</v>
      </c>
      <c r="R139" s="17">
        <f>CHOOSE(CONTROL!$C$42, 9.3294, 9.3294) * CHOOSE(CONTROL!$C$21, $C$9, 100%, $E$9)</f>
        <v>9.3293999999999997</v>
      </c>
      <c r="S139" s="17">
        <f>CHOOSE(CONTROL!$C$42, 7.6541, 7.6541) * CHOOSE(CONTROL!$C$21, $C$9, 100%, $E$9)</f>
        <v>7.6540999999999997</v>
      </c>
      <c r="T139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139" s="56">
        <f>(1000*CHOOSE(CONTROL!$C$42, 695, 695)*CHOOSE(CONTROL!$C$42, 0.5599, 0.5599)*CHOOSE(CONTROL!$C$42, 31, 31))/1000000</f>
        <v>12.063045499999998</v>
      </c>
      <c r="V139" s="56">
        <f>(1000*CHOOSE(CONTROL!$C$42, 500, 500)*CHOOSE(CONTROL!$C$42, 0.275, 0.275)*CHOOSE(CONTROL!$C$42, 31, 31))/1000000</f>
        <v>4.2625000000000002</v>
      </c>
      <c r="W139" s="56">
        <f>(1000*CHOOSE(CONTROL!$C$42, 0.0916, 0.0916)*CHOOSE(CONTROL!$C$42, 121.5, 121.5)*CHOOSE(CONTROL!$C$42, 31, 31))/1000000</f>
        <v>0.34501139999999997</v>
      </c>
      <c r="X139" s="56">
        <f>(31*0.1790888*145000/1000000)+(31*0.2374*100000/1000000)</f>
        <v>1.5409441560000001</v>
      </c>
      <c r="Y139" s="56"/>
      <c r="Z139" s="17"/>
      <c r="AA139" s="55"/>
      <c r="AB139" s="48">
        <f>(B139*194.205+C139*267.466+D139*133.845+E139*153.484+F139*40+G139*85+H139*0+I139*100+J139*300)/(194.205+267.466+133.845+153.484+0+40+85+100+300)</f>
        <v>7.9776920470172668</v>
      </c>
      <c r="AC139" s="45">
        <f>(M139*'RAP TEMPLATE-GAS AVAILABILITY'!O138+N139*'RAP TEMPLATE-GAS AVAILABILITY'!P138+O139*'RAP TEMPLATE-GAS AVAILABILITY'!Q138+P139*'RAP TEMPLATE-GAS AVAILABILITY'!R138)/('RAP TEMPLATE-GAS AVAILABILITY'!O138+'RAP TEMPLATE-GAS AVAILABILITY'!P138+'RAP TEMPLATE-GAS AVAILABILITY'!Q138+'RAP TEMPLATE-GAS AVAILABILITY'!R138)</f>
        <v>7.9334107913669074</v>
      </c>
    </row>
    <row r="140" spans="1:29" ht="15.75" x14ac:dyDescent="0.25">
      <c r="A140" s="16">
        <v>44774</v>
      </c>
      <c r="B140" s="17">
        <f>CHOOSE(CONTROL!$C$42, 7.5308, 7.5308) * CHOOSE(CONTROL!$C$21, $C$9, 100%, $E$9)</f>
        <v>7.5308000000000002</v>
      </c>
      <c r="C140" s="17">
        <f>CHOOSE(CONTROL!$C$42, 7.5388, 7.5388) * CHOOSE(CONTROL!$C$21, $C$9, 100%, $E$9)</f>
        <v>7.5388000000000002</v>
      </c>
      <c r="D140" s="17">
        <f>CHOOSE(CONTROL!$C$42, 7.7987, 7.7987) * CHOOSE(CONTROL!$C$21, $C$9, 100%, $E$9)</f>
        <v>7.7987000000000002</v>
      </c>
      <c r="E140" s="17">
        <f>CHOOSE(CONTROL!$C$42, 7.8299, 7.8299) * CHOOSE(CONTROL!$C$21, $C$9, 100%, $E$9)</f>
        <v>7.8299000000000003</v>
      </c>
      <c r="F140" s="17">
        <f>CHOOSE(CONTROL!$C$42, 7.5414, 7.5414)*CHOOSE(CONTROL!$C$21, $C$9, 100%, $E$9)</f>
        <v>7.5414000000000003</v>
      </c>
      <c r="G140" s="17">
        <f>CHOOSE(CONTROL!$C$42, 7.5581, 7.5581)*CHOOSE(CONTROL!$C$21, $C$9, 100%, $E$9)</f>
        <v>7.5580999999999996</v>
      </c>
      <c r="H140" s="17">
        <f>CHOOSE(CONTROL!$C$42, 7.8182, 7.8182) * CHOOSE(CONTROL!$C$21, $C$9, 100%, $E$9)</f>
        <v>7.8182</v>
      </c>
      <c r="I140" s="17">
        <f>CHOOSE(CONTROL!$C$42, 7.578, 7.578)* CHOOSE(CONTROL!$C$21, $C$9, 100%, $E$9)</f>
        <v>7.5780000000000003</v>
      </c>
      <c r="J140" s="17">
        <f>CHOOSE(CONTROL!$C$42, 7.534, 7.534)* CHOOSE(CONTROL!$C$21, $C$9, 100%, $E$9)</f>
        <v>7.5339999999999998</v>
      </c>
      <c r="K140" s="52">
        <f>CHOOSE(CONTROL!$C$42, 7.572, 7.572) * CHOOSE(CONTROL!$C$21, $C$9, 100%, $E$9)</f>
        <v>7.5720000000000001</v>
      </c>
      <c r="L140" s="17">
        <f>CHOOSE(CONTROL!$C$42, 8.4052, 8.4052) * CHOOSE(CONTROL!$C$21, $C$9, 100%, $E$9)</f>
        <v>8.4052000000000007</v>
      </c>
      <c r="M140" s="17">
        <f>CHOOSE(CONTROL!$C$42, 7.4733, 7.4733) * CHOOSE(CONTROL!$C$21, $C$9, 100%, $E$9)</f>
        <v>7.4733000000000001</v>
      </c>
      <c r="N140" s="17">
        <f>CHOOSE(CONTROL!$C$42, 7.4898, 7.4898) * CHOOSE(CONTROL!$C$21, $C$9, 100%, $E$9)</f>
        <v>7.4897999999999998</v>
      </c>
      <c r="O140" s="17">
        <f>CHOOSE(CONTROL!$C$42, 7.7549, 7.7549) * CHOOSE(CONTROL!$C$21, $C$9, 100%, $E$9)</f>
        <v>7.7549000000000001</v>
      </c>
      <c r="P140" s="17">
        <f>CHOOSE(CONTROL!$C$42, 7.5167, 7.5167) * CHOOSE(CONTROL!$C$21, $C$9, 100%, $E$9)</f>
        <v>7.5167000000000002</v>
      </c>
      <c r="Q140" s="17">
        <f>CHOOSE(CONTROL!$C$42, 8.3496, 8.3496) * CHOOSE(CONTROL!$C$21, $C$9, 100%, $E$9)</f>
        <v>8.3496000000000006</v>
      </c>
      <c r="R140" s="17">
        <f>CHOOSE(CONTROL!$C$42, 8.9575, 8.9575) * CHOOSE(CONTROL!$C$21, $C$9, 100%, $E$9)</f>
        <v>8.9574999999999996</v>
      </c>
      <c r="S140" s="17">
        <f>CHOOSE(CONTROL!$C$42, 7.291, 7.291) * CHOOSE(CONTROL!$C$21, $C$9, 100%, $E$9)</f>
        <v>7.2910000000000004</v>
      </c>
      <c r="T140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140" s="56">
        <f>(1000*CHOOSE(CONTROL!$C$42, 695, 695)*CHOOSE(CONTROL!$C$42, 0.5599, 0.5599)*CHOOSE(CONTROL!$C$42, 31, 31))/1000000</f>
        <v>12.063045499999998</v>
      </c>
      <c r="V140" s="56">
        <f>(1000*CHOOSE(CONTROL!$C$42, 500, 500)*CHOOSE(CONTROL!$C$42, 0.275, 0.275)*CHOOSE(CONTROL!$C$42, 31, 31))/1000000</f>
        <v>4.2625000000000002</v>
      </c>
      <c r="W140" s="56">
        <f>(1000*CHOOSE(CONTROL!$C$42, 0.0916, 0.0916)*CHOOSE(CONTROL!$C$42, 121.5, 121.5)*CHOOSE(CONTROL!$C$42, 31, 31))/1000000</f>
        <v>0.34501139999999997</v>
      </c>
      <c r="X140" s="56">
        <f>(31*0.1790888*145000/1000000)+(31*0.2374*100000/1000000)</f>
        <v>1.5409441560000001</v>
      </c>
      <c r="Y140" s="56"/>
      <c r="Z140" s="17"/>
      <c r="AA140" s="55"/>
      <c r="AB140" s="48">
        <f>(B140*194.205+C140*267.466+D140*133.845+E140*153.484+F140*40+G140*85+H140*0+I140*100+J140*300)/(194.205+267.466+133.845+153.484+0+40+85+100+300)</f>
        <v>7.6032712463893262</v>
      </c>
      <c r="AC140" s="45">
        <f>(M140*'RAP TEMPLATE-GAS AVAILABILITY'!O139+N140*'RAP TEMPLATE-GAS AVAILABILITY'!P139+O140*'RAP TEMPLATE-GAS AVAILABILITY'!Q139+P140*'RAP TEMPLATE-GAS AVAILABILITY'!R139)/('RAP TEMPLATE-GAS AVAILABILITY'!O139+'RAP TEMPLATE-GAS AVAILABILITY'!P139+'RAP TEMPLATE-GAS AVAILABILITY'!Q139+'RAP TEMPLATE-GAS AVAILABILITY'!R139)</f>
        <v>7.5623532374100719</v>
      </c>
    </row>
    <row r="141" spans="1:29" ht="15.75" x14ac:dyDescent="0.25">
      <c r="A141" s="16">
        <v>44805</v>
      </c>
      <c r="B141" s="17">
        <f>CHOOSE(CONTROL!$C$42, 7.0677, 7.0677) * CHOOSE(CONTROL!$C$21, $C$9, 100%, $E$9)</f>
        <v>7.0677000000000003</v>
      </c>
      <c r="C141" s="17">
        <f>CHOOSE(CONTROL!$C$42, 7.0757, 7.0757) * CHOOSE(CONTROL!$C$21, $C$9, 100%, $E$9)</f>
        <v>7.0757000000000003</v>
      </c>
      <c r="D141" s="17">
        <f>CHOOSE(CONTROL!$C$42, 7.3357, 7.3357) * CHOOSE(CONTROL!$C$21, $C$9, 100%, $E$9)</f>
        <v>7.3357000000000001</v>
      </c>
      <c r="E141" s="17">
        <f>CHOOSE(CONTROL!$C$42, 7.3668, 7.3668) * CHOOSE(CONTROL!$C$21, $C$9, 100%, $E$9)</f>
        <v>7.3667999999999996</v>
      </c>
      <c r="F141" s="17">
        <f>CHOOSE(CONTROL!$C$42, 7.0784, 7.0784)*CHOOSE(CONTROL!$C$21, $C$9, 100%, $E$9)</f>
        <v>7.0784000000000002</v>
      </c>
      <c r="G141" s="17">
        <f>CHOOSE(CONTROL!$C$42, 7.0951, 7.0951)*CHOOSE(CONTROL!$C$21, $C$9, 100%, $E$9)</f>
        <v>7.0951000000000004</v>
      </c>
      <c r="H141" s="17">
        <f>CHOOSE(CONTROL!$C$42, 7.3552, 7.3552) * CHOOSE(CONTROL!$C$21, $C$9, 100%, $E$9)</f>
        <v>7.3552</v>
      </c>
      <c r="I141" s="17">
        <f>CHOOSE(CONTROL!$C$42, 7.1135, 7.1135)* CHOOSE(CONTROL!$C$21, $C$9, 100%, $E$9)</f>
        <v>7.1135000000000002</v>
      </c>
      <c r="J141" s="17">
        <f>CHOOSE(CONTROL!$C$42, 7.071, 7.071)* CHOOSE(CONTROL!$C$21, $C$9, 100%, $E$9)</f>
        <v>7.0709999999999997</v>
      </c>
      <c r="K141" s="52">
        <f>CHOOSE(CONTROL!$C$42, 7.1075, 7.1075) * CHOOSE(CONTROL!$C$21, $C$9, 100%, $E$9)</f>
        <v>7.1074999999999999</v>
      </c>
      <c r="L141" s="17">
        <f>CHOOSE(CONTROL!$C$42, 7.9422, 7.9422) * CHOOSE(CONTROL!$C$21, $C$9, 100%, $E$9)</f>
        <v>7.9421999999999997</v>
      </c>
      <c r="M141" s="17">
        <f>CHOOSE(CONTROL!$C$42, 7.0144, 7.0144) * CHOOSE(CONTROL!$C$21, $C$9, 100%, $E$9)</f>
        <v>7.0144000000000002</v>
      </c>
      <c r="N141" s="17">
        <f>CHOOSE(CONTROL!$C$42, 7.031, 7.031) * CHOOSE(CONTROL!$C$21, $C$9, 100%, $E$9)</f>
        <v>7.0309999999999997</v>
      </c>
      <c r="O141" s="17">
        <f>CHOOSE(CONTROL!$C$42, 7.296, 7.296) * CHOOSE(CONTROL!$C$21, $C$9, 100%, $E$9)</f>
        <v>7.2960000000000003</v>
      </c>
      <c r="P141" s="17">
        <f>CHOOSE(CONTROL!$C$42, 7.0564, 7.0564) * CHOOSE(CONTROL!$C$21, $C$9, 100%, $E$9)</f>
        <v>7.0564</v>
      </c>
      <c r="Q141" s="17">
        <f>CHOOSE(CONTROL!$C$42, 7.8907, 7.8907) * CHOOSE(CONTROL!$C$21, $C$9, 100%, $E$9)</f>
        <v>7.8906999999999998</v>
      </c>
      <c r="R141" s="17">
        <f>CHOOSE(CONTROL!$C$42, 8.4974, 8.4974) * CHOOSE(CONTROL!$C$21, $C$9, 100%, $E$9)</f>
        <v>8.4974000000000007</v>
      </c>
      <c r="S141" s="17">
        <f>CHOOSE(CONTROL!$C$42, 6.842, 6.842) * CHOOSE(CONTROL!$C$21, $C$9, 100%, $E$9)</f>
        <v>6.8419999999999996</v>
      </c>
      <c r="T141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141" s="56">
        <f>(1000*CHOOSE(CONTROL!$C$42, 695, 695)*CHOOSE(CONTROL!$C$42, 0.5599, 0.5599)*CHOOSE(CONTROL!$C$42, 30, 30))/1000000</f>
        <v>11.673914999999997</v>
      </c>
      <c r="V141" s="56">
        <f>(1000*CHOOSE(CONTROL!$C$42, 500, 500)*CHOOSE(CONTROL!$C$42, 0.275, 0.275)*CHOOSE(CONTROL!$C$42, 30, 30))/1000000</f>
        <v>4.125</v>
      </c>
      <c r="W141" s="56">
        <f>(1000*CHOOSE(CONTROL!$C$42, 0.0916, 0.0916)*CHOOSE(CONTROL!$C$42, 121.5, 121.5)*CHOOSE(CONTROL!$C$42, 30, 30))/1000000</f>
        <v>0.33388200000000001</v>
      </c>
      <c r="X141" s="56">
        <f>(30*0.1790888*145000/1000000)+(30*0.2374*100000/1000000)</f>
        <v>1.4912362799999999</v>
      </c>
      <c r="Y141" s="56"/>
      <c r="Z141" s="17"/>
      <c r="AA141" s="55"/>
      <c r="AB141" s="48">
        <f>(B141*194.205+C141*267.466+D141*133.845+E141*153.484+F141*40+G141*85+H141*0+I141*100+J141*300)/(194.205+267.466+133.845+153.484+0+40+85+100+300)</f>
        <v>7.1401052216640499</v>
      </c>
      <c r="AC141" s="45">
        <f>(M141*'RAP TEMPLATE-GAS AVAILABILITY'!O140+N141*'RAP TEMPLATE-GAS AVAILABILITY'!P140+O141*'RAP TEMPLATE-GAS AVAILABILITY'!Q140+P141*'RAP TEMPLATE-GAS AVAILABILITY'!R140)/('RAP TEMPLATE-GAS AVAILABILITY'!O140+'RAP TEMPLATE-GAS AVAILABILITY'!P140+'RAP TEMPLATE-GAS AVAILABILITY'!Q140+'RAP TEMPLATE-GAS AVAILABILITY'!R140)</f>
        <v>7.103274820143886</v>
      </c>
    </row>
    <row r="142" spans="1:29" ht="15.75" x14ac:dyDescent="0.25">
      <c r="A142" s="16">
        <v>44835</v>
      </c>
      <c r="B142" s="17">
        <f>CHOOSE(CONTROL!$C$42, 6.937, 6.937) * CHOOSE(CONTROL!$C$21, $C$9, 100%, $E$9)</f>
        <v>6.9370000000000003</v>
      </c>
      <c r="C142" s="17">
        <f>CHOOSE(CONTROL!$C$42, 6.9423, 6.9423) * CHOOSE(CONTROL!$C$21, $C$9, 100%, $E$9)</f>
        <v>6.9423000000000004</v>
      </c>
      <c r="D142" s="17">
        <f>CHOOSE(CONTROL!$C$42, 7.2071, 7.2071) * CHOOSE(CONTROL!$C$21, $C$9, 100%, $E$9)</f>
        <v>7.2070999999999996</v>
      </c>
      <c r="E142" s="17">
        <f>CHOOSE(CONTROL!$C$42, 7.236, 7.236) * CHOOSE(CONTROL!$C$21, $C$9, 100%, $E$9)</f>
        <v>7.2359999999999998</v>
      </c>
      <c r="F142" s="17">
        <f>CHOOSE(CONTROL!$C$42, 6.9499, 6.9499)*CHOOSE(CONTROL!$C$21, $C$9, 100%, $E$9)</f>
        <v>6.9499000000000004</v>
      </c>
      <c r="G142" s="17">
        <f>CHOOSE(CONTROL!$C$42, 6.9664, 6.9664)*CHOOSE(CONTROL!$C$21, $C$9, 100%, $E$9)</f>
        <v>6.9664000000000001</v>
      </c>
      <c r="H142" s="17">
        <f>CHOOSE(CONTROL!$C$42, 7.2262, 7.2262) * CHOOSE(CONTROL!$C$21, $C$9, 100%, $E$9)</f>
        <v>7.2262000000000004</v>
      </c>
      <c r="I142" s="17">
        <f>CHOOSE(CONTROL!$C$42, 6.9841, 6.9841)* CHOOSE(CONTROL!$C$21, $C$9, 100%, $E$9)</f>
        <v>6.9840999999999998</v>
      </c>
      <c r="J142" s="17">
        <f>CHOOSE(CONTROL!$C$42, 6.9425, 6.9425)* CHOOSE(CONTROL!$C$21, $C$9, 100%, $E$9)</f>
        <v>6.9424999999999999</v>
      </c>
      <c r="K142" s="52">
        <f>CHOOSE(CONTROL!$C$42, 6.9781, 6.9781) * CHOOSE(CONTROL!$C$21, $C$9, 100%, $E$9)</f>
        <v>6.9781000000000004</v>
      </c>
      <c r="L142" s="17">
        <f>CHOOSE(CONTROL!$C$42, 7.8132, 7.8132) * CHOOSE(CONTROL!$C$21, $C$9, 100%, $E$9)</f>
        <v>7.8132000000000001</v>
      </c>
      <c r="M142" s="17">
        <f>CHOOSE(CONTROL!$C$42, 6.887, 6.887) * CHOOSE(CONTROL!$C$21, $C$9, 100%, $E$9)</f>
        <v>6.8869999999999996</v>
      </c>
      <c r="N142" s="17">
        <f>CHOOSE(CONTROL!$C$42, 6.9034, 6.9034) * CHOOSE(CONTROL!$C$21, $C$9, 100%, $E$9)</f>
        <v>6.9034000000000004</v>
      </c>
      <c r="O142" s="17">
        <f>CHOOSE(CONTROL!$C$42, 7.1682, 7.1682) * CHOOSE(CONTROL!$C$21, $C$9, 100%, $E$9)</f>
        <v>7.1681999999999997</v>
      </c>
      <c r="P142" s="17">
        <f>CHOOSE(CONTROL!$C$42, 6.9282, 6.9282) * CHOOSE(CONTROL!$C$21, $C$9, 100%, $E$9)</f>
        <v>6.9282000000000004</v>
      </c>
      <c r="Q142" s="17">
        <f>CHOOSE(CONTROL!$C$42, 7.7629, 7.7629) * CHOOSE(CONTROL!$C$21, $C$9, 100%, $E$9)</f>
        <v>7.7629000000000001</v>
      </c>
      <c r="R142" s="17">
        <f>CHOOSE(CONTROL!$C$42, 8.3693, 8.3693) * CHOOSE(CONTROL!$C$21, $C$9, 100%, $E$9)</f>
        <v>8.3693000000000008</v>
      </c>
      <c r="S142" s="17">
        <f>CHOOSE(CONTROL!$C$42, 6.7169, 6.7169) * CHOOSE(CONTROL!$C$21, $C$9, 100%, $E$9)</f>
        <v>6.7168999999999999</v>
      </c>
      <c r="T142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142" s="56">
        <f>(1000*CHOOSE(CONTROL!$C$42, 695, 695)*CHOOSE(CONTROL!$C$42, 0.5599, 0.5599)*CHOOSE(CONTROL!$C$42, 31, 31))/1000000</f>
        <v>12.063045499999998</v>
      </c>
      <c r="V142" s="56">
        <f>(1000*CHOOSE(CONTROL!$C$42, 500, 500)*CHOOSE(CONTROL!$C$42, 0.275, 0.275)*CHOOSE(CONTROL!$C$42, 31, 31))/1000000</f>
        <v>4.2625000000000002</v>
      </c>
      <c r="W142" s="56">
        <f>(1000*CHOOSE(CONTROL!$C$42, 0.0916, 0.0916)*CHOOSE(CONTROL!$C$42, 121.5, 121.5)*CHOOSE(CONTROL!$C$42, 31, 31))/1000000</f>
        <v>0.34501139999999997</v>
      </c>
      <c r="X142" s="56">
        <f>(31*0.1790888*145000/1000000)+(31*0.2374*100000/1000000)</f>
        <v>1.5409441560000001</v>
      </c>
      <c r="Y142" s="56"/>
      <c r="Z142" s="17"/>
      <c r="AA142" s="55"/>
      <c r="AB142" s="48">
        <f>(B142*131.881+C142*277.167+D142*79.08+E142*225.872+F142*40+G142*85+H142*0+I142*100+J142*300)/(131.881+277.167+79.08+225.872+0+40+85+100+300)</f>
        <v>7.0174997748991119</v>
      </c>
      <c r="AC142" s="45">
        <f>(M142*'RAP TEMPLATE-GAS AVAILABILITY'!O141+N142*'RAP TEMPLATE-GAS AVAILABILITY'!P141+O142*'RAP TEMPLATE-GAS AVAILABILITY'!Q141+P142*'RAP TEMPLATE-GAS AVAILABILITY'!R141)/('RAP TEMPLATE-GAS AVAILABILITY'!O141+'RAP TEMPLATE-GAS AVAILABILITY'!P141+'RAP TEMPLATE-GAS AVAILABILITY'!Q141+'RAP TEMPLATE-GAS AVAILABILITY'!R141)</f>
        <v>6.97560143884892</v>
      </c>
    </row>
    <row r="143" spans="1:29" ht="15.75" x14ac:dyDescent="0.25">
      <c r="A143" s="16">
        <v>44866</v>
      </c>
      <c r="B143" s="17">
        <f>CHOOSE(CONTROL!$C$42, 7.1337, 7.1337) * CHOOSE(CONTROL!$C$21, $C$9, 100%, $E$9)</f>
        <v>7.1337000000000002</v>
      </c>
      <c r="C143" s="17">
        <f>CHOOSE(CONTROL!$C$42, 7.1388, 7.1388) * CHOOSE(CONTROL!$C$21, $C$9, 100%, $E$9)</f>
        <v>7.1387999999999998</v>
      </c>
      <c r="D143" s="17">
        <f>CHOOSE(CONTROL!$C$42, 7.2795, 7.2795) * CHOOSE(CONTROL!$C$21, $C$9, 100%, $E$9)</f>
        <v>7.2794999999999996</v>
      </c>
      <c r="E143" s="17">
        <f>CHOOSE(CONTROL!$C$42, 7.3132, 7.3132) * CHOOSE(CONTROL!$C$21, $C$9, 100%, $E$9)</f>
        <v>7.3132000000000001</v>
      </c>
      <c r="F143" s="17">
        <f>CHOOSE(CONTROL!$C$42, 7.147, 7.147)*CHOOSE(CONTROL!$C$21, $C$9, 100%, $E$9)</f>
        <v>7.1470000000000002</v>
      </c>
      <c r="G143" s="17">
        <f>CHOOSE(CONTROL!$C$42, 7.1639, 7.1639)*CHOOSE(CONTROL!$C$21, $C$9, 100%, $E$9)</f>
        <v>7.1638999999999999</v>
      </c>
      <c r="H143" s="17">
        <f>CHOOSE(CONTROL!$C$42, 7.3021, 7.3021) * CHOOSE(CONTROL!$C$21, $C$9, 100%, $E$9)</f>
        <v>7.3021000000000003</v>
      </c>
      <c r="I143" s="17">
        <f>CHOOSE(CONTROL!$C$42, 7.1782, 7.1782)* CHOOSE(CONTROL!$C$21, $C$9, 100%, $E$9)</f>
        <v>7.1782000000000004</v>
      </c>
      <c r="J143" s="17">
        <f>CHOOSE(CONTROL!$C$42, 7.1396, 7.1396)* CHOOSE(CONTROL!$C$21, $C$9, 100%, $E$9)</f>
        <v>7.1395999999999997</v>
      </c>
      <c r="K143" s="52">
        <f>CHOOSE(CONTROL!$C$42, 7.1722, 7.1722) * CHOOSE(CONTROL!$C$21, $C$9, 100%, $E$9)</f>
        <v>7.1722000000000001</v>
      </c>
      <c r="L143" s="17">
        <f>CHOOSE(CONTROL!$C$42, 7.8891, 7.8891) * CHOOSE(CONTROL!$C$21, $C$9, 100%, $E$9)</f>
        <v>7.8891</v>
      </c>
      <c r="M143" s="17">
        <f>CHOOSE(CONTROL!$C$42, 7.0824, 7.0824) * CHOOSE(CONTROL!$C$21, $C$9, 100%, $E$9)</f>
        <v>7.0823999999999998</v>
      </c>
      <c r="N143" s="17">
        <f>CHOOSE(CONTROL!$C$42, 7.0991, 7.0991) * CHOOSE(CONTROL!$C$21, $C$9, 100%, $E$9)</f>
        <v>7.0991</v>
      </c>
      <c r="O143" s="17">
        <f>CHOOSE(CONTROL!$C$42, 7.2434, 7.2434) * CHOOSE(CONTROL!$C$21, $C$9, 100%, $E$9)</f>
        <v>7.2434000000000003</v>
      </c>
      <c r="P143" s="17">
        <f>CHOOSE(CONTROL!$C$42, 7.1205, 7.1205) * CHOOSE(CONTROL!$C$21, $C$9, 100%, $E$9)</f>
        <v>7.1204999999999998</v>
      </c>
      <c r="Q143" s="17">
        <f>CHOOSE(CONTROL!$C$42, 7.8381, 7.8381) * CHOOSE(CONTROL!$C$21, $C$9, 100%, $E$9)</f>
        <v>7.8380999999999998</v>
      </c>
      <c r="R143" s="17">
        <f>CHOOSE(CONTROL!$C$42, 8.4447, 8.4447) * CHOOSE(CONTROL!$C$21, $C$9, 100%, $E$9)</f>
        <v>8.4446999999999992</v>
      </c>
      <c r="S143" s="17">
        <f>CHOOSE(CONTROL!$C$42, 6.908, 6.908) * CHOOSE(CONTROL!$C$21, $C$9, 100%, $E$9)</f>
        <v>6.9080000000000004</v>
      </c>
      <c r="T143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143" s="56">
        <f>(1000*CHOOSE(CONTROL!$C$42, 695, 695)*CHOOSE(CONTROL!$C$42, 0.5599, 0.5599)*CHOOSE(CONTROL!$C$42, 30, 30))/1000000</f>
        <v>11.673914999999997</v>
      </c>
      <c r="V143" s="56">
        <f>(1000*CHOOSE(CONTROL!$C$42, 500, 500)*CHOOSE(CONTROL!$C$42, 0.275, 0.275)*CHOOSE(CONTROL!$C$42, 30, 30))/1000000</f>
        <v>4.125</v>
      </c>
      <c r="W143" s="56">
        <f>(1000*CHOOSE(CONTROL!$C$42, 0.0916, 0.0916)*CHOOSE(CONTROL!$C$42, 121.5, 121.5)*CHOOSE(CONTROL!$C$42, 30, 30))/1000000</f>
        <v>0.33388200000000001</v>
      </c>
      <c r="X143" s="56">
        <f>(30*0.2374*100000/1000000)</f>
        <v>0.71220000000000006</v>
      </c>
      <c r="Y143" s="56"/>
      <c r="Z143" s="17"/>
      <c r="AA143" s="55"/>
      <c r="AB143" s="48">
        <f>(B143*122.58+C143*297.941+D143*89.177+E143*140.302+F143*40+G143*60+H143*0+I143*100+J143*300)/(122.58+297.941+89.177+140.302+0+40+60+100+300)</f>
        <v>7.1756736649565225</v>
      </c>
      <c r="AC143" s="45">
        <f>(M143*'RAP TEMPLATE-GAS AVAILABILITY'!O142+N143*'RAP TEMPLATE-GAS AVAILABILITY'!P142+O143*'RAP TEMPLATE-GAS AVAILABILITY'!Q142+P143*'RAP TEMPLATE-GAS AVAILABILITY'!R142)/('RAP TEMPLATE-GAS AVAILABILITY'!O142+'RAP TEMPLATE-GAS AVAILABILITY'!P142+'RAP TEMPLATE-GAS AVAILABILITY'!Q142+'RAP TEMPLATE-GAS AVAILABILITY'!R142)</f>
        <v>7.1618143884892094</v>
      </c>
    </row>
    <row r="144" spans="1:29" ht="15.75" x14ac:dyDescent="0.25">
      <c r="A144" s="16">
        <v>44896</v>
      </c>
      <c r="B144" s="17">
        <f>CHOOSE(CONTROL!$C$42, 7.635, 7.635) * CHOOSE(CONTROL!$C$21, $C$9, 100%, $E$9)</f>
        <v>7.6349999999999998</v>
      </c>
      <c r="C144" s="17">
        <f>CHOOSE(CONTROL!$C$42, 7.6401, 7.6401) * CHOOSE(CONTROL!$C$21, $C$9, 100%, $E$9)</f>
        <v>7.6401000000000003</v>
      </c>
      <c r="D144" s="17">
        <f>CHOOSE(CONTROL!$C$42, 7.7808, 7.7808) * CHOOSE(CONTROL!$C$21, $C$9, 100%, $E$9)</f>
        <v>7.7808000000000002</v>
      </c>
      <c r="E144" s="17">
        <f>CHOOSE(CONTROL!$C$42, 7.8145, 7.8145) * CHOOSE(CONTROL!$C$21, $C$9, 100%, $E$9)</f>
        <v>7.8144999999999998</v>
      </c>
      <c r="F144" s="17">
        <f>CHOOSE(CONTROL!$C$42, 7.6507, 7.6507)*CHOOSE(CONTROL!$C$21, $C$9, 100%, $E$9)</f>
        <v>7.6506999999999996</v>
      </c>
      <c r="G144" s="17">
        <f>CHOOSE(CONTROL!$C$42, 7.6682, 7.6682)*CHOOSE(CONTROL!$C$21, $C$9, 100%, $E$9)</f>
        <v>7.6681999999999997</v>
      </c>
      <c r="H144" s="17">
        <f>CHOOSE(CONTROL!$C$42, 7.8034, 7.8034) * CHOOSE(CONTROL!$C$21, $C$9, 100%, $E$9)</f>
        <v>7.8033999999999999</v>
      </c>
      <c r="I144" s="17">
        <f>CHOOSE(CONTROL!$C$42, 7.6811, 7.6811)* CHOOSE(CONTROL!$C$21, $C$9, 100%, $E$9)</f>
        <v>7.6810999999999998</v>
      </c>
      <c r="J144" s="17">
        <f>CHOOSE(CONTROL!$C$42, 7.6433, 7.6433)* CHOOSE(CONTROL!$C$21, $C$9, 100%, $E$9)</f>
        <v>7.6433</v>
      </c>
      <c r="K144" s="52">
        <f>CHOOSE(CONTROL!$C$42, 7.6751, 7.6751) * CHOOSE(CONTROL!$C$21, $C$9, 100%, $E$9)</f>
        <v>7.6750999999999996</v>
      </c>
      <c r="L144" s="17">
        <f>CHOOSE(CONTROL!$C$42, 8.3904, 8.3904) * CHOOSE(CONTROL!$C$21, $C$9, 100%, $E$9)</f>
        <v>8.3903999999999996</v>
      </c>
      <c r="M144" s="17">
        <f>CHOOSE(CONTROL!$C$42, 7.5816, 7.5816) * CHOOSE(CONTROL!$C$21, $C$9, 100%, $E$9)</f>
        <v>7.5815999999999999</v>
      </c>
      <c r="N144" s="17">
        <f>CHOOSE(CONTROL!$C$42, 7.5989, 7.5989) * CHOOSE(CONTROL!$C$21, $C$9, 100%, $E$9)</f>
        <v>7.5989000000000004</v>
      </c>
      <c r="O144" s="17">
        <f>CHOOSE(CONTROL!$C$42, 7.7402, 7.7402) * CHOOSE(CONTROL!$C$21, $C$9, 100%, $E$9)</f>
        <v>7.7401999999999997</v>
      </c>
      <c r="P144" s="17">
        <f>CHOOSE(CONTROL!$C$42, 7.6189, 7.6189) * CHOOSE(CONTROL!$C$21, $C$9, 100%, $E$9)</f>
        <v>7.6189</v>
      </c>
      <c r="Q144" s="17">
        <f>CHOOSE(CONTROL!$C$42, 8.3349, 8.3349) * CHOOSE(CONTROL!$C$21, $C$9, 100%, $E$9)</f>
        <v>8.3348999999999993</v>
      </c>
      <c r="R144" s="17">
        <f>CHOOSE(CONTROL!$C$42, 8.9428, 8.9428) * CHOOSE(CONTROL!$C$21, $C$9, 100%, $E$9)</f>
        <v>8.9428000000000001</v>
      </c>
      <c r="S144" s="17">
        <f>CHOOSE(CONTROL!$C$42, 7.3942, 7.3942) * CHOOSE(CONTROL!$C$21, $C$9, 100%, $E$9)</f>
        <v>7.3941999999999997</v>
      </c>
      <c r="T144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144" s="56">
        <f>(1000*CHOOSE(CONTROL!$C$42, 695, 695)*CHOOSE(CONTROL!$C$42, 0.5599, 0.5599)*CHOOSE(CONTROL!$C$42, 31, 31))/1000000</f>
        <v>12.063045499999998</v>
      </c>
      <c r="V144" s="56">
        <f>(1000*CHOOSE(CONTROL!$C$42, 500, 500)*CHOOSE(CONTROL!$C$42, 0.275, 0.275)*CHOOSE(CONTROL!$C$42, 31, 31))/1000000</f>
        <v>4.2625000000000002</v>
      </c>
      <c r="W144" s="56">
        <f>(1000*CHOOSE(CONTROL!$C$42, 0.0916, 0.0916)*CHOOSE(CONTROL!$C$42, 121.5, 121.5)*CHOOSE(CONTROL!$C$42, 31, 31))/1000000</f>
        <v>0.34501139999999997</v>
      </c>
      <c r="X144" s="56">
        <f>(31*0.2374*100000/1000000)</f>
        <v>0.73594000000000004</v>
      </c>
      <c r="Y144" s="56"/>
      <c r="Z144" s="17"/>
      <c r="AA144" s="55"/>
      <c r="AB144" s="48">
        <f>(B144*122.58+C144*297.941+D144*89.177+E144*140.302+F144*40+G144*60+H144*0+I144*100+J144*300)/(122.58+297.941+89.177+140.302+0+40+60+100+300)</f>
        <v>7.6779788823478254</v>
      </c>
      <c r="AC144" s="45">
        <f>(M144*'RAP TEMPLATE-GAS AVAILABILITY'!O143+N144*'RAP TEMPLATE-GAS AVAILABILITY'!P143+O144*'RAP TEMPLATE-GAS AVAILABILITY'!Q143+P144*'RAP TEMPLATE-GAS AVAILABILITY'!R143)/('RAP TEMPLATE-GAS AVAILABILITY'!O143+'RAP TEMPLATE-GAS AVAILABILITY'!P143+'RAP TEMPLATE-GAS AVAILABILITY'!Q143+'RAP TEMPLATE-GAS AVAILABILITY'!R143)</f>
        <v>7.6598460431654676</v>
      </c>
    </row>
    <row r="145" spans="1:29" ht="15.75" x14ac:dyDescent="0.25">
      <c r="A145" s="16">
        <v>44927</v>
      </c>
      <c r="B145" s="17">
        <f>CHOOSE(CONTROL!$C$42, 8.4248, 8.4248) * CHOOSE(CONTROL!$C$21, $C$9, 100%, $E$9)</f>
        <v>8.4247999999999994</v>
      </c>
      <c r="C145" s="17">
        <f>CHOOSE(CONTROL!$C$42, 8.4299, 8.4299) * CHOOSE(CONTROL!$C$21, $C$9, 100%, $E$9)</f>
        <v>8.4298999999999999</v>
      </c>
      <c r="D145" s="17">
        <f>CHOOSE(CONTROL!$C$42, 8.5638, 8.5638) * CHOOSE(CONTROL!$C$21, $C$9, 100%, $E$9)</f>
        <v>8.5638000000000005</v>
      </c>
      <c r="E145" s="17">
        <f>CHOOSE(CONTROL!$C$42, 8.5976, 8.5976) * CHOOSE(CONTROL!$C$21, $C$9, 100%, $E$9)</f>
        <v>8.5975999999999999</v>
      </c>
      <c r="F145" s="17">
        <f>CHOOSE(CONTROL!$C$42, 8.4382, 8.4382)*CHOOSE(CONTROL!$C$21, $C$9, 100%, $E$9)</f>
        <v>8.4382000000000001</v>
      </c>
      <c r="G145" s="17">
        <f>CHOOSE(CONTROL!$C$42, 8.4551, 8.4551)*CHOOSE(CONTROL!$C$21, $C$9, 100%, $E$9)</f>
        <v>8.4550999999999998</v>
      </c>
      <c r="H145" s="17">
        <f>CHOOSE(CONTROL!$C$42, 8.5865, 8.5865) * CHOOSE(CONTROL!$C$21, $C$9, 100%, $E$9)</f>
        <v>8.5864999999999991</v>
      </c>
      <c r="I145" s="17">
        <f>CHOOSE(CONTROL!$C$42, 8.4774, 8.4774)* CHOOSE(CONTROL!$C$21, $C$9, 100%, $E$9)</f>
        <v>8.4773999999999994</v>
      </c>
      <c r="J145" s="17">
        <f>CHOOSE(CONTROL!$C$42, 8.4308, 8.4308)* CHOOSE(CONTROL!$C$21, $C$9, 100%, $E$9)</f>
        <v>8.4307999999999996</v>
      </c>
      <c r="K145" s="52">
        <f>CHOOSE(CONTROL!$C$42, 8.4714, 8.4714) * CHOOSE(CONTROL!$C$21, $C$9, 100%, $E$9)</f>
        <v>8.4713999999999992</v>
      </c>
      <c r="L145" s="17">
        <f>CHOOSE(CONTROL!$C$42, 9.1735, 9.1735) * CHOOSE(CONTROL!$C$21, $C$9, 100%, $E$9)</f>
        <v>9.1735000000000007</v>
      </c>
      <c r="M145" s="17">
        <f>CHOOSE(CONTROL!$C$42, 8.362, 8.362) * CHOOSE(CONTROL!$C$21, $C$9, 100%, $E$9)</f>
        <v>8.3620000000000001</v>
      </c>
      <c r="N145" s="17">
        <f>CHOOSE(CONTROL!$C$42, 8.3787, 8.3787) * CHOOSE(CONTROL!$C$21, $C$9, 100%, $E$9)</f>
        <v>8.3787000000000003</v>
      </c>
      <c r="O145" s="17">
        <f>CHOOSE(CONTROL!$C$42, 8.5162, 8.5162) * CHOOSE(CONTROL!$C$21, $C$9, 100%, $E$9)</f>
        <v>8.5161999999999995</v>
      </c>
      <c r="P145" s="17">
        <f>CHOOSE(CONTROL!$C$42, 8.408, 8.408) * CHOOSE(CONTROL!$C$21, $C$9, 100%, $E$9)</f>
        <v>8.4079999999999995</v>
      </c>
      <c r="Q145" s="17">
        <f>CHOOSE(CONTROL!$C$42, 9.1109, 9.1109) * CHOOSE(CONTROL!$C$21, $C$9, 100%, $E$9)</f>
        <v>9.1109000000000009</v>
      </c>
      <c r="R145" s="17">
        <f>CHOOSE(CONTROL!$C$42, 9.7207, 9.7207) * CHOOSE(CONTROL!$C$21, $C$9, 100%, $E$9)</f>
        <v>9.7207000000000008</v>
      </c>
      <c r="S145" s="17">
        <f>CHOOSE(CONTROL!$C$42, 8.16, 8.16) * CHOOSE(CONTROL!$C$21, $C$9, 100%, $E$9)</f>
        <v>8.16</v>
      </c>
      <c r="T145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145" s="56">
        <f>(1000*CHOOSE(CONTROL!$C$42, 695, 695)*CHOOSE(CONTROL!$C$42, 0.5599, 0.5599)*CHOOSE(CONTROL!$C$42, 31, 31))/1000000</f>
        <v>12.063045499999998</v>
      </c>
      <c r="V145" s="56">
        <f>(1000*CHOOSE(CONTROL!$C$42, 500, 500)*CHOOSE(CONTROL!$C$42, 0.275, 0.275)*CHOOSE(CONTROL!$C$42, 31, 31))/1000000</f>
        <v>4.2625000000000002</v>
      </c>
      <c r="W145" s="56">
        <f>(1000*CHOOSE(CONTROL!$C$42, 0.0916, 0.0916)*CHOOSE(CONTROL!$C$42, 121.5, 121.5)*CHOOSE(CONTROL!$C$42, 31, 31))/1000000</f>
        <v>0.34501139999999997</v>
      </c>
      <c r="X145" s="56">
        <f>(31*0.2374*100000/1000000)</f>
        <v>0.73594000000000004</v>
      </c>
      <c r="Y145" s="56"/>
      <c r="Z145" s="17"/>
      <c r="AA145" s="55"/>
      <c r="AB145" s="48">
        <f>(B145*122.58+C145*297.941+D145*89.177+E145*140.302+F145*40+G145*60+H145*0+I145*100+J145*300)/(122.58+297.941+89.177+140.302+0+40+60+100+300)</f>
        <v>8.4661680762608693</v>
      </c>
      <c r="AC145" s="45">
        <f>(M145*'RAP TEMPLATE-GAS AVAILABILITY'!O144+N145*'RAP TEMPLATE-GAS AVAILABILITY'!P144+O145*'RAP TEMPLATE-GAS AVAILABILITY'!Q144+P145*'RAP TEMPLATE-GAS AVAILABILITY'!R144)/('RAP TEMPLATE-GAS AVAILABILITY'!O144+'RAP TEMPLATE-GAS AVAILABILITY'!P144+'RAP TEMPLATE-GAS AVAILABILITY'!Q144+'RAP TEMPLATE-GAS AVAILABILITY'!R144)</f>
        <v>8.4394690647482022</v>
      </c>
    </row>
    <row r="146" spans="1:29" ht="15.75" x14ac:dyDescent="0.25">
      <c r="A146" s="16">
        <v>44958</v>
      </c>
      <c r="B146" s="17">
        <f>CHOOSE(CONTROL!$C$42, 8.5922, 8.5922) * CHOOSE(CONTROL!$C$21, $C$9, 100%, $E$9)</f>
        <v>8.5922000000000001</v>
      </c>
      <c r="C146" s="17">
        <f>CHOOSE(CONTROL!$C$42, 8.5973, 8.5973) * CHOOSE(CONTROL!$C$21, $C$9, 100%, $E$9)</f>
        <v>8.5973000000000006</v>
      </c>
      <c r="D146" s="17">
        <f>CHOOSE(CONTROL!$C$42, 8.7312, 8.7312) * CHOOSE(CONTROL!$C$21, $C$9, 100%, $E$9)</f>
        <v>8.7311999999999994</v>
      </c>
      <c r="E146" s="17">
        <f>CHOOSE(CONTROL!$C$42, 8.765, 8.765) * CHOOSE(CONTROL!$C$21, $C$9, 100%, $E$9)</f>
        <v>8.7650000000000006</v>
      </c>
      <c r="F146" s="17">
        <f>CHOOSE(CONTROL!$C$42, 8.6056, 8.6056)*CHOOSE(CONTROL!$C$21, $C$9, 100%, $E$9)</f>
        <v>8.6056000000000008</v>
      </c>
      <c r="G146" s="17">
        <f>CHOOSE(CONTROL!$C$42, 8.6225, 8.6225)*CHOOSE(CONTROL!$C$21, $C$9, 100%, $E$9)</f>
        <v>8.6225000000000005</v>
      </c>
      <c r="H146" s="17">
        <f>CHOOSE(CONTROL!$C$42, 8.7539, 8.7539) * CHOOSE(CONTROL!$C$21, $C$9, 100%, $E$9)</f>
        <v>8.7538999999999998</v>
      </c>
      <c r="I146" s="17">
        <f>CHOOSE(CONTROL!$C$42, 8.6454, 8.6454)* CHOOSE(CONTROL!$C$21, $C$9, 100%, $E$9)</f>
        <v>8.6454000000000004</v>
      </c>
      <c r="J146" s="17">
        <f>CHOOSE(CONTROL!$C$42, 8.5982, 8.5982)* CHOOSE(CONTROL!$C$21, $C$9, 100%, $E$9)</f>
        <v>8.5982000000000003</v>
      </c>
      <c r="K146" s="52">
        <f>CHOOSE(CONTROL!$C$42, 8.6393, 8.6393) * CHOOSE(CONTROL!$C$21, $C$9, 100%, $E$9)</f>
        <v>8.6393000000000004</v>
      </c>
      <c r="L146" s="17">
        <f>CHOOSE(CONTROL!$C$42, 9.3409, 9.3409) * CHOOSE(CONTROL!$C$21, $C$9, 100%, $E$9)</f>
        <v>9.3408999999999995</v>
      </c>
      <c r="M146" s="17">
        <f>CHOOSE(CONTROL!$C$42, 8.5279, 8.5279) * CHOOSE(CONTROL!$C$21, $C$9, 100%, $E$9)</f>
        <v>8.5279000000000007</v>
      </c>
      <c r="N146" s="17">
        <f>CHOOSE(CONTROL!$C$42, 8.5446, 8.5446) * CHOOSE(CONTROL!$C$21, $C$9, 100%, $E$9)</f>
        <v>8.5446000000000009</v>
      </c>
      <c r="O146" s="17">
        <f>CHOOSE(CONTROL!$C$42, 8.6822, 8.6822) * CHOOSE(CONTROL!$C$21, $C$9, 100%, $E$9)</f>
        <v>8.6821999999999999</v>
      </c>
      <c r="P146" s="17">
        <f>CHOOSE(CONTROL!$C$42, 8.5744, 8.5744) * CHOOSE(CONTROL!$C$21, $C$9, 100%, $E$9)</f>
        <v>8.5744000000000007</v>
      </c>
      <c r="Q146" s="17">
        <f>CHOOSE(CONTROL!$C$42, 9.2769, 9.2769) * CHOOSE(CONTROL!$C$21, $C$9, 100%, $E$9)</f>
        <v>9.2768999999999995</v>
      </c>
      <c r="R146" s="17">
        <f>CHOOSE(CONTROL!$C$42, 9.887, 9.887) * CHOOSE(CONTROL!$C$21, $C$9, 100%, $E$9)</f>
        <v>9.8870000000000005</v>
      </c>
      <c r="S146" s="17">
        <f>CHOOSE(CONTROL!$C$42, 8.3223, 8.3223) * CHOOSE(CONTROL!$C$21, $C$9, 100%, $E$9)</f>
        <v>8.3223000000000003</v>
      </c>
      <c r="T146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146" s="56">
        <f>(1000*CHOOSE(CONTROL!$C$42, 695, 695)*CHOOSE(CONTROL!$C$42, 0.5599, 0.5599)*CHOOSE(CONTROL!$C$42, 28, 28))/1000000</f>
        <v>10.895653999999999</v>
      </c>
      <c r="V146" s="56">
        <f>(1000*CHOOSE(CONTROL!$C$42, 500, 500)*CHOOSE(CONTROL!$C$42, 0.275, 0.275)*CHOOSE(CONTROL!$C$42, 28, 28))/1000000</f>
        <v>3.85</v>
      </c>
      <c r="W146" s="56">
        <f>(1000*CHOOSE(CONTROL!$C$42, 0.0916, 0.0916)*CHOOSE(CONTROL!$C$42, 121.5, 121.5)*CHOOSE(CONTROL!$C$42, 28, 28))/1000000</f>
        <v>0.31162319999999999</v>
      </c>
      <c r="X146" s="56">
        <f>(28*0.2374*100000/1000000)</f>
        <v>0.66471999999999998</v>
      </c>
      <c r="Y146" s="56"/>
      <c r="Z146" s="17"/>
      <c r="AA146" s="55"/>
      <c r="AB146" s="48">
        <f>(B146*122.58+C146*297.941+D146*89.177+E146*140.302+F146*40+G146*60+H146*0+I146*100+J146*300)/(122.58+297.941+89.177+140.302+0+40+60+100+300)</f>
        <v>8.6336202501739141</v>
      </c>
      <c r="AC146" s="45">
        <f>(M146*'RAP TEMPLATE-GAS AVAILABILITY'!O145+N146*'RAP TEMPLATE-GAS AVAILABILITY'!P145+O146*'RAP TEMPLATE-GAS AVAILABILITY'!Q145+P146*'RAP TEMPLATE-GAS AVAILABILITY'!R145)/('RAP TEMPLATE-GAS AVAILABILITY'!O145+'RAP TEMPLATE-GAS AVAILABILITY'!P145+'RAP TEMPLATE-GAS AVAILABILITY'!Q145+'RAP TEMPLATE-GAS AVAILABILITY'!R145)</f>
        <v>8.6054863309352516</v>
      </c>
    </row>
    <row r="147" spans="1:29" ht="15.75" x14ac:dyDescent="0.25">
      <c r="A147" s="16">
        <v>44986</v>
      </c>
      <c r="B147" s="17">
        <f>CHOOSE(CONTROL!$C$42, 8.3657, 8.3657) * CHOOSE(CONTROL!$C$21, $C$9, 100%, $E$9)</f>
        <v>8.3657000000000004</v>
      </c>
      <c r="C147" s="17">
        <f>CHOOSE(CONTROL!$C$42, 8.3708, 8.3708) * CHOOSE(CONTROL!$C$21, $C$9, 100%, $E$9)</f>
        <v>8.3707999999999991</v>
      </c>
      <c r="D147" s="17">
        <f>CHOOSE(CONTROL!$C$42, 8.5048, 8.5048) * CHOOSE(CONTROL!$C$21, $C$9, 100%, $E$9)</f>
        <v>8.5047999999999995</v>
      </c>
      <c r="E147" s="17">
        <f>CHOOSE(CONTROL!$C$42, 8.5385, 8.5385) * CHOOSE(CONTROL!$C$21, $C$9, 100%, $E$9)</f>
        <v>8.5385000000000009</v>
      </c>
      <c r="F147" s="17">
        <f>CHOOSE(CONTROL!$C$42, 8.3784, 8.3784)*CHOOSE(CONTROL!$C$21, $C$9, 100%, $E$9)</f>
        <v>8.3783999999999992</v>
      </c>
      <c r="G147" s="17">
        <f>CHOOSE(CONTROL!$C$42, 8.3951, 8.3951)*CHOOSE(CONTROL!$C$21, $C$9, 100%, $E$9)</f>
        <v>8.3950999999999993</v>
      </c>
      <c r="H147" s="17">
        <f>CHOOSE(CONTROL!$C$42, 8.5274, 8.5274) * CHOOSE(CONTROL!$C$21, $C$9, 100%, $E$9)</f>
        <v>8.5274000000000001</v>
      </c>
      <c r="I147" s="17">
        <f>CHOOSE(CONTROL!$C$42, 8.4182, 8.4182)* CHOOSE(CONTROL!$C$21, $C$9, 100%, $E$9)</f>
        <v>8.4182000000000006</v>
      </c>
      <c r="J147" s="17">
        <f>CHOOSE(CONTROL!$C$42, 8.371, 8.371)* CHOOSE(CONTROL!$C$21, $C$9, 100%, $E$9)</f>
        <v>8.3710000000000004</v>
      </c>
      <c r="K147" s="52">
        <f>CHOOSE(CONTROL!$C$42, 8.4122, 8.4122) * CHOOSE(CONTROL!$C$21, $C$9, 100%, $E$9)</f>
        <v>8.4122000000000003</v>
      </c>
      <c r="L147" s="17">
        <f>CHOOSE(CONTROL!$C$42, 9.1144, 9.1144) * CHOOSE(CONTROL!$C$21, $C$9, 100%, $E$9)</f>
        <v>9.1143999999999998</v>
      </c>
      <c r="M147" s="17">
        <f>CHOOSE(CONTROL!$C$42, 8.3027, 8.3027) * CHOOSE(CONTROL!$C$21, $C$9, 100%, $E$9)</f>
        <v>8.3026999999999997</v>
      </c>
      <c r="N147" s="17">
        <f>CHOOSE(CONTROL!$C$42, 8.3192, 8.3192) * CHOOSE(CONTROL!$C$21, $C$9, 100%, $E$9)</f>
        <v>8.3192000000000004</v>
      </c>
      <c r="O147" s="17">
        <f>CHOOSE(CONTROL!$C$42, 8.4577, 8.4577) * CHOOSE(CONTROL!$C$21, $C$9, 100%, $E$9)</f>
        <v>8.4577000000000009</v>
      </c>
      <c r="P147" s="17">
        <f>CHOOSE(CONTROL!$C$42, 8.3493, 8.3493) * CHOOSE(CONTROL!$C$21, $C$9, 100%, $E$9)</f>
        <v>8.3492999999999995</v>
      </c>
      <c r="Q147" s="17">
        <f>CHOOSE(CONTROL!$C$42, 9.0524, 9.0524) * CHOOSE(CONTROL!$C$21, $C$9, 100%, $E$9)</f>
        <v>9.0524000000000004</v>
      </c>
      <c r="R147" s="17">
        <f>CHOOSE(CONTROL!$C$42, 9.6621, 9.6621) * CHOOSE(CONTROL!$C$21, $C$9, 100%, $E$9)</f>
        <v>9.6621000000000006</v>
      </c>
      <c r="S147" s="17">
        <f>CHOOSE(CONTROL!$C$42, 8.1027, 8.1027) * CHOOSE(CONTROL!$C$21, $C$9, 100%, $E$9)</f>
        <v>8.1027000000000005</v>
      </c>
      <c r="T147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147" s="56">
        <f>(1000*CHOOSE(CONTROL!$C$42, 695, 695)*CHOOSE(CONTROL!$C$42, 0.5599, 0.5599)*CHOOSE(CONTROL!$C$42, 31, 31))/1000000</f>
        <v>12.063045499999998</v>
      </c>
      <c r="V147" s="56">
        <f>(1000*CHOOSE(CONTROL!$C$42, 500, 500)*CHOOSE(CONTROL!$C$42, 0.275, 0.275)*CHOOSE(CONTROL!$C$42, 31, 31))/1000000</f>
        <v>4.2625000000000002</v>
      </c>
      <c r="W147" s="56">
        <f>(1000*CHOOSE(CONTROL!$C$42, 0.0916, 0.0916)*CHOOSE(CONTROL!$C$42, 121.5, 121.5)*CHOOSE(CONTROL!$C$42, 31, 31))/1000000</f>
        <v>0.34501139999999997</v>
      </c>
      <c r="X147" s="56">
        <f>(31*0.2374*100000/1000000)</f>
        <v>0.73594000000000004</v>
      </c>
      <c r="Y147" s="56"/>
      <c r="Z147" s="17"/>
      <c r="AA147" s="55"/>
      <c r="AB147" s="48">
        <f>(B147*122.58+C147*297.941+D147*89.177+E147*140.302+F147*40+G147*60+H147*0+I147*100+J147*300)/(122.58+297.941+89.177+140.302+0+40+60+100+300)</f>
        <v>8.4068132220869547</v>
      </c>
      <c r="AC147" s="45">
        <f>(M147*'RAP TEMPLATE-GAS AVAILABILITY'!O146+N147*'RAP TEMPLATE-GAS AVAILABILITY'!P146+O147*'RAP TEMPLATE-GAS AVAILABILITY'!Q146+P147*'RAP TEMPLATE-GAS AVAILABILITY'!R146)/('RAP TEMPLATE-GAS AVAILABILITY'!O146+'RAP TEMPLATE-GAS AVAILABILITY'!P146+'RAP TEMPLATE-GAS AVAILABILITY'!Q146+'RAP TEMPLATE-GAS AVAILABILITY'!R146)</f>
        <v>8.3806064748201443</v>
      </c>
    </row>
    <row r="148" spans="1:29" ht="15.75" x14ac:dyDescent="0.25">
      <c r="A148" s="16">
        <v>45017</v>
      </c>
      <c r="B148" s="17">
        <f>CHOOSE(CONTROL!$C$42, 8.3589, 8.3589) * CHOOSE(CONTROL!$C$21, $C$9, 100%, $E$9)</f>
        <v>8.3589000000000002</v>
      </c>
      <c r="C148" s="17">
        <f>CHOOSE(CONTROL!$C$42, 8.3634, 8.3634) * CHOOSE(CONTROL!$C$21, $C$9, 100%, $E$9)</f>
        <v>8.3634000000000004</v>
      </c>
      <c r="D148" s="17">
        <f>CHOOSE(CONTROL!$C$42, 8.6264, 8.6264) * CHOOSE(CONTROL!$C$21, $C$9, 100%, $E$9)</f>
        <v>8.6264000000000003</v>
      </c>
      <c r="E148" s="17">
        <f>CHOOSE(CONTROL!$C$42, 8.6582, 8.6582) * CHOOSE(CONTROL!$C$21, $C$9, 100%, $E$9)</f>
        <v>8.6582000000000008</v>
      </c>
      <c r="F148" s="17">
        <f>CHOOSE(CONTROL!$C$42, 8.3698, 8.3698)*CHOOSE(CONTROL!$C$21, $C$9, 100%, $E$9)</f>
        <v>8.3697999999999997</v>
      </c>
      <c r="G148" s="17">
        <f>CHOOSE(CONTROL!$C$42, 8.386, 8.386)*CHOOSE(CONTROL!$C$21, $C$9, 100%, $E$9)</f>
        <v>8.3859999999999992</v>
      </c>
      <c r="H148" s="17">
        <f>CHOOSE(CONTROL!$C$42, 8.6477, 8.6477) * CHOOSE(CONTROL!$C$21, $C$9, 100%, $E$9)</f>
        <v>8.6477000000000004</v>
      </c>
      <c r="I148" s="17">
        <f>CHOOSE(CONTROL!$C$42, 8.4101, 8.4101)* CHOOSE(CONTROL!$C$21, $C$9, 100%, $E$9)</f>
        <v>8.4100999999999999</v>
      </c>
      <c r="J148" s="17">
        <f>CHOOSE(CONTROL!$C$42, 8.3624, 8.3624)* CHOOSE(CONTROL!$C$21, $C$9, 100%, $E$9)</f>
        <v>8.3623999999999992</v>
      </c>
      <c r="K148" s="52">
        <f>CHOOSE(CONTROL!$C$42, 8.404, 8.404) * CHOOSE(CONTROL!$C$21, $C$9, 100%, $E$9)</f>
        <v>8.4039999999999999</v>
      </c>
      <c r="L148" s="17">
        <f>CHOOSE(CONTROL!$C$42, 9.2347, 9.2347) * CHOOSE(CONTROL!$C$21, $C$9, 100%, $E$9)</f>
        <v>9.2347000000000001</v>
      </c>
      <c r="M148" s="17">
        <f>CHOOSE(CONTROL!$C$42, 8.2942, 8.2942) * CHOOSE(CONTROL!$C$21, $C$9, 100%, $E$9)</f>
        <v>8.2942</v>
      </c>
      <c r="N148" s="17">
        <f>CHOOSE(CONTROL!$C$42, 8.3102, 8.3102) * CHOOSE(CONTROL!$C$21, $C$9, 100%, $E$9)</f>
        <v>8.3102</v>
      </c>
      <c r="O148" s="17">
        <f>CHOOSE(CONTROL!$C$42, 8.5769, 8.5769) * CHOOSE(CONTROL!$C$21, $C$9, 100%, $E$9)</f>
        <v>8.5769000000000002</v>
      </c>
      <c r="P148" s="17">
        <f>CHOOSE(CONTROL!$C$42, 8.3413, 8.3413) * CHOOSE(CONTROL!$C$21, $C$9, 100%, $E$9)</f>
        <v>8.3413000000000004</v>
      </c>
      <c r="Q148" s="17">
        <f>CHOOSE(CONTROL!$C$42, 9.1716, 9.1716) * CHOOSE(CONTROL!$C$21, $C$9, 100%, $E$9)</f>
        <v>9.1715999999999998</v>
      </c>
      <c r="R148" s="17">
        <f>CHOOSE(CONTROL!$C$42, 9.7816, 9.7816) * CHOOSE(CONTROL!$C$21, $C$9, 100%, $E$9)</f>
        <v>9.7815999999999992</v>
      </c>
      <c r="S148" s="17">
        <f>CHOOSE(CONTROL!$C$42, 8.0954, 8.0954) * CHOOSE(CONTROL!$C$21, $C$9, 100%, $E$9)</f>
        <v>8.0953999999999997</v>
      </c>
      <c r="T148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148" s="56">
        <f>(1000*CHOOSE(CONTROL!$C$42, 695, 695)*CHOOSE(CONTROL!$C$42, 0.5599, 0.5599)*CHOOSE(CONTROL!$C$42, 30, 30))/1000000</f>
        <v>11.673914999999997</v>
      </c>
      <c r="V148" s="56">
        <f>(1000*CHOOSE(CONTROL!$C$42, 500, 500)*CHOOSE(CONTROL!$C$42, 0.275, 0.275)*CHOOSE(CONTROL!$C$42, 30, 30))/1000000</f>
        <v>4.125</v>
      </c>
      <c r="W148" s="56">
        <f>(1000*CHOOSE(CONTROL!$C$42, 0.0916, 0.0916)*CHOOSE(CONTROL!$C$42, 121.5, 121.5)*CHOOSE(CONTROL!$C$42, 30, 30))/1000000</f>
        <v>0.33388200000000001</v>
      </c>
      <c r="X148" s="56">
        <f>(30*0.1790888*145000/1000000)+(30*0.2374*100000/1000000)</f>
        <v>1.4912362799999999</v>
      </c>
      <c r="Y148" s="56"/>
      <c r="Z148" s="17"/>
      <c r="AA148" s="55"/>
      <c r="AB148" s="48">
        <f>(B148*141.293+C148*267.993+D148*115.016+E148*189.698+F148*40+G148*85+H148*0+I148*100+J148*300)/(141.293+267.993+115.016+189.698+0+40+85+100+300)</f>
        <v>8.4377207101694918</v>
      </c>
      <c r="AC148" s="45">
        <f>(M148*'RAP TEMPLATE-GAS AVAILABILITY'!O147+N148*'RAP TEMPLATE-GAS AVAILABILITY'!P147+O148*'RAP TEMPLATE-GAS AVAILABILITY'!Q147+P148*'RAP TEMPLATE-GAS AVAILABILITY'!R147)/('RAP TEMPLATE-GAS AVAILABILITY'!O147+'RAP TEMPLATE-GAS AVAILABILITY'!P147+'RAP TEMPLATE-GAS AVAILABILITY'!Q147+'RAP TEMPLATE-GAS AVAILABILITY'!R147)</f>
        <v>8.3839791366906464</v>
      </c>
    </row>
    <row r="149" spans="1:29" ht="15.75" x14ac:dyDescent="0.25">
      <c r="A149" s="16">
        <v>45047</v>
      </c>
      <c r="B149" s="17">
        <f>CHOOSE(CONTROL!$C$42, 8.4513, 8.4513) * CHOOSE(CONTROL!$C$21, $C$9, 100%, $E$9)</f>
        <v>8.4512999999999998</v>
      </c>
      <c r="C149" s="17">
        <f>CHOOSE(CONTROL!$C$42, 8.4593, 8.4593) * CHOOSE(CONTROL!$C$21, $C$9, 100%, $E$9)</f>
        <v>8.4593000000000007</v>
      </c>
      <c r="D149" s="17">
        <f>CHOOSE(CONTROL!$C$42, 8.7192, 8.7192) * CHOOSE(CONTROL!$C$21, $C$9, 100%, $E$9)</f>
        <v>8.7192000000000007</v>
      </c>
      <c r="E149" s="17">
        <f>CHOOSE(CONTROL!$C$42, 8.7504, 8.7504) * CHOOSE(CONTROL!$C$21, $C$9, 100%, $E$9)</f>
        <v>8.7504000000000008</v>
      </c>
      <c r="F149" s="17">
        <f>CHOOSE(CONTROL!$C$42, 8.461, 8.461)*CHOOSE(CONTROL!$C$21, $C$9, 100%, $E$9)</f>
        <v>8.4610000000000003</v>
      </c>
      <c r="G149" s="17">
        <f>CHOOSE(CONTROL!$C$42, 8.4774, 8.4774)*CHOOSE(CONTROL!$C$21, $C$9, 100%, $E$9)</f>
        <v>8.4773999999999994</v>
      </c>
      <c r="H149" s="17">
        <f>CHOOSE(CONTROL!$C$42, 8.7387, 8.7387) * CHOOSE(CONTROL!$C$21, $C$9, 100%, $E$9)</f>
        <v>8.7386999999999997</v>
      </c>
      <c r="I149" s="17">
        <f>CHOOSE(CONTROL!$C$42, 8.5014, 8.5014)* CHOOSE(CONTROL!$C$21, $C$9, 100%, $E$9)</f>
        <v>8.5014000000000003</v>
      </c>
      <c r="J149" s="17">
        <f>CHOOSE(CONTROL!$C$42, 8.4536, 8.4536)* CHOOSE(CONTROL!$C$21, $C$9, 100%, $E$9)</f>
        <v>8.4535999999999998</v>
      </c>
      <c r="K149" s="52">
        <f>CHOOSE(CONTROL!$C$42, 8.4953, 8.4953) * CHOOSE(CONTROL!$C$21, $C$9, 100%, $E$9)</f>
        <v>8.4953000000000003</v>
      </c>
      <c r="L149" s="17">
        <f>CHOOSE(CONTROL!$C$42, 9.3257, 9.3257) * CHOOSE(CONTROL!$C$21, $C$9, 100%, $E$9)</f>
        <v>9.3256999999999994</v>
      </c>
      <c r="M149" s="17">
        <f>CHOOSE(CONTROL!$C$42, 8.3846, 8.3846) * CHOOSE(CONTROL!$C$21, $C$9, 100%, $E$9)</f>
        <v>8.3846000000000007</v>
      </c>
      <c r="N149" s="17">
        <f>CHOOSE(CONTROL!$C$42, 8.4009, 8.4009) * CHOOSE(CONTROL!$C$21, $C$9, 100%, $E$9)</f>
        <v>8.4009</v>
      </c>
      <c r="O149" s="17">
        <f>CHOOSE(CONTROL!$C$42, 8.6671, 8.6671) * CHOOSE(CONTROL!$C$21, $C$9, 100%, $E$9)</f>
        <v>8.6670999999999996</v>
      </c>
      <c r="P149" s="17">
        <f>CHOOSE(CONTROL!$C$42, 8.4317, 8.4317) * CHOOSE(CONTROL!$C$21, $C$9, 100%, $E$9)</f>
        <v>8.4316999999999993</v>
      </c>
      <c r="Q149" s="17">
        <f>CHOOSE(CONTROL!$C$42, 9.2618, 9.2618) * CHOOSE(CONTROL!$C$21, $C$9, 100%, $E$9)</f>
        <v>9.2617999999999991</v>
      </c>
      <c r="R149" s="17">
        <f>CHOOSE(CONTROL!$C$42, 9.872, 9.872) * CHOOSE(CONTROL!$C$21, $C$9, 100%, $E$9)</f>
        <v>9.8719999999999999</v>
      </c>
      <c r="S149" s="17">
        <f>CHOOSE(CONTROL!$C$42, 8.1836, 8.1836) * CHOOSE(CONTROL!$C$21, $C$9, 100%, $E$9)</f>
        <v>8.1836000000000002</v>
      </c>
      <c r="T149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149" s="56">
        <f>(1000*CHOOSE(CONTROL!$C$42, 695, 695)*CHOOSE(CONTROL!$C$42, 0.5599, 0.5599)*CHOOSE(CONTROL!$C$42, 31, 31))/1000000</f>
        <v>12.063045499999998</v>
      </c>
      <c r="V149" s="56">
        <f>(1000*CHOOSE(CONTROL!$C$42, 500, 500)*CHOOSE(CONTROL!$C$42, 0.275, 0.275)*CHOOSE(CONTROL!$C$42, 31, 31))/1000000</f>
        <v>4.2625000000000002</v>
      </c>
      <c r="W149" s="56">
        <f>(1000*CHOOSE(CONTROL!$C$42, 0.0916, 0.0916)*CHOOSE(CONTROL!$C$42, 121.5, 121.5)*CHOOSE(CONTROL!$C$42, 31, 31))/1000000</f>
        <v>0.34501139999999997</v>
      </c>
      <c r="X149" s="56">
        <f>(31*0.1790888*145000/1000000)+(31*0.2374*100000/1000000)</f>
        <v>1.5409441560000001</v>
      </c>
      <c r="Y149" s="56"/>
      <c r="Z149" s="17"/>
      <c r="AA149" s="55"/>
      <c r="AB149" s="48">
        <f>(B149*194.205+C149*267.466+D149*133.845+E149*153.484+F149*40+G149*85+H149*0+I149*100+J149*300)/(194.205+267.466+133.845+153.484+0+40+85+100+300)</f>
        <v>8.5236786247252745</v>
      </c>
      <c r="AC149" s="45">
        <f>(M149*'RAP TEMPLATE-GAS AVAILABILITY'!O148+N149*'RAP TEMPLATE-GAS AVAILABILITY'!P148+O149*'RAP TEMPLATE-GAS AVAILABILITY'!Q148+P149*'RAP TEMPLATE-GAS AVAILABILITY'!R148)/('RAP TEMPLATE-GAS AVAILABILITY'!O148+'RAP TEMPLATE-GAS AVAILABILITY'!P148+'RAP TEMPLATE-GAS AVAILABILITY'!Q148+'RAP TEMPLATE-GAS AVAILABILITY'!R148)</f>
        <v>8.4743920863309352</v>
      </c>
    </row>
    <row r="150" spans="1:29" ht="15.75" x14ac:dyDescent="0.25">
      <c r="A150" s="16">
        <v>45078</v>
      </c>
      <c r="B150" s="17">
        <f>CHOOSE(CONTROL!$C$42, 8.7085, 8.7085) * CHOOSE(CONTROL!$C$21, $C$9, 100%, $E$9)</f>
        <v>8.7085000000000008</v>
      </c>
      <c r="C150" s="17">
        <f>CHOOSE(CONTROL!$C$42, 8.7165, 8.7165) * CHOOSE(CONTROL!$C$21, $C$9, 100%, $E$9)</f>
        <v>8.7164999999999999</v>
      </c>
      <c r="D150" s="17">
        <f>CHOOSE(CONTROL!$C$42, 8.9765, 8.9765) * CHOOSE(CONTROL!$C$21, $C$9, 100%, $E$9)</f>
        <v>8.9764999999999997</v>
      </c>
      <c r="E150" s="17">
        <f>CHOOSE(CONTROL!$C$42, 9.0076, 9.0076) * CHOOSE(CONTROL!$C$21, $C$9, 100%, $E$9)</f>
        <v>9.0076000000000001</v>
      </c>
      <c r="F150" s="17">
        <f>CHOOSE(CONTROL!$C$42, 8.7185, 8.7185)*CHOOSE(CONTROL!$C$21, $C$9, 100%, $E$9)</f>
        <v>8.7185000000000006</v>
      </c>
      <c r="G150" s="17">
        <f>CHOOSE(CONTROL!$C$42, 8.735, 8.735)*CHOOSE(CONTROL!$C$21, $C$9, 100%, $E$9)</f>
        <v>8.7349999999999994</v>
      </c>
      <c r="H150" s="17">
        <f>CHOOSE(CONTROL!$C$42, 8.996, 8.996) * CHOOSE(CONTROL!$C$21, $C$9, 100%, $E$9)</f>
        <v>8.9960000000000004</v>
      </c>
      <c r="I150" s="17">
        <f>CHOOSE(CONTROL!$C$42, 8.7594, 8.7594)* CHOOSE(CONTROL!$C$21, $C$9, 100%, $E$9)</f>
        <v>8.7593999999999994</v>
      </c>
      <c r="J150" s="17">
        <f>CHOOSE(CONTROL!$C$42, 8.7111, 8.7111)* CHOOSE(CONTROL!$C$21, $C$9, 100%, $E$9)</f>
        <v>8.7111000000000001</v>
      </c>
      <c r="K150" s="52">
        <f>CHOOSE(CONTROL!$C$42, 8.7534, 8.7534) * CHOOSE(CONTROL!$C$21, $C$9, 100%, $E$9)</f>
        <v>8.7533999999999992</v>
      </c>
      <c r="L150" s="17">
        <f>CHOOSE(CONTROL!$C$42, 9.583, 9.583) * CHOOSE(CONTROL!$C$21, $C$9, 100%, $E$9)</f>
        <v>9.5830000000000002</v>
      </c>
      <c r="M150" s="17">
        <f>CHOOSE(CONTROL!$C$42, 8.6398, 8.6398) * CHOOSE(CONTROL!$C$21, $C$9, 100%, $E$9)</f>
        <v>8.6397999999999993</v>
      </c>
      <c r="N150" s="17">
        <f>CHOOSE(CONTROL!$C$42, 8.6562, 8.6562) * CHOOSE(CONTROL!$C$21, $C$9, 100%, $E$9)</f>
        <v>8.6562000000000001</v>
      </c>
      <c r="O150" s="17">
        <f>CHOOSE(CONTROL!$C$42, 8.9221, 8.9221) * CHOOSE(CONTROL!$C$21, $C$9, 100%, $E$9)</f>
        <v>8.9221000000000004</v>
      </c>
      <c r="P150" s="17">
        <f>CHOOSE(CONTROL!$C$42, 8.6875, 8.6875) * CHOOSE(CONTROL!$C$21, $C$9, 100%, $E$9)</f>
        <v>8.6875</v>
      </c>
      <c r="Q150" s="17">
        <f>CHOOSE(CONTROL!$C$42, 9.5168, 9.5168) * CHOOSE(CONTROL!$C$21, $C$9, 100%, $E$9)</f>
        <v>9.5167999999999999</v>
      </c>
      <c r="R150" s="17">
        <f>CHOOSE(CONTROL!$C$42, 10.1276, 10.1276) * CHOOSE(CONTROL!$C$21, $C$9, 100%, $E$9)</f>
        <v>10.127599999999999</v>
      </c>
      <c r="S150" s="17">
        <f>CHOOSE(CONTROL!$C$42, 8.4331, 8.4331) * CHOOSE(CONTROL!$C$21, $C$9, 100%, $E$9)</f>
        <v>8.4330999999999996</v>
      </c>
      <c r="T150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150" s="56">
        <f>(1000*CHOOSE(CONTROL!$C$42, 695, 695)*CHOOSE(CONTROL!$C$42, 0.5599, 0.5599)*CHOOSE(CONTROL!$C$42, 30, 30))/1000000</f>
        <v>11.673914999999997</v>
      </c>
      <c r="V150" s="56">
        <f>(1000*CHOOSE(CONTROL!$C$42, 500, 500)*CHOOSE(CONTROL!$C$42, 0.275, 0.275)*CHOOSE(CONTROL!$C$42, 30, 30))/1000000</f>
        <v>4.125</v>
      </c>
      <c r="W150" s="56">
        <f>(1000*CHOOSE(CONTROL!$C$42, 0.0916, 0.0916)*CHOOSE(CONTROL!$C$42, 121.5, 121.5)*CHOOSE(CONTROL!$C$42, 30, 30))/1000000</f>
        <v>0.33388200000000001</v>
      </c>
      <c r="X150" s="56">
        <f>(30*0.1790888*145000/1000000)+(30*0.2374*100000/1000000)</f>
        <v>1.4912362799999999</v>
      </c>
      <c r="Y150" s="56"/>
      <c r="Z150" s="17"/>
      <c r="AA150" s="55"/>
      <c r="AB150" s="48">
        <f>(B150*194.205+C150*267.466+D150*133.845+E150*153.484+F150*40+G150*85+H150*0+I150*100+J150*300)/(194.205+267.466+133.845+153.484+0+40+85+100+300)</f>
        <v>8.7810586753532185</v>
      </c>
      <c r="AC150" s="45">
        <f>(M150*'RAP TEMPLATE-GAS AVAILABILITY'!O149+N150*'RAP TEMPLATE-GAS AVAILABILITY'!P149+O150*'RAP TEMPLATE-GAS AVAILABILITY'!Q149+P150*'RAP TEMPLATE-GAS AVAILABILITY'!R149)/('RAP TEMPLATE-GAS AVAILABILITY'!O149+'RAP TEMPLATE-GAS AVAILABILITY'!P149+'RAP TEMPLATE-GAS AVAILABILITY'!Q149+'RAP TEMPLATE-GAS AVAILABILITY'!R149)</f>
        <v>8.729645323741007</v>
      </c>
    </row>
    <row r="151" spans="1:29" ht="15.75" x14ac:dyDescent="0.25">
      <c r="A151" s="16">
        <v>45108</v>
      </c>
      <c r="B151" s="17">
        <f>CHOOSE(CONTROL!$C$42, 8.5593, 8.5593) * CHOOSE(CONTROL!$C$21, $C$9, 100%, $E$9)</f>
        <v>8.5593000000000004</v>
      </c>
      <c r="C151" s="17">
        <f>CHOOSE(CONTROL!$C$42, 8.5673, 8.5673) * CHOOSE(CONTROL!$C$21, $C$9, 100%, $E$9)</f>
        <v>8.5672999999999995</v>
      </c>
      <c r="D151" s="17">
        <f>CHOOSE(CONTROL!$C$42, 8.8272, 8.8272) * CHOOSE(CONTROL!$C$21, $C$9, 100%, $E$9)</f>
        <v>8.8271999999999995</v>
      </c>
      <c r="E151" s="17">
        <f>CHOOSE(CONTROL!$C$42, 8.8584, 8.8584) * CHOOSE(CONTROL!$C$21, $C$9, 100%, $E$9)</f>
        <v>8.8583999999999996</v>
      </c>
      <c r="F151" s="17">
        <f>CHOOSE(CONTROL!$C$42, 8.5697, 8.5697)*CHOOSE(CONTROL!$C$21, $C$9, 100%, $E$9)</f>
        <v>8.5696999999999992</v>
      </c>
      <c r="G151" s="17">
        <f>CHOOSE(CONTROL!$C$42, 8.5863, 8.5863)*CHOOSE(CONTROL!$C$21, $C$9, 100%, $E$9)</f>
        <v>8.5862999999999996</v>
      </c>
      <c r="H151" s="17">
        <f>CHOOSE(CONTROL!$C$42, 8.8467, 8.8467) * CHOOSE(CONTROL!$C$21, $C$9, 100%, $E$9)</f>
        <v>8.8467000000000002</v>
      </c>
      <c r="I151" s="17">
        <f>CHOOSE(CONTROL!$C$42, 8.6097, 8.6097)* CHOOSE(CONTROL!$C$21, $C$9, 100%, $E$9)</f>
        <v>8.6097000000000001</v>
      </c>
      <c r="J151" s="17">
        <f>CHOOSE(CONTROL!$C$42, 8.5623, 8.5623)* CHOOSE(CONTROL!$C$21, $C$9, 100%, $E$9)</f>
        <v>8.5623000000000005</v>
      </c>
      <c r="K151" s="52">
        <f>CHOOSE(CONTROL!$C$42, 8.6037, 8.6037) * CHOOSE(CONTROL!$C$21, $C$9, 100%, $E$9)</f>
        <v>8.6036999999999999</v>
      </c>
      <c r="L151" s="17">
        <f>CHOOSE(CONTROL!$C$42, 9.4337, 9.4337) * CHOOSE(CONTROL!$C$21, $C$9, 100%, $E$9)</f>
        <v>9.4337</v>
      </c>
      <c r="M151" s="17">
        <f>CHOOSE(CONTROL!$C$42, 8.4923, 8.4923) * CHOOSE(CONTROL!$C$21, $C$9, 100%, $E$9)</f>
        <v>8.4923000000000002</v>
      </c>
      <c r="N151" s="17">
        <f>CHOOSE(CONTROL!$C$42, 8.5088, 8.5088) * CHOOSE(CONTROL!$C$21, $C$9, 100%, $E$9)</f>
        <v>8.5088000000000008</v>
      </c>
      <c r="O151" s="17">
        <f>CHOOSE(CONTROL!$C$42, 8.7741, 8.7741) * CHOOSE(CONTROL!$C$21, $C$9, 100%, $E$9)</f>
        <v>8.7741000000000007</v>
      </c>
      <c r="P151" s="17">
        <f>CHOOSE(CONTROL!$C$42, 8.5391, 8.5391) * CHOOSE(CONTROL!$C$21, $C$9, 100%, $E$9)</f>
        <v>8.5390999999999995</v>
      </c>
      <c r="Q151" s="17">
        <f>CHOOSE(CONTROL!$C$42, 9.3688, 9.3688) * CHOOSE(CONTROL!$C$21, $C$9, 100%, $E$9)</f>
        <v>9.3688000000000002</v>
      </c>
      <c r="R151" s="17">
        <f>CHOOSE(CONTROL!$C$42, 9.9793, 9.9793) * CHOOSE(CONTROL!$C$21, $C$9, 100%, $E$9)</f>
        <v>9.9793000000000003</v>
      </c>
      <c r="S151" s="17">
        <f>CHOOSE(CONTROL!$C$42, 8.2884, 8.2884) * CHOOSE(CONTROL!$C$21, $C$9, 100%, $E$9)</f>
        <v>8.2883999999999993</v>
      </c>
      <c r="T151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151" s="56">
        <f>(1000*CHOOSE(CONTROL!$C$42, 695, 695)*CHOOSE(CONTROL!$C$42, 0.5599, 0.5599)*CHOOSE(CONTROL!$C$42, 31, 31))/1000000</f>
        <v>12.063045499999998</v>
      </c>
      <c r="V151" s="56">
        <f>(1000*CHOOSE(CONTROL!$C$42, 500, 500)*CHOOSE(CONTROL!$C$42, 0.275, 0.275)*CHOOSE(CONTROL!$C$42, 31, 31))/1000000</f>
        <v>4.2625000000000002</v>
      </c>
      <c r="W151" s="56">
        <f>(1000*CHOOSE(CONTROL!$C$42, 0.0916, 0.0916)*CHOOSE(CONTROL!$C$42, 121.5, 121.5)*CHOOSE(CONTROL!$C$42, 31, 31))/1000000</f>
        <v>0.34501139999999997</v>
      </c>
      <c r="X151" s="56">
        <f>(31*0.1790888*145000/1000000)+(31*0.2374*100000/1000000)</f>
        <v>1.5409441560000001</v>
      </c>
      <c r="Y151" s="56"/>
      <c r="Z151" s="17"/>
      <c r="AA151" s="55"/>
      <c r="AB151" s="48">
        <f>(B151*194.205+C151*267.466+D151*133.845+E151*153.484+F151*40+G151*85+H151*0+I151*100+J151*300)/(194.205+267.466+133.845+153.484+0+40+85+100+300)</f>
        <v>8.6319490328885404</v>
      </c>
      <c r="AC151" s="45">
        <f>(M151*'RAP TEMPLATE-GAS AVAILABILITY'!O150+N151*'RAP TEMPLATE-GAS AVAILABILITY'!P150+O151*'RAP TEMPLATE-GAS AVAILABILITY'!Q150+P151*'RAP TEMPLATE-GAS AVAILABILITY'!R150)/('RAP TEMPLATE-GAS AVAILABILITY'!O150+'RAP TEMPLATE-GAS AVAILABILITY'!P150+'RAP TEMPLATE-GAS AVAILABILITY'!Q150+'RAP TEMPLATE-GAS AVAILABILITY'!R150)</f>
        <v>8.5818985611510783</v>
      </c>
    </row>
    <row r="152" spans="1:29" ht="15.75" x14ac:dyDescent="0.25">
      <c r="A152" s="16">
        <v>45139</v>
      </c>
      <c r="B152" s="17">
        <f>CHOOSE(CONTROL!$C$42, 8.1539, 8.1539) * CHOOSE(CONTROL!$C$21, $C$9, 100%, $E$9)</f>
        <v>8.1539000000000001</v>
      </c>
      <c r="C152" s="17">
        <f>CHOOSE(CONTROL!$C$42, 8.1619, 8.1619) * CHOOSE(CONTROL!$C$21, $C$9, 100%, $E$9)</f>
        <v>8.1618999999999993</v>
      </c>
      <c r="D152" s="17">
        <f>CHOOSE(CONTROL!$C$42, 8.4218, 8.4218) * CHOOSE(CONTROL!$C$21, $C$9, 100%, $E$9)</f>
        <v>8.4217999999999993</v>
      </c>
      <c r="E152" s="17">
        <f>CHOOSE(CONTROL!$C$42, 8.453, 8.453) * CHOOSE(CONTROL!$C$21, $C$9, 100%, $E$9)</f>
        <v>8.4529999999999994</v>
      </c>
      <c r="F152" s="17">
        <f>CHOOSE(CONTROL!$C$42, 8.1645, 8.1645)*CHOOSE(CONTROL!$C$21, $C$9, 100%, $E$9)</f>
        <v>8.1645000000000003</v>
      </c>
      <c r="G152" s="17">
        <f>CHOOSE(CONTROL!$C$42, 8.1812, 8.1812)*CHOOSE(CONTROL!$C$21, $C$9, 100%, $E$9)</f>
        <v>8.1812000000000005</v>
      </c>
      <c r="H152" s="17">
        <f>CHOOSE(CONTROL!$C$42, 8.4413, 8.4413) * CHOOSE(CONTROL!$C$21, $C$9, 100%, $E$9)</f>
        <v>8.4413</v>
      </c>
      <c r="I152" s="17">
        <f>CHOOSE(CONTROL!$C$42, 8.203, 8.203)* CHOOSE(CONTROL!$C$21, $C$9, 100%, $E$9)</f>
        <v>8.2029999999999994</v>
      </c>
      <c r="J152" s="17">
        <f>CHOOSE(CONTROL!$C$42, 8.1571, 8.1571)* CHOOSE(CONTROL!$C$21, $C$9, 100%, $E$9)</f>
        <v>8.1570999999999998</v>
      </c>
      <c r="K152" s="52">
        <f>CHOOSE(CONTROL!$C$42, 8.197, 8.197) * CHOOSE(CONTROL!$C$21, $C$9, 100%, $E$9)</f>
        <v>8.1969999999999992</v>
      </c>
      <c r="L152" s="17">
        <f>CHOOSE(CONTROL!$C$42, 9.0283, 9.0283) * CHOOSE(CONTROL!$C$21, $C$9, 100%, $E$9)</f>
        <v>9.0282999999999998</v>
      </c>
      <c r="M152" s="17">
        <f>CHOOSE(CONTROL!$C$42, 8.0907, 8.0907) * CHOOSE(CONTROL!$C$21, $C$9, 100%, $E$9)</f>
        <v>8.0907</v>
      </c>
      <c r="N152" s="17">
        <f>CHOOSE(CONTROL!$C$42, 8.1073, 8.1073) * CHOOSE(CONTROL!$C$21, $C$9, 100%, $E$9)</f>
        <v>8.1073000000000004</v>
      </c>
      <c r="O152" s="17">
        <f>CHOOSE(CONTROL!$C$42, 8.3724, 8.3724) * CHOOSE(CONTROL!$C$21, $C$9, 100%, $E$9)</f>
        <v>8.3724000000000007</v>
      </c>
      <c r="P152" s="17">
        <f>CHOOSE(CONTROL!$C$42, 8.1361, 8.1361) * CHOOSE(CONTROL!$C$21, $C$9, 100%, $E$9)</f>
        <v>8.1361000000000008</v>
      </c>
      <c r="Q152" s="17">
        <f>CHOOSE(CONTROL!$C$42, 8.9671, 8.9671) * CHOOSE(CONTROL!$C$21, $C$9, 100%, $E$9)</f>
        <v>8.9671000000000003</v>
      </c>
      <c r="R152" s="17">
        <f>CHOOSE(CONTROL!$C$42, 9.5765, 9.5765) * CHOOSE(CONTROL!$C$21, $C$9, 100%, $E$9)</f>
        <v>9.5764999999999993</v>
      </c>
      <c r="S152" s="17">
        <f>CHOOSE(CONTROL!$C$42, 7.8952, 7.8952) * CHOOSE(CONTROL!$C$21, $C$9, 100%, $E$9)</f>
        <v>7.8952</v>
      </c>
      <c r="T152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152" s="56">
        <f>(1000*CHOOSE(CONTROL!$C$42, 695, 695)*CHOOSE(CONTROL!$C$42, 0.5599, 0.5599)*CHOOSE(CONTROL!$C$42, 31, 31))/1000000</f>
        <v>12.063045499999998</v>
      </c>
      <c r="V152" s="56">
        <f>(1000*CHOOSE(CONTROL!$C$42, 500, 500)*CHOOSE(CONTROL!$C$42, 0.275, 0.275)*CHOOSE(CONTROL!$C$42, 31, 31))/1000000</f>
        <v>4.2625000000000002</v>
      </c>
      <c r="W152" s="56">
        <f>(1000*CHOOSE(CONTROL!$C$42, 0.0916, 0.0916)*CHOOSE(CONTROL!$C$42, 121.5, 121.5)*CHOOSE(CONTROL!$C$42, 31, 31))/1000000</f>
        <v>0.34501139999999997</v>
      </c>
      <c r="X152" s="56">
        <f>(31*0.1790888*145000/1000000)+(31*0.2374*100000/1000000)</f>
        <v>1.5409441560000001</v>
      </c>
      <c r="Y152" s="56"/>
      <c r="Z152" s="17"/>
      <c r="AA152" s="55"/>
      <c r="AB152" s="48">
        <f>(B152*194.205+C152*267.466+D152*133.845+E152*153.484+F152*40+G152*85+H152*0+I152*100+J152*300)/(194.205+267.466+133.845+153.484+0+40+85+100+300)</f>
        <v>8.226520382967033</v>
      </c>
      <c r="AC152" s="45">
        <f>(M152*'RAP TEMPLATE-GAS AVAILABILITY'!O151+N152*'RAP TEMPLATE-GAS AVAILABILITY'!P151+O152*'RAP TEMPLATE-GAS AVAILABILITY'!Q151+P152*'RAP TEMPLATE-GAS AVAILABILITY'!R151)/('RAP TEMPLATE-GAS AVAILABILITY'!O151+'RAP TEMPLATE-GAS AVAILABILITY'!P151+'RAP TEMPLATE-GAS AVAILABILITY'!Q151+'RAP TEMPLATE-GAS AVAILABILITY'!R151)</f>
        <v>8.1800920863309354</v>
      </c>
    </row>
    <row r="153" spans="1:29" ht="15.75" x14ac:dyDescent="0.25">
      <c r="A153" s="16">
        <v>45170</v>
      </c>
      <c r="B153" s="17">
        <f>CHOOSE(CONTROL!$C$42, 7.6525, 7.6525) * CHOOSE(CONTROL!$C$21, $C$9, 100%, $E$9)</f>
        <v>7.6524999999999999</v>
      </c>
      <c r="C153" s="17">
        <f>CHOOSE(CONTROL!$C$42, 7.6604, 7.6604) * CHOOSE(CONTROL!$C$21, $C$9, 100%, $E$9)</f>
        <v>7.6604000000000001</v>
      </c>
      <c r="D153" s="17">
        <f>CHOOSE(CONTROL!$C$42, 7.9204, 7.9204) * CHOOSE(CONTROL!$C$21, $C$9, 100%, $E$9)</f>
        <v>7.9203999999999999</v>
      </c>
      <c r="E153" s="17">
        <f>CHOOSE(CONTROL!$C$42, 7.9515, 7.9515) * CHOOSE(CONTROL!$C$21, $C$9, 100%, $E$9)</f>
        <v>7.9515000000000002</v>
      </c>
      <c r="F153" s="17">
        <f>CHOOSE(CONTROL!$C$42, 7.6631, 7.6631)*CHOOSE(CONTROL!$C$21, $C$9, 100%, $E$9)</f>
        <v>7.6631</v>
      </c>
      <c r="G153" s="17">
        <f>CHOOSE(CONTROL!$C$42, 7.6798, 7.6798)*CHOOSE(CONTROL!$C$21, $C$9, 100%, $E$9)</f>
        <v>7.6798000000000002</v>
      </c>
      <c r="H153" s="17">
        <f>CHOOSE(CONTROL!$C$42, 7.9399, 7.9399) * CHOOSE(CONTROL!$C$21, $C$9, 100%, $E$9)</f>
        <v>7.9398999999999997</v>
      </c>
      <c r="I153" s="17">
        <f>CHOOSE(CONTROL!$C$42, 7.7, 7.7)* CHOOSE(CONTROL!$C$21, $C$9, 100%, $E$9)</f>
        <v>7.7</v>
      </c>
      <c r="J153" s="17">
        <f>CHOOSE(CONTROL!$C$42, 7.6557, 7.6557)* CHOOSE(CONTROL!$C$21, $C$9, 100%, $E$9)</f>
        <v>7.6557000000000004</v>
      </c>
      <c r="K153" s="52">
        <f>CHOOSE(CONTROL!$C$42, 7.694, 7.694) * CHOOSE(CONTROL!$C$21, $C$9, 100%, $E$9)</f>
        <v>7.694</v>
      </c>
      <c r="L153" s="17">
        <f>CHOOSE(CONTROL!$C$42, 8.5269, 8.5269) * CHOOSE(CONTROL!$C$21, $C$9, 100%, $E$9)</f>
        <v>8.5268999999999995</v>
      </c>
      <c r="M153" s="17">
        <f>CHOOSE(CONTROL!$C$42, 7.5938, 7.5938) * CHOOSE(CONTROL!$C$21, $C$9, 100%, $E$9)</f>
        <v>7.5937999999999999</v>
      </c>
      <c r="N153" s="17">
        <f>CHOOSE(CONTROL!$C$42, 7.6104, 7.6104) * CHOOSE(CONTROL!$C$21, $C$9, 100%, $E$9)</f>
        <v>7.6104000000000003</v>
      </c>
      <c r="O153" s="17">
        <f>CHOOSE(CONTROL!$C$42, 7.8755, 7.8755) * CHOOSE(CONTROL!$C$21, $C$9, 100%, $E$9)</f>
        <v>7.8754999999999997</v>
      </c>
      <c r="P153" s="17">
        <f>CHOOSE(CONTROL!$C$42, 7.6376, 7.6376) * CHOOSE(CONTROL!$C$21, $C$9, 100%, $E$9)</f>
        <v>7.6375999999999999</v>
      </c>
      <c r="Q153" s="17">
        <f>CHOOSE(CONTROL!$C$42, 8.4702, 8.4702) * CHOOSE(CONTROL!$C$21, $C$9, 100%, $E$9)</f>
        <v>8.4702000000000002</v>
      </c>
      <c r="R153" s="17">
        <f>CHOOSE(CONTROL!$C$42, 9.0783, 9.0783) * CHOOSE(CONTROL!$C$21, $C$9, 100%, $E$9)</f>
        <v>9.0783000000000005</v>
      </c>
      <c r="S153" s="17">
        <f>CHOOSE(CONTROL!$C$42, 7.409, 7.409) * CHOOSE(CONTROL!$C$21, $C$9, 100%, $E$9)</f>
        <v>7.4089999999999998</v>
      </c>
      <c r="T153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153" s="56">
        <f>(1000*CHOOSE(CONTROL!$C$42, 695, 695)*CHOOSE(CONTROL!$C$42, 0.5599, 0.5599)*CHOOSE(CONTROL!$C$42, 30, 30))/1000000</f>
        <v>11.673914999999997</v>
      </c>
      <c r="V153" s="56">
        <f>(1000*CHOOSE(CONTROL!$C$42, 500, 500)*CHOOSE(CONTROL!$C$42, 0.275, 0.275)*CHOOSE(CONTROL!$C$42, 30, 30))/1000000</f>
        <v>4.125</v>
      </c>
      <c r="W153" s="56">
        <f>(1000*CHOOSE(CONTROL!$C$42, 0.0916, 0.0916)*CHOOSE(CONTROL!$C$42, 121.5, 121.5)*CHOOSE(CONTROL!$C$42, 30, 30))/1000000</f>
        <v>0.33388200000000001</v>
      </c>
      <c r="X153" s="56">
        <f>(30*0.1790888*145000/1000000)+(30*0.2374*100000/1000000)</f>
        <v>1.4912362799999999</v>
      </c>
      <c r="Y153" s="56"/>
      <c r="Z153" s="17"/>
      <c r="AA153" s="55"/>
      <c r="AB153" s="48">
        <f>(B153*194.205+C153*267.466+D153*133.845+E153*153.484+F153*40+G153*85+H153*0+I153*100+J153*300)/(194.205+267.466+133.845+153.484+0+40+85+100+300)</f>
        <v>7.7249617526687597</v>
      </c>
      <c r="AC153" s="45">
        <f>(M153*'RAP TEMPLATE-GAS AVAILABILITY'!O152+N153*'RAP TEMPLATE-GAS AVAILABILITY'!P152+O153*'RAP TEMPLATE-GAS AVAILABILITY'!Q152+P153*'RAP TEMPLATE-GAS AVAILABILITY'!R152)/('RAP TEMPLATE-GAS AVAILABILITY'!O152+'RAP TEMPLATE-GAS AVAILABILITY'!P152+'RAP TEMPLATE-GAS AVAILABILITY'!Q152+'RAP TEMPLATE-GAS AVAILABILITY'!R152)</f>
        <v>7.6829618705035969</v>
      </c>
    </row>
    <row r="154" spans="1:29" ht="15.75" x14ac:dyDescent="0.25">
      <c r="A154" s="16">
        <v>45200</v>
      </c>
      <c r="B154" s="17">
        <f>CHOOSE(CONTROL!$C$42, 7.511, 7.511) * CHOOSE(CONTROL!$C$21, $C$9, 100%, $E$9)</f>
        <v>7.5110000000000001</v>
      </c>
      <c r="C154" s="17">
        <f>CHOOSE(CONTROL!$C$42, 7.5164, 7.5164) * CHOOSE(CONTROL!$C$21, $C$9, 100%, $E$9)</f>
        <v>7.5164</v>
      </c>
      <c r="D154" s="17">
        <f>CHOOSE(CONTROL!$C$42, 7.7812, 7.7812) * CHOOSE(CONTROL!$C$21, $C$9, 100%, $E$9)</f>
        <v>7.7812000000000001</v>
      </c>
      <c r="E154" s="17">
        <f>CHOOSE(CONTROL!$C$42, 7.81, 7.81) * CHOOSE(CONTROL!$C$21, $C$9, 100%, $E$9)</f>
        <v>7.81</v>
      </c>
      <c r="F154" s="17">
        <f>CHOOSE(CONTROL!$C$42, 7.5239, 7.5239)*CHOOSE(CONTROL!$C$21, $C$9, 100%, $E$9)</f>
        <v>7.5239000000000003</v>
      </c>
      <c r="G154" s="17">
        <f>CHOOSE(CONTROL!$C$42, 7.5404, 7.5404)*CHOOSE(CONTROL!$C$21, $C$9, 100%, $E$9)</f>
        <v>7.5404</v>
      </c>
      <c r="H154" s="17">
        <f>CHOOSE(CONTROL!$C$42, 7.8002, 7.8002) * CHOOSE(CONTROL!$C$21, $C$9, 100%, $E$9)</f>
        <v>7.8002000000000002</v>
      </c>
      <c r="I154" s="17">
        <f>CHOOSE(CONTROL!$C$42, 7.5599, 7.5599)* CHOOSE(CONTROL!$C$21, $C$9, 100%, $E$9)</f>
        <v>7.5598999999999998</v>
      </c>
      <c r="J154" s="17">
        <f>CHOOSE(CONTROL!$C$42, 7.5165, 7.5165)* CHOOSE(CONTROL!$C$21, $C$9, 100%, $E$9)</f>
        <v>7.5164999999999997</v>
      </c>
      <c r="K154" s="52">
        <f>CHOOSE(CONTROL!$C$42, 7.5539, 7.5539) * CHOOSE(CONTROL!$C$21, $C$9, 100%, $E$9)</f>
        <v>7.5538999999999996</v>
      </c>
      <c r="L154" s="17">
        <f>CHOOSE(CONTROL!$C$42, 8.3872, 8.3872) * CHOOSE(CONTROL!$C$21, $C$9, 100%, $E$9)</f>
        <v>8.3872</v>
      </c>
      <c r="M154" s="17">
        <f>CHOOSE(CONTROL!$C$42, 7.4559, 7.4559) * CHOOSE(CONTROL!$C$21, $C$9, 100%, $E$9)</f>
        <v>7.4558999999999997</v>
      </c>
      <c r="N154" s="17">
        <f>CHOOSE(CONTROL!$C$42, 7.4723, 7.4723) * CHOOSE(CONTROL!$C$21, $C$9, 100%, $E$9)</f>
        <v>7.4722999999999997</v>
      </c>
      <c r="O154" s="17">
        <f>CHOOSE(CONTROL!$C$42, 7.737, 7.737) * CHOOSE(CONTROL!$C$21, $C$9, 100%, $E$9)</f>
        <v>7.7370000000000001</v>
      </c>
      <c r="P154" s="17">
        <f>CHOOSE(CONTROL!$C$42, 7.4988, 7.4988) * CHOOSE(CONTROL!$C$21, $C$9, 100%, $E$9)</f>
        <v>7.4988000000000001</v>
      </c>
      <c r="Q154" s="17">
        <f>CHOOSE(CONTROL!$C$42, 8.3317, 8.3317) * CHOOSE(CONTROL!$C$21, $C$9, 100%, $E$9)</f>
        <v>8.3316999999999997</v>
      </c>
      <c r="R154" s="17">
        <f>CHOOSE(CONTROL!$C$42, 8.9396, 8.9396) * CHOOSE(CONTROL!$C$21, $C$9, 100%, $E$9)</f>
        <v>8.9396000000000004</v>
      </c>
      <c r="S154" s="17">
        <f>CHOOSE(CONTROL!$C$42, 7.2735, 7.2735) * CHOOSE(CONTROL!$C$21, $C$9, 100%, $E$9)</f>
        <v>7.2735000000000003</v>
      </c>
      <c r="T154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154" s="56">
        <f>(1000*CHOOSE(CONTROL!$C$42, 695, 695)*CHOOSE(CONTROL!$C$42, 0.5599, 0.5599)*CHOOSE(CONTROL!$C$42, 31, 31))/1000000</f>
        <v>12.063045499999998</v>
      </c>
      <c r="V154" s="56">
        <f>(1000*CHOOSE(CONTROL!$C$42, 500, 500)*CHOOSE(CONTROL!$C$42, 0.275, 0.275)*CHOOSE(CONTROL!$C$42, 31, 31))/1000000</f>
        <v>4.2625000000000002</v>
      </c>
      <c r="W154" s="56">
        <f>(1000*CHOOSE(CONTROL!$C$42, 0.0916, 0.0916)*CHOOSE(CONTROL!$C$42, 121.5, 121.5)*CHOOSE(CONTROL!$C$42, 31, 31))/1000000</f>
        <v>0.34501139999999997</v>
      </c>
      <c r="X154" s="56">
        <f>(31*0.1790888*145000/1000000)+(31*0.2374*100000/1000000)</f>
        <v>1.5409441560000001</v>
      </c>
      <c r="Y154" s="56"/>
      <c r="Z154" s="17"/>
      <c r="AA154" s="55"/>
      <c r="AB154" s="48">
        <f>(B154*131.881+C154*277.167+D154*79.08+E154*225.872+F154*40+G154*85+H154*0+I154*100+J154*300)/(131.881+277.167+79.08+225.872+0+40+85+100+300)</f>
        <v>7.5916738061339792</v>
      </c>
      <c r="AC154" s="45">
        <f>(M154*'RAP TEMPLATE-GAS AVAILABILITY'!O153+N154*'RAP TEMPLATE-GAS AVAILABILITY'!P153+O154*'RAP TEMPLATE-GAS AVAILABILITY'!Q153+P154*'RAP TEMPLATE-GAS AVAILABILITY'!R153)/('RAP TEMPLATE-GAS AVAILABILITY'!O153+'RAP TEMPLATE-GAS AVAILABILITY'!P153+'RAP TEMPLATE-GAS AVAILABILITY'!Q153+'RAP TEMPLATE-GAS AVAILABILITY'!R153)</f>
        <v>7.5447179856115101</v>
      </c>
    </row>
    <row r="155" spans="1:29" ht="15.75" x14ac:dyDescent="0.25">
      <c r="A155" s="16">
        <v>45231</v>
      </c>
      <c r="B155" s="17">
        <f>CHOOSE(CONTROL!$C$42, 7.7241, 7.7241) * CHOOSE(CONTROL!$C$21, $C$9, 100%, $E$9)</f>
        <v>7.7241</v>
      </c>
      <c r="C155" s="17">
        <f>CHOOSE(CONTROL!$C$42, 7.7291, 7.7291) * CHOOSE(CONTROL!$C$21, $C$9, 100%, $E$9)</f>
        <v>7.7290999999999999</v>
      </c>
      <c r="D155" s="17">
        <f>CHOOSE(CONTROL!$C$42, 7.8698, 7.8698) * CHOOSE(CONTROL!$C$21, $C$9, 100%, $E$9)</f>
        <v>7.8697999999999997</v>
      </c>
      <c r="E155" s="17">
        <f>CHOOSE(CONTROL!$C$42, 7.9036, 7.9036) * CHOOSE(CONTROL!$C$21, $C$9, 100%, $E$9)</f>
        <v>7.9036</v>
      </c>
      <c r="F155" s="17">
        <f>CHOOSE(CONTROL!$C$42, 7.7374, 7.7374)*CHOOSE(CONTROL!$C$21, $C$9, 100%, $E$9)</f>
        <v>7.7374000000000001</v>
      </c>
      <c r="G155" s="17">
        <f>CHOOSE(CONTROL!$C$42, 7.7542, 7.7542)*CHOOSE(CONTROL!$C$21, $C$9, 100%, $E$9)</f>
        <v>7.7542</v>
      </c>
      <c r="H155" s="17">
        <f>CHOOSE(CONTROL!$C$42, 7.8924, 7.8924) * CHOOSE(CONTROL!$C$21, $C$9, 100%, $E$9)</f>
        <v>7.8924000000000003</v>
      </c>
      <c r="I155" s="17">
        <f>CHOOSE(CONTROL!$C$42, 7.7704, 7.7704)* CHOOSE(CONTROL!$C$21, $C$9, 100%, $E$9)</f>
        <v>7.7704000000000004</v>
      </c>
      <c r="J155" s="17">
        <f>CHOOSE(CONTROL!$C$42, 7.73, 7.73)* CHOOSE(CONTROL!$C$21, $C$9, 100%, $E$9)</f>
        <v>7.73</v>
      </c>
      <c r="K155" s="52">
        <f>CHOOSE(CONTROL!$C$42, 7.7644, 7.7644) * CHOOSE(CONTROL!$C$21, $C$9, 100%, $E$9)</f>
        <v>7.7644000000000002</v>
      </c>
      <c r="L155" s="17">
        <f>CHOOSE(CONTROL!$C$42, 8.4794, 8.4794) * CHOOSE(CONTROL!$C$21, $C$9, 100%, $E$9)</f>
        <v>8.4794</v>
      </c>
      <c r="M155" s="17">
        <f>CHOOSE(CONTROL!$C$42, 7.6674, 7.6674) * CHOOSE(CONTROL!$C$21, $C$9, 100%, $E$9)</f>
        <v>7.6673999999999998</v>
      </c>
      <c r="N155" s="17">
        <f>CHOOSE(CONTROL!$C$42, 7.6841, 7.6841) * CHOOSE(CONTROL!$C$21, $C$9, 100%, $E$9)</f>
        <v>7.6840999999999999</v>
      </c>
      <c r="O155" s="17">
        <f>CHOOSE(CONTROL!$C$42, 7.8285, 7.8285) * CHOOSE(CONTROL!$C$21, $C$9, 100%, $E$9)</f>
        <v>7.8285</v>
      </c>
      <c r="P155" s="17">
        <f>CHOOSE(CONTROL!$C$42, 7.7074, 7.7074) * CHOOSE(CONTROL!$C$21, $C$9, 100%, $E$9)</f>
        <v>7.7073999999999998</v>
      </c>
      <c r="Q155" s="17">
        <f>CHOOSE(CONTROL!$C$42, 8.4232, 8.4232) * CHOOSE(CONTROL!$C$21, $C$9, 100%, $E$9)</f>
        <v>8.4231999999999996</v>
      </c>
      <c r="R155" s="17">
        <f>CHOOSE(CONTROL!$C$42, 9.0312, 9.0312) * CHOOSE(CONTROL!$C$21, $C$9, 100%, $E$9)</f>
        <v>9.0312000000000001</v>
      </c>
      <c r="S155" s="17">
        <f>CHOOSE(CONTROL!$C$42, 7.4805, 7.4805) * CHOOSE(CONTROL!$C$21, $C$9, 100%, $E$9)</f>
        <v>7.4805000000000001</v>
      </c>
      <c r="T155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155" s="56">
        <f>(1000*CHOOSE(CONTROL!$C$42, 695, 695)*CHOOSE(CONTROL!$C$42, 0.5599, 0.5599)*CHOOSE(CONTROL!$C$42, 30, 30))/1000000</f>
        <v>11.673914999999997</v>
      </c>
      <c r="V155" s="56">
        <f>(1000*CHOOSE(CONTROL!$C$42, 500, 500)*CHOOSE(CONTROL!$C$42, 0.275, 0.275)*CHOOSE(CONTROL!$C$42, 30, 30))/1000000</f>
        <v>4.125</v>
      </c>
      <c r="W155" s="56">
        <f>(1000*CHOOSE(CONTROL!$C$42, 0.0916, 0.0916)*CHOOSE(CONTROL!$C$42, 121.5, 121.5)*CHOOSE(CONTROL!$C$42, 30, 30))/1000000</f>
        <v>0.33388200000000001</v>
      </c>
      <c r="X155" s="56">
        <f>(30*0.2374*100000/1000000)</f>
        <v>0.71220000000000006</v>
      </c>
      <c r="Y155" s="56"/>
      <c r="Z155" s="17"/>
      <c r="AA155" s="55"/>
      <c r="AB155" s="48">
        <f>(B155*122.58+C155*297.941+D155*89.177+E155*140.302+F155*40+G155*60+H155*0+I155*100+J155*300)/(122.58+297.941+89.177+140.302+0+40+60+100+300)</f>
        <v>7.7661913068695645</v>
      </c>
      <c r="AC155" s="45">
        <f>(M155*'RAP TEMPLATE-GAS AVAILABILITY'!O154+N155*'RAP TEMPLATE-GAS AVAILABILITY'!P154+O155*'RAP TEMPLATE-GAS AVAILABILITY'!Q154+P155*'RAP TEMPLATE-GAS AVAILABILITY'!R154)/('RAP TEMPLATE-GAS AVAILABILITY'!O154+'RAP TEMPLATE-GAS AVAILABILITY'!P154+'RAP TEMPLATE-GAS AVAILABILITY'!Q154+'RAP TEMPLATE-GAS AVAILABILITY'!R154)</f>
        <v>7.7471330935251794</v>
      </c>
    </row>
    <row r="156" spans="1:29" ht="15.75" x14ac:dyDescent="0.25">
      <c r="A156" s="16">
        <v>45261</v>
      </c>
      <c r="B156" s="17">
        <f>CHOOSE(CONTROL!$C$42, 8.2669, 8.2669) * CHOOSE(CONTROL!$C$21, $C$9, 100%, $E$9)</f>
        <v>8.2668999999999997</v>
      </c>
      <c r="C156" s="17">
        <f>CHOOSE(CONTROL!$C$42, 8.272, 8.272) * CHOOSE(CONTROL!$C$21, $C$9, 100%, $E$9)</f>
        <v>8.2720000000000002</v>
      </c>
      <c r="D156" s="17">
        <f>CHOOSE(CONTROL!$C$42, 8.4127, 8.4127) * CHOOSE(CONTROL!$C$21, $C$9, 100%, $E$9)</f>
        <v>8.4126999999999992</v>
      </c>
      <c r="E156" s="17">
        <f>CHOOSE(CONTROL!$C$42, 8.4464, 8.4464) * CHOOSE(CONTROL!$C$21, $C$9, 100%, $E$9)</f>
        <v>8.4464000000000006</v>
      </c>
      <c r="F156" s="17">
        <f>CHOOSE(CONTROL!$C$42, 8.2827, 8.2827)*CHOOSE(CONTROL!$C$21, $C$9, 100%, $E$9)</f>
        <v>8.2827000000000002</v>
      </c>
      <c r="G156" s="17">
        <f>CHOOSE(CONTROL!$C$42, 8.3001, 8.3001)*CHOOSE(CONTROL!$C$21, $C$9, 100%, $E$9)</f>
        <v>8.3001000000000005</v>
      </c>
      <c r="H156" s="17">
        <f>CHOOSE(CONTROL!$C$42, 8.4353, 8.4353) * CHOOSE(CONTROL!$C$21, $C$9, 100%, $E$9)</f>
        <v>8.4352999999999998</v>
      </c>
      <c r="I156" s="17">
        <f>CHOOSE(CONTROL!$C$42, 8.315, 8.315)* CHOOSE(CONTROL!$C$21, $C$9, 100%, $E$9)</f>
        <v>8.3149999999999995</v>
      </c>
      <c r="J156" s="17">
        <f>CHOOSE(CONTROL!$C$42, 8.2753, 8.2753)* CHOOSE(CONTROL!$C$21, $C$9, 100%, $E$9)</f>
        <v>8.2752999999999997</v>
      </c>
      <c r="K156" s="52">
        <f>CHOOSE(CONTROL!$C$42, 8.3089, 8.3089) * CHOOSE(CONTROL!$C$21, $C$9, 100%, $E$9)</f>
        <v>8.3088999999999995</v>
      </c>
      <c r="L156" s="17">
        <f>CHOOSE(CONTROL!$C$42, 9.0223, 9.0223) * CHOOSE(CONTROL!$C$21, $C$9, 100%, $E$9)</f>
        <v>9.0222999999999995</v>
      </c>
      <c r="M156" s="17">
        <f>CHOOSE(CONTROL!$C$42, 8.2078, 8.2078) * CHOOSE(CONTROL!$C$21, $C$9, 100%, $E$9)</f>
        <v>8.2078000000000007</v>
      </c>
      <c r="N156" s="17">
        <f>CHOOSE(CONTROL!$C$42, 8.2252, 8.2252) * CHOOSE(CONTROL!$C$21, $C$9, 100%, $E$9)</f>
        <v>8.2251999999999992</v>
      </c>
      <c r="O156" s="17">
        <f>CHOOSE(CONTROL!$C$42, 8.3665, 8.3665) * CHOOSE(CONTROL!$C$21, $C$9, 100%, $E$9)</f>
        <v>8.3665000000000003</v>
      </c>
      <c r="P156" s="17">
        <f>CHOOSE(CONTROL!$C$42, 8.247, 8.247) * CHOOSE(CONTROL!$C$21, $C$9, 100%, $E$9)</f>
        <v>8.2469999999999999</v>
      </c>
      <c r="Q156" s="17">
        <f>CHOOSE(CONTROL!$C$42, 8.9612, 8.9612) * CHOOSE(CONTROL!$C$21, $C$9, 100%, $E$9)</f>
        <v>8.9611999999999998</v>
      </c>
      <c r="R156" s="17">
        <f>CHOOSE(CONTROL!$C$42, 9.5706, 9.5706) * CHOOSE(CONTROL!$C$21, $C$9, 100%, $E$9)</f>
        <v>9.5706000000000007</v>
      </c>
      <c r="S156" s="17">
        <f>CHOOSE(CONTROL!$C$42, 8.0069, 8.0069) * CHOOSE(CONTROL!$C$21, $C$9, 100%, $E$9)</f>
        <v>8.0068999999999999</v>
      </c>
      <c r="T156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156" s="56">
        <f>(1000*CHOOSE(CONTROL!$C$42, 695, 695)*CHOOSE(CONTROL!$C$42, 0.5599, 0.5599)*CHOOSE(CONTROL!$C$42, 31, 31))/1000000</f>
        <v>12.063045499999998</v>
      </c>
      <c r="V156" s="56">
        <f>(1000*CHOOSE(CONTROL!$C$42, 500, 500)*CHOOSE(CONTROL!$C$42, 0.275, 0.275)*CHOOSE(CONTROL!$C$42, 31, 31))/1000000</f>
        <v>4.2625000000000002</v>
      </c>
      <c r="W156" s="56">
        <f>(1000*CHOOSE(CONTROL!$C$42, 0.0916, 0.0916)*CHOOSE(CONTROL!$C$42, 121.5, 121.5)*CHOOSE(CONTROL!$C$42, 31, 31))/1000000</f>
        <v>0.34501139999999997</v>
      </c>
      <c r="X156" s="56">
        <f>(31*0.2374*100000/1000000)</f>
        <v>0.73594000000000004</v>
      </c>
      <c r="Y156" s="56"/>
      <c r="Z156" s="17"/>
      <c r="AA156" s="55"/>
      <c r="AB156" s="48">
        <f>(B156*122.58+C156*297.941+D156*89.177+E156*140.302+F156*40+G156*60+H156*0+I156*100+J156*300)/(122.58+297.941+89.177+140.302+0+40+60+100+300)</f>
        <v>8.3100823606086962</v>
      </c>
      <c r="AC156" s="45">
        <f>(M156*'RAP TEMPLATE-GAS AVAILABILITY'!O155+N156*'RAP TEMPLATE-GAS AVAILABILITY'!P155+O156*'RAP TEMPLATE-GAS AVAILABILITY'!Q155+P156*'RAP TEMPLATE-GAS AVAILABILITY'!R155)/('RAP TEMPLATE-GAS AVAILABILITY'!O155+'RAP TEMPLATE-GAS AVAILABILITY'!P155+'RAP TEMPLATE-GAS AVAILABILITY'!Q155+'RAP TEMPLATE-GAS AVAILABILITY'!R155)</f>
        <v>8.2863705035971229</v>
      </c>
    </row>
    <row r="157" spans="1:29" ht="15.75" x14ac:dyDescent="0.25">
      <c r="A157" s="16">
        <v>45292</v>
      </c>
      <c r="B157" s="17">
        <f>CHOOSE(CONTROL!$C$42, 8.7987, 8.7987) * CHOOSE(CONTROL!$C$21, $C$9, 100%, $E$9)</f>
        <v>8.7987000000000002</v>
      </c>
      <c r="C157" s="17">
        <f>CHOOSE(CONTROL!$C$42, 8.8038, 8.8038) * CHOOSE(CONTROL!$C$21, $C$9, 100%, $E$9)</f>
        <v>8.8038000000000007</v>
      </c>
      <c r="D157" s="17">
        <f>CHOOSE(CONTROL!$C$42, 8.9377, 8.9377) * CHOOSE(CONTROL!$C$21, $C$9, 100%, $E$9)</f>
        <v>8.9376999999999995</v>
      </c>
      <c r="E157" s="17">
        <f>CHOOSE(CONTROL!$C$42, 8.9715, 8.9715) * CHOOSE(CONTROL!$C$21, $C$9, 100%, $E$9)</f>
        <v>8.9715000000000007</v>
      </c>
      <c r="F157" s="17">
        <f>CHOOSE(CONTROL!$C$42, 8.8122, 8.8122)*CHOOSE(CONTROL!$C$21, $C$9, 100%, $E$9)</f>
        <v>8.8122000000000007</v>
      </c>
      <c r="G157" s="17">
        <f>CHOOSE(CONTROL!$C$42, 8.829, 8.829)*CHOOSE(CONTROL!$C$21, $C$9, 100%, $E$9)</f>
        <v>8.8290000000000006</v>
      </c>
      <c r="H157" s="17">
        <f>CHOOSE(CONTROL!$C$42, 8.9604, 8.9604) * CHOOSE(CONTROL!$C$21, $C$9, 100%, $E$9)</f>
        <v>8.9603999999999999</v>
      </c>
      <c r="I157" s="17">
        <f>CHOOSE(CONTROL!$C$42, 8.8525, 8.8525)* CHOOSE(CONTROL!$C$21, $C$9, 100%, $E$9)</f>
        <v>8.8524999999999991</v>
      </c>
      <c r="J157" s="17">
        <f>CHOOSE(CONTROL!$C$42, 8.8048, 8.8048)* CHOOSE(CONTROL!$C$21, $C$9, 100%, $E$9)</f>
        <v>8.8048000000000002</v>
      </c>
      <c r="K157" s="52">
        <f>CHOOSE(CONTROL!$C$42, 8.8465, 8.8465) * CHOOSE(CONTROL!$C$21, $C$9, 100%, $E$9)</f>
        <v>8.8465000000000007</v>
      </c>
      <c r="L157" s="17">
        <f>CHOOSE(CONTROL!$C$42, 9.5474, 9.5474) * CHOOSE(CONTROL!$C$21, $C$9, 100%, $E$9)</f>
        <v>9.5473999999999997</v>
      </c>
      <c r="M157" s="17">
        <f>CHOOSE(CONTROL!$C$42, 8.7326, 8.7326) * CHOOSE(CONTROL!$C$21, $C$9, 100%, $E$9)</f>
        <v>8.7325999999999997</v>
      </c>
      <c r="N157" s="17">
        <f>CHOOSE(CONTROL!$C$42, 8.7493, 8.7493) * CHOOSE(CONTROL!$C$21, $C$9, 100%, $E$9)</f>
        <v>8.7492999999999999</v>
      </c>
      <c r="O157" s="17">
        <f>CHOOSE(CONTROL!$C$42, 8.8868, 8.8868) * CHOOSE(CONTROL!$C$21, $C$9, 100%, $E$9)</f>
        <v>8.8867999999999991</v>
      </c>
      <c r="P157" s="17">
        <f>CHOOSE(CONTROL!$C$42, 8.7797, 8.7797) * CHOOSE(CONTROL!$C$21, $C$9, 100%, $E$9)</f>
        <v>8.7797000000000001</v>
      </c>
      <c r="Q157" s="17">
        <f>CHOOSE(CONTROL!$C$42, 9.4815, 9.4815) * CHOOSE(CONTROL!$C$21, $C$9, 100%, $E$9)</f>
        <v>9.4815000000000005</v>
      </c>
      <c r="R157" s="17">
        <f>CHOOSE(CONTROL!$C$42, 10.0922, 10.0922) * CHOOSE(CONTROL!$C$21, $C$9, 100%, $E$9)</f>
        <v>10.0922</v>
      </c>
      <c r="S157" s="17">
        <f>CHOOSE(CONTROL!$C$42, 8.5226, 8.5226) * CHOOSE(CONTROL!$C$21, $C$9, 100%, $E$9)</f>
        <v>8.5226000000000006</v>
      </c>
      <c r="T157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157" s="56">
        <f>(1000*CHOOSE(CONTROL!$C$42, 695, 695)*CHOOSE(CONTROL!$C$42, 0.5599, 0.5599)*CHOOSE(CONTROL!$C$42, 31, 31))/1000000</f>
        <v>12.063045499999998</v>
      </c>
      <c r="V157" s="56">
        <f>(1000*CHOOSE(CONTROL!$C$42, 500, 500)*CHOOSE(CONTROL!$C$42, 0.275, 0.275)*CHOOSE(CONTROL!$C$42, 31, 31))/1000000</f>
        <v>4.2625000000000002</v>
      </c>
      <c r="W157" s="56">
        <f>(1000*CHOOSE(CONTROL!$C$42, 0.0916, 0.0916)*CHOOSE(CONTROL!$C$42, 121.5, 121.5)*CHOOSE(CONTROL!$C$42, 31, 31))/1000000</f>
        <v>0.34501139999999997</v>
      </c>
      <c r="X157" s="56">
        <f>(31*0.2374*100000/1000000)</f>
        <v>0.73594000000000004</v>
      </c>
      <c r="Y157" s="56"/>
      <c r="Z157" s="17"/>
      <c r="AA157" s="55"/>
      <c r="AB157" s="48">
        <f>(B157*122.58+C157*297.941+D157*89.177+E157*140.302+F157*40+G157*60+H157*0+I157*100+J157*300)/(122.58+297.941+89.177+140.302+0+40+60+100+300)</f>
        <v>8.8402019893043491</v>
      </c>
      <c r="AC157" s="45">
        <f>(M157*'RAP TEMPLATE-GAS AVAILABILITY'!O156+N157*'RAP TEMPLATE-GAS AVAILABILITY'!P156+O157*'RAP TEMPLATE-GAS AVAILABILITY'!Q156+P157*'RAP TEMPLATE-GAS AVAILABILITY'!R156)/('RAP TEMPLATE-GAS AVAILABILITY'!O156+'RAP TEMPLATE-GAS AVAILABILITY'!P156+'RAP TEMPLATE-GAS AVAILABILITY'!Q156+'RAP TEMPLATE-GAS AVAILABILITY'!R156)</f>
        <v>8.8102273381294971</v>
      </c>
    </row>
    <row r="158" spans="1:29" ht="15.75" x14ac:dyDescent="0.25">
      <c r="A158" s="16">
        <v>45323</v>
      </c>
      <c r="B158" s="17">
        <f>CHOOSE(CONTROL!$C$42, 8.9736, 8.9736) * CHOOSE(CONTROL!$C$21, $C$9, 100%, $E$9)</f>
        <v>8.9735999999999994</v>
      </c>
      <c r="C158" s="17">
        <f>CHOOSE(CONTROL!$C$42, 8.9787, 8.9787) * CHOOSE(CONTROL!$C$21, $C$9, 100%, $E$9)</f>
        <v>8.9786999999999999</v>
      </c>
      <c r="D158" s="17">
        <f>CHOOSE(CONTROL!$C$42, 9.1126, 9.1126) * CHOOSE(CONTROL!$C$21, $C$9, 100%, $E$9)</f>
        <v>9.1126000000000005</v>
      </c>
      <c r="E158" s="17">
        <f>CHOOSE(CONTROL!$C$42, 9.1464, 9.1464) * CHOOSE(CONTROL!$C$21, $C$9, 100%, $E$9)</f>
        <v>9.1463999999999999</v>
      </c>
      <c r="F158" s="17">
        <f>CHOOSE(CONTROL!$C$42, 8.987, 8.987)*CHOOSE(CONTROL!$C$21, $C$9, 100%, $E$9)</f>
        <v>8.9870000000000001</v>
      </c>
      <c r="G158" s="17">
        <f>CHOOSE(CONTROL!$C$42, 9.0038, 9.0038)*CHOOSE(CONTROL!$C$21, $C$9, 100%, $E$9)</f>
        <v>9.0038</v>
      </c>
      <c r="H158" s="17">
        <f>CHOOSE(CONTROL!$C$42, 9.1352, 9.1352) * CHOOSE(CONTROL!$C$21, $C$9, 100%, $E$9)</f>
        <v>9.1351999999999993</v>
      </c>
      <c r="I158" s="17">
        <f>CHOOSE(CONTROL!$C$42, 9.0279, 9.0279)* CHOOSE(CONTROL!$C$21, $C$9, 100%, $E$9)</f>
        <v>9.0279000000000007</v>
      </c>
      <c r="J158" s="17">
        <f>CHOOSE(CONTROL!$C$42, 8.9796, 8.9796)* CHOOSE(CONTROL!$C$21, $C$9, 100%, $E$9)</f>
        <v>8.9795999999999996</v>
      </c>
      <c r="K158" s="52">
        <f>CHOOSE(CONTROL!$C$42, 9.0219, 9.0219) * CHOOSE(CONTROL!$C$21, $C$9, 100%, $E$9)</f>
        <v>9.0219000000000005</v>
      </c>
      <c r="L158" s="17">
        <f>CHOOSE(CONTROL!$C$42, 9.7222, 9.7222) * CHOOSE(CONTROL!$C$21, $C$9, 100%, $E$9)</f>
        <v>9.7222000000000008</v>
      </c>
      <c r="M158" s="17">
        <f>CHOOSE(CONTROL!$C$42, 8.9058, 8.9058) * CHOOSE(CONTROL!$C$21, $C$9, 100%, $E$9)</f>
        <v>8.9057999999999993</v>
      </c>
      <c r="N158" s="17">
        <f>CHOOSE(CONTROL!$C$42, 8.9225, 8.9225) * CHOOSE(CONTROL!$C$21, $C$9, 100%, $E$9)</f>
        <v>8.9224999999999994</v>
      </c>
      <c r="O158" s="17">
        <f>CHOOSE(CONTROL!$C$42, 9.0601, 9.0601) * CHOOSE(CONTROL!$C$21, $C$9, 100%, $E$9)</f>
        <v>9.0601000000000003</v>
      </c>
      <c r="P158" s="17">
        <f>CHOOSE(CONTROL!$C$42, 8.9535, 8.9535) * CHOOSE(CONTROL!$C$21, $C$9, 100%, $E$9)</f>
        <v>8.9535</v>
      </c>
      <c r="Q158" s="17">
        <f>CHOOSE(CONTROL!$C$42, 9.6548, 9.6548) * CHOOSE(CONTROL!$C$21, $C$9, 100%, $E$9)</f>
        <v>9.6547999999999998</v>
      </c>
      <c r="R158" s="17">
        <f>CHOOSE(CONTROL!$C$42, 10.2659, 10.2659) * CHOOSE(CONTROL!$C$21, $C$9, 100%, $E$9)</f>
        <v>10.2659</v>
      </c>
      <c r="S158" s="17">
        <f>CHOOSE(CONTROL!$C$42, 8.6922, 8.6922) * CHOOSE(CONTROL!$C$21, $C$9, 100%, $E$9)</f>
        <v>8.6921999999999997</v>
      </c>
      <c r="T158" s="56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158" s="56">
        <f>(1000*CHOOSE(CONTROL!$C$42, 695, 695)*CHOOSE(CONTROL!$C$42, 0.5599, 0.5599)*CHOOSE(CONTROL!$C$42, 29, 29))/1000000</f>
        <v>11.284784499999999</v>
      </c>
      <c r="V158" s="56">
        <f>(1000*CHOOSE(CONTROL!$C$42, 500, 500)*CHOOSE(CONTROL!$C$42, 0.275, 0.275)*CHOOSE(CONTROL!$C$42, 29, 29))/1000000</f>
        <v>3.9874999999999998</v>
      </c>
      <c r="W158" s="56">
        <f>(1000*CHOOSE(CONTROL!$C$42, 0.0916, 0.0916)*CHOOSE(CONTROL!$C$42, 121.5, 121.5)*CHOOSE(CONTROL!$C$42, 29, 29))/1000000</f>
        <v>0.3227526</v>
      </c>
      <c r="X158" s="56">
        <f>(29*0.2374*100000/1000000)</f>
        <v>0.68845999999999996</v>
      </c>
      <c r="Y158" s="56"/>
      <c r="Z158" s="17"/>
      <c r="AA158" s="55"/>
      <c r="AB158" s="48">
        <f>(B158*122.58+C158*297.941+D158*89.177+E158*140.302+F158*40+G158*60+H158*0+I158*100+J158*300)/(122.58+297.941+89.177+140.302+0+40+60+100+300)</f>
        <v>9.0151106849565217</v>
      </c>
      <c r="AC158" s="45">
        <f>(M158*'RAP TEMPLATE-GAS AVAILABILITY'!O157+N158*'RAP TEMPLATE-GAS AVAILABILITY'!P157+O158*'RAP TEMPLATE-GAS AVAILABILITY'!Q157+P158*'RAP TEMPLATE-GAS AVAILABILITY'!R157)/('RAP TEMPLATE-GAS AVAILABILITY'!O157+'RAP TEMPLATE-GAS AVAILABILITY'!P157+'RAP TEMPLATE-GAS AVAILABILITY'!Q157+'RAP TEMPLATE-GAS AVAILABILITY'!R157)</f>
        <v>8.9835589928057562</v>
      </c>
    </row>
    <row r="159" spans="1:29" ht="15.75" x14ac:dyDescent="0.25">
      <c r="A159" s="16">
        <v>45352</v>
      </c>
      <c r="B159" s="17">
        <f>CHOOSE(CONTROL!$C$42, 8.737, 8.737) * CHOOSE(CONTROL!$C$21, $C$9, 100%, $E$9)</f>
        <v>8.7370000000000001</v>
      </c>
      <c r="C159" s="17">
        <f>CHOOSE(CONTROL!$C$42, 8.7421, 8.7421) * CHOOSE(CONTROL!$C$21, $C$9, 100%, $E$9)</f>
        <v>8.7421000000000006</v>
      </c>
      <c r="D159" s="17">
        <f>CHOOSE(CONTROL!$C$42, 8.8761, 8.8761) * CHOOSE(CONTROL!$C$21, $C$9, 100%, $E$9)</f>
        <v>8.8760999999999992</v>
      </c>
      <c r="E159" s="17">
        <f>CHOOSE(CONTROL!$C$42, 8.9098, 8.9098) * CHOOSE(CONTROL!$C$21, $C$9, 100%, $E$9)</f>
        <v>8.9098000000000006</v>
      </c>
      <c r="F159" s="17">
        <f>CHOOSE(CONTROL!$C$42, 8.7497, 8.7497)*CHOOSE(CONTROL!$C$21, $C$9, 100%, $E$9)</f>
        <v>8.7497000000000007</v>
      </c>
      <c r="G159" s="17">
        <f>CHOOSE(CONTROL!$C$42, 8.7664, 8.7664)*CHOOSE(CONTROL!$C$21, $C$9, 100%, $E$9)</f>
        <v>8.7664000000000009</v>
      </c>
      <c r="H159" s="17">
        <f>CHOOSE(CONTROL!$C$42, 8.8987, 8.8987) * CHOOSE(CONTROL!$C$21, $C$9, 100%, $E$9)</f>
        <v>8.8986999999999998</v>
      </c>
      <c r="I159" s="17">
        <f>CHOOSE(CONTROL!$C$42, 8.7907, 8.7907)* CHOOSE(CONTROL!$C$21, $C$9, 100%, $E$9)</f>
        <v>8.7906999999999993</v>
      </c>
      <c r="J159" s="17">
        <f>CHOOSE(CONTROL!$C$42, 8.7423, 8.7423)* CHOOSE(CONTROL!$C$21, $C$9, 100%, $E$9)</f>
        <v>8.7423000000000002</v>
      </c>
      <c r="K159" s="52">
        <f>CHOOSE(CONTROL!$C$42, 8.7846, 8.7846) * CHOOSE(CONTROL!$C$21, $C$9, 100%, $E$9)</f>
        <v>8.7845999999999993</v>
      </c>
      <c r="L159" s="17">
        <f>CHOOSE(CONTROL!$C$42, 9.4857, 9.4857) * CHOOSE(CONTROL!$C$21, $C$9, 100%, $E$9)</f>
        <v>9.4856999999999996</v>
      </c>
      <c r="M159" s="17">
        <f>CHOOSE(CONTROL!$C$42, 8.6707, 8.6707) * CHOOSE(CONTROL!$C$21, $C$9, 100%, $E$9)</f>
        <v>8.6707000000000001</v>
      </c>
      <c r="N159" s="17">
        <f>CHOOSE(CONTROL!$C$42, 8.6872, 8.6872) * CHOOSE(CONTROL!$C$21, $C$9, 100%, $E$9)</f>
        <v>8.6872000000000007</v>
      </c>
      <c r="O159" s="17">
        <f>CHOOSE(CONTROL!$C$42, 8.8257, 8.8257) * CHOOSE(CONTROL!$C$21, $C$9, 100%, $E$9)</f>
        <v>8.8256999999999994</v>
      </c>
      <c r="P159" s="17">
        <f>CHOOSE(CONTROL!$C$42, 8.7184, 8.7184) * CHOOSE(CONTROL!$C$21, $C$9, 100%, $E$9)</f>
        <v>8.7184000000000008</v>
      </c>
      <c r="Q159" s="17">
        <f>CHOOSE(CONTROL!$C$42, 9.4204, 9.4204) * CHOOSE(CONTROL!$C$21, $C$9, 100%, $E$9)</f>
        <v>9.4204000000000008</v>
      </c>
      <c r="R159" s="17">
        <f>CHOOSE(CONTROL!$C$42, 10.0309, 10.0309) * CHOOSE(CONTROL!$C$21, $C$9, 100%, $E$9)</f>
        <v>10.030900000000001</v>
      </c>
      <c r="S159" s="17">
        <f>CHOOSE(CONTROL!$C$42, 8.4628, 8.4628) * CHOOSE(CONTROL!$C$21, $C$9, 100%, $E$9)</f>
        <v>8.4627999999999997</v>
      </c>
      <c r="T159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159" s="56">
        <f>(1000*CHOOSE(CONTROL!$C$42, 695, 695)*CHOOSE(CONTROL!$C$42, 0.5599, 0.5599)*CHOOSE(CONTROL!$C$42, 31, 31))/1000000</f>
        <v>12.063045499999998</v>
      </c>
      <c r="V159" s="56">
        <f>(1000*CHOOSE(CONTROL!$C$42, 500, 500)*CHOOSE(CONTROL!$C$42, 0.275, 0.275)*CHOOSE(CONTROL!$C$42, 31, 31))/1000000</f>
        <v>4.2625000000000002</v>
      </c>
      <c r="W159" s="56">
        <f>(1000*CHOOSE(CONTROL!$C$42, 0.0916, 0.0916)*CHOOSE(CONTROL!$C$42, 121.5, 121.5)*CHOOSE(CONTROL!$C$42, 31, 31))/1000000</f>
        <v>0.34501139999999997</v>
      </c>
      <c r="X159" s="56">
        <f>(31*0.2374*100000/1000000)</f>
        <v>0.73594000000000004</v>
      </c>
      <c r="Y159" s="56"/>
      <c r="Z159" s="17"/>
      <c r="AA159" s="55"/>
      <c r="AB159" s="48">
        <f>(B159*122.58+C159*297.941+D159*89.177+E159*140.302+F159*40+G159*60+H159*0+I159*100+J159*300)/(122.58+297.941+89.177+140.302+0+40+60+100+300)</f>
        <v>8.7782175699130445</v>
      </c>
      <c r="AC159" s="45">
        <f>(M159*'RAP TEMPLATE-GAS AVAILABILITY'!O158+N159*'RAP TEMPLATE-GAS AVAILABILITY'!P158+O159*'RAP TEMPLATE-GAS AVAILABILITY'!Q158+P159*'RAP TEMPLATE-GAS AVAILABILITY'!R158)/('RAP TEMPLATE-GAS AVAILABILITY'!O158+'RAP TEMPLATE-GAS AVAILABILITY'!P158+'RAP TEMPLATE-GAS AVAILABILITY'!Q158+'RAP TEMPLATE-GAS AVAILABILITY'!R158)</f>
        <v>8.7487647482014381</v>
      </c>
    </row>
    <row r="160" spans="1:29" ht="15.75" x14ac:dyDescent="0.25">
      <c r="A160" s="16">
        <v>45383</v>
      </c>
      <c r="B160" s="17">
        <f>CHOOSE(CONTROL!$C$42, 8.7299, 8.7299) * CHOOSE(CONTROL!$C$21, $C$9, 100%, $E$9)</f>
        <v>8.7299000000000007</v>
      </c>
      <c r="C160" s="17">
        <f>CHOOSE(CONTROL!$C$42, 8.7344, 8.7344) * CHOOSE(CONTROL!$C$21, $C$9, 100%, $E$9)</f>
        <v>8.7344000000000008</v>
      </c>
      <c r="D160" s="17">
        <f>CHOOSE(CONTROL!$C$42, 8.9974, 8.9974) * CHOOSE(CONTROL!$C$21, $C$9, 100%, $E$9)</f>
        <v>8.9974000000000007</v>
      </c>
      <c r="E160" s="17">
        <f>CHOOSE(CONTROL!$C$42, 9.0292, 9.0292) * CHOOSE(CONTROL!$C$21, $C$9, 100%, $E$9)</f>
        <v>9.0291999999999994</v>
      </c>
      <c r="F160" s="17">
        <f>CHOOSE(CONTROL!$C$42, 8.7408, 8.7408)*CHOOSE(CONTROL!$C$21, $C$9, 100%, $E$9)</f>
        <v>8.7408000000000001</v>
      </c>
      <c r="G160" s="17">
        <f>CHOOSE(CONTROL!$C$42, 8.7569, 8.7569)*CHOOSE(CONTROL!$C$21, $C$9, 100%, $E$9)</f>
        <v>8.7568999999999999</v>
      </c>
      <c r="H160" s="17">
        <f>CHOOSE(CONTROL!$C$42, 9.0187, 9.0187) * CHOOSE(CONTROL!$C$21, $C$9, 100%, $E$9)</f>
        <v>9.0187000000000008</v>
      </c>
      <c r="I160" s="17">
        <f>CHOOSE(CONTROL!$C$42, 8.7822, 8.7822)* CHOOSE(CONTROL!$C$21, $C$9, 100%, $E$9)</f>
        <v>8.7821999999999996</v>
      </c>
      <c r="J160" s="17">
        <f>CHOOSE(CONTROL!$C$42, 8.7334, 8.7334)* CHOOSE(CONTROL!$C$21, $C$9, 100%, $E$9)</f>
        <v>8.7333999999999996</v>
      </c>
      <c r="K160" s="52">
        <f>CHOOSE(CONTROL!$C$42, 8.7761, 8.7761) * CHOOSE(CONTROL!$C$21, $C$9, 100%, $E$9)</f>
        <v>8.7760999999999996</v>
      </c>
      <c r="L160" s="17">
        <f>CHOOSE(CONTROL!$C$42, 9.6057, 9.6057) * CHOOSE(CONTROL!$C$21, $C$9, 100%, $E$9)</f>
        <v>9.6057000000000006</v>
      </c>
      <c r="M160" s="17">
        <f>CHOOSE(CONTROL!$C$42, 8.6619, 8.6619) * CHOOSE(CONTROL!$C$21, $C$9, 100%, $E$9)</f>
        <v>8.6618999999999993</v>
      </c>
      <c r="N160" s="17">
        <f>CHOOSE(CONTROL!$C$42, 8.6779, 8.6779) * CHOOSE(CONTROL!$C$21, $C$9, 100%, $E$9)</f>
        <v>8.6778999999999993</v>
      </c>
      <c r="O160" s="17">
        <f>CHOOSE(CONTROL!$C$42, 8.9445, 8.9445) * CHOOSE(CONTROL!$C$21, $C$9, 100%, $E$9)</f>
        <v>8.9444999999999997</v>
      </c>
      <c r="P160" s="17">
        <f>CHOOSE(CONTROL!$C$42, 8.71, 8.71) * CHOOSE(CONTROL!$C$21, $C$9, 100%, $E$9)</f>
        <v>8.7100000000000009</v>
      </c>
      <c r="Q160" s="17">
        <f>CHOOSE(CONTROL!$C$42, 9.5392, 9.5392) * CHOOSE(CONTROL!$C$21, $C$9, 100%, $E$9)</f>
        <v>9.5391999999999992</v>
      </c>
      <c r="R160" s="17">
        <f>CHOOSE(CONTROL!$C$42, 10.1501, 10.1501) * CHOOSE(CONTROL!$C$21, $C$9, 100%, $E$9)</f>
        <v>10.1501</v>
      </c>
      <c r="S160" s="17">
        <f>CHOOSE(CONTROL!$C$42, 8.4551, 8.4551) * CHOOSE(CONTROL!$C$21, $C$9, 100%, $E$9)</f>
        <v>8.4550999999999998</v>
      </c>
      <c r="T160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160" s="56">
        <f>(1000*CHOOSE(CONTROL!$C$42, 695, 695)*CHOOSE(CONTROL!$C$42, 0.5599, 0.5599)*CHOOSE(CONTROL!$C$42, 30, 30))/1000000</f>
        <v>11.673914999999997</v>
      </c>
      <c r="V160" s="56">
        <f>(1000*CHOOSE(CONTROL!$C$42, 500, 500)*CHOOSE(CONTROL!$C$42, 0.275, 0.275)*CHOOSE(CONTROL!$C$42, 30, 30))/1000000</f>
        <v>4.125</v>
      </c>
      <c r="W160" s="56">
        <f>(1000*CHOOSE(CONTROL!$C$42, 0.0916, 0.0916)*CHOOSE(CONTROL!$C$42, 121.5, 121.5)*CHOOSE(CONTROL!$C$42, 30, 30))/1000000</f>
        <v>0.33388200000000001</v>
      </c>
      <c r="X160" s="56">
        <f>(30*0.1790888*145000/1000000)+(30*0.2374*100000/1000000)</f>
        <v>1.4912362799999999</v>
      </c>
      <c r="Y160" s="56"/>
      <c r="Z160" s="17"/>
      <c r="AA160" s="55"/>
      <c r="AB160" s="48">
        <f>(B160*141.293+C160*267.993+D160*115.016+E160*189.698+F160*40+G160*85+H160*0+I160*100+J160*300)/(141.293+267.993+115.016+189.698+0+40+85+100+300)</f>
        <v>8.8088026310734477</v>
      </c>
      <c r="AC160" s="45">
        <f>(M160*'RAP TEMPLATE-GAS AVAILABILITY'!O159+N160*'RAP TEMPLATE-GAS AVAILABILITY'!P159+O160*'RAP TEMPLATE-GAS AVAILABILITY'!Q159+P160*'RAP TEMPLATE-GAS AVAILABILITY'!R159)/('RAP TEMPLATE-GAS AVAILABILITY'!O159+'RAP TEMPLATE-GAS AVAILABILITY'!P159+'RAP TEMPLATE-GAS AVAILABILITY'!Q159+'RAP TEMPLATE-GAS AVAILABILITY'!R159)</f>
        <v>8.7517949640287771</v>
      </c>
    </row>
    <row r="161" spans="1:29" ht="15.75" x14ac:dyDescent="0.25">
      <c r="A161" s="16">
        <v>45413</v>
      </c>
      <c r="B161" s="17">
        <f>CHOOSE(CONTROL!$C$42, 8.8263, 8.8263) * CHOOSE(CONTROL!$C$21, $C$9, 100%, $E$9)</f>
        <v>8.8262999999999998</v>
      </c>
      <c r="C161" s="17">
        <f>CHOOSE(CONTROL!$C$42, 8.8343, 8.8343) * CHOOSE(CONTROL!$C$21, $C$9, 100%, $E$9)</f>
        <v>8.8343000000000007</v>
      </c>
      <c r="D161" s="17">
        <f>CHOOSE(CONTROL!$C$42, 9.0942, 9.0942) * CHOOSE(CONTROL!$C$21, $C$9, 100%, $E$9)</f>
        <v>9.0942000000000007</v>
      </c>
      <c r="E161" s="17">
        <f>CHOOSE(CONTROL!$C$42, 9.1254, 9.1254) * CHOOSE(CONTROL!$C$21, $C$9, 100%, $E$9)</f>
        <v>9.1254000000000008</v>
      </c>
      <c r="F161" s="17">
        <f>CHOOSE(CONTROL!$C$42, 8.836, 8.836)*CHOOSE(CONTROL!$C$21, $C$9, 100%, $E$9)</f>
        <v>8.8360000000000003</v>
      </c>
      <c r="G161" s="17">
        <f>CHOOSE(CONTROL!$C$42, 8.8524, 8.8524)*CHOOSE(CONTROL!$C$21, $C$9, 100%, $E$9)</f>
        <v>8.8523999999999994</v>
      </c>
      <c r="H161" s="17">
        <f>CHOOSE(CONTROL!$C$42, 9.1137, 9.1137) * CHOOSE(CONTROL!$C$21, $C$9, 100%, $E$9)</f>
        <v>9.1136999999999997</v>
      </c>
      <c r="I161" s="17">
        <f>CHOOSE(CONTROL!$C$42, 8.8775, 8.8775)* CHOOSE(CONTROL!$C$21, $C$9, 100%, $E$9)</f>
        <v>8.8774999999999995</v>
      </c>
      <c r="J161" s="17">
        <f>CHOOSE(CONTROL!$C$42, 8.8286, 8.8286)* CHOOSE(CONTROL!$C$21, $C$9, 100%, $E$9)</f>
        <v>8.8285999999999998</v>
      </c>
      <c r="K161" s="52">
        <f>CHOOSE(CONTROL!$C$42, 8.8715, 8.8715) * CHOOSE(CONTROL!$C$21, $C$9, 100%, $E$9)</f>
        <v>8.8714999999999993</v>
      </c>
      <c r="L161" s="17">
        <f>CHOOSE(CONTROL!$C$42, 9.7007, 9.7007) * CHOOSE(CONTROL!$C$21, $C$9, 100%, $E$9)</f>
        <v>9.7006999999999994</v>
      </c>
      <c r="M161" s="17">
        <f>CHOOSE(CONTROL!$C$42, 8.7562, 8.7562) * CHOOSE(CONTROL!$C$21, $C$9, 100%, $E$9)</f>
        <v>8.7561999999999998</v>
      </c>
      <c r="N161" s="17">
        <f>CHOOSE(CONTROL!$C$42, 8.7725, 8.7725) * CHOOSE(CONTROL!$C$21, $C$9, 100%, $E$9)</f>
        <v>8.7725000000000009</v>
      </c>
      <c r="O161" s="17">
        <f>CHOOSE(CONTROL!$C$42, 9.0388, 9.0388) * CHOOSE(CONTROL!$C$21, $C$9, 100%, $E$9)</f>
        <v>9.0388000000000002</v>
      </c>
      <c r="P161" s="17">
        <f>CHOOSE(CONTROL!$C$42, 8.8045, 8.8045) * CHOOSE(CONTROL!$C$21, $C$9, 100%, $E$9)</f>
        <v>8.8045000000000009</v>
      </c>
      <c r="Q161" s="17">
        <f>CHOOSE(CONTROL!$C$42, 9.6335, 9.6335) * CHOOSE(CONTROL!$C$21, $C$9, 100%, $E$9)</f>
        <v>9.6334999999999997</v>
      </c>
      <c r="R161" s="17">
        <f>CHOOSE(CONTROL!$C$42, 10.2445, 10.2445) * CHOOSE(CONTROL!$C$21, $C$9, 100%, $E$9)</f>
        <v>10.2445</v>
      </c>
      <c r="S161" s="17">
        <f>CHOOSE(CONTROL!$C$42, 8.5473, 8.5473) * CHOOSE(CONTROL!$C$21, $C$9, 100%, $E$9)</f>
        <v>8.5472999999999999</v>
      </c>
      <c r="T161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161" s="56">
        <f>(1000*CHOOSE(CONTROL!$C$42, 695, 695)*CHOOSE(CONTROL!$C$42, 0.5599, 0.5599)*CHOOSE(CONTROL!$C$42, 31, 31))/1000000</f>
        <v>12.063045499999998</v>
      </c>
      <c r="V161" s="56">
        <f>(1000*CHOOSE(CONTROL!$C$42, 500, 500)*CHOOSE(CONTROL!$C$42, 0.275, 0.275)*CHOOSE(CONTROL!$C$42, 31, 31))/1000000</f>
        <v>4.2625000000000002</v>
      </c>
      <c r="W161" s="56">
        <f>(1000*CHOOSE(CONTROL!$C$42, 0.0916, 0.0916)*CHOOSE(CONTROL!$C$42, 121.5, 121.5)*CHOOSE(CONTROL!$C$42, 31, 31))/1000000</f>
        <v>0.34501139999999997</v>
      </c>
      <c r="X161" s="56">
        <f>(31*0.1790888*145000/1000000)+(31*0.2374*100000/1000000)</f>
        <v>1.5409441560000001</v>
      </c>
      <c r="Y161" s="56"/>
      <c r="Z161" s="17"/>
      <c r="AA161" s="55"/>
      <c r="AB161" s="48">
        <f>(B161*194.205+C161*267.466+D161*133.845+E161*153.484+F161*40+G161*85+H161*0+I161*100+J161*300)/(194.205+267.466+133.845+153.484+0+40+85+100+300)</f>
        <v>8.8987649669544737</v>
      </c>
      <c r="AC161" s="45">
        <f>(M161*'RAP TEMPLATE-GAS AVAILABILITY'!O160+N161*'RAP TEMPLATE-GAS AVAILABILITY'!P160+O161*'RAP TEMPLATE-GAS AVAILABILITY'!Q160+P161*'RAP TEMPLATE-GAS AVAILABILITY'!R160)/('RAP TEMPLATE-GAS AVAILABILITY'!O160+'RAP TEMPLATE-GAS AVAILABILITY'!P160+'RAP TEMPLATE-GAS AVAILABILITY'!Q160+'RAP TEMPLATE-GAS AVAILABILITY'!R160)</f>
        <v>8.8461928057553951</v>
      </c>
    </row>
    <row r="162" spans="1:29" ht="15.75" x14ac:dyDescent="0.25">
      <c r="A162" s="16">
        <v>45444</v>
      </c>
      <c r="B162" s="17">
        <f>CHOOSE(CONTROL!$C$42, 9.095, 9.095) * CHOOSE(CONTROL!$C$21, $C$9, 100%, $E$9)</f>
        <v>9.0950000000000006</v>
      </c>
      <c r="C162" s="17">
        <f>CHOOSE(CONTROL!$C$42, 9.103, 9.103) * CHOOSE(CONTROL!$C$21, $C$9, 100%, $E$9)</f>
        <v>9.1029999999999998</v>
      </c>
      <c r="D162" s="17">
        <f>CHOOSE(CONTROL!$C$42, 9.3629, 9.3629) * CHOOSE(CONTROL!$C$21, $C$9, 100%, $E$9)</f>
        <v>9.3628999999999998</v>
      </c>
      <c r="E162" s="17">
        <f>CHOOSE(CONTROL!$C$42, 9.3941, 9.3941) * CHOOSE(CONTROL!$C$21, $C$9, 100%, $E$9)</f>
        <v>9.3940999999999999</v>
      </c>
      <c r="F162" s="17">
        <f>CHOOSE(CONTROL!$C$42, 9.1049, 9.1049)*CHOOSE(CONTROL!$C$21, $C$9, 100%, $E$9)</f>
        <v>9.1049000000000007</v>
      </c>
      <c r="G162" s="17">
        <f>CHOOSE(CONTROL!$C$42, 9.1215, 9.1215)*CHOOSE(CONTROL!$C$21, $C$9, 100%, $E$9)</f>
        <v>9.1214999999999993</v>
      </c>
      <c r="H162" s="17">
        <f>CHOOSE(CONTROL!$C$42, 9.3824, 9.3824) * CHOOSE(CONTROL!$C$21, $C$9, 100%, $E$9)</f>
        <v>9.3824000000000005</v>
      </c>
      <c r="I162" s="17">
        <f>CHOOSE(CONTROL!$C$42, 9.147, 9.147)* CHOOSE(CONTROL!$C$21, $C$9, 100%, $E$9)</f>
        <v>9.1470000000000002</v>
      </c>
      <c r="J162" s="17">
        <f>CHOOSE(CONTROL!$C$42, 9.0975, 9.0975)* CHOOSE(CONTROL!$C$21, $C$9, 100%, $E$9)</f>
        <v>9.0975000000000001</v>
      </c>
      <c r="K162" s="52">
        <f>CHOOSE(CONTROL!$C$42, 9.141, 9.141) * CHOOSE(CONTROL!$C$21, $C$9, 100%, $E$9)</f>
        <v>9.141</v>
      </c>
      <c r="L162" s="17">
        <f>CHOOSE(CONTROL!$C$42, 9.9694, 9.9694) * CHOOSE(CONTROL!$C$21, $C$9, 100%, $E$9)</f>
        <v>9.9694000000000003</v>
      </c>
      <c r="M162" s="17">
        <f>CHOOSE(CONTROL!$C$42, 9.0227, 9.0227) * CHOOSE(CONTROL!$C$21, $C$9, 100%, $E$9)</f>
        <v>9.0227000000000004</v>
      </c>
      <c r="N162" s="17">
        <f>CHOOSE(CONTROL!$C$42, 9.0391, 9.0391) * CHOOSE(CONTROL!$C$21, $C$9, 100%, $E$9)</f>
        <v>9.0390999999999995</v>
      </c>
      <c r="O162" s="17">
        <f>CHOOSE(CONTROL!$C$42, 9.305, 9.305) * CHOOSE(CONTROL!$C$21, $C$9, 100%, $E$9)</f>
        <v>9.3049999999999997</v>
      </c>
      <c r="P162" s="17">
        <f>CHOOSE(CONTROL!$C$42, 9.0716, 9.0716) * CHOOSE(CONTROL!$C$21, $C$9, 100%, $E$9)</f>
        <v>9.0716000000000001</v>
      </c>
      <c r="Q162" s="17">
        <f>CHOOSE(CONTROL!$C$42, 9.8997, 9.8997) * CHOOSE(CONTROL!$C$21, $C$9, 100%, $E$9)</f>
        <v>9.8996999999999993</v>
      </c>
      <c r="R162" s="17">
        <f>CHOOSE(CONTROL!$C$42, 10.5115, 10.5115) * CHOOSE(CONTROL!$C$21, $C$9, 100%, $E$9)</f>
        <v>10.5115</v>
      </c>
      <c r="S162" s="17">
        <f>CHOOSE(CONTROL!$C$42, 8.8078, 8.8078) * CHOOSE(CONTROL!$C$21, $C$9, 100%, $E$9)</f>
        <v>8.8078000000000003</v>
      </c>
      <c r="T162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162" s="56">
        <f>(1000*CHOOSE(CONTROL!$C$42, 695, 695)*CHOOSE(CONTROL!$C$42, 0.5599, 0.5599)*CHOOSE(CONTROL!$C$42, 30, 30))/1000000</f>
        <v>11.673914999999997</v>
      </c>
      <c r="V162" s="56">
        <f>(1000*CHOOSE(CONTROL!$C$42, 500, 500)*CHOOSE(CONTROL!$C$42, 0.275, 0.275)*CHOOSE(CONTROL!$C$42, 30, 30))/1000000</f>
        <v>4.125</v>
      </c>
      <c r="W162" s="56">
        <f>(1000*CHOOSE(CONTROL!$C$42, 0.0916, 0.0916)*CHOOSE(CONTROL!$C$42, 121.5, 121.5)*CHOOSE(CONTROL!$C$42, 30, 30))/1000000</f>
        <v>0.33388200000000001</v>
      </c>
      <c r="X162" s="56">
        <f>(30*0.1790888*145000/1000000)+(30*0.2374*100000/1000000)</f>
        <v>1.4912362799999999</v>
      </c>
      <c r="Y162" s="56"/>
      <c r="Z162" s="17"/>
      <c r="AA162" s="55"/>
      <c r="AB162" s="48">
        <f>(B162*194.205+C162*267.466+D162*133.845+E162*153.484+F162*40+G162*85+H162*0+I162*100+J162*300)/(194.205+267.466+133.845+153.484+0+40+85+100+300)</f>
        <v>9.1676078240973329</v>
      </c>
      <c r="AC162" s="45">
        <f>(M162*'RAP TEMPLATE-GAS AVAILABILITY'!O161+N162*'RAP TEMPLATE-GAS AVAILABILITY'!P161+O162*'RAP TEMPLATE-GAS AVAILABILITY'!Q161+P162*'RAP TEMPLATE-GAS AVAILABILITY'!R161)/('RAP TEMPLATE-GAS AVAILABILITY'!O161+'RAP TEMPLATE-GAS AVAILABILITY'!P161+'RAP TEMPLATE-GAS AVAILABILITY'!Q161+'RAP TEMPLATE-GAS AVAILABILITY'!R161)</f>
        <v>9.1127179856115106</v>
      </c>
    </row>
    <row r="163" spans="1:29" ht="15.75" x14ac:dyDescent="0.25">
      <c r="A163" s="16">
        <v>45474</v>
      </c>
      <c r="B163" s="17">
        <f>CHOOSE(CONTROL!$C$42, 8.9391, 8.9391) * CHOOSE(CONTROL!$C$21, $C$9, 100%, $E$9)</f>
        <v>8.9390999999999998</v>
      </c>
      <c r="C163" s="17">
        <f>CHOOSE(CONTROL!$C$42, 8.9471, 8.9471) * CHOOSE(CONTROL!$C$21, $C$9, 100%, $E$9)</f>
        <v>8.9471000000000007</v>
      </c>
      <c r="D163" s="17">
        <f>CHOOSE(CONTROL!$C$42, 9.207, 9.207) * CHOOSE(CONTROL!$C$21, $C$9, 100%, $E$9)</f>
        <v>9.2070000000000007</v>
      </c>
      <c r="E163" s="17">
        <f>CHOOSE(CONTROL!$C$42, 9.2382, 9.2382) * CHOOSE(CONTROL!$C$21, $C$9, 100%, $E$9)</f>
        <v>9.2382000000000009</v>
      </c>
      <c r="F163" s="17">
        <f>CHOOSE(CONTROL!$C$42, 8.9495, 8.9495)*CHOOSE(CONTROL!$C$21, $C$9, 100%, $E$9)</f>
        <v>8.9495000000000005</v>
      </c>
      <c r="G163" s="17">
        <f>CHOOSE(CONTROL!$C$42, 8.9661, 8.9661)*CHOOSE(CONTROL!$C$21, $C$9, 100%, $E$9)</f>
        <v>8.9661000000000008</v>
      </c>
      <c r="H163" s="17">
        <f>CHOOSE(CONTROL!$C$42, 9.2265, 9.2265) * CHOOSE(CONTROL!$C$21, $C$9, 100%, $E$9)</f>
        <v>9.2264999999999997</v>
      </c>
      <c r="I163" s="17">
        <f>CHOOSE(CONTROL!$C$42, 8.9907, 8.9907)* CHOOSE(CONTROL!$C$21, $C$9, 100%, $E$9)</f>
        <v>8.9907000000000004</v>
      </c>
      <c r="J163" s="17">
        <f>CHOOSE(CONTROL!$C$42, 8.9421, 8.9421)* CHOOSE(CONTROL!$C$21, $C$9, 100%, $E$9)</f>
        <v>8.9420999999999999</v>
      </c>
      <c r="K163" s="52">
        <f>CHOOSE(CONTROL!$C$42, 8.9846, 8.9846) * CHOOSE(CONTROL!$C$21, $C$9, 100%, $E$9)</f>
        <v>8.9846000000000004</v>
      </c>
      <c r="L163" s="17">
        <f>CHOOSE(CONTROL!$C$42, 9.8135, 9.8135) * CHOOSE(CONTROL!$C$21, $C$9, 100%, $E$9)</f>
        <v>9.8134999999999994</v>
      </c>
      <c r="M163" s="17">
        <f>CHOOSE(CONTROL!$C$42, 8.8687, 8.8687) * CHOOSE(CONTROL!$C$21, $C$9, 100%, $E$9)</f>
        <v>8.8687000000000005</v>
      </c>
      <c r="N163" s="17">
        <f>CHOOSE(CONTROL!$C$42, 8.8852, 8.8852) * CHOOSE(CONTROL!$C$21, $C$9, 100%, $E$9)</f>
        <v>8.8851999999999993</v>
      </c>
      <c r="O163" s="17">
        <f>CHOOSE(CONTROL!$C$42, 9.1505, 9.1505) * CHOOSE(CONTROL!$C$21, $C$9, 100%, $E$9)</f>
        <v>9.1504999999999992</v>
      </c>
      <c r="P163" s="17">
        <f>CHOOSE(CONTROL!$C$42, 8.9166, 8.9166) * CHOOSE(CONTROL!$C$21, $C$9, 100%, $E$9)</f>
        <v>8.9166000000000007</v>
      </c>
      <c r="Q163" s="17">
        <f>CHOOSE(CONTROL!$C$42, 9.7452, 9.7452) * CHOOSE(CONTROL!$C$21, $C$9, 100%, $E$9)</f>
        <v>9.7452000000000005</v>
      </c>
      <c r="R163" s="17">
        <f>CHOOSE(CONTROL!$C$42, 10.3566, 10.3566) * CHOOSE(CONTROL!$C$21, $C$9, 100%, $E$9)</f>
        <v>10.3566</v>
      </c>
      <c r="S163" s="17">
        <f>CHOOSE(CONTROL!$C$42, 8.6567, 8.6567) * CHOOSE(CONTROL!$C$21, $C$9, 100%, $E$9)</f>
        <v>8.6567000000000007</v>
      </c>
      <c r="T163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163" s="56">
        <f>(1000*CHOOSE(CONTROL!$C$42, 695, 695)*CHOOSE(CONTROL!$C$42, 0.5599, 0.5599)*CHOOSE(CONTROL!$C$42, 31, 31))/1000000</f>
        <v>12.063045499999998</v>
      </c>
      <c r="V163" s="56">
        <f>(1000*CHOOSE(CONTROL!$C$42, 500, 500)*CHOOSE(CONTROL!$C$42, 0.275, 0.275)*CHOOSE(CONTROL!$C$42, 31, 31))/1000000</f>
        <v>4.2625000000000002</v>
      </c>
      <c r="W163" s="56">
        <f>(1000*CHOOSE(CONTROL!$C$42, 0.0916, 0.0916)*CHOOSE(CONTROL!$C$42, 121.5, 121.5)*CHOOSE(CONTROL!$C$42, 31, 31))/1000000</f>
        <v>0.34501139999999997</v>
      </c>
      <c r="X163" s="56">
        <f>(31*0.1790888*145000/1000000)+(31*0.2374*100000/1000000)</f>
        <v>1.5409441560000001</v>
      </c>
      <c r="Y163" s="56"/>
      <c r="Z163" s="17"/>
      <c r="AA163" s="55"/>
      <c r="AB163" s="48">
        <f>(B163*194.205+C163*267.466+D163*133.845+E163*153.484+F163*40+G163*85+H163*0+I163*100+J163*300)/(194.205+267.466+133.845+153.484+0+40+85+100+300)</f>
        <v>9.0118432244113045</v>
      </c>
      <c r="AC163" s="45">
        <f>(M163*'RAP TEMPLATE-GAS AVAILABILITY'!O162+N163*'RAP TEMPLATE-GAS AVAILABILITY'!P162+O163*'RAP TEMPLATE-GAS AVAILABILITY'!Q162+P163*'RAP TEMPLATE-GAS AVAILABILITY'!R162)/('RAP TEMPLATE-GAS AVAILABILITY'!O162+'RAP TEMPLATE-GAS AVAILABILITY'!P162+'RAP TEMPLATE-GAS AVAILABILITY'!Q162+'RAP TEMPLATE-GAS AVAILABILITY'!R162)</f>
        <v>8.9584568345323738</v>
      </c>
    </row>
    <row r="164" spans="1:29" ht="15.75" x14ac:dyDescent="0.25">
      <c r="A164" s="16">
        <v>45505</v>
      </c>
      <c r="B164" s="17">
        <f>CHOOSE(CONTROL!$C$42, 8.5157, 8.5157) * CHOOSE(CONTROL!$C$21, $C$9, 100%, $E$9)</f>
        <v>8.5157000000000007</v>
      </c>
      <c r="C164" s="17">
        <f>CHOOSE(CONTROL!$C$42, 8.5236, 8.5236) * CHOOSE(CONTROL!$C$21, $C$9, 100%, $E$9)</f>
        <v>8.5236000000000001</v>
      </c>
      <c r="D164" s="17">
        <f>CHOOSE(CONTROL!$C$42, 8.7836, 8.7836) * CHOOSE(CONTROL!$C$21, $C$9, 100%, $E$9)</f>
        <v>8.7835999999999999</v>
      </c>
      <c r="E164" s="17">
        <f>CHOOSE(CONTROL!$C$42, 8.8147, 8.8147) * CHOOSE(CONTROL!$C$21, $C$9, 100%, $E$9)</f>
        <v>8.8147000000000002</v>
      </c>
      <c r="F164" s="17">
        <f>CHOOSE(CONTROL!$C$42, 8.5263, 8.5263)*CHOOSE(CONTROL!$C$21, $C$9, 100%, $E$9)</f>
        <v>8.5263000000000009</v>
      </c>
      <c r="G164" s="17">
        <f>CHOOSE(CONTROL!$C$42, 8.543, 8.543)*CHOOSE(CONTROL!$C$21, $C$9, 100%, $E$9)</f>
        <v>8.5429999999999993</v>
      </c>
      <c r="H164" s="17">
        <f>CHOOSE(CONTROL!$C$42, 8.8031, 8.8031) * CHOOSE(CONTROL!$C$21, $C$9, 100%, $E$9)</f>
        <v>8.8031000000000006</v>
      </c>
      <c r="I164" s="17">
        <f>CHOOSE(CONTROL!$C$42, 8.5659, 8.5659)* CHOOSE(CONTROL!$C$21, $C$9, 100%, $E$9)</f>
        <v>8.5658999999999992</v>
      </c>
      <c r="J164" s="17">
        <f>CHOOSE(CONTROL!$C$42, 8.5189, 8.5189)* CHOOSE(CONTROL!$C$21, $C$9, 100%, $E$9)</f>
        <v>8.5189000000000004</v>
      </c>
      <c r="K164" s="52">
        <f>CHOOSE(CONTROL!$C$42, 8.5599, 8.5599) * CHOOSE(CONTROL!$C$21, $C$9, 100%, $E$9)</f>
        <v>8.5599000000000007</v>
      </c>
      <c r="L164" s="17">
        <f>CHOOSE(CONTROL!$C$42, 9.3901, 9.3901) * CHOOSE(CONTROL!$C$21, $C$9, 100%, $E$9)</f>
        <v>9.3901000000000003</v>
      </c>
      <c r="M164" s="17">
        <f>CHOOSE(CONTROL!$C$42, 8.4493, 8.4493) * CHOOSE(CONTROL!$C$21, $C$9, 100%, $E$9)</f>
        <v>8.4492999999999991</v>
      </c>
      <c r="N164" s="17">
        <f>CHOOSE(CONTROL!$C$42, 8.4658, 8.4658) * CHOOSE(CONTROL!$C$21, $C$9, 100%, $E$9)</f>
        <v>8.4657999999999998</v>
      </c>
      <c r="O164" s="17">
        <f>CHOOSE(CONTROL!$C$42, 8.7309, 8.7309) * CHOOSE(CONTROL!$C$21, $C$9, 100%, $E$9)</f>
        <v>8.7309000000000001</v>
      </c>
      <c r="P164" s="17">
        <f>CHOOSE(CONTROL!$C$42, 8.4957, 8.4957) * CHOOSE(CONTROL!$C$21, $C$9, 100%, $E$9)</f>
        <v>8.4956999999999994</v>
      </c>
      <c r="Q164" s="17">
        <f>CHOOSE(CONTROL!$C$42, 9.3256, 9.3256) * CHOOSE(CONTROL!$C$21, $C$9, 100%, $E$9)</f>
        <v>9.3255999999999997</v>
      </c>
      <c r="R164" s="17">
        <f>CHOOSE(CONTROL!$C$42, 9.9359, 9.9359) * CHOOSE(CONTROL!$C$21, $C$9, 100%, $E$9)</f>
        <v>9.9359000000000002</v>
      </c>
      <c r="S164" s="17">
        <f>CHOOSE(CONTROL!$C$42, 8.246, 8.246) * CHOOSE(CONTROL!$C$21, $C$9, 100%, $E$9)</f>
        <v>8.2460000000000004</v>
      </c>
      <c r="T164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164" s="56">
        <f>(1000*CHOOSE(CONTROL!$C$42, 695, 695)*CHOOSE(CONTROL!$C$42, 0.5599, 0.5599)*CHOOSE(CONTROL!$C$42, 31, 31))/1000000</f>
        <v>12.063045499999998</v>
      </c>
      <c r="V164" s="56">
        <f>(1000*CHOOSE(CONTROL!$C$42, 500, 500)*CHOOSE(CONTROL!$C$42, 0.275, 0.275)*CHOOSE(CONTROL!$C$42, 31, 31))/1000000</f>
        <v>4.2625000000000002</v>
      </c>
      <c r="W164" s="56">
        <f>(1000*CHOOSE(CONTROL!$C$42, 0.0916, 0.0916)*CHOOSE(CONTROL!$C$42, 121.5, 121.5)*CHOOSE(CONTROL!$C$42, 31, 31))/1000000</f>
        <v>0.34501139999999997</v>
      </c>
      <c r="X164" s="56">
        <f>(31*0.1790888*145000/1000000)+(31*0.2374*100000/1000000)</f>
        <v>1.5409441560000001</v>
      </c>
      <c r="Y164" s="56"/>
      <c r="Z164" s="17"/>
      <c r="AA164" s="55"/>
      <c r="AB164" s="48">
        <f>(B164*194.205+C164*267.466+D164*133.845+E164*153.484+F164*40+G164*85+H164*0+I164*100+J164*300)/(194.205+267.466+133.845+153.484+0+40+85+100+300)</f>
        <v>8.5883736835949751</v>
      </c>
      <c r="AC164" s="45">
        <f>(M164*'RAP TEMPLATE-GAS AVAILABILITY'!O163+N164*'RAP TEMPLATE-GAS AVAILABILITY'!P163+O164*'RAP TEMPLATE-GAS AVAILABILITY'!Q163+P164*'RAP TEMPLATE-GAS AVAILABILITY'!R163)/('RAP TEMPLATE-GAS AVAILABILITY'!O163+'RAP TEMPLATE-GAS AVAILABILITY'!P163+'RAP TEMPLATE-GAS AVAILABILITY'!Q163+'RAP TEMPLATE-GAS AVAILABILITY'!R163)</f>
        <v>8.5387848920863298</v>
      </c>
    </row>
    <row r="165" spans="1:29" ht="15.75" x14ac:dyDescent="0.25">
      <c r="A165" s="16">
        <v>45536</v>
      </c>
      <c r="B165" s="17">
        <f>CHOOSE(CONTROL!$C$42, 7.992, 7.992) * CHOOSE(CONTROL!$C$21, $C$9, 100%, $E$9)</f>
        <v>7.992</v>
      </c>
      <c r="C165" s="17">
        <f>CHOOSE(CONTROL!$C$42, 7.9999, 7.9999) * CHOOSE(CONTROL!$C$21, $C$9, 100%, $E$9)</f>
        <v>7.9999000000000002</v>
      </c>
      <c r="D165" s="17">
        <f>CHOOSE(CONTROL!$C$42, 8.2599, 8.2599) * CHOOSE(CONTROL!$C$21, $C$9, 100%, $E$9)</f>
        <v>8.2599</v>
      </c>
      <c r="E165" s="17">
        <f>CHOOSE(CONTROL!$C$42, 8.2911, 8.2911) * CHOOSE(CONTROL!$C$21, $C$9, 100%, $E$9)</f>
        <v>8.2911000000000001</v>
      </c>
      <c r="F165" s="17">
        <f>CHOOSE(CONTROL!$C$42, 8.0026, 8.0026)*CHOOSE(CONTROL!$C$21, $C$9, 100%, $E$9)</f>
        <v>8.0025999999999993</v>
      </c>
      <c r="G165" s="17">
        <f>CHOOSE(CONTROL!$C$42, 8.0193, 8.0193)*CHOOSE(CONTROL!$C$21, $C$9, 100%, $E$9)</f>
        <v>8.0192999999999994</v>
      </c>
      <c r="H165" s="17">
        <f>CHOOSE(CONTROL!$C$42, 8.2794, 8.2794) * CHOOSE(CONTROL!$C$21, $C$9, 100%, $E$9)</f>
        <v>8.2794000000000008</v>
      </c>
      <c r="I165" s="17">
        <f>CHOOSE(CONTROL!$C$42, 8.0406, 8.0406)* CHOOSE(CONTROL!$C$21, $C$9, 100%, $E$9)</f>
        <v>8.0405999999999995</v>
      </c>
      <c r="J165" s="17">
        <f>CHOOSE(CONTROL!$C$42, 7.9952, 7.9952)* CHOOSE(CONTROL!$C$21, $C$9, 100%, $E$9)</f>
        <v>7.9951999999999996</v>
      </c>
      <c r="K165" s="52">
        <f>CHOOSE(CONTROL!$C$42, 8.0346, 8.0346) * CHOOSE(CONTROL!$C$21, $C$9, 100%, $E$9)</f>
        <v>8.0345999999999993</v>
      </c>
      <c r="L165" s="17">
        <f>CHOOSE(CONTROL!$C$42, 8.8664, 8.8664) * CHOOSE(CONTROL!$C$21, $C$9, 100%, $E$9)</f>
        <v>8.8664000000000005</v>
      </c>
      <c r="M165" s="17">
        <f>CHOOSE(CONTROL!$C$42, 7.9303, 7.9303) * CHOOSE(CONTROL!$C$21, $C$9, 100%, $E$9)</f>
        <v>7.9302999999999999</v>
      </c>
      <c r="N165" s="17">
        <f>CHOOSE(CONTROL!$C$42, 7.9469, 7.9469) * CHOOSE(CONTROL!$C$21, $C$9, 100%, $E$9)</f>
        <v>7.9469000000000003</v>
      </c>
      <c r="O165" s="17">
        <f>CHOOSE(CONTROL!$C$42, 8.2119, 8.2119) * CHOOSE(CONTROL!$C$21, $C$9, 100%, $E$9)</f>
        <v>8.2119</v>
      </c>
      <c r="P165" s="17">
        <f>CHOOSE(CONTROL!$C$42, 7.9751, 7.9751) * CHOOSE(CONTROL!$C$21, $C$9, 100%, $E$9)</f>
        <v>7.9751000000000003</v>
      </c>
      <c r="Q165" s="17">
        <f>CHOOSE(CONTROL!$C$42, 8.8066, 8.8066) * CHOOSE(CONTROL!$C$21, $C$9, 100%, $E$9)</f>
        <v>8.8065999999999995</v>
      </c>
      <c r="R165" s="17">
        <f>CHOOSE(CONTROL!$C$42, 9.4156, 9.4156) * CHOOSE(CONTROL!$C$21, $C$9, 100%, $E$9)</f>
        <v>9.4155999999999995</v>
      </c>
      <c r="S165" s="17">
        <f>CHOOSE(CONTROL!$C$42, 7.7382, 7.7382) * CHOOSE(CONTROL!$C$21, $C$9, 100%, $E$9)</f>
        <v>7.7382</v>
      </c>
      <c r="T165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165" s="56">
        <f>(1000*CHOOSE(CONTROL!$C$42, 695, 695)*CHOOSE(CONTROL!$C$42, 0.5599, 0.5599)*CHOOSE(CONTROL!$C$42, 30, 30))/1000000</f>
        <v>11.673914999999997</v>
      </c>
      <c r="V165" s="56">
        <f>(1000*CHOOSE(CONTROL!$C$42, 500, 500)*CHOOSE(CONTROL!$C$42, 0.275, 0.275)*CHOOSE(CONTROL!$C$42, 30, 30))/1000000</f>
        <v>4.125</v>
      </c>
      <c r="W165" s="56">
        <f>(1000*CHOOSE(CONTROL!$C$42, 0.0916, 0.0916)*CHOOSE(CONTROL!$C$42, 121.5, 121.5)*CHOOSE(CONTROL!$C$42, 30, 30))/1000000</f>
        <v>0.33388200000000001</v>
      </c>
      <c r="X165" s="56">
        <f>(30*0.1790888*145000/1000000)+(30*0.2374*100000/1000000)</f>
        <v>1.4912362799999999</v>
      </c>
      <c r="Y165" s="56"/>
      <c r="Z165" s="17"/>
      <c r="AA165" s="55"/>
      <c r="AB165" s="48">
        <f>(B165*194.205+C165*267.466+D165*133.845+E165*153.484+F165*40+G165*85+H165*0+I165*100+J165*300)/(194.205+267.466+133.845+153.484+0+40+85+100+300)</f>
        <v>8.0645601423076911</v>
      </c>
      <c r="AC165" s="45">
        <f>(M165*'RAP TEMPLATE-GAS AVAILABILITY'!O164+N165*'RAP TEMPLATE-GAS AVAILABILITY'!P164+O165*'RAP TEMPLATE-GAS AVAILABILITY'!Q164+P165*'RAP TEMPLATE-GAS AVAILABILITY'!R164)/('RAP TEMPLATE-GAS AVAILABILITY'!O164+'RAP TEMPLATE-GAS AVAILABILITY'!P164+'RAP TEMPLATE-GAS AVAILABILITY'!Q164+'RAP TEMPLATE-GAS AVAILABILITY'!R164)</f>
        <v>8.0195776978417257</v>
      </c>
    </row>
    <row r="166" spans="1:29" ht="15.75" x14ac:dyDescent="0.25">
      <c r="A166" s="16">
        <v>45566</v>
      </c>
      <c r="B166" s="17">
        <f>CHOOSE(CONTROL!$C$42, 7.8443, 7.8443) * CHOOSE(CONTROL!$C$21, $C$9, 100%, $E$9)</f>
        <v>7.8442999999999996</v>
      </c>
      <c r="C166" s="17">
        <f>CHOOSE(CONTROL!$C$42, 7.8497, 7.8497) * CHOOSE(CONTROL!$C$21, $C$9, 100%, $E$9)</f>
        <v>7.8497000000000003</v>
      </c>
      <c r="D166" s="17">
        <f>CHOOSE(CONTROL!$C$42, 8.1145, 8.1145) * CHOOSE(CONTROL!$C$21, $C$9, 100%, $E$9)</f>
        <v>8.1144999999999996</v>
      </c>
      <c r="E166" s="17">
        <f>CHOOSE(CONTROL!$C$42, 8.1433, 8.1433) * CHOOSE(CONTROL!$C$21, $C$9, 100%, $E$9)</f>
        <v>8.1433</v>
      </c>
      <c r="F166" s="17">
        <f>CHOOSE(CONTROL!$C$42, 7.8572, 7.8572)*CHOOSE(CONTROL!$C$21, $C$9, 100%, $E$9)</f>
        <v>7.8571999999999997</v>
      </c>
      <c r="G166" s="17">
        <f>CHOOSE(CONTROL!$C$42, 7.8737, 7.8737)*CHOOSE(CONTROL!$C$21, $C$9, 100%, $E$9)</f>
        <v>7.8737000000000004</v>
      </c>
      <c r="H166" s="17">
        <f>CHOOSE(CONTROL!$C$42, 8.1335, 8.1335) * CHOOSE(CONTROL!$C$21, $C$9, 100%, $E$9)</f>
        <v>8.1334999999999997</v>
      </c>
      <c r="I166" s="17">
        <f>CHOOSE(CONTROL!$C$42, 7.8942, 7.8942)* CHOOSE(CONTROL!$C$21, $C$9, 100%, $E$9)</f>
        <v>7.8941999999999997</v>
      </c>
      <c r="J166" s="17">
        <f>CHOOSE(CONTROL!$C$42, 7.8498, 7.8498)* CHOOSE(CONTROL!$C$21, $C$9, 100%, $E$9)</f>
        <v>7.8498000000000001</v>
      </c>
      <c r="K166" s="52">
        <f>CHOOSE(CONTROL!$C$42, 7.8882, 7.8882) * CHOOSE(CONTROL!$C$21, $C$9, 100%, $E$9)</f>
        <v>7.8882000000000003</v>
      </c>
      <c r="L166" s="17">
        <f>CHOOSE(CONTROL!$C$42, 8.7205, 8.7205) * CHOOSE(CONTROL!$C$21, $C$9, 100%, $E$9)</f>
        <v>8.7204999999999995</v>
      </c>
      <c r="M166" s="17">
        <f>CHOOSE(CONTROL!$C$42, 7.7862, 7.7862) * CHOOSE(CONTROL!$C$21, $C$9, 100%, $E$9)</f>
        <v>7.7862</v>
      </c>
      <c r="N166" s="17">
        <f>CHOOSE(CONTROL!$C$42, 7.8026, 7.8026) * CHOOSE(CONTROL!$C$21, $C$9, 100%, $E$9)</f>
        <v>7.8026</v>
      </c>
      <c r="O166" s="17">
        <f>CHOOSE(CONTROL!$C$42, 8.0673, 8.0673) * CHOOSE(CONTROL!$C$21, $C$9, 100%, $E$9)</f>
        <v>8.0672999999999995</v>
      </c>
      <c r="P166" s="17">
        <f>CHOOSE(CONTROL!$C$42, 7.8301, 7.8301) * CHOOSE(CONTROL!$C$21, $C$9, 100%, $E$9)</f>
        <v>7.8300999999999998</v>
      </c>
      <c r="Q166" s="17">
        <f>CHOOSE(CONTROL!$C$42, 8.662, 8.662) * CHOOSE(CONTROL!$C$21, $C$9, 100%, $E$9)</f>
        <v>8.6620000000000008</v>
      </c>
      <c r="R166" s="17">
        <f>CHOOSE(CONTROL!$C$42, 9.2707, 9.2707) * CHOOSE(CONTROL!$C$21, $C$9, 100%, $E$9)</f>
        <v>9.2706999999999997</v>
      </c>
      <c r="S166" s="17">
        <f>CHOOSE(CONTROL!$C$42, 7.5967, 7.5967) * CHOOSE(CONTROL!$C$21, $C$9, 100%, $E$9)</f>
        <v>7.5967000000000002</v>
      </c>
      <c r="T166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166" s="56">
        <f>(1000*CHOOSE(CONTROL!$C$42, 695, 695)*CHOOSE(CONTROL!$C$42, 0.5599, 0.5599)*CHOOSE(CONTROL!$C$42, 31, 31))/1000000</f>
        <v>12.063045499999998</v>
      </c>
      <c r="V166" s="56">
        <f>(1000*CHOOSE(CONTROL!$C$42, 500, 500)*CHOOSE(CONTROL!$C$42, 0.275, 0.275)*CHOOSE(CONTROL!$C$42, 31, 31))/1000000</f>
        <v>4.2625000000000002</v>
      </c>
      <c r="W166" s="56">
        <f>(1000*CHOOSE(CONTROL!$C$42, 0.0916, 0.0916)*CHOOSE(CONTROL!$C$42, 121.5, 121.5)*CHOOSE(CONTROL!$C$42, 31, 31))/1000000</f>
        <v>0.34501139999999997</v>
      </c>
      <c r="X166" s="56">
        <f>(31*0.1790888*145000/1000000)+(31*0.2374*100000/1000000)</f>
        <v>1.5409441560000001</v>
      </c>
      <c r="Y166" s="56"/>
      <c r="Z166" s="17"/>
      <c r="AA166" s="55"/>
      <c r="AB166" s="48">
        <f>(B166*131.881+C166*277.167+D166*79.08+E166*225.872+F166*40+G166*85+H166*0+I166*100+J166*300)/(131.881+277.167+79.08+225.872+0+40+85+100+300)</f>
        <v>7.9250545163841801</v>
      </c>
      <c r="AC166" s="45">
        <f>(M166*'RAP TEMPLATE-GAS AVAILABILITY'!O165+N166*'RAP TEMPLATE-GAS AVAILABILITY'!P165+O166*'RAP TEMPLATE-GAS AVAILABILITY'!Q165+P166*'RAP TEMPLATE-GAS AVAILABILITY'!R165)/('RAP TEMPLATE-GAS AVAILABILITY'!O165+'RAP TEMPLATE-GAS AVAILABILITY'!P165+'RAP TEMPLATE-GAS AVAILABILITY'!Q165+'RAP TEMPLATE-GAS AVAILABILITY'!R165)</f>
        <v>7.8751618705035975</v>
      </c>
    </row>
    <row r="167" spans="1:29" ht="15.75" x14ac:dyDescent="0.25">
      <c r="A167" s="16">
        <v>45597</v>
      </c>
      <c r="B167" s="17">
        <f>CHOOSE(CONTROL!$C$42, 8.0669, 8.0669) * CHOOSE(CONTROL!$C$21, $C$9, 100%, $E$9)</f>
        <v>8.0669000000000004</v>
      </c>
      <c r="C167" s="17">
        <f>CHOOSE(CONTROL!$C$42, 8.0719, 8.0719) * CHOOSE(CONTROL!$C$21, $C$9, 100%, $E$9)</f>
        <v>8.0718999999999994</v>
      </c>
      <c r="D167" s="17">
        <f>CHOOSE(CONTROL!$C$42, 8.2126, 8.2126) * CHOOSE(CONTROL!$C$21, $C$9, 100%, $E$9)</f>
        <v>8.2126000000000001</v>
      </c>
      <c r="E167" s="17">
        <f>CHOOSE(CONTROL!$C$42, 8.2464, 8.2464) * CHOOSE(CONTROL!$C$21, $C$9, 100%, $E$9)</f>
        <v>8.2463999999999995</v>
      </c>
      <c r="F167" s="17">
        <f>CHOOSE(CONTROL!$C$42, 8.0801, 8.0801)*CHOOSE(CONTROL!$C$21, $C$9, 100%, $E$9)</f>
        <v>8.0800999999999998</v>
      </c>
      <c r="G167" s="17">
        <f>CHOOSE(CONTROL!$C$42, 8.097, 8.097)*CHOOSE(CONTROL!$C$21, $C$9, 100%, $E$9)</f>
        <v>8.0969999999999995</v>
      </c>
      <c r="H167" s="17">
        <f>CHOOSE(CONTROL!$C$42, 8.2352, 8.2352) * CHOOSE(CONTROL!$C$21, $C$9, 100%, $E$9)</f>
        <v>8.2352000000000007</v>
      </c>
      <c r="I167" s="17">
        <f>CHOOSE(CONTROL!$C$42, 8.1142, 8.1142)* CHOOSE(CONTROL!$C$21, $C$9, 100%, $E$9)</f>
        <v>8.1142000000000003</v>
      </c>
      <c r="J167" s="17">
        <f>CHOOSE(CONTROL!$C$42, 8.0727, 8.0727)* CHOOSE(CONTROL!$C$21, $C$9, 100%, $E$9)</f>
        <v>8.0726999999999993</v>
      </c>
      <c r="K167" s="52">
        <f>CHOOSE(CONTROL!$C$42, 8.1082, 8.1082) * CHOOSE(CONTROL!$C$21, $C$9, 100%, $E$9)</f>
        <v>8.1082000000000001</v>
      </c>
      <c r="L167" s="17">
        <f>CHOOSE(CONTROL!$C$42, 8.8222, 8.8222) * CHOOSE(CONTROL!$C$21, $C$9, 100%, $E$9)</f>
        <v>8.8222000000000005</v>
      </c>
      <c r="M167" s="17">
        <f>CHOOSE(CONTROL!$C$42, 8.0071, 8.0071) * CHOOSE(CONTROL!$C$21, $C$9, 100%, $E$9)</f>
        <v>8.0070999999999994</v>
      </c>
      <c r="N167" s="17">
        <f>CHOOSE(CONTROL!$C$42, 8.0238, 8.0238) * CHOOSE(CONTROL!$C$21, $C$9, 100%, $E$9)</f>
        <v>8.0237999999999996</v>
      </c>
      <c r="O167" s="17">
        <f>CHOOSE(CONTROL!$C$42, 8.1682, 8.1682) * CHOOSE(CONTROL!$C$21, $C$9, 100%, $E$9)</f>
        <v>8.1682000000000006</v>
      </c>
      <c r="P167" s="17">
        <f>CHOOSE(CONTROL!$C$42, 8.0481, 8.0481) * CHOOSE(CONTROL!$C$21, $C$9, 100%, $E$9)</f>
        <v>8.0480999999999998</v>
      </c>
      <c r="Q167" s="17">
        <f>CHOOSE(CONTROL!$C$42, 8.7629, 8.7629) * CHOOSE(CONTROL!$C$21, $C$9, 100%, $E$9)</f>
        <v>8.7629000000000001</v>
      </c>
      <c r="R167" s="17">
        <f>CHOOSE(CONTROL!$C$42, 9.3718, 9.3718) * CHOOSE(CONTROL!$C$21, $C$9, 100%, $E$9)</f>
        <v>9.3718000000000004</v>
      </c>
      <c r="S167" s="17">
        <f>CHOOSE(CONTROL!$C$42, 7.8129, 7.8129) * CHOOSE(CONTROL!$C$21, $C$9, 100%, $E$9)</f>
        <v>7.8129</v>
      </c>
      <c r="T167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167" s="56">
        <f>(1000*CHOOSE(CONTROL!$C$42, 695, 695)*CHOOSE(CONTROL!$C$42, 0.5599, 0.5599)*CHOOSE(CONTROL!$C$42, 30, 30))/1000000</f>
        <v>11.673914999999997</v>
      </c>
      <c r="V167" s="56">
        <f>(1000*CHOOSE(CONTROL!$C$42, 500, 500)*CHOOSE(CONTROL!$C$42, 0.275, 0.275)*CHOOSE(CONTROL!$C$42, 30, 30))/1000000</f>
        <v>4.125</v>
      </c>
      <c r="W167" s="56">
        <f>(1000*CHOOSE(CONTROL!$C$42, 0.0916, 0.0916)*CHOOSE(CONTROL!$C$42, 121.5, 121.5)*CHOOSE(CONTROL!$C$42, 30, 30))/1000000</f>
        <v>0.33388200000000001</v>
      </c>
      <c r="X167" s="56">
        <f>(30*0.2374*100000/1000000)</f>
        <v>0.71220000000000006</v>
      </c>
      <c r="Y167" s="56"/>
      <c r="Z167" s="17"/>
      <c r="AA167" s="55"/>
      <c r="AB167" s="48">
        <f>(B167*122.58+C167*297.941+D167*89.177+E167*140.302+F167*40+G167*60+H167*0+I167*100+J167*300)/(122.58+297.941+89.177+140.302+0+40+60+100+300)</f>
        <v>8.1090486981739129</v>
      </c>
      <c r="AC167" s="45">
        <f>(M167*'RAP TEMPLATE-GAS AVAILABILITY'!O166+N167*'RAP TEMPLATE-GAS AVAILABILITY'!P166+O167*'RAP TEMPLATE-GAS AVAILABILITY'!Q166+P167*'RAP TEMPLATE-GAS AVAILABILITY'!R166)/('RAP TEMPLATE-GAS AVAILABILITY'!O166+'RAP TEMPLATE-GAS AVAILABILITY'!P166+'RAP TEMPLATE-GAS AVAILABILITY'!Q166+'RAP TEMPLATE-GAS AVAILABILITY'!R166)</f>
        <v>8.0869769784172671</v>
      </c>
    </row>
    <row r="168" spans="1:29" ht="15.75" x14ac:dyDescent="0.25">
      <c r="A168" s="16">
        <v>45627</v>
      </c>
      <c r="B168" s="17">
        <f>CHOOSE(CONTROL!$C$42, 8.6339, 8.6339) * CHOOSE(CONTROL!$C$21, $C$9, 100%, $E$9)</f>
        <v>8.6339000000000006</v>
      </c>
      <c r="C168" s="17">
        <f>CHOOSE(CONTROL!$C$42, 8.6389, 8.6389) * CHOOSE(CONTROL!$C$21, $C$9, 100%, $E$9)</f>
        <v>8.6388999999999996</v>
      </c>
      <c r="D168" s="17">
        <f>CHOOSE(CONTROL!$C$42, 8.7796, 8.7796) * CHOOSE(CONTROL!$C$21, $C$9, 100%, $E$9)</f>
        <v>8.7796000000000003</v>
      </c>
      <c r="E168" s="17">
        <f>CHOOSE(CONTROL!$C$42, 8.8134, 8.8134) * CHOOSE(CONTROL!$C$21, $C$9, 100%, $E$9)</f>
        <v>8.8133999999999997</v>
      </c>
      <c r="F168" s="17">
        <f>CHOOSE(CONTROL!$C$42, 8.6496, 8.6496)*CHOOSE(CONTROL!$C$21, $C$9, 100%, $E$9)</f>
        <v>8.6495999999999995</v>
      </c>
      <c r="G168" s="17">
        <f>CHOOSE(CONTROL!$C$42, 8.667, 8.667)*CHOOSE(CONTROL!$C$21, $C$9, 100%, $E$9)</f>
        <v>8.6669999999999998</v>
      </c>
      <c r="H168" s="17">
        <f>CHOOSE(CONTROL!$C$42, 8.8022, 8.8022) * CHOOSE(CONTROL!$C$21, $C$9, 100%, $E$9)</f>
        <v>8.8021999999999991</v>
      </c>
      <c r="I168" s="17">
        <f>CHOOSE(CONTROL!$C$42, 8.683, 8.683)* CHOOSE(CONTROL!$C$21, $C$9, 100%, $E$9)</f>
        <v>8.6829999999999998</v>
      </c>
      <c r="J168" s="17">
        <f>CHOOSE(CONTROL!$C$42, 8.6422, 8.6422)* CHOOSE(CONTROL!$C$21, $C$9, 100%, $E$9)</f>
        <v>8.6422000000000008</v>
      </c>
      <c r="K168" s="52">
        <f>CHOOSE(CONTROL!$C$42, 8.677, 8.677) * CHOOSE(CONTROL!$C$21, $C$9, 100%, $E$9)</f>
        <v>8.6769999999999996</v>
      </c>
      <c r="L168" s="17">
        <f>CHOOSE(CONTROL!$C$42, 9.3892, 9.3892) * CHOOSE(CONTROL!$C$21, $C$9, 100%, $E$9)</f>
        <v>9.3892000000000007</v>
      </c>
      <c r="M168" s="17">
        <f>CHOOSE(CONTROL!$C$42, 8.5714, 8.5714) * CHOOSE(CONTROL!$C$21, $C$9, 100%, $E$9)</f>
        <v>8.5714000000000006</v>
      </c>
      <c r="N168" s="17">
        <f>CHOOSE(CONTROL!$C$42, 8.5888, 8.5888) * CHOOSE(CONTROL!$C$21, $C$9, 100%, $E$9)</f>
        <v>8.5888000000000009</v>
      </c>
      <c r="O168" s="17">
        <f>CHOOSE(CONTROL!$C$42, 8.7301, 8.7301) * CHOOSE(CONTROL!$C$21, $C$9, 100%, $E$9)</f>
        <v>8.7301000000000002</v>
      </c>
      <c r="P168" s="17">
        <f>CHOOSE(CONTROL!$C$42, 8.6117, 8.6117) * CHOOSE(CONTROL!$C$21, $C$9, 100%, $E$9)</f>
        <v>8.6117000000000008</v>
      </c>
      <c r="Q168" s="17">
        <f>CHOOSE(CONTROL!$C$42, 9.3248, 9.3248) * CHOOSE(CONTROL!$C$21, $C$9, 100%, $E$9)</f>
        <v>9.3247999999999998</v>
      </c>
      <c r="R168" s="17">
        <f>CHOOSE(CONTROL!$C$42, 9.9351, 9.9351) * CHOOSE(CONTROL!$C$21, $C$9, 100%, $E$9)</f>
        <v>9.9351000000000003</v>
      </c>
      <c r="S168" s="17">
        <f>CHOOSE(CONTROL!$C$42, 8.3627, 8.3627) * CHOOSE(CONTROL!$C$21, $C$9, 100%, $E$9)</f>
        <v>8.3627000000000002</v>
      </c>
      <c r="T168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168" s="56">
        <f>(1000*CHOOSE(CONTROL!$C$42, 695, 695)*CHOOSE(CONTROL!$C$42, 0.5599, 0.5599)*CHOOSE(CONTROL!$C$42, 31, 31))/1000000</f>
        <v>12.063045499999998</v>
      </c>
      <c r="V168" s="56">
        <f>(1000*CHOOSE(CONTROL!$C$42, 500, 500)*CHOOSE(CONTROL!$C$42, 0.275, 0.275)*CHOOSE(CONTROL!$C$42, 31, 31))/1000000</f>
        <v>4.2625000000000002</v>
      </c>
      <c r="W168" s="56">
        <f>(1000*CHOOSE(CONTROL!$C$42, 0.0916, 0.0916)*CHOOSE(CONTROL!$C$42, 121.5, 121.5)*CHOOSE(CONTROL!$C$42, 31, 31))/1000000</f>
        <v>0.34501139999999997</v>
      </c>
      <c r="X168" s="56">
        <f>(31*0.2374*100000/1000000)</f>
        <v>0.73594000000000004</v>
      </c>
      <c r="Y168" s="56"/>
      <c r="Z168" s="17"/>
      <c r="AA168" s="55"/>
      <c r="AB168" s="48">
        <f>(B168*122.58+C168*297.941+D168*89.177+E168*140.302+F168*40+G168*60+H168*0+I168*100+J168*300)/(122.58+297.941+89.177+140.302+0+40+60+100+300)</f>
        <v>8.6771008720869585</v>
      </c>
      <c r="AC168" s="45">
        <f>(M168*'RAP TEMPLATE-GAS AVAILABILITY'!O167+N168*'RAP TEMPLATE-GAS AVAILABILITY'!P167+O168*'RAP TEMPLATE-GAS AVAILABILITY'!Q167+P168*'RAP TEMPLATE-GAS AVAILABILITY'!R167)/('RAP TEMPLATE-GAS AVAILABILITY'!O167+'RAP TEMPLATE-GAS AVAILABILITY'!P167+'RAP TEMPLATE-GAS AVAILABILITY'!Q167+'RAP TEMPLATE-GAS AVAILABILITY'!R167)</f>
        <v>8.6501287769784181</v>
      </c>
    </row>
    <row r="169" spans="1:29" ht="15.75" x14ac:dyDescent="0.25">
      <c r="A169" s="16">
        <v>45658</v>
      </c>
      <c r="B169" s="17">
        <f>CHOOSE(CONTROL!$C$42, 9.1708, 9.1708) * CHOOSE(CONTROL!$C$21, $C$9, 100%, $E$9)</f>
        <v>9.1707999999999998</v>
      </c>
      <c r="C169" s="17">
        <f>CHOOSE(CONTROL!$C$42, 9.1759, 9.1759) * CHOOSE(CONTROL!$C$21, $C$9, 100%, $E$9)</f>
        <v>9.1759000000000004</v>
      </c>
      <c r="D169" s="17">
        <f>CHOOSE(CONTROL!$C$42, 9.3099, 9.3099) * CHOOSE(CONTROL!$C$21, $C$9, 100%, $E$9)</f>
        <v>9.3099000000000007</v>
      </c>
      <c r="E169" s="17">
        <f>CHOOSE(CONTROL!$C$42, 9.3436, 9.3436) * CHOOSE(CONTROL!$C$21, $C$9, 100%, $E$9)</f>
        <v>9.3436000000000003</v>
      </c>
      <c r="F169" s="17">
        <f>CHOOSE(CONTROL!$C$42, 9.1843, 9.1843)*CHOOSE(CONTROL!$C$21, $C$9, 100%, $E$9)</f>
        <v>9.1843000000000004</v>
      </c>
      <c r="G169" s="17">
        <f>CHOOSE(CONTROL!$C$42, 9.2012, 9.2012)*CHOOSE(CONTROL!$C$21, $C$9, 100%, $E$9)</f>
        <v>9.2012</v>
      </c>
      <c r="H169" s="17">
        <f>CHOOSE(CONTROL!$C$42, 9.3325, 9.3325) * CHOOSE(CONTROL!$C$21, $C$9, 100%, $E$9)</f>
        <v>9.3324999999999996</v>
      </c>
      <c r="I169" s="17">
        <f>CHOOSE(CONTROL!$C$42, 9.2258, 9.2258)* CHOOSE(CONTROL!$C$21, $C$9, 100%, $E$9)</f>
        <v>9.2257999999999996</v>
      </c>
      <c r="J169" s="17">
        <f>CHOOSE(CONTROL!$C$42, 9.1769, 9.1769)* CHOOSE(CONTROL!$C$21, $C$9, 100%, $E$9)</f>
        <v>9.1768999999999998</v>
      </c>
      <c r="K169" s="52">
        <f>CHOOSE(CONTROL!$C$42, 9.2197, 9.2197) * CHOOSE(CONTROL!$C$21, $C$9, 100%, $E$9)</f>
        <v>9.2196999999999996</v>
      </c>
      <c r="L169" s="17">
        <f>CHOOSE(CONTROL!$C$42, 9.9195, 9.9195) * CHOOSE(CONTROL!$C$21, $C$9, 100%, $E$9)</f>
        <v>9.9194999999999993</v>
      </c>
      <c r="M169" s="17">
        <f>CHOOSE(CONTROL!$C$42, 9.1013, 9.1013) * CHOOSE(CONTROL!$C$21, $C$9, 100%, $E$9)</f>
        <v>9.1013000000000002</v>
      </c>
      <c r="N169" s="17">
        <f>CHOOSE(CONTROL!$C$42, 9.1181, 9.1181) * CHOOSE(CONTROL!$C$21, $C$9, 100%, $E$9)</f>
        <v>9.1181000000000001</v>
      </c>
      <c r="O169" s="17">
        <f>CHOOSE(CONTROL!$C$42, 9.2556, 9.2556) * CHOOSE(CONTROL!$C$21, $C$9, 100%, $E$9)</f>
        <v>9.2555999999999994</v>
      </c>
      <c r="P169" s="17">
        <f>CHOOSE(CONTROL!$C$42, 9.1496, 9.1496) * CHOOSE(CONTROL!$C$21, $C$9, 100%, $E$9)</f>
        <v>9.1495999999999995</v>
      </c>
      <c r="Q169" s="17">
        <f>CHOOSE(CONTROL!$C$42, 9.8503, 9.8503) * CHOOSE(CONTROL!$C$21, $C$9, 100%, $E$9)</f>
        <v>9.8503000000000007</v>
      </c>
      <c r="R169" s="17">
        <f>CHOOSE(CONTROL!$C$42, 10.4619, 10.4619) * CHOOSE(CONTROL!$C$21, $C$9, 100%, $E$9)</f>
        <v>10.4619</v>
      </c>
      <c r="S169" s="17">
        <f>CHOOSE(CONTROL!$C$42, 8.8834, 8.8834) * CHOOSE(CONTROL!$C$21, $C$9, 100%, $E$9)</f>
        <v>8.8834</v>
      </c>
      <c r="T169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169" s="56">
        <f>(1000*CHOOSE(CONTROL!$C$42, 695, 695)*CHOOSE(CONTROL!$C$42, 0.5599, 0.5599)*CHOOSE(CONTROL!$C$42, 31, 31))/1000000</f>
        <v>12.063045499999998</v>
      </c>
      <c r="V169" s="56">
        <f>(1000*CHOOSE(CONTROL!$C$42, 500, 500)*CHOOSE(CONTROL!$C$42, 0.275, 0.275)*CHOOSE(CONTROL!$C$42, 31, 31))/1000000</f>
        <v>4.2625000000000002</v>
      </c>
      <c r="W169" s="56">
        <f>(1000*CHOOSE(CONTROL!$C$42, 0.0916, 0.0916)*CHOOSE(CONTROL!$C$42, 121.5, 121.5)*CHOOSE(CONTROL!$C$42, 31, 31))/1000000</f>
        <v>0.34501139999999997</v>
      </c>
      <c r="X169" s="56">
        <f>(31*0.2374*100000/1000000)</f>
        <v>0.73594000000000004</v>
      </c>
      <c r="Y169" s="56"/>
      <c r="Z169" s="17"/>
      <c r="AA169" s="55"/>
      <c r="AB169" s="48">
        <f>(B169*122.58+C169*297.941+D169*89.177+E169*140.302+F169*40+G169*60+H169*0+I169*100+J169*300)/(122.58+297.941+89.177+140.302+0+40+60+100+300)</f>
        <v>9.2124193090434794</v>
      </c>
      <c r="AC169" s="45">
        <f>(M169*'RAP TEMPLATE-GAS AVAILABILITY'!O168+N169*'RAP TEMPLATE-GAS AVAILABILITY'!P168+O169*'RAP TEMPLATE-GAS AVAILABILITY'!Q168+P169*'RAP TEMPLATE-GAS AVAILABILITY'!R168)/('RAP TEMPLATE-GAS AVAILABILITY'!O168+'RAP TEMPLATE-GAS AVAILABILITY'!P168+'RAP TEMPLATE-GAS AVAILABILITY'!Q168+'RAP TEMPLATE-GAS AVAILABILITY'!R168)</f>
        <v>9.1791510791366893</v>
      </c>
    </row>
    <row r="170" spans="1:29" ht="15.75" x14ac:dyDescent="0.25">
      <c r="A170" s="16">
        <v>45689</v>
      </c>
      <c r="B170" s="17">
        <f>CHOOSE(CONTROL!$C$42, 9.3531, 9.3531) * CHOOSE(CONTROL!$C$21, $C$9, 100%, $E$9)</f>
        <v>9.3530999999999995</v>
      </c>
      <c r="C170" s="17">
        <f>CHOOSE(CONTROL!$C$42, 9.3582, 9.3582) * CHOOSE(CONTROL!$C$21, $C$9, 100%, $E$9)</f>
        <v>9.3582000000000001</v>
      </c>
      <c r="D170" s="17">
        <f>CHOOSE(CONTROL!$C$42, 9.4921, 9.4921) * CHOOSE(CONTROL!$C$21, $C$9, 100%, $E$9)</f>
        <v>9.4921000000000006</v>
      </c>
      <c r="E170" s="17">
        <f>CHOOSE(CONTROL!$C$42, 9.5259, 9.5259) * CHOOSE(CONTROL!$C$21, $C$9, 100%, $E$9)</f>
        <v>9.5259</v>
      </c>
      <c r="F170" s="17">
        <f>CHOOSE(CONTROL!$C$42, 9.3665, 9.3665)*CHOOSE(CONTROL!$C$21, $C$9, 100%, $E$9)</f>
        <v>9.3665000000000003</v>
      </c>
      <c r="G170" s="17">
        <f>CHOOSE(CONTROL!$C$42, 9.3834, 9.3834)*CHOOSE(CONTROL!$C$21, $C$9, 100%, $E$9)</f>
        <v>9.3834</v>
      </c>
      <c r="H170" s="17">
        <f>CHOOSE(CONTROL!$C$42, 9.5148, 9.5148) * CHOOSE(CONTROL!$C$21, $C$9, 100%, $E$9)</f>
        <v>9.5147999999999993</v>
      </c>
      <c r="I170" s="17">
        <f>CHOOSE(CONTROL!$C$42, 9.4086, 9.4086)* CHOOSE(CONTROL!$C$21, $C$9, 100%, $E$9)</f>
        <v>9.4085999999999999</v>
      </c>
      <c r="J170" s="17">
        <f>CHOOSE(CONTROL!$C$42, 9.3591, 9.3591)* CHOOSE(CONTROL!$C$21, $C$9, 100%, $E$9)</f>
        <v>9.3590999999999998</v>
      </c>
      <c r="K170" s="52">
        <f>CHOOSE(CONTROL!$C$42, 9.4026, 9.4026) * CHOOSE(CONTROL!$C$21, $C$9, 100%, $E$9)</f>
        <v>9.4025999999999996</v>
      </c>
      <c r="L170" s="17">
        <f>CHOOSE(CONTROL!$C$42, 10.1018, 10.1018) * CHOOSE(CONTROL!$C$21, $C$9, 100%, $E$9)</f>
        <v>10.101800000000001</v>
      </c>
      <c r="M170" s="17">
        <f>CHOOSE(CONTROL!$C$42, 9.2819, 9.2819) * CHOOSE(CONTROL!$C$21, $C$9, 100%, $E$9)</f>
        <v>9.2819000000000003</v>
      </c>
      <c r="N170" s="17">
        <f>CHOOSE(CONTROL!$C$42, 9.2987, 9.2987) * CHOOSE(CONTROL!$C$21, $C$9, 100%, $E$9)</f>
        <v>9.2987000000000002</v>
      </c>
      <c r="O170" s="17">
        <f>CHOOSE(CONTROL!$C$42, 9.4362, 9.4362) * CHOOSE(CONTROL!$C$21, $C$9, 100%, $E$9)</f>
        <v>9.4361999999999995</v>
      </c>
      <c r="P170" s="17">
        <f>CHOOSE(CONTROL!$C$42, 9.3308, 9.3308) * CHOOSE(CONTROL!$C$21, $C$9, 100%, $E$9)</f>
        <v>9.3308</v>
      </c>
      <c r="Q170" s="17">
        <f>CHOOSE(CONTROL!$C$42, 10.0309, 10.0309) * CHOOSE(CONTROL!$C$21, $C$9, 100%, $E$9)</f>
        <v>10.030900000000001</v>
      </c>
      <c r="R170" s="17">
        <f>CHOOSE(CONTROL!$C$42, 10.643, 10.643) * CHOOSE(CONTROL!$C$21, $C$9, 100%, $E$9)</f>
        <v>10.643000000000001</v>
      </c>
      <c r="S170" s="17">
        <f>CHOOSE(CONTROL!$C$42, 9.0602, 9.0602) * CHOOSE(CONTROL!$C$21, $C$9, 100%, $E$9)</f>
        <v>9.0602</v>
      </c>
      <c r="T170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170" s="56">
        <f>(1000*CHOOSE(CONTROL!$C$42, 695, 695)*CHOOSE(CONTROL!$C$42, 0.5599, 0.5599)*CHOOSE(CONTROL!$C$42, 28, 28))/1000000</f>
        <v>10.895653999999999</v>
      </c>
      <c r="V170" s="56">
        <f>(1000*CHOOSE(CONTROL!$C$42, 500, 500)*CHOOSE(CONTROL!$C$42, 0.275, 0.275)*CHOOSE(CONTROL!$C$42, 28, 28))/1000000</f>
        <v>3.85</v>
      </c>
      <c r="W170" s="56">
        <f>(1000*CHOOSE(CONTROL!$C$42, 0.0916, 0.0916)*CHOOSE(CONTROL!$C$42, 121.5, 121.5)*CHOOSE(CONTROL!$C$42, 28, 28))/1000000</f>
        <v>0.31162319999999999</v>
      </c>
      <c r="X170" s="56">
        <f>(28*0.2374*100000/1000000)</f>
        <v>0.66471999999999998</v>
      </c>
      <c r="Y170" s="56"/>
      <c r="Z170" s="17"/>
      <c r="AA170" s="55"/>
      <c r="AB170" s="48">
        <f>(B170*122.58+C170*297.941+D170*89.177+E170*140.302+F170*40+G170*60+H170*0+I170*100+J170*300)/(122.58+297.941+89.177+140.302+0+40+60+100+300)</f>
        <v>9.3947202501739113</v>
      </c>
      <c r="AC170" s="45">
        <f>(M170*'RAP TEMPLATE-GAS AVAILABILITY'!O169+N170*'RAP TEMPLATE-GAS AVAILABILITY'!P169+O170*'RAP TEMPLATE-GAS AVAILABILITY'!Q169+P170*'RAP TEMPLATE-GAS AVAILABILITY'!R169)/('RAP TEMPLATE-GAS AVAILABILITY'!O169+'RAP TEMPLATE-GAS AVAILABILITY'!P169+'RAP TEMPLATE-GAS AVAILABILITY'!Q169+'RAP TEMPLATE-GAS AVAILABILITY'!R169)</f>
        <v>9.3598374100719415</v>
      </c>
    </row>
    <row r="171" spans="1:29" ht="15.75" x14ac:dyDescent="0.25">
      <c r="A171" s="16">
        <v>45717</v>
      </c>
      <c r="B171" s="17">
        <f>CHOOSE(CONTROL!$C$42, 9.1065, 9.1065) * CHOOSE(CONTROL!$C$21, $C$9, 100%, $E$9)</f>
        <v>9.1065000000000005</v>
      </c>
      <c r="C171" s="17">
        <f>CHOOSE(CONTROL!$C$42, 9.1116, 9.1116) * CHOOSE(CONTROL!$C$21, $C$9, 100%, $E$9)</f>
        <v>9.1115999999999993</v>
      </c>
      <c r="D171" s="17">
        <f>CHOOSE(CONTROL!$C$42, 9.2456, 9.2456) * CHOOSE(CONTROL!$C$21, $C$9, 100%, $E$9)</f>
        <v>9.2455999999999996</v>
      </c>
      <c r="E171" s="17">
        <f>CHOOSE(CONTROL!$C$42, 9.2793, 9.2793) * CHOOSE(CONTROL!$C$21, $C$9, 100%, $E$9)</f>
        <v>9.2792999999999992</v>
      </c>
      <c r="F171" s="17">
        <f>CHOOSE(CONTROL!$C$42, 9.1192, 9.1192)*CHOOSE(CONTROL!$C$21, $C$9, 100%, $E$9)</f>
        <v>9.1191999999999993</v>
      </c>
      <c r="G171" s="17">
        <f>CHOOSE(CONTROL!$C$42, 9.1359, 9.1359)*CHOOSE(CONTROL!$C$21, $C$9, 100%, $E$9)</f>
        <v>9.1358999999999995</v>
      </c>
      <c r="H171" s="17">
        <f>CHOOSE(CONTROL!$C$42, 9.2682, 9.2682) * CHOOSE(CONTROL!$C$21, $C$9, 100%, $E$9)</f>
        <v>9.2682000000000002</v>
      </c>
      <c r="I171" s="17">
        <f>CHOOSE(CONTROL!$C$42, 9.1613, 9.1613)* CHOOSE(CONTROL!$C$21, $C$9, 100%, $E$9)</f>
        <v>9.1613000000000007</v>
      </c>
      <c r="J171" s="17">
        <f>CHOOSE(CONTROL!$C$42, 9.1118, 9.1118)* CHOOSE(CONTROL!$C$21, $C$9, 100%, $E$9)</f>
        <v>9.1118000000000006</v>
      </c>
      <c r="K171" s="52">
        <f>CHOOSE(CONTROL!$C$42, 9.1553, 9.1553) * CHOOSE(CONTROL!$C$21, $C$9, 100%, $E$9)</f>
        <v>9.1553000000000004</v>
      </c>
      <c r="L171" s="17">
        <f>CHOOSE(CONTROL!$C$42, 9.8552, 9.8552) * CHOOSE(CONTROL!$C$21, $C$9, 100%, $E$9)</f>
        <v>9.8552</v>
      </c>
      <c r="M171" s="17">
        <f>CHOOSE(CONTROL!$C$42, 9.0369, 9.0369) * CHOOSE(CONTROL!$C$21, $C$9, 100%, $E$9)</f>
        <v>9.0368999999999993</v>
      </c>
      <c r="N171" s="17">
        <f>CHOOSE(CONTROL!$C$42, 9.0534, 9.0534) * CHOOSE(CONTROL!$C$21, $C$9, 100%, $E$9)</f>
        <v>9.0533999999999999</v>
      </c>
      <c r="O171" s="17">
        <f>CHOOSE(CONTROL!$C$42, 9.1919, 9.1919) * CHOOSE(CONTROL!$C$21, $C$9, 100%, $E$9)</f>
        <v>9.1919000000000004</v>
      </c>
      <c r="P171" s="17">
        <f>CHOOSE(CONTROL!$C$42, 9.0857, 9.0857) * CHOOSE(CONTROL!$C$21, $C$9, 100%, $E$9)</f>
        <v>9.0856999999999992</v>
      </c>
      <c r="Q171" s="17">
        <f>CHOOSE(CONTROL!$C$42, 9.7866, 9.7866) * CHOOSE(CONTROL!$C$21, $C$9, 100%, $E$9)</f>
        <v>9.7866</v>
      </c>
      <c r="R171" s="17">
        <f>CHOOSE(CONTROL!$C$42, 10.398, 10.398) * CHOOSE(CONTROL!$C$21, $C$9, 100%, $E$9)</f>
        <v>10.398</v>
      </c>
      <c r="S171" s="17">
        <f>CHOOSE(CONTROL!$C$42, 8.8211, 8.8211) * CHOOSE(CONTROL!$C$21, $C$9, 100%, $E$9)</f>
        <v>8.8210999999999995</v>
      </c>
      <c r="T171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171" s="56">
        <f>(1000*CHOOSE(CONTROL!$C$42, 695, 695)*CHOOSE(CONTROL!$C$42, 0.5599, 0.5599)*CHOOSE(CONTROL!$C$42, 31, 31))/1000000</f>
        <v>12.063045499999998</v>
      </c>
      <c r="V171" s="56">
        <f>(1000*CHOOSE(CONTROL!$C$42, 500, 500)*CHOOSE(CONTROL!$C$42, 0.275, 0.275)*CHOOSE(CONTROL!$C$42, 31, 31))/1000000</f>
        <v>4.2625000000000002</v>
      </c>
      <c r="W171" s="56">
        <f>(1000*CHOOSE(CONTROL!$C$42, 0.0916, 0.0916)*CHOOSE(CONTROL!$C$42, 121.5, 121.5)*CHOOSE(CONTROL!$C$42, 31, 31))/1000000</f>
        <v>0.34501139999999997</v>
      </c>
      <c r="X171" s="56">
        <f>(31*0.2374*100000/1000000)</f>
        <v>0.73594000000000004</v>
      </c>
      <c r="Y171" s="56"/>
      <c r="Z171" s="17"/>
      <c r="AA171" s="55"/>
      <c r="AB171" s="48">
        <f>(B171*122.58+C171*297.941+D171*89.177+E171*140.302+F171*40+G171*60+H171*0+I171*100+J171*300)/(122.58+297.941+89.177+140.302+0+40+60+100+300)</f>
        <v>9.1478132220869561</v>
      </c>
      <c r="AC171" s="45">
        <f>(M171*'RAP TEMPLATE-GAS AVAILABILITY'!O170+N171*'RAP TEMPLATE-GAS AVAILABILITY'!P170+O171*'RAP TEMPLATE-GAS AVAILABILITY'!Q170+P171*'RAP TEMPLATE-GAS AVAILABILITY'!R170)/('RAP TEMPLATE-GAS AVAILABILITY'!O170+'RAP TEMPLATE-GAS AVAILABILITY'!P170+'RAP TEMPLATE-GAS AVAILABILITY'!Q170+'RAP TEMPLATE-GAS AVAILABILITY'!R170)</f>
        <v>9.1151230215827326</v>
      </c>
    </row>
    <row r="172" spans="1:29" ht="15.75" x14ac:dyDescent="0.25">
      <c r="A172" s="16">
        <v>45748</v>
      </c>
      <c r="B172" s="17">
        <f>CHOOSE(CONTROL!$C$42, 9.099, 9.099) * CHOOSE(CONTROL!$C$21, $C$9, 100%, $E$9)</f>
        <v>9.0990000000000002</v>
      </c>
      <c r="C172" s="17">
        <f>CHOOSE(CONTROL!$C$42, 9.1035, 9.1035) * CHOOSE(CONTROL!$C$21, $C$9, 100%, $E$9)</f>
        <v>9.1035000000000004</v>
      </c>
      <c r="D172" s="17">
        <f>CHOOSE(CONTROL!$C$42, 9.3666, 9.3666) * CHOOSE(CONTROL!$C$21, $C$9, 100%, $E$9)</f>
        <v>9.3666</v>
      </c>
      <c r="E172" s="17">
        <f>CHOOSE(CONTROL!$C$42, 9.3984, 9.3984) * CHOOSE(CONTROL!$C$21, $C$9, 100%, $E$9)</f>
        <v>9.3984000000000005</v>
      </c>
      <c r="F172" s="17">
        <f>CHOOSE(CONTROL!$C$42, 9.11, 9.11)*CHOOSE(CONTROL!$C$21, $C$9, 100%, $E$9)</f>
        <v>9.11</v>
      </c>
      <c r="G172" s="17">
        <f>CHOOSE(CONTROL!$C$42, 9.1261, 9.1261)*CHOOSE(CONTROL!$C$21, $C$9, 100%, $E$9)</f>
        <v>9.1260999999999992</v>
      </c>
      <c r="H172" s="17">
        <f>CHOOSE(CONTROL!$C$42, 9.3878, 9.3878) * CHOOSE(CONTROL!$C$21, $C$9, 100%, $E$9)</f>
        <v>9.3878000000000004</v>
      </c>
      <c r="I172" s="17">
        <f>CHOOSE(CONTROL!$C$42, 9.1525, 9.1525)* CHOOSE(CONTROL!$C$21, $C$9, 100%, $E$9)</f>
        <v>9.1524999999999999</v>
      </c>
      <c r="J172" s="17">
        <f>CHOOSE(CONTROL!$C$42, 9.1026, 9.1026)* CHOOSE(CONTROL!$C$21, $C$9, 100%, $E$9)</f>
        <v>9.1026000000000007</v>
      </c>
      <c r="K172" s="52">
        <f>CHOOSE(CONTROL!$C$42, 9.1464, 9.1464) * CHOOSE(CONTROL!$C$21, $C$9, 100%, $E$9)</f>
        <v>9.1463999999999999</v>
      </c>
      <c r="L172" s="17">
        <f>CHOOSE(CONTROL!$C$42, 9.9748, 9.9748) * CHOOSE(CONTROL!$C$21, $C$9, 100%, $E$9)</f>
        <v>9.9748000000000001</v>
      </c>
      <c r="M172" s="17">
        <f>CHOOSE(CONTROL!$C$42, 9.0277, 9.0277) * CHOOSE(CONTROL!$C$21, $C$9, 100%, $E$9)</f>
        <v>9.0276999999999994</v>
      </c>
      <c r="N172" s="17">
        <f>CHOOSE(CONTROL!$C$42, 9.0437, 9.0437) * CHOOSE(CONTROL!$C$21, $C$9, 100%, $E$9)</f>
        <v>9.0436999999999994</v>
      </c>
      <c r="O172" s="17">
        <f>CHOOSE(CONTROL!$C$42, 9.3104, 9.3104) * CHOOSE(CONTROL!$C$21, $C$9, 100%, $E$9)</f>
        <v>9.3103999999999996</v>
      </c>
      <c r="P172" s="17">
        <f>CHOOSE(CONTROL!$C$42, 9.077, 9.077) * CHOOSE(CONTROL!$C$21, $C$9, 100%, $E$9)</f>
        <v>9.077</v>
      </c>
      <c r="Q172" s="17">
        <f>CHOOSE(CONTROL!$C$42, 9.9051, 9.9051) * CHOOSE(CONTROL!$C$21, $C$9, 100%, $E$9)</f>
        <v>9.9050999999999991</v>
      </c>
      <c r="R172" s="17">
        <f>CHOOSE(CONTROL!$C$42, 10.5169, 10.5169) * CHOOSE(CONTROL!$C$21, $C$9, 100%, $E$9)</f>
        <v>10.5169</v>
      </c>
      <c r="S172" s="17">
        <f>CHOOSE(CONTROL!$C$42, 8.8131, 8.8131) * CHOOSE(CONTROL!$C$21, $C$9, 100%, $E$9)</f>
        <v>8.8131000000000004</v>
      </c>
      <c r="T172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172" s="56">
        <f>(1000*CHOOSE(CONTROL!$C$42, 695, 695)*CHOOSE(CONTROL!$C$42, 0.5599, 0.5599)*CHOOSE(CONTROL!$C$42, 30, 30))/1000000</f>
        <v>11.673914999999997</v>
      </c>
      <c r="V172" s="56">
        <f>(1000*CHOOSE(CONTROL!$C$42, 500, 500)*CHOOSE(CONTROL!$C$42, 0.275, 0.275)*CHOOSE(CONTROL!$C$42, 30, 30))/1000000</f>
        <v>4.125</v>
      </c>
      <c r="W172" s="56">
        <f>(1000*CHOOSE(CONTROL!$C$42, 0.0916, 0.0916)*CHOOSE(CONTROL!$C$42, 121.5, 121.5)*CHOOSE(CONTROL!$C$42, 30, 30))/1000000</f>
        <v>0.33388200000000001</v>
      </c>
      <c r="X172" s="56">
        <f>(30*0.1790888*145000/1000000)+(30*0.2374*100000/1000000)</f>
        <v>1.4912362799999999</v>
      </c>
      <c r="Y172" s="56"/>
      <c r="Z172" s="17"/>
      <c r="AA172" s="55"/>
      <c r="AB172" s="48">
        <f>(B172*141.293+C172*267.993+D172*115.016+E172*189.698+F172*40+G172*85+H172*0+I172*100+J172*300)/(141.293+267.993+115.016+189.698+0+40+85+100+300)</f>
        <v>9.1780583787732049</v>
      </c>
      <c r="AC172" s="45">
        <f>(M172*'RAP TEMPLATE-GAS AVAILABILITY'!O171+N172*'RAP TEMPLATE-GAS AVAILABILITY'!P171+O172*'RAP TEMPLATE-GAS AVAILABILITY'!Q171+P172*'RAP TEMPLATE-GAS AVAILABILITY'!R171)/('RAP TEMPLATE-GAS AVAILABILITY'!O171+'RAP TEMPLATE-GAS AVAILABILITY'!P171+'RAP TEMPLATE-GAS AVAILABILITY'!Q171+'RAP TEMPLATE-GAS AVAILABILITY'!R171)</f>
        <v>9.1177956834532363</v>
      </c>
    </row>
    <row r="173" spans="1:29" ht="15.75" x14ac:dyDescent="0.25">
      <c r="A173" s="16">
        <v>45778</v>
      </c>
      <c r="B173" s="17">
        <f>CHOOSE(CONTROL!$C$42, 9.1995, 9.1995) * CHOOSE(CONTROL!$C$21, $C$9, 100%, $E$9)</f>
        <v>9.1995000000000005</v>
      </c>
      <c r="C173" s="17">
        <f>CHOOSE(CONTROL!$C$42, 9.2075, 9.2075) * CHOOSE(CONTROL!$C$21, $C$9, 100%, $E$9)</f>
        <v>9.2074999999999996</v>
      </c>
      <c r="D173" s="17">
        <f>CHOOSE(CONTROL!$C$42, 9.4674, 9.4674) * CHOOSE(CONTROL!$C$21, $C$9, 100%, $E$9)</f>
        <v>9.4673999999999996</v>
      </c>
      <c r="E173" s="17">
        <f>CHOOSE(CONTROL!$C$42, 9.4986, 9.4986) * CHOOSE(CONTROL!$C$21, $C$9, 100%, $E$9)</f>
        <v>9.4985999999999997</v>
      </c>
      <c r="F173" s="17">
        <f>CHOOSE(CONTROL!$C$42, 9.2092, 9.2092)*CHOOSE(CONTROL!$C$21, $C$9, 100%, $E$9)</f>
        <v>9.2091999999999992</v>
      </c>
      <c r="G173" s="17">
        <f>CHOOSE(CONTROL!$C$42, 9.2256, 9.2256)*CHOOSE(CONTROL!$C$21, $C$9, 100%, $E$9)</f>
        <v>9.2256</v>
      </c>
      <c r="H173" s="17">
        <f>CHOOSE(CONTROL!$C$42, 9.4869, 9.4869) * CHOOSE(CONTROL!$C$21, $C$9, 100%, $E$9)</f>
        <v>9.4869000000000003</v>
      </c>
      <c r="I173" s="17">
        <f>CHOOSE(CONTROL!$C$42, 9.2519, 9.2519)* CHOOSE(CONTROL!$C$21, $C$9, 100%, $E$9)</f>
        <v>9.2518999999999991</v>
      </c>
      <c r="J173" s="17">
        <f>CHOOSE(CONTROL!$C$42, 9.2018, 9.2018)* CHOOSE(CONTROL!$C$21, $C$9, 100%, $E$9)</f>
        <v>9.2018000000000004</v>
      </c>
      <c r="K173" s="52">
        <f>CHOOSE(CONTROL!$C$42, 9.2458, 9.2458) * CHOOSE(CONTROL!$C$21, $C$9, 100%, $E$9)</f>
        <v>9.2457999999999991</v>
      </c>
      <c r="L173" s="17">
        <f>CHOOSE(CONTROL!$C$42, 10.0739, 10.0739) * CHOOSE(CONTROL!$C$21, $C$9, 100%, $E$9)</f>
        <v>10.0739</v>
      </c>
      <c r="M173" s="17">
        <f>CHOOSE(CONTROL!$C$42, 9.126, 9.126) * CHOOSE(CONTROL!$C$21, $C$9, 100%, $E$9)</f>
        <v>9.1259999999999994</v>
      </c>
      <c r="N173" s="17">
        <f>CHOOSE(CONTROL!$C$42, 9.1423, 9.1423) * CHOOSE(CONTROL!$C$21, $C$9, 100%, $E$9)</f>
        <v>9.1423000000000005</v>
      </c>
      <c r="O173" s="17">
        <f>CHOOSE(CONTROL!$C$42, 9.4086, 9.4086) * CHOOSE(CONTROL!$C$21, $C$9, 100%, $E$9)</f>
        <v>9.4085999999999999</v>
      </c>
      <c r="P173" s="17">
        <f>CHOOSE(CONTROL!$C$42, 9.1755, 9.1755) * CHOOSE(CONTROL!$C$21, $C$9, 100%, $E$9)</f>
        <v>9.1754999999999995</v>
      </c>
      <c r="Q173" s="17">
        <f>CHOOSE(CONTROL!$C$42, 10.0033, 10.0033) * CHOOSE(CONTROL!$C$21, $C$9, 100%, $E$9)</f>
        <v>10.003299999999999</v>
      </c>
      <c r="R173" s="17">
        <f>CHOOSE(CONTROL!$C$42, 10.6153, 10.6153) * CHOOSE(CONTROL!$C$21, $C$9, 100%, $E$9)</f>
        <v>10.6153</v>
      </c>
      <c r="S173" s="17">
        <f>CHOOSE(CONTROL!$C$42, 8.9092, 8.9092) * CHOOSE(CONTROL!$C$21, $C$9, 100%, $E$9)</f>
        <v>8.9092000000000002</v>
      </c>
      <c r="T173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173" s="56">
        <f>(1000*CHOOSE(CONTROL!$C$42, 695, 695)*CHOOSE(CONTROL!$C$42, 0.5599, 0.5599)*CHOOSE(CONTROL!$C$42, 31, 31))/1000000</f>
        <v>12.063045499999998</v>
      </c>
      <c r="V173" s="56">
        <f>(1000*CHOOSE(CONTROL!$C$42, 500, 500)*CHOOSE(CONTROL!$C$42, 0.275, 0.275)*CHOOSE(CONTROL!$C$42, 31, 31))/1000000</f>
        <v>4.2625000000000002</v>
      </c>
      <c r="W173" s="56">
        <f>(1000*CHOOSE(CONTROL!$C$42, 0.0916, 0.0916)*CHOOSE(CONTROL!$C$42, 121.5, 121.5)*CHOOSE(CONTROL!$C$42, 31, 31))/1000000</f>
        <v>0.34501139999999997</v>
      </c>
      <c r="X173" s="56">
        <f>(31*0.1790888*145000/1000000)+(31*0.2374*100000/1000000)</f>
        <v>1.5409441560000001</v>
      </c>
      <c r="Y173" s="56"/>
      <c r="Z173" s="17"/>
      <c r="AA173" s="55"/>
      <c r="AB173" s="48">
        <f>(B173*194.205+C173*267.466+D173*133.845+E173*153.484+F173*40+G173*85+H173*0+I173*100+J173*300)/(194.205+267.466+133.845+153.484+0+40+85+100+300)</f>
        <v>9.2720591584772372</v>
      </c>
      <c r="AC173" s="45">
        <f>(M173*'RAP TEMPLATE-GAS AVAILABILITY'!O172+N173*'RAP TEMPLATE-GAS AVAILABILITY'!P172+O173*'RAP TEMPLATE-GAS AVAILABILITY'!Q172+P173*'RAP TEMPLATE-GAS AVAILABILITY'!R172)/('RAP TEMPLATE-GAS AVAILABILITY'!O172+'RAP TEMPLATE-GAS AVAILABILITY'!P172+'RAP TEMPLATE-GAS AVAILABILITY'!Q172+'RAP TEMPLATE-GAS AVAILABILITY'!R172)</f>
        <v>9.2161654676258991</v>
      </c>
    </row>
    <row r="174" spans="1:29" ht="15.75" x14ac:dyDescent="0.25">
      <c r="A174" s="16">
        <v>45809</v>
      </c>
      <c r="B174" s="17">
        <f>CHOOSE(CONTROL!$C$42, 9.4795, 9.4795) * CHOOSE(CONTROL!$C$21, $C$9, 100%, $E$9)</f>
        <v>9.4794999999999998</v>
      </c>
      <c r="C174" s="17">
        <f>CHOOSE(CONTROL!$C$42, 9.4875, 9.4875) * CHOOSE(CONTROL!$C$21, $C$9, 100%, $E$9)</f>
        <v>9.4875000000000007</v>
      </c>
      <c r="D174" s="17">
        <f>CHOOSE(CONTROL!$C$42, 9.7475, 9.7475) * CHOOSE(CONTROL!$C$21, $C$9, 100%, $E$9)</f>
        <v>9.7475000000000005</v>
      </c>
      <c r="E174" s="17">
        <f>CHOOSE(CONTROL!$C$42, 9.7786, 9.7786) * CHOOSE(CONTROL!$C$21, $C$9, 100%, $E$9)</f>
        <v>9.7786000000000008</v>
      </c>
      <c r="F174" s="17">
        <f>CHOOSE(CONTROL!$C$42, 9.4895, 9.4895)*CHOOSE(CONTROL!$C$21, $C$9, 100%, $E$9)</f>
        <v>9.4894999999999996</v>
      </c>
      <c r="G174" s="17">
        <f>CHOOSE(CONTROL!$C$42, 9.506, 9.506)*CHOOSE(CONTROL!$C$21, $C$9, 100%, $E$9)</f>
        <v>9.5060000000000002</v>
      </c>
      <c r="H174" s="17">
        <f>CHOOSE(CONTROL!$C$42, 9.767, 9.767) * CHOOSE(CONTROL!$C$21, $C$9, 100%, $E$9)</f>
        <v>9.7669999999999995</v>
      </c>
      <c r="I174" s="17">
        <f>CHOOSE(CONTROL!$C$42, 9.5328, 9.5328)* CHOOSE(CONTROL!$C$21, $C$9, 100%, $E$9)</f>
        <v>9.5327999999999999</v>
      </c>
      <c r="J174" s="17">
        <f>CHOOSE(CONTROL!$C$42, 9.4821, 9.4821)* CHOOSE(CONTROL!$C$21, $C$9, 100%, $E$9)</f>
        <v>9.4821000000000009</v>
      </c>
      <c r="K174" s="52">
        <f>CHOOSE(CONTROL!$C$42, 9.5268, 9.5268) * CHOOSE(CONTROL!$C$21, $C$9, 100%, $E$9)</f>
        <v>9.5267999999999997</v>
      </c>
      <c r="L174" s="17">
        <f>CHOOSE(CONTROL!$C$42, 10.354, 10.354) * CHOOSE(CONTROL!$C$21, $C$9, 100%, $E$9)</f>
        <v>10.353999999999999</v>
      </c>
      <c r="M174" s="17">
        <f>CHOOSE(CONTROL!$C$42, 9.4038, 9.4038) * CHOOSE(CONTROL!$C$21, $C$9, 100%, $E$9)</f>
        <v>9.4038000000000004</v>
      </c>
      <c r="N174" s="17">
        <f>CHOOSE(CONTROL!$C$42, 9.4202, 9.4202) * CHOOSE(CONTROL!$C$21, $C$9, 100%, $E$9)</f>
        <v>9.4201999999999995</v>
      </c>
      <c r="O174" s="17">
        <f>CHOOSE(CONTROL!$C$42, 9.6861, 9.6861) * CHOOSE(CONTROL!$C$21, $C$9, 100%, $E$9)</f>
        <v>9.6860999999999997</v>
      </c>
      <c r="P174" s="17">
        <f>CHOOSE(CONTROL!$C$42, 9.4539, 9.4539) * CHOOSE(CONTROL!$C$21, $C$9, 100%, $E$9)</f>
        <v>9.4539000000000009</v>
      </c>
      <c r="Q174" s="17">
        <f>CHOOSE(CONTROL!$C$42, 10.2808, 10.2808) * CHOOSE(CONTROL!$C$21, $C$9, 100%, $E$9)</f>
        <v>10.280799999999999</v>
      </c>
      <c r="R174" s="17">
        <f>CHOOSE(CONTROL!$C$42, 10.8935, 10.8935) * CHOOSE(CONTROL!$C$21, $C$9, 100%, $E$9)</f>
        <v>10.8935</v>
      </c>
      <c r="S174" s="17">
        <f>CHOOSE(CONTROL!$C$42, 9.1807, 9.1807) * CHOOSE(CONTROL!$C$21, $C$9, 100%, $E$9)</f>
        <v>9.1806999999999999</v>
      </c>
      <c r="T174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174" s="56">
        <f>(1000*CHOOSE(CONTROL!$C$42, 695, 695)*CHOOSE(CONTROL!$C$42, 0.5599, 0.5599)*CHOOSE(CONTROL!$C$42, 30, 30))/1000000</f>
        <v>11.673914999999997</v>
      </c>
      <c r="V174" s="56">
        <f>(1000*CHOOSE(CONTROL!$C$42, 500, 500)*CHOOSE(CONTROL!$C$42, 0.275, 0.275)*CHOOSE(CONTROL!$C$42, 30, 30))/1000000</f>
        <v>4.125</v>
      </c>
      <c r="W174" s="56">
        <f>(1000*CHOOSE(CONTROL!$C$42, 0.0916, 0.0916)*CHOOSE(CONTROL!$C$42, 121.5, 121.5)*CHOOSE(CONTROL!$C$42, 30, 30))/1000000</f>
        <v>0.33388200000000001</v>
      </c>
      <c r="X174" s="56">
        <f>(30*0.1790888*145000/1000000)+(30*0.2374*100000/1000000)</f>
        <v>1.4912362799999999</v>
      </c>
      <c r="Y174" s="56"/>
      <c r="Z174" s="17"/>
      <c r="AA174" s="55"/>
      <c r="AB174" s="48">
        <f>(B174*194.205+C174*267.466+D174*133.845+E174*153.484+F174*40+G174*85+H174*0+I174*100+J174*300)/(194.205+267.466+133.845+153.484+0+40+85+100+300)</f>
        <v>9.5522470583987449</v>
      </c>
      <c r="AC174" s="45">
        <f>(M174*'RAP TEMPLATE-GAS AVAILABILITY'!O173+N174*'RAP TEMPLATE-GAS AVAILABILITY'!P173+O174*'RAP TEMPLATE-GAS AVAILABILITY'!Q173+P174*'RAP TEMPLATE-GAS AVAILABILITY'!R173)/('RAP TEMPLATE-GAS AVAILABILITY'!O173+'RAP TEMPLATE-GAS AVAILABILITY'!P173+'RAP TEMPLATE-GAS AVAILABILITY'!Q173+'RAP TEMPLATE-GAS AVAILABILITY'!R173)</f>
        <v>9.4939906474820148</v>
      </c>
    </row>
    <row r="175" spans="1:29" ht="15.75" x14ac:dyDescent="0.25">
      <c r="A175" s="16">
        <v>45839</v>
      </c>
      <c r="B175" s="17">
        <f>CHOOSE(CONTROL!$C$42, 9.317, 9.317) * CHOOSE(CONTROL!$C$21, $C$9, 100%, $E$9)</f>
        <v>9.3170000000000002</v>
      </c>
      <c r="C175" s="17">
        <f>CHOOSE(CONTROL!$C$42, 9.325, 9.325) * CHOOSE(CONTROL!$C$21, $C$9, 100%, $E$9)</f>
        <v>9.3249999999999993</v>
      </c>
      <c r="D175" s="17">
        <f>CHOOSE(CONTROL!$C$42, 9.585, 9.585) * CHOOSE(CONTROL!$C$21, $C$9, 100%, $E$9)</f>
        <v>9.5850000000000009</v>
      </c>
      <c r="E175" s="17">
        <f>CHOOSE(CONTROL!$C$42, 9.6161, 9.6161) * CHOOSE(CONTROL!$C$21, $C$9, 100%, $E$9)</f>
        <v>9.6160999999999994</v>
      </c>
      <c r="F175" s="17">
        <f>CHOOSE(CONTROL!$C$42, 9.3274, 9.3274)*CHOOSE(CONTROL!$C$21, $C$9, 100%, $E$9)</f>
        <v>9.3274000000000008</v>
      </c>
      <c r="G175" s="17">
        <f>CHOOSE(CONTROL!$C$42, 9.3441, 9.3441)*CHOOSE(CONTROL!$C$21, $C$9, 100%, $E$9)</f>
        <v>9.3440999999999992</v>
      </c>
      <c r="H175" s="17">
        <f>CHOOSE(CONTROL!$C$42, 9.6045, 9.6045) * CHOOSE(CONTROL!$C$21, $C$9, 100%, $E$9)</f>
        <v>9.6044999999999998</v>
      </c>
      <c r="I175" s="17">
        <f>CHOOSE(CONTROL!$C$42, 9.3698, 9.3698)* CHOOSE(CONTROL!$C$21, $C$9, 100%, $E$9)</f>
        <v>9.3697999999999997</v>
      </c>
      <c r="J175" s="17">
        <f>CHOOSE(CONTROL!$C$42, 9.32, 9.32)* CHOOSE(CONTROL!$C$21, $C$9, 100%, $E$9)</f>
        <v>9.32</v>
      </c>
      <c r="K175" s="52">
        <f>CHOOSE(CONTROL!$C$42, 9.3638, 9.3638) * CHOOSE(CONTROL!$C$21, $C$9, 100%, $E$9)</f>
        <v>9.3637999999999995</v>
      </c>
      <c r="L175" s="17">
        <f>CHOOSE(CONTROL!$C$42, 10.1915, 10.1915) * CHOOSE(CONTROL!$C$21, $C$9, 100%, $E$9)</f>
        <v>10.1915</v>
      </c>
      <c r="M175" s="17">
        <f>CHOOSE(CONTROL!$C$42, 9.2432, 9.2432) * CHOOSE(CONTROL!$C$21, $C$9, 100%, $E$9)</f>
        <v>9.2431999999999999</v>
      </c>
      <c r="N175" s="17">
        <f>CHOOSE(CONTROL!$C$42, 9.2597, 9.2597) * CHOOSE(CONTROL!$C$21, $C$9, 100%, $E$9)</f>
        <v>9.2597000000000005</v>
      </c>
      <c r="O175" s="17">
        <f>CHOOSE(CONTROL!$C$42, 9.5251, 9.5251) * CHOOSE(CONTROL!$C$21, $C$9, 100%, $E$9)</f>
        <v>9.5251000000000001</v>
      </c>
      <c r="P175" s="17">
        <f>CHOOSE(CONTROL!$C$42, 9.2923, 9.2923) * CHOOSE(CONTROL!$C$21, $C$9, 100%, $E$9)</f>
        <v>9.2922999999999991</v>
      </c>
      <c r="Q175" s="17">
        <f>CHOOSE(CONTROL!$C$42, 10.1198, 10.1198) * CHOOSE(CONTROL!$C$21, $C$9, 100%, $E$9)</f>
        <v>10.1198</v>
      </c>
      <c r="R175" s="17">
        <f>CHOOSE(CONTROL!$C$42, 10.7321, 10.7321) * CHOOSE(CONTROL!$C$21, $C$9, 100%, $E$9)</f>
        <v>10.732100000000001</v>
      </c>
      <c r="S175" s="17">
        <f>CHOOSE(CONTROL!$C$42, 9.0232, 9.0232) * CHOOSE(CONTROL!$C$21, $C$9, 100%, $E$9)</f>
        <v>9.0231999999999992</v>
      </c>
      <c r="T175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175" s="56">
        <f>(1000*CHOOSE(CONTROL!$C$42, 695, 695)*CHOOSE(CONTROL!$C$42, 0.5599, 0.5599)*CHOOSE(CONTROL!$C$42, 31, 31))/1000000</f>
        <v>12.063045499999998</v>
      </c>
      <c r="V175" s="56">
        <f>(1000*CHOOSE(CONTROL!$C$42, 500, 500)*CHOOSE(CONTROL!$C$42, 0.275, 0.275)*CHOOSE(CONTROL!$C$42, 31, 31))/1000000</f>
        <v>4.2625000000000002</v>
      </c>
      <c r="W175" s="56">
        <f>(1000*CHOOSE(CONTROL!$C$42, 0.0916, 0.0916)*CHOOSE(CONTROL!$C$42, 121.5, 121.5)*CHOOSE(CONTROL!$C$42, 31, 31))/1000000</f>
        <v>0.34501139999999997</v>
      </c>
      <c r="X175" s="56">
        <f>(31*0.1790888*145000/1000000)+(31*0.2374*100000/1000000)</f>
        <v>1.5409441560000001</v>
      </c>
      <c r="Y175" s="56"/>
      <c r="Z175" s="17"/>
      <c r="AA175" s="55"/>
      <c r="AB175" s="48">
        <f>(B175*194.205+C175*267.466+D175*133.845+E175*153.484+F175*40+G175*85+H175*0+I175*100+J175*300)/(194.205+267.466+133.845+153.484+0+40+85+100+300)</f>
        <v>9.3898545937205657</v>
      </c>
      <c r="AC175" s="45">
        <f>(M175*'RAP TEMPLATE-GAS AVAILABILITY'!O174+N175*'RAP TEMPLATE-GAS AVAILABILITY'!P174+O175*'RAP TEMPLATE-GAS AVAILABILITY'!Q174+P175*'RAP TEMPLATE-GAS AVAILABILITY'!R174)/('RAP TEMPLATE-GAS AVAILABILITY'!O174+'RAP TEMPLATE-GAS AVAILABILITY'!P174+'RAP TEMPLATE-GAS AVAILABILITY'!Q174+'RAP TEMPLATE-GAS AVAILABILITY'!R174)</f>
        <v>9.3331575539568341</v>
      </c>
    </row>
    <row r="176" spans="1:29" ht="15.75" x14ac:dyDescent="0.25">
      <c r="A176" s="16">
        <v>45870</v>
      </c>
      <c r="B176" s="17">
        <f>CHOOSE(CONTROL!$C$42, 8.8757, 8.8757) * CHOOSE(CONTROL!$C$21, $C$9, 100%, $E$9)</f>
        <v>8.8757000000000001</v>
      </c>
      <c r="C176" s="17">
        <f>CHOOSE(CONTROL!$C$42, 8.8837, 8.8837) * CHOOSE(CONTROL!$C$21, $C$9, 100%, $E$9)</f>
        <v>8.8836999999999993</v>
      </c>
      <c r="D176" s="17">
        <f>CHOOSE(CONTROL!$C$42, 9.1436, 9.1436) * CHOOSE(CONTROL!$C$21, $C$9, 100%, $E$9)</f>
        <v>9.1435999999999993</v>
      </c>
      <c r="E176" s="17">
        <f>CHOOSE(CONTROL!$C$42, 9.1748, 9.1748) * CHOOSE(CONTROL!$C$21, $C$9, 100%, $E$9)</f>
        <v>9.1747999999999994</v>
      </c>
      <c r="F176" s="17">
        <f>CHOOSE(CONTROL!$C$42, 8.8863, 8.8863)*CHOOSE(CONTROL!$C$21, $C$9, 100%, $E$9)</f>
        <v>8.8863000000000003</v>
      </c>
      <c r="G176" s="17">
        <f>CHOOSE(CONTROL!$C$42, 8.903, 8.903)*CHOOSE(CONTROL!$C$21, $C$9, 100%, $E$9)</f>
        <v>8.9030000000000005</v>
      </c>
      <c r="H176" s="17">
        <f>CHOOSE(CONTROL!$C$42, 9.1631, 9.1631) * CHOOSE(CONTROL!$C$21, $C$9, 100%, $E$9)</f>
        <v>9.1631</v>
      </c>
      <c r="I176" s="17">
        <f>CHOOSE(CONTROL!$C$42, 8.9271, 8.9271)* CHOOSE(CONTROL!$C$21, $C$9, 100%, $E$9)</f>
        <v>8.9270999999999994</v>
      </c>
      <c r="J176" s="17">
        <f>CHOOSE(CONTROL!$C$42, 8.8789, 8.8789)* CHOOSE(CONTROL!$C$21, $C$9, 100%, $E$9)</f>
        <v>8.8788999999999998</v>
      </c>
      <c r="K176" s="52">
        <f>CHOOSE(CONTROL!$C$42, 8.921, 8.921) * CHOOSE(CONTROL!$C$21, $C$9, 100%, $E$9)</f>
        <v>8.9209999999999994</v>
      </c>
      <c r="L176" s="17">
        <f>CHOOSE(CONTROL!$C$42, 9.7501, 9.7501) * CHOOSE(CONTROL!$C$21, $C$9, 100%, $E$9)</f>
        <v>9.7500999999999998</v>
      </c>
      <c r="M176" s="17">
        <f>CHOOSE(CONTROL!$C$42, 8.8061, 8.8061) * CHOOSE(CONTROL!$C$21, $C$9, 100%, $E$9)</f>
        <v>8.8061000000000007</v>
      </c>
      <c r="N176" s="17">
        <f>CHOOSE(CONTROL!$C$42, 8.8226, 8.8226) * CHOOSE(CONTROL!$C$21, $C$9, 100%, $E$9)</f>
        <v>8.8225999999999996</v>
      </c>
      <c r="O176" s="17">
        <f>CHOOSE(CONTROL!$C$42, 9.0877, 9.0877) * CHOOSE(CONTROL!$C$21, $C$9, 100%, $E$9)</f>
        <v>9.0876999999999999</v>
      </c>
      <c r="P176" s="17">
        <f>CHOOSE(CONTROL!$C$42, 8.8536, 8.8536) * CHOOSE(CONTROL!$C$21, $C$9, 100%, $E$9)</f>
        <v>8.8536000000000001</v>
      </c>
      <c r="Q176" s="17">
        <f>CHOOSE(CONTROL!$C$42, 9.6824, 9.6824) * CHOOSE(CONTROL!$C$21, $C$9, 100%, $E$9)</f>
        <v>9.6823999999999995</v>
      </c>
      <c r="R176" s="17">
        <f>CHOOSE(CONTROL!$C$42, 10.2936, 10.2936) * CHOOSE(CONTROL!$C$21, $C$9, 100%, $E$9)</f>
        <v>10.2936</v>
      </c>
      <c r="S176" s="17">
        <f>CHOOSE(CONTROL!$C$42, 8.5952, 8.5952) * CHOOSE(CONTROL!$C$21, $C$9, 100%, $E$9)</f>
        <v>8.5952000000000002</v>
      </c>
      <c r="T176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176" s="56">
        <f>(1000*CHOOSE(CONTROL!$C$42, 695, 695)*CHOOSE(CONTROL!$C$42, 0.5599, 0.5599)*CHOOSE(CONTROL!$C$42, 31, 31))/1000000</f>
        <v>12.063045499999998</v>
      </c>
      <c r="V176" s="56">
        <f>(1000*CHOOSE(CONTROL!$C$42, 500, 500)*CHOOSE(CONTROL!$C$42, 0.275, 0.275)*CHOOSE(CONTROL!$C$42, 31, 31))/1000000</f>
        <v>4.2625000000000002</v>
      </c>
      <c r="W176" s="56">
        <f>(1000*CHOOSE(CONTROL!$C$42, 0.0916, 0.0916)*CHOOSE(CONTROL!$C$42, 121.5, 121.5)*CHOOSE(CONTROL!$C$42, 31, 31))/1000000</f>
        <v>0.34501139999999997</v>
      </c>
      <c r="X176" s="56">
        <f>(31*0.1790888*145000/1000000)+(31*0.2374*100000/1000000)</f>
        <v>1.5409441560000001</v>
      </c>
      <c r="Y176" s="56"/>
      <c r="Z176" s="17"/>
      <c r="AA176" s="55"/>
      <c r="AB176" s="48">
        <f>(B176*194.205+C176*267.466+D176*133.845+E176*153.484+F176*40+G176*85+H176*0+I176*100+J176*300)/(194.205+267.466+133.845+153.484+0+40+85+100+300)</f>
        <v>8.9485009167189951</v>
      </c>
      <c r="AC176" s="45">
        <f>(M176*'RAP TEMPLATE-GAS AVAILABILITY'!O175+N176*'RAP TEMPLATE-GAS AVAILABILITY'!P175+O176*'RAP TEMPLATE-GAS AVAILABILITY'!Q175+P176*'RAP TEMPLATE-GAS AVAILABILITY'!R175)/('RAP TEMPLATE-GAS AVAILABILITY'!O175+'RAP TEMPLATE-GAS AVAILABILITY'!P175+'RAP TEMPLATE-GAS AVAILABILITY'!Q175+'RAP TEMPLATE-GAS AVAILABILITY'!R175)</f>
        <v>8.8957431654676249</v>
      </c>
    </row>
    <row r="177" spans="1:29" ht="15.75" x14ac:dyDescent="0.25">
      <c r="A177" s="16">
        <v>45901</v>
      </c>
      <c r="B177" s="17">
        <f>CHOOSE(CONTROL!$C$42, 8.3298, 8.3298) * CHOOSE(CONTROL!$C$21, $C$9, 100%, $E$9)</f>
        <v>8.3298000000000005</v>
      </c>
      <c r="C177" s="17">
        <f>CHOOSE(CONTROL!$C$42, 8.3378, 8.3378) * CHOOSE(CONTROL!$C$21, $C$9, 100%, $E$9)</f>
        <v>8.3377999999999997</v>
      </c>
      <c r="D177" s="17">
        <f>CHOOSE(CONTROL!$C$42, 8.5978, 8.5978) * CHOOSE(CONTROL!$C$21, $C$9, 100%, $E$9)</f>
        <v>8.5977999999999994</v>
      </c>
      <c r="E177" s="17">
        <f>CHOOSE(CONTROL!$C$42, 8.6289, 8.6289) * CHOOSE(CONTROL!$C$21, $C$9, 100%, $E$9)</f>
        <v>8.6288999999999998</v>
      </c>
      <c r="F177" s="17">
        <f>CHOOSE(CONTROL!$C$42, 8.3405, 8.3405)*CHOOSE(CONTROL!$C$21, $C$9, 100%, $E$9)</f>
        <v>8.3405000000000005</v>
      </c>
      <c r="G177" s="17">
        <f>CHOOSE(CONTROL!$C$42, 8.3572, 8.3572)*CHOOSE(CONTROL!$C$21, $C$9, 100%, $E$9)</f>
        <v>8.3572000000000006</v>
      </c>
      <c r="H177" s="17">
        <f>CHOOSE(CONTROL!$C$42, 8.6173, 8.6173) * CHOOSE(CONTROL!$C$21, $C$9, 100%, $E$9)</f>
        <v>8.6173000000000002</v>
      </c>
      <c r="I177" s="17">
        <f>CHOOSE(CONTROL!$C$42, 8.3795, 8.3795)* CHOOSE(CONTROL!$C$21, $C$9, 100%, $E$9)</f>
        <v>8.3795000000000002</v>
      </c>
      <c r="J177" s="17">
        <f>CHOOSE(CONTROL!$C$42, 8.3331, 8.3331)* CHOOSE(CONTROL!$C$21, $C$9, 100%, $E$9)</f>
        <v>8.3331</v>
      </c>
      <c r="K177" s="52">
        <f>CHOOSE(CONTROL!$C$42, 8.3735, 8.3735) * CHOOSE(CONTROL!$C$21, $C$9, 100%, $E$9)</f>
        <v>8.3734999999999999</v>
      </c>
      <c r="L177" s="17">
        <f>CHOOSE(CONTROL!$C$42, 9.2043, 9.2043) * CHOOSE(CONTROL!$C$21, $C$9, 100%, $E$9)</f>
        <v>9.2042999999999999</v>
      </c>
      <c r="M177" s="17">
        <f>CHOOSE(CONTROL!$C$42, 8.2651, 8.2651) * CHOOSE(CONTROL!$C$21, $C$9, 100%, $E$9)</f>
        <v>8.2651000000000003</v>
      </c>
      <c r="N177" s="17">
        <f>CHOOSE(CONTROL!$C$42, 8.2817, 8.2817) * CHOOSE(CONTROL!$C$21, $C$9, 100%, $E$9)</f>
        <v>8.2817000000000007</v>
      </c>
      <c r="O177" s="17">
        <f>CHOOSE(CONTROL!$C$42, 8.5468, 8.5468) * CHOOSE(CONTROL!$C$21, $C$9, 100%, $E$9)</f>
        <v>8.5467999999999993</v>
      </c>
      <c r="P177" s="17">
        <f>CHOOSE(CONTROL!$C$42, 8.311, 8.311) * CHOOSE(CONTROL!$C$21, $C$9, 100%, $E$9)</f>
        <v>8.3109999999999999</v>
      </c>
      <c r="Q177" s="17">
        <f>CHOOSE(CONTROL!$C$42, 9.1415, 9.1415) * CHOOSE(CONTROL!$C$21, $C$9, 100%, $E$9)</f>
        <v>9.1415000000000006</v>
      </c>
      <c r="R177" s="17">
        <f>CHOOSE(CONTROL!$C$42, 9.7513, 9.7513) * CHOOSE(CONTROL!$C$21, $C$9, 100%, $E$9)</f>
        <v>9.7513000000000005</v>
      </c>
      <c r="S177" s="17">
        <f>CHOOSE(CONTROL!$C$42, 8.0659, 8.0659) * CHOOSE(CONTROL!$C$21, $C$9, 100%, $E$9)</f>
        <v>8.0658999999999992</v>
      </c>
      <c r="T177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177" s="56">
        <f>(1000*CHOOSE(CONTROL!$C$42, 695, 695)*CHOOSE(CONTROL!$C$42, 0.5599, 0.5599)*CHOOSE(CONTROL!$C$42, 30, 30))/1000000</f>
        <v>11.673914999999997</v>
      </c>
      <c r="V177" s="56">
        <f>(1000*CHOOSE(CONTROL!$C$42, 500, 500)*CHOOSE(CONTROL!$C$42, 0.275, 0.275)*CHOOSE(CONTROL!$C$42, 30, 30))/1000000</f>
        <v>4.125</v>
      </c>
      <c r="W177" s="56">
        <f>(1000*CHOOSE(CONTROL!$C$42, 0.0916, 0.0916)*CHOOSE(CONTROL!$C$42, 121.5, 121.5)*CHOOSE(CONTROL!$C$42, 30, 30))/1000000</f>
        <v>0.33388200000000001</v>
      </c>
      <c r="X177" s="56">
        <f>(30*0.1790888*145000/1000000)+(30*0.2374*100000/1000000)</f>
        <v>1.4912362799999999</v>
      </c>
      <c r="Y177" s="56"/>
      <c r="Z177" s="17"/>
      <c r="AA177" s="55"/>
      <c r="AB177" s="48">
        <f>(B177*194.205+C177*267.466+D177*133.845+E177*153.484+F177*40+G177*85+H177*0+I177*100+J177*300)/(194.205+267.466+133.845+153.484+0+40+85+100+300)</f>
        <v>8.4025113441130301</v>
      </c>
      <c r="AC177" s="45">
        <f>(M177*'RAP TEMPLATE-GAS AVAILABILITY'!O176+N177*'RAP TEMPLATE-GAS AVAILABILITY'!P176+O177*'RAP TEMPLATE-GAS AVAILABILITY'!Q176+P177*'RAP TEMPLATE-GAS AVAILABILITY'!R176)/('RAP TEMPLATE-GAS AVAILABILITY'!O176+'RAP TEMPLATE-GAS AVAILABILITY'!P176+'RAP TEMPLATE-GAS AVAILABILITY'!Q176+'RAP TEMPLATE-GAS AVAILABILITY'!R176)</f>
        <v>8.3545640287769789</v>
      </c>
    </row>
    <row r="178" spans="1:29" ht="15.75" x14ac:dyDescent="0.25">
      <c r="A178" s="16">
        <v>45931</v>
      </c>
      <c r="B178" s="17">
        <f>CHOOSE(CONTROL!$C$42, 8.176, 8.176) * CHOOSE(CONTROL!$C$21, $C$9, 100%, $E$9)</f>
        <v>8.1760000000000002</v>
      </c>
      <c r="C178" s="17">
        <f>CHOOSE(CONTROL!$C$42, 8.1814, 8.1814) * CHOOSE(CONTROL!$C$21, $C$9, 100%, $E$9)</f>
        <v>8.1814</v>
      </c>
      <c r="D178" s="17">
        <f>CHOOSE(CONTROL!$C$42, 8.4462, 8.4462) * CHOOSE(CONTROL!$C$21, $C$9, 100%, $E$9)</f>
        <v>8.4461999999999993</v>
      </c>
      <c r="E178" s="17">
        <f>CHOOSE(CONTROL!$C$42, 8.475, 8.475) * CHOOSE(CONTROL!$C$21, $C$9, 100%, $E$9)</f>
        <v>8.4749999999999996</v>
      </c>
      <c r="F178" s="17">
        <f>CHOOSE(CONTROL!$C$42, 8.1889, 8.1889)*CHOOSE(CONTROL!$C$21, $C$9, 100%, $E$9)</f>
        <v>8.1889000000000003</v>
      </c>
      <c r="G178" s="17">
        <f>CHOOSE(CONTROL!$C$42, 8.2054, 8.2054)*CHOOSE(CONTROL!$C$21, $C$9, 100%, $E$9)</f>
        <v>8.2053999999999991</v>
      </c>
      <c r="H178" s="17">
        <f>CHOOSE(CONTROL!$C$42, 8.4652, 8.4652) * CHOOSE(CONTROL!$C$21, $C$9, 100%, $E$9)</f>
        <v>8.4651999999999994</v>
      </c>
      <c r="I178" s="17">
        <f>CHOOSE(CONTROL!$C$42, 8.227, 8.227)* CHOOSE(CONTROL!$C$21, $C$9, 100%, $E$9)</f>
        <v>8.2270000000000003</v>
      </c>
      <c r="J178" s="17">
        <f>CHOOSE(CONTROL!$C$42, 8.1815, 8.1815)* CHOOSE(CONTROL!$C$21, $C$9, 100%, $E$9)</f>
        <v>8.1814999999999998</v>
      </c>
      <c r="K178" s="52">
        <f>CHOOSE(CONTROL!$C$42, 8.2209, 8.2209) * CHOOSE(CONTROL!$C$21, $C$9, 100%, $E$9)</f>
        <v>8.2209000000000003</v>
      </c>
      <c r="L178" s="17">
        <f>CHOOSE(CONTROL!$C$42, 9.0522, 9.0522) * CHOOSE(CONTROL!$C$21, $C$9, 100%, $E$9)</f>
        <v>9.0521999999999991</v>
      </c>
      <c r="M178" s="17">
        <f>CHOOSE(CONTROL!$C$42, 8.1149, 8.1149) * CHOOSE(CONTROL!$C$21, $C$9, 100%, $E$9)</f>
        <v>8.1149000000000004</v>
      </c>
      <c r="N178" s="17">
        <f>CHOOSE(CONTROL!$C$42, 8.1313, 8.1313) * CHOOSE(CONTROL!$C$21, $C$9, 100%, $E$9)</f>
        <v>8.1312999999999995</v>
      </c>
      <c r="O178" s="17">
        <f>CHOOSE(CONTROL!$C$42, 8.396, 8.396) * CHOOSE(CONTROL!$C$21, $C$9, 100%, $E$9)</f>
        <v>8.3960000000000008</v>
      </c>
      <c r="P178" s="17">
        <f>CHOOSE(CONTROL!$C$42, 8.1598, 8.1598) * CHOOSE(CONTROL!$C$21, $C$9, 100%, $E$9)</f>
        <v>8.1598000000000006</v>
      </c>
      <c r="Q178" s="17">
        <f>CHOOSE(CONTROL!$C$42, 8.9907, 8.9907) * CHOOSE(CONTROL!$C$21, $C$9, 100%, $E$9)</f>
        <v>8.9907000000000004</v>
      </c>
      <c r="R178" s="17">
        <f>CHOOSE(CONTROL!$C$42, 9.6002, 9.6002) * CHOOSE(CONTROL!$C$21, $C$9, 100%, $E$9)</f>
        <v>9.6001999999999992</v>
      </c>
      <c r="S178" s="17">
        <f>CHOOSE(CONTROL!$C$42, 7.9184, 7.9184) * CHOOSE(CONTROL!$C$21, $C$9, 100%, $E$9)</f>
        <v>7.9184000000000001</v>
      </c>
      <c r="T178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178" s="56">
        <f>(1000*CHOOSE(CONTROL!$C$42, 695, 695)*CHOOSE(CONTROL!$C$42, 0.5599, 0.5599)*CHOOSE(CONTROL!$C$42, 31, 31))/1000000</f>
        <v>12.063045499999998</v>
      </c>
      <c r="V178" s="56">
        <f>(1000*CHOOSE(CONTROL!$C$42, 500, 500)*CHOOSE(CONTROL!$C$42, 0.275, 0.275)*CHOOSE(CONTROL!$C$42, 31, 31))/1000000</f>
        <v>4.2625000000000002</v>
      </c>
      <c r="W178" s="56">
        <f>(1000*CHOOSE(CONTROL!$C$42, 0.0916, 0.0916)*CHOOSE(CONTROL!$C$42, 121.5, 121.5)*CHOOSE(CONTROL!$C$42, 31, 31))/1000000</f>
        <v>0.34501139999999997</v>
      </c>
      <c r="X178" s="56">
        <f>(31*0.1790888*145000/1000000)+(31*0.2374*100000/1000000)</f>
        <v>1.5409441560000001</v>
      </c>
      <c r="Y178" s="56"/>
      <c r="Z178" s="17"/>
      <c r="AA178" s="55"/>
      <c r="AB178" s="48">
        <f>(B178*131.881+C178*277.167+D178*79.08+E178*225.872+F178*40+G178*85+H178*0+I178*100+J178*300)/(131.881+277.167+79.08+225.872+0+40+85+100+300)</f>
        <v>8.2568432976594028</v>
      </c>
      <c r="AC178" s="45">
        <f>(M178*'RAP TEMPLATE-GAS AVAILABILITY'!O177+N178*'RAP TEMPLATE-GAS AVAILABILITY'!P177+O178*'RAP TEMPLATE-GAS AVAILABILITY'!Q177+P178*'RAP TEMPLATE-GAS AVAILABILITY'!R177)/('RAP TEMPLATE-GAS AVAILABILITY'!O177+'RAP TEMPLATE-GAS AVAILABILITY'!P177+'RAP TEMPLATE-GAS AVAILABILITY'!Q177+'RAP TEMPLATE-GAS AVAILABILITY'!R177)</f>
        <v>8.2040057553956824</v>
      </c>
    </row>
    <row r="179" spans="1:29" ht="15.75" x14ac:dyDescent="0.25">
      <c r="A179" s="16">
        <v>45962</v>
      </c>
      <c r="B179" s="17">
        <f>CHOOSE(CONTROL!$C$42, 8.408, 8.408) * CHOOSE(CONTROL!$C$21, $C$9, 100%, $E$9)</f>
        <v>8.4079999999999995</v>
      </c>
      <c r="C179" s="17">
        <f>CHOOSE(CONTROL!$C$42, 8.4131, 8.4131) * CHOOSE(CONTROL!$C$21, $C$9, 100%, $E$9)</f>
        <v>8.4131</v>
      </c>
      <c r="D179" s="17">
        <f>CHOOSE(CONTROL!$C$42, 8.5537, 8.5537) * CHOOSE(CONTROL!$C$21, $C$9, 100%, $E$9)</f>
        <v>8.5536999999999992</v>
      </c>
      <c r="E179" s="17">
        <f>CHOOSE(CONTROL!$C$42, 8.5875, 8.5875) * CHOOSE(CONTROL!$C$21, $C$9, 100%, $E$9)</f>
        <v>8.5875000000000004</v>
      </c>
      <c r="F179" s="17">
        <f>CHOOSE(CONTROL!$C$42, 8.4213, 8.4213)*CHOOSE(CONTROL!$C$21, $C$9, 100%, $E$9)</f>
        <v>8.4213000000000005</v>
      </c>
      <c r="G179" s="17">
        <f>CHOOSE(CONTROL!$C$42, 8.4381, 8.4381)*CHOOSE(CONTROL!$C$21, $C$9, 100%, $E$9)</f>
        <v>8.4381000000000004</v>
      </c>
      <c r="H179" s="17">
        <f>CHOOSE(CONTROL!$C$42, 8.5764, 8.5764) * CHOOSE(CONTROL!$C$21, $C$9, 100%, $E$9)</f>
        <v>8.5763999999999996</v>
      </c>
      <c r="I179" s="17">
        <f>CHOOSE(CONTROL!$C$42, 8.4564, 8.4564)* CHOOSE(CONTROL!$C$21, $C$9, 100%, $E$9)</f>
        <v>8.4564000000000004</v>
      </c>
      <c r="J179" s="17">
        <f>CHOOSE(CONTROL!$C$42, 8.4139, 8.4139)* CHOOSE(CONTROL!$C$21, $C$9, 100%, $E$9)</f>
        <v>8.4138999999999999</v>
      </c>
      <c r="K179" s="52">
        <f>CHOOSE(CONTROL!$C$42, 8.4504, 8.4504) * CHOOSE(CONTROL!$C$21, $C$9, 100%, $E$9)</f>
        <v>8.4504000000000001</v>
      </c>
      <c r="L179" s="17">
        <f>CHOOSE(CONTROL!$C$42, 9.1634, 9.1634) * CHOOSE(CONTROL!$C$21, $C$9, 100%, $E$9)</f>
        <v>9.1633999999999993</v>
      </c>
      <c r="M179" s="17">
        <f>CHOOSE(CONTROL!$C$42, 8.3452, 8.3452) * CHOOSE(CONTROL!$C$21, $C$9, 100%, $E$9)</f>
        <v>8.3452000000000002</v>
      </c>
      <c r="N179" s="17">
        <f>CHOOSE(CONTROL!$C$42, 8.3619, 8.3619) * CHOOSE(CONTROL!$C$21, $C$9, 100%, $E$9)</f>
        <v>8.3619000000000003</v>
      </c>
      <c r="O179" s="17">
        <f>CHOOSE(CONTROL!$C$42, 8.5062, 8.5062) * CHOOSE(CONTROL!$C$21, $C$9, 100%, $E$9)</f>
        <v>8.5061999999999998</v>
      </c>
      <c r="P179" s="17">
        <f>CHOOSE(CONTROL!$C$42, 8.3872, 8.3872) * CHOOSE(CONTROL!$C$21, $C$9, 100%, $E$9)</f>
        <v>8.3872</v>
      </c>
      <c r="Q179" s="17">
        <f>CHOOSE(CONTROL!$C$42, 9.1009, 9.1009) * CHOOSE(CONTROL!$C$21, $C$9, 100%, $E$9)</f>
        <v>9.1008999999999993</v>
      </c>
      <c r="R179" s="17">
        <f>CHOOSE(CONTROL!$C$42, 9.7107, 9.7107) * CHOOSE(CONTROL!$C$21, $C$9, 100%, $E$9)</f>
        <v>9.7106999999999992</v>
      </c>
      <c r="S179" s="17">
        <f>CHOOSE(CONTROL!$C$42, 8.1437, 8.1437) * CHOOSE(CONTROL!$C$21, $C$9, 100%, $E$9)</f>
        <v>8.1437000000000008</v>
      </c>
      <c r="T179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179" s="56">
        <f>(1000*CHOOSE(CONTROL!$C$42, 695, 695)*CHOOSE(CONTROL!$C$42, 0.5599, 0.5599)*CHOOSE(CONTROL!$C$42, 30, 30))/1000000</f>
        <v>11.673914999999997</v>
      </c>
      <c r="V179" s="56">
        <f>(1000*CHOOSE(CONTROL!$C$42, 500, 500)*CHOOSE(CONTROL!$C$42, 0.275, 0.275)*CHOOSE(CONTROL!$C$42, 30, 30))/1000000</f>
        <v>4.125</v>
      </c>
      <c r="W179" s="56">
        <f>(1000*CHOOSE(CONTROL!$C$42, 0.0916, 0.0916)*CHOOSE(CONTROL!$C$42, 121.5, 121.5)*CHOOSE(CONTROL!$C$42, 30, 30))/1000000</f>
        <v>0.33388200000000001</v>
      </c>
      <c r="X179" s="56">
        <f>(30*0.2374*100000/1000000)</f>
        <v>0.71220000000000006</v>
      </c>
      <c r="Y179" s="56"/>
      <c r="Z179" s="17"/>
      <c r="AA179" s="55"/>
      <c r="AB179" s="48">
        <f>(B179*122.58+C179*297.941+D179*89.177+E179*140.302+F179*40+G179*60+H179*0+I179*100+J179*300)/(122.58+297.941+89.177+140.302+0+40+60+100+300)</f>
        <v>8.4502998234782627</v>
      </c>
      <c r="AC179" s="45">
        <f>(M179*'RAP TEMPLATE-GAS AVAILABILITY'!O178+N179*'RAP TEMPLATE-GAS AVAILABILITY'!P178+O179*'RAP TEMPLATE-GAS AVAILABILITY'!Q178+P179*'RAP TEMPLATE-GAS AVAILABILITY'!R178)/('RAP TEMPLATE-GAS AVAILABILITY'!O178+'RAP TEMPLATE-GAS AVAILABILITY'!P178+'RAP TEMPLATE-GAS AVAILABILITY'!Q178+'RAP TEMPLATE-GAS AVAILABILITY'!R178)</f>
        <v>8.425175539568345</v>
      </c>
    </row>
    <row r="180" spans="1:29" ht="15.75" x14ac:dyDescent="0.25">
      <c r="A180" s="16">
        <v>45992</v>
      </c>
      <c r="B180" s="17">
        <f>CHOOSE(CONTROL!$C$42, 8.999, 8.999) * CHOOSE(CONTROL!$C$21, $C$9, 100%, $E$9)</f>
        <v>8.9990000000000006</v>
      </c>
      <c r="C180" s="17">
        <f>CHOOSE(CONTROL!$C$42, 9.0041, 9.0041) * CHOOSE(CONTROL!$C$21, $C$9, 100%, $E$9)</f>
        <v>9.0040999999999993</v>
      </c>
      <c r="D180" s="17">
        <f>CHOOSE(CONTROL!$C$42, 9.1447, 9.1447) * CHOOSE(CONTROL!$C$21, $C$9, 100%, $E$9)</f>
        <v>9.1447000000000003</v>
      </c>
      <c r="E180" s="17">
        <f>CHOOSE(CONTROL!$C$42, 9.1785, 9.1785) * CHOOSE(CONTROL!$C$21, $C$9, 100%, $E$9)</f>
        <v>9.1784999999999997</v>
      </c>
      <c r="F180" s="17">
        <f>CHOOSE(CONTROL!$C$42, 9.0147, 9.0147)*CHOOSE(CONTROL!$C$21, $C$9, 100%, $E$9)</f>
        <v>9.0146999999999995</v>
      </c>
      <c r="G180" s="17">
        <f>CHOOSE(CONTROL!$C$42, 9.0322, 9.0322)*CHOOSE(CONTROL!$C$21, $C$9, 100%, $E$9)</f>
        <v>9.0321999999999996</v>
      </c>
      <c r="H180" s="17">
        <f>CHOOSE(CONTROL!$C$42, 9.1674, 9.1674) * CHOOSE(CONTROL!$C$21, $C$9, 100%, $E$9)</f>
        <v>9.1674000000000007</v>
      </c>
      <c r="I180" s="17">
        <f>CHOOSE(CONTROL!$C$42, 9.0493, 9.0493)* CHOOSE(CONTROL!$C$21, $C$9, 100%, $E$9)</f>
        <v>9.0493000000000006</v>
      </c>
      <c r="J180" s="17">
        <f>CHOOSE(CONTROL!$C$42, 9.0073, 9.0073)* CHOOSE(CONTROL!$C$21, $C$9, 100%, $E$9)</f>
        <v>9.0073000000000008</v>
      </c>
      <c r="K180" s="52">
        <f>CHOOSE(CONTROL!$C$42, 9.0432, 9.0432) * CHOOSE(CONTROL!$C$21, $C$9, 100%, $E$9)</f>
        <v>9.0432000000000006</v>
      </c>
      <c r="L180" s="17">
        <f>CHOOSE(CONTROL!$C$42, 9.7544, 9.7544) * CHOOSE(CONTROL!$C$21, $C$9, 100%, $E$9)</f>
        <v>9.7544000000000004</v>
      </c>
      <c r="M180" s="17">
        <f>CHOOSE(CONTROL!$C$42, 8.9333, 8.9333) * CHOOSE(CONTROL!$C$21, $C$9, 100%, $E$9)</f>
        <v>8.9332999999999991</v>
      </c>
      <c r="N180" s="17">
        <f>CHOOSE(CONTROL!$C$42, 8.9506, 8.9506) * CHOOSE(CONTROL!$C$21, $C$9, 100%, $E$9)</f>
        <v>8.9505999999999997</v>
      </c>
      <c r="O180" s="17">
        <f>CHOOSE(CONTROL!$C$42, 9.0919, 9.0919) * CHOOSE(CONTROL!$C$21, $C$9, 100%, $E$9)</f>
        <v>9.0919000000000008</v>
      </c>
      <c r="P180" s="17">
        <f>CHOOSE(CONTROL!$C$42, 8.9747, 8.9747) * CHOOSE(CONTROL!$C$21, $C$9, 100%, $E$9)</f>
        <v>8.9747000000000003</v>
      </c>
      <c r="Q180" s="17">
        <f>CHOOSE(CONTROL!$C$42, 9.6866, 9.6866) * CHOOSE(CONTROL!$C$21, $C$9, 100%, $E$9)</f>
        <v>9.6866000000000003</v>
      </c>
      <c r="R180" s="17">
        <f>CHOOSE(CONTROL!$C$42, 10.2978, 10.2978) * CHOOSE(CONTROL!$C$21, $C$9, 100%, $E$9)</f>
        <v>10.297800000000001</v>
      </c>
      <c r="S180" s="17">
        <f>CHOOSE(CONTROL!$C$42, 8.7168, 8.7168) * CHOOSE(CONTROL!$C$21, $C$9, 100%, $E$9)</f>
        <v>8.7167999999999992</v>
      </c>
      <c r="T180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180" s="56">
        <f>(1000*CHOOSE(CONTROL!$C$42, 695, 695)*CHOOSE(CONTROL!$C$42, 0.5599, 0.5599)*CHOOSE(CONTROL!$C$42, 31, 31))/1000000</f>
        <v>12.063045499999998</v>
      </c>
      <c r="V180" s="56">
        <f>(1000*CHOOSE(CONTROL!$C$42, 500, 500)*CHOOSE(CONTROL!$C$42, 0.275, 0.275)*CHOOSE(CONTROL!$C$42, 31, 31))/1000000</f>
        <v>4.2625000000000002</v>
      </c>
      <c r="W180" s="56">
        <f>(1000*CHOOSE(CONTROL!$C$42, 0.0916, 0.0916)*CHOOSE(CONTROL!$C$42, 121.5, 121.5)*CHOOSE(CONTROL!$C$42, 31, 31))/1000000</f>
        <v>0.34501139999999997</v>
      </c>
      <c r="X180" s="56">
        <f>(31*0.2374*100000/1000000)</f>
        <v>0.73594000000000004</v>
      </c>
      <c r="Y180" s="56"/>
      <c r="Z180" s="17"/>
      <c r="AA180" s="55"/>
      <c r="AB180" s="48">
        <f>(B180*122.58+C180*297.941+D180*89.177+E180*140.302+F180*40+G180*60+H180*0+I180*100+J180*300)/(122.58+297.941+89.177+140.302+0+40+60+100+300)</f>
        <v>9.0423363452173913</v>
      </c>
      <c r="AC180" s="45">
        <f>(M180*'RAP TEMPLATE-GAS AVAILABILITY'!O179+N180*'RAP TEMPLATE-GAS AVAILABILITY'!P179+O180*'RAP TEMPLATE-GAS AVAILABILITY'!Q179+P180*'RAP TEMPLATE-GAS AVAILABILITY'!R179)/('RAP TEMPLATE-GAS AVAILABILITY'!O179+'RAP TEMPLATE-GAS AVAILABILITY'!P179+'RAP TEMPLATE-GAS AVAILABILITY'!Q179+'RAP TEMPLATE-GAS AVAILABILITY'!R179)</f>
        <v>9.0121359712230227</v>
      </c>
    </row>
    <row r="181" spans="1:29" ht="15.75" x14ac:dyDescent="0.25">
      <c r="A181" s="16">
        <v>46023</v>
      </c>
      <c r="B181" s="17">
        <f>CHOOSE(CONTROL!$C$42, 9.5014, 9.5014) * CHOOSE(CONTROL!$C$21, $C$9, 100%, $E$9)</f>
        <v>9.5014000000000003</v>
      </c>
      <c r="C181" s="17">
        <f>CHOOSE(CONTROL!$C$42, 9.5065, 9.5065) * CHOOSE(CONTROL!$C$21, $C$9, 100%, $E$9)</f>
        <v>9.5065000000000008</v>
      </c>
      <c r="D181" s="17">
        <f>CHOOSE(CONTROL!$C$42, 9.6404, 9.6404) * CHOOSE(CONTROL!$C$21, $C$9, 100%, $E$9)</f>
        <v>9.6403999999999996</v>
      </c>
      <c r="E181" s="17">
        <f>CHOOSE(CONTROL!$C$42, 9.6742, 9.6742) * CHOOSE(CONTROL!$C$21, $C$9, 100%, $E$9)</f>
        <v>9.6742000000000008</v>
      </c>
      <c r="F181" s="17">
        <f>CHOOSE(CONTROL!$C$42, 9.5148, 9.5148)*CHOOSE(CONTROL!$C$21, $C$9, 100%, $E$9)</f>
        <v>9.5147999999999993</v>
      </c>
      <c r="G181" s="17">
        <f>CHOOSE(CONTROL!$C$42, 9.5317, 9.5317)*CHOOSE(CONTROL!$C$21, $C$9, 100%, $E$9)</f>
        <v>9.5317000000000007</v>
      </c>
      <c r="H181" s="17">
        <f>CHOOSE(CONTROL!$C$42, 9.6631, 9.6631) * CHOOSE(CONTROL!$C$21, $C$9, 100%, $E$9)</f>
        <v>9.6631</v>
      </c>
      <c r="I181" s="17">
        <f>CHOOSE(CONTROL!$C$42, 9.5574, 9.5574)* CHOOSE(CONTROL!$C$21, $C$9, 100%, $E$9)</f>
        <v>9.5573999999999995</v>
      </c>
      <c r="J181" s="17">
        <f>CHOOSE(CONTROL!$C$42, 9.5074, 9.5074)* CHOOSE(CONTROL!$C$21, $C$9, 100%, $E$9)</f>
        <v>9.5074000000000005</v>
      </c>
      <c r="K181" s="52">
        <f>CHOOSE(CONTROL!$C$42, 9.5513, 9.5513) * CHOOSE(CONTROL!$C$21, $C$9, 100%, $E$9)</f>
        <v>9.5512999999999995</v>
      </c>
      <c r="L181" s="17">
        <f>CHOOSE(CONTROL!$C$42, 10.2501, 10.2501) * CHOOSE(CONTROL!$C$21, $C$9, 100%, $E$9)</f>
        <v>10.2501</v>
      </c>
      <c r="M181" s="17">
        <f>CHOOSE(CONTROL!$C$42, 9.4289, 9.4289) * CHOOSE(CONTROL!$C$21, $C$9, 100%, $E$9)</f>
        <v>9.4289000000000005</v>
      </c>
      <c r="N181" s="17">
        <f>CHOOSE(CONTROL!$C$42, 9.4457, 9.4457) * CHOOSE(CONTROL!$C$21, $C$9, 100%, $E$9)</f>
        <v>9.4457000000000004</v>
      </c>
      <c r="O181" s="17">
        <f>CHOOSE(CONTROL!$C$42, 9.5832, 9.5832) * CHOOSE(CONTROL!$C$21, $C$9, 100%, $E$9)</f>
        <v>9.5831999999999997</v>
      </c>
      <c r="P181" s="17">
        <f>CHOOSE(CONTROL!$C$42, 9.4782, 9.4782) * CHOOSE(CONTROL!$C$21, $C$9, 100%, $E$9)</f>
        <v>9.4781999999999993</v>
      </c>
      <c r="Q181" s="17">
        <f>CHOOSE(CONTROL!$C$42, 10.1779, 10.1779) * CHOOSE(CONTROL!$C$21, $C$9, 100%, $E$9)</f>
        <v>10.177899999999999</v>
      </c>
      <c r="R181" s="17">
        <f>CHOOSE(CONTROL!$C$42, 10.7903, 10.7903) * CHOOSE(CONTROL!$C$21, $C$9, 100%, $E$9)</f>
        <v>10.7903</v>
      </c>
      <c r="S181" s="17">
        <f>CHOOSE(CONTROL!$C$42, 9.204, 9.204) * CHOOSE(CONTROL!$C$21, $C$9, 100%, $E$9)</f>
        <v>9.2040000000000006</v>
      </c>
      <c r="T181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181" s="56">
        <f>(1000*CHOOSE(CONTROL!$C$42, 695, 695)*CHOOSE(CONTROL!$C$42, 0.5599, 0.5599)*CHOOSE(CONTROL!$C$42, 31, 31))/1000000</f>
        <v>12.063045499999998</v>
      </c>
      <c r="V181" s="56">
        <f>(1000*CHOOSE(CONTROL!$C$42, 500, 500)*CHOOSE(CONTROL!$C$42, 0.275, 0.275)*CHOOSE(CONTROL!$C$42, 31, 31))/1000000</f>
        <v>4.2625000000000002</v>
      </c>
      <c r="W181" s="56">
        <f>(1000*CHOOSE(CONTROL!$C$42, 0.0916, 0.0916)*CHOOSE(CONTROL!$C$42, 121.5, 121.5)*CHOOSE(CONTROL!$C$42, 31, 31))/1000000</f>
        <v>0.34501139999999997</v>
      </c>
      <c r="X181" s="56">
        <f>(31*0.2374*100000/1000000)</f>
        <v>0.73594000000000004</v>
      </c>
      <c r="Y181" s="56"/>
      <c r="Z181" s="17"/>
      <c r="AA181" s="55"/>
      <c r="AB181" s="48">
        <f>(B181*122.58+C181*297.941+D181*89.177+E181*140.302+F181*40+G181*60+H181*0+I181*100+J181*300)/(122.58+297.941+89.177+140.302+0+40+60+100+300)</f>
        <v>9.5430637284347828</v>
      </c>
      <c r="AC181" s="45">
        <f>(M181*'RAP TEMPLATE-GAS AVAILABILITY'!O180+N181*'RAP TEMPLATE-GAS AVAILABILITY'!P180+O181*'RAP TEMPLATE-GAS AVAILABILITY'!Q180+P181*'RAP TEMPLATE-GAS AVAILABILITY'!R180)/('RAP TEMPLATE-GAS AVAILABILITY'!O180+'RAP TEMPLATE-GAS AVAILABILITY'!P180+'RAP TEMPLATE-GAS AVAILABILITY'!Q180+'RAP TEMPLATE-GAS AVAILABILITY'!R180)</f>
        <v>9.5068949640287759</v>
      </c>
    </row>
    <row r="182" spans="1:29" ht="15.75" x14ac:dyDescent="0.25">
      <c r="A182" s="16">
        <v>46054</v>
      </c>
      <c r="B182" s="17">
        <f>CHOOSE(CONTROL!$C$42, 9.6902, 9.6902) * CHOOSE(CONTROL!$C$21, $C$9, 100%, $E$9)</f>
        <v>9.6902000000000008</v>
      </c>
      <c r="C182" s="17">
        <f>CHOOSE(CONTROL!$C$42, 9.6953, 9.6953) * CHOOSE(CONTROL!$C$21, $C$9, 100%, $E$9)</f>
        <v>9.6952999999999996</v>
      </c>
      <c r="D182" s="17">
        <f>CHOOSE(CONTROL!$C$42, 9.8293, 9.8293) * CHOOSE(CONTROL!$C$21, $C$9, 100%, $E$9)</f>
        <v>9.8292999999999999</v>
      </c>
      <c r="E182" s="17">
        <f>CHOOSE(CONTROL!$C$42, 9.863, 9.863) * CHOOSE(CONTROL!$C$21, $C$9, 100%, $E$9)</f>
        <v>9.8629999999999995</v>
      </c>
      <c r="F182" s="17">
        <f>CHOOSE(CONTROL!$C$42, 9.7036, 9.7036)*CHOOSE(CONTROL!$C$21, $C$9, 100%, $E$9)</f>
        <v>9.7035999999999998</v>
      </c>
      <c r="G182" s="17">
        <f>CHOOSE(CONTROL!$C$42, 9.7205, 9.7205)*CHOOSE(CONTROL!$C$21, $C$9, 100%, $E$9)</f>
        <v>9.7204999999999995</v>
      </c>
      <c r="H182" s="17">
        <f>CHOOSE(CONTROL!$C$42, 9.8519, 9.8519) * CHOOSE(CONTROL!$C$21, $C$9, 100%, $E$9)</f>
        <v>9.8519000000000005</v>
      </c>
      <c r="I182" s="17">
        <f>CHOOSE(CONTROL!$C$42, 9.7468, 9.7468)* CHOOSE(CONTROL!$C$21, $C$9, 100%, $E$9)</f>
        <v>9.7468000000000004</v>
      </c>
      <c r="J182" s="17">
        <f>CHOOSE(CONTROL!$C$42, 9.6962, 9.6962)* CHOOSE(CONTROL!$C$21, $C$9, 100%, $E$9)</f>
        <v>9.6961999999999993</v>
      </c>
      <c r="K182" s="52">
        <f>CHOOSE(CONTROL!$C$42, 9.7408, 9.7408) * CHOOSE(CONTROL!$C$21, $C$9, 100%, $E$9)</f>
        <v>9.7408000000000001</v>
      </c>
      <c r="L182" s="17">
        <f>CHOOSE(CONTROL!$C$42, 10.4389, 10.4389) * CHOOSE(CONTROL!$C$21, $C$9, 100%, $E$9)</f>
        <v>10.4389</v>
      </c>
      <c r="M182" s="17">
        <f>CHOOSE(CONTROL!$C$42, 9.616, 9.616) * CHOOSE(CONTROL!$C$21, $C$9, 100%, $E$9)</f>
        <v>9.6159999999999997</v>
      </c>
      <c r="N182" s="17">
        <f>CHOOSE(CONTROL!$C$42, 9.6328, 9.6328) * CHOOSE(CONTROL!$C$21, $C$9, 100%, $E$9)</f>
        <v>9.6327999999999996</v>
      </c>
      <c r="O182" s="17">
        <f>CHOOSE(CONTROL!$C$42, 9.7703, 9.7703) * CHOOSE(CONTROL!$C$21, $C$9, 100%, $E$9)</f>
        <v>9.7703000000000007</v>
      </c>
      <c r="P182" s="17">
        <f>CHOOSE(CONTROL!$C$42, 9.6659, 9.6659) * CHOOSE(CONTROL!$C$21, $C$9, 100%, $E$9)</f>
        <v>9.6659000000000006</v>
      </c>
      <c r="Q182" s="17">
        <f>CHOOSE(CONTROL!$C$42, 10.365, 10.365) * CHOOSE(CONTROL!$C$21, $C$9, 100%, $E$9)</f>
        <v>10.365</v>
      </c>
      <c r="R182" s="17">
        <f>CHOOSE(CONTROL!$C$42, 10.9779, 10.9779) * CHOOSE(CONTROL!$C$21, $C$9, 100%, $E$9)</f>
        <v>10.9779</v>
      </c>
      <c r="S182" s="17">
        <f>CHOOSE(CONTROL!$C$42, 9.3871, 9.3871) * CHOOSE(CONTROL!$C$21, $C$9, 100%, $E$9)</f>
        <v>9.3871000000000002</v>
      </c>
      <c r="T182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182" s="56">
        <f>(1000*CHOOSE(CONTROL!$C$42, 695, 695)*CHOOSE(CONTROL!$C$42, 0.5599, 0.5599)*CHOOSE(CONTROL!$C$42, 28, 28))/1000000</f>
        <v>10.895653999999999</v>
      </c>
      <c r="V182" s="56">
        <f>(1000*CHOOSE(CONTROL!$C$42, 500, 500)*CHOOSE(CONTROL!$C$42, 0.275, 0.275)*CHOOSE(CONTROL!$C$42, 28, 28))/1000000</f>
        <v>3.85</v>
      </c>
      <c r="W182" s="56">
        <f>(1000*CHOOSE(CONTROL!$C$42, 0.0916, 0.0916)*CHOOSE(CONTROL!$C$42, 121.5, 121.5)*CHOOSE(CONTROL!$C$42, 28, 28))/1000000</f>
        <v>0.31162319999999999</v>
      </c>
      <c r="X182" s="56">
        <f>(28*0.2374*100000/1000000)</f>
        <v>0.66471999999999998</v>
      </c>
      <c r="Y182" s="56"/>
      <c r="Z182" s="17"/>
      <c r="AA182" s="55"/>
      <c r="AB182" s="48">
        <f>(B182*122.58+C182*297.941+D182*89.177+E182*140.302+F182*40+G182*60+H182*0+I182*100+J182*300)/(122.58+297.941+89.177+140.302+0+40+60+100+300)</f>
        <v>9.7319236568695651</v>
      </c>
      <c r="AC182" s="45">
        <f>(M182*'RAP TEMPLATE-GAS AVAILABILITY'!O181+N182*'RAP TEMPLATE-GAS AVAILABILITY'!P181+O182*'RAP TEMPLATE-GAS AVAILABILITY'!Q181+P182*'RAP TEMPLATE-GAS AVAILABILITY'!R181)/('RAP TEMPLATE-GAS AVAILABILITY'!O181+'RAP TEMPLATE-GAS AVAILABILITY'!P181+'RAP TEMPLATE-GAS AVAILABILITY'!Q181+'RAP TEMPLATE-GAS AVAILABILITY'!R181)</f>
        <v>9.6940812949640289</v>
      </c>
    </row>
    <row r="183" spans="1:29" ht="15.75" x14ac:dyDescent="0.25">
      <c r="A183" s="16">
        <v>46082</v>
      </c>
      <c r="B183" s="17">
        <f>CHOOSE(CONTROL!$C$42, 9.4348, 9.4348) * CHOOSE(CONTROL!$C$21, $C$9, 100%, $E$9)</f>
        <v>9.4347999999999992</v>
      </c>
      <c r="C183" s="17">
        <f>CHOOSE(CONTROL!$C$42, 9.4399, 9.4399) * CHOOSE(CONTROL!$C$21, $C$9, 100%, $E$9)</f>
        <v>9.4398999999999997</v>
      </c>
      <c r="D183" s="17">
        <f>CHOOSE(CONTROL!$C$42, 9.5738, 9.5738) * CHOOSE(CONTROL!$C$21, $C$9, 100%, $E$9)</f>
        <v>9.5738000000000003</v>
      </c>
      <c r="E183" s="17">
        <f>CHOOSE(CONTROL!$C$42, 9.6076, 9.6076) * CHOOSE(CONTROL!$C$21, $C$9, 100%, $E$9)</f>
        <v>9.6075999999999997</v>
      </c>
      <c r="F183" s="17">
        <f>CHOOSE(CONTROL!$C$42, 9.4474, 9.4474)*CHOOSE(CONTROL!$C$21, $C$9, 100%, $E$9)</f>
        <v>9.4474</v>
      </c>
      <c r="G183" s="17">
        <f>CHOOSE(CONTROL!$C$42, 9.4641, 9.4641)*CHOOSE(CONTROL!$C$21, $C$9, 100%, $E$9)</f>
        <v>9.4641000000000002</v>
      </c>
      <c r="H183" s="17">
        <f>CHOOSE(CONTROL!$C$42, 9.5965, 9.5965) * CHOOSE(CONTROL!$C$21, $C$9, 100%, $E$9)</f>
        <v>9.5965000000000007</v>
      </c>
      <c r="I183" s="17">
        <f>CHOOSE(CONTROL!$C$42, 9.4906, 9.4906)* CHOOSE(CONTROL!$C$21, $C$9, 100%, $E$9)</f>
        <v>9.4906000000000006</v>
      </c>
      <c r="J183" s="17">
        <f>CHOOSE(CONTROL!$C$42, 9.44, 9.44)* CHOOSE(CONTROL!$C$21, $C$9, 100%, $E$9)</f>
        <v>9.44</v>
      </c>
      <c r="K183" s="52">
        <f>CHOOSE(CONTROL!$C$42, 9.4845, 9.4845) * CHOOSE(CONTROL!$C$21, $C$9, 100%, $E$9)</f>
        <v>9.4845000000000006</v>
      </c>
      <c r="L183" s="17">
        <f>CHOOSE(CONTROL!$C$42, 10.1835, 10.1835) * CHOOSE(CONTROL!$C$21, $C$9, 100%, $E$9)</f>
        <v>10.1835</v>
      </c>
      <c r="M183" s="17">
        <f>CHOOSE(CONTROL!$C$42, 9.3621, 9.3621) * CHOOSE(CONTROL!$C$21, $C$9, 100%, $E$9)</f>
        <v>9.3620999999999999</v>
      </c>
      <c r="N183" s="17">
        <f>CHOOSE(CONTROL!$C$42, 9.3787, 9.3787) * CHOOSE(CONTROL!$C$21, $C$9, 100%, $E$9)</f>
        <v>9.3787000000000003</v>
      </c>
      <c r="O183" s="17">
        <f>CHOOSE(CONTROL!$C$42, 9.5172, 9.5172) * CHOOSE(CONTROL!$C$21, $C$9, 100%, $E$9)</f>
        <v>9.5172000000000008</v>
      </c>
      <c r="P183" s="17">
        <f>CHOOSE(CONTROL!$C$42, 9.412, 9.412) * CHOOSE(CONTROL!$C$21, $C$9, 100%, $E$9)</f>
        <v>9.4120000000000008</v>
      </c>
      <c r="Q183" s="17">
        <f>CHOOSE(CONTROL!$C$42, 10.1119, 10.1119) * CHOOSE(CONTROL!$C$21, $C$9, 100%, $E$9)</f>
        <v>10.1119</v>
      </c>
      <c r="R183" s="17">
        <f>CHOOSE(CONTROL!$C$42, 10.7241, 10.7241) * CHOOSE(CONTROL!$C$21, $C$9, 100%, $E$9)</f>
        <v>10.7241</v>
      </c>
      <c r="S183" s="17">
        <f>CHOOSE(CONTROL!$C$42, 9.1394, 9.1394) * CHOOSE(CONTROL!$C$21, $C$9, 100%, $E$9)</f>
        <v>9.1394000000000002</v>
      </c>
      <c r="T183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183" s="56">
        <f>(1000*CHOOSE(CONTROL!$C$42, 695, 695)*CHOOSE(CONTROL!$C$42, 0.5599, 0.5599)*CHOOSE(CONTROL!$C$42, 31, 31))/1000000</f>
        <v>12.063045499999998</v>
      </c>
      <c r="V183" s="56">
        <f>(1000*CHOOSE(CONTROL!$C$42, 500, 500)*CHOOSE(CONTROL!$C$42, 0.275, 0.275)*CHOOSE(CONTROL!$C$42, 31, 31))/1000000</f>
        <v>4.2625000000000002</v>
      </c>
      <c r="W183" s="56">
        <f>(1000*CHOOSE(CONTROL!$C$42, 0.0916, 0.0916)*CHOOSE(CONTROL!$C$42, 121.5, 121.5)*CHOOSE(CONTROL!$C$42, 31, 31))/1000000</f>
        <v>0.34501139999999997</v>
      </c>
      <c r="X183" s="56">
        <f>(31*0.2374*100000/1000000)</f>
        <v>0.73594000000000004</v>
      </c>
      <c r="Y183" s="56"/>
      <c r="Z183" s="17"/>
      <c r="AA183" s="55"/>
      <c r="AB183" s="48">
        <f>(B183*122.58+C183*297.941+D183*89.177+E183*140.302+F183*40+G183*60+H183*0+I183*100+J183*300)/(122.58+297.941+89.177+140.302+0+40+60+100+300)</f>
        <v>9.4761576414782596</v>
      </c>
      <c r="AC183" s="45">
        <f>(M183*'RAP TEMPLATE-GAS AVAILABILITY'!O182+N183*'RAP TEMPLATE-GAS AVAILABILITY'!P182+O183*'RAP TEMPLATE-GAS AVAILABILITY'!Q182+P183*'RAP TEMPLATE-GAS AVAILABILITY'!R182)/('RAP TEMPLATE-GAS AVAILABILITY'!O182+'RAP TEMPLATE-GAS AVAILABILITY'!P182+'RAP TEMPLATE-GAS AVAILABILITY'!Q182+'RAP TEMPLATE-GAS AVAILABILITY'!R182)</f>
        <v>9.4405323741007194</v>
      </c>
    </row>
    <row r="184" spans="1:29" ht="15.75" x14ac:dyDescent="0.25">
      <c r="A184" s="16">
        <v>46113</v>
      </c>
      <c r="B184" s="17">
        <f>CHOOSE(CONTROL!$C$42, 9.427, 9.427) * CHOOSE(CONTROL!$C$21, $C$9, 100%, $E$9)</f>
        <v>9.4269999999999996</v>
      </c>
      <c r="C184" s="17">
        <f>CHOOSE(CONTROL!$C$42, 9.4315, 9.4315) * CHOOSE(CONTROL!$C$21, $C$9, 100%, $E$9)</f>
        <v>9.4314999999999998</v>
      </c>
      <c r="D184" s="17">
        <f>CHOOSE(CONTROL!$C$42, 9.6945, 9.6945) * CHOOSE(CONTROL!$C$21, $C$9, 100%, $E$9)</f>
        <v>9.6944999999999997</v>
      </c>
      <c r="E184" s="17">
        <f>CHOOSE(CONTROL!$C$42, 9.7263, 9.7263) * CHOOSE(CONTROL!$C$21, $C$9, 100%, $E$9)</f>
        <v>9.7263000000000002</v>
      </c>
      <c r="F184" s="17">
        <f>CHOOSE(CONTROL!$C$42, 9.4379, 9.4379)*CHOOSE(CONTROL!$C$21, $C$9, 100%, $E$9)</f>
        <v>9.4379000000000008</v>
      </c>
      <c r="G184" s="17">
        <f>CHOOSE(CONTROL!$C$42, 9.454, 9.454)*CHOOSE(CONTROL!$C$21, $C$9, 100%, $E$9)</f>
        <v>9.4540000000000006</v>
      </c>
      <c r="H184" s="17">
        <f>CHOOSE(CONTROL!$C$42, 9.7157, 9.7157) * CHOOSE(CONTROL!$C$21, $C$9, 100%, $E$9)</f>
        <v>9.7157</v>
      </c>
      <c r="I184" s="17">
        <f>CHOOSE(CONTROL!$C$42, 9.4814, 9.4814)* CHOOSE(CONTROL!$C$21, $C$9, 100%, $E$9)</f>
        <v>9.4814000000000007</v>
      </c>
      <c r="J184" s="17">
        <f>CHOOSE(CONTROL!$C$42, 9.4305, 9.4305)* CHOOSE(CONTROL!$C$21, $C$9, 100%, $E$9)</f>
        <v>9.4305000000000003</v>
      </c>
      <c r="K184" s="52">
        <f>CHOOSE(CONTROL!$C$42, 9.4754, 9.4754) * CHOOSE(CONTROL!$C$21, $C$9, 100%, $E$9)</f>
        <v>9.4754000000000005</v>
      </c>
      <c r="L184" s="17">
        <f>CHOOSE(CONTROL!$C$42, 10.3027, 10.3027) * CHOOSE(CONTROL!$C$21, $C$9, 100%, $E$9)</f>
        <v>10.3027</v>
      </c>
      <c r="M184" s="17">
        <f>CHOOSE(CONTROL!$C$42, 9.3527, 9.3527) * CHOOSE(CONTROL!$C$21, $C$9, 100%, $E$9)</f>
        <v>9.3527000000000005</v>
      </c>
      <c r="N184" s="17">
        <f>CHOOSE(CONTROL!$C$42, 9.3687, 9.3687) * CHOOSE(CONTROL!$C$21, $C$9, 100%, $E$9)</f>
        <v>9.3687000000000005</v>
      </c>
      <c r="O184" s="17">
        <f>CHOOSE(CONTROL!$C$42, 9.6354, 9.6354) * CHOOSE(CONTROL!$C$21, $C$9, 100%, $E$9)</f>
        <v>9.6354000000000006</v>
      </c>
      <c r="P184" s="17">
        <f>CHOOSE(CONTROL!$C$42, 9.403, 9.403) * CHOOSE(CONTROL!$C$21, $C$9, 100%, $E$9)</f>
        <v>9.4030000000000005</v>
      </c>
      <c r="Q184" s="17">
        <f>CHOOSE(CONTROL!$C$42, 10.2301, 10.2301) * CHOOSE(CONTROL!$C$21, $C$9, 100%, $E$9)</f>
        <v>10.2301</v>
      </c>
      <c r="R184" s="17">
        <f>CHOOSE(CONTROL!$C$42, 10.8426, 10.8426) * CHOOSE(CONTROL!$C$21, $C$9, 100%, $E$9)</f>
        <v>10.842599999999999</v>
      </c>
      <c r="S184" s="17">
        <f>CHOOSE(CONTROL!$C$42, 9.1311, 9.1311) * CHOOSE(CONTROL!$C$21, $C$9, 100%, $E$9)</f>
        <v>9.1311</v>
      </c>
      <c r="T184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184" s="56">
        <f>(1000*CHOOSE(CONTROL!$C$42, 695, 695)*CHOOSE(CONTROL!$C$42, 0.5599, 0.5599)*CHOOSE(CONTROL!$C$42, 30, 30))/1000000</f>
        <v>11.673914999999997</v>
      </c>
      <c r="V184" s="56">
        <f>(1000*CHOOSE(CONTROL!$C$42, 500, 500)*CHOOSE(CONTROL!$C$42, 0.275, 0.275)*CHOOSE(CONTROL!$C$42, 30, 30))/1000000</f>
        <v>4.125</v>
      </c>
      <c r="W184" s="56">
        <f>(1000*CHOOSE(CONTROL!$C$42, 0.0916, 0.0916)*CHOOSE(CONTROL!$C$42, 121.5, 121.5)*CHOOSE(CONTROL!$C$42, 30, 30))/1000000</f>
        <v>0.33388200000000001</v>
      </c>
      <c r="X184" s="56">
        <f>(30*0.1790888*145000/1000000)+(30*0.2374*100000/1000000)</f>
        <v>1.4912362799999999</v>
      </c>
      <c r="Y184" s="56"/>
      <c r="Z184" s="17"/>
      <c r="AA184" s="55"/>
      <c r="AB184" s="48">
        <f>(B184*141.293+C184*267.993+D184*115.016+E184*189.698+F184*40+G184*85+H184*0+I184*100+J184*300)/(141.293+267.993+115.016+189.698+0+40+85+100+300)</f>
        <v>9.5060721225988694</v>
      </c>
      <c r="AC184" s="45">
        <f>(M184*'RAP TEMPLATE-GAS AVAILABILITY'!O183+N184*'RAP TEMPLATE-GAS AVAILABILITY'!P183+O184*'RAP TEMPLATE-GAS AVAILABILITY'!Q183+P184*'RAP TEMPLATE-GAS AVAILABILITY'!R183)/('RAP TEMPLATE-GAS AVAILABILITY'!O183+'RAP TEMPLATE-GAS AVAILABILITY'!P183+'RAP TEMPLATE-GAS AVAILABILITY'!Q183+'RAP TEMPLATE-GAS AVAILABILITY'!R183)</f>
        <v>9.4429395683453254</v>
      </c>
    </row>
    <row r="185" spans="1:29" ht="15.75" x14ac:dyDescent="0.25">
      <c r="A185" s="16">
        <v>46143</v>
      </c>
      <c r="B185" s="17">
        <f>CHOOSE(CONTROL!$C$42, 9.531, 9.531) * CHOOSE(CONTROL!$C$21, $C$9, 100%, $E$9)</f>
        <v>9.5310000000000006</v>
      </c>
      <c r="C185" s="17">
        <f>CHOOSE(CONTROL!$C$42, 9.539, 9.539) * CHOOSE(CONTROL!$C$21, $C$9, 100%, $E$9)</f>
        <v>9.5389999999999997</v>
      </c>
      <c r="D185" s="17">
        <f>CHOOSE(CONTROL!$C$42, 9.7989, 9.7989) * CHOOSE(CONTROL!$C$21, $C$9, 100%, $E$9)</f>
        <v>9.7988999999999997</v>
      </c>
      <c r="E185" s="17">
        <f>CHOOSE(CONTROL!$C$42, 9.8301, 9.8301) * CHOOSE(CONTROL!$C$21, $C$9, 100%, $E$9)</f>
        <v>9.8300999999999998</v>
      </c>
      <c r="F185" s="17">
        <f>CHOOSE(CONTROL!$C$42, 9.5407, 9.5407)*CHOOSE(CONTROL!$C$21, $C$9, 100%, $E$9)</f>
        <v>9.5406999999999993</v>
      </c>
      <c r="G185" s="17">
        <f>CHOOSE(CONTROL!$C$42, 9.5571, 9.5571)*CHOOSE(CONTROL!$C$21, $C$9, 100%, $E$9)</f>
        <v>9.5571000000000002</v>
      </c>
      <c r="H185" s="17">
        <f>CHOOSE(CONTROL!$C$42, 9.8184, 9.8184) * CHOOSE(CONTROL!$C$21, $C$9, 100%, $E$9)</f>
        <v>9.8184000000000005</v>
      </c>
      <c r="I185" s="17">
        <f>CHOOSE(CONTROL!$C$42, 9.5844, 9.5844)* CHOOSE(CONTROL!$C$21, $C$9, 100%, $E$9)</f>
        <v>9.5844000000000005</v>
      </c>
      <c r="J185" s="17">
        <f>CHOOSE(CONTROL!$C$42, 9.5333, 9.5333)* CHOOSE(CONTROL!$C$21, $C$9, 100%, $E$9)</f>
        <v>9.5333000000000006</v>
      </c>
      <c r="K185" s="52">
        <f>CHOOSE(CONTROL!$C$42, 9.5784, 9.5784) * CHOOSE(CONTROL!$C$21, $C$9, 100%, $E$9)</f>
        <v>9.5784000000000002</v>
      </c>
      <c r="L185" s="17">
        <f>CHOOSE(CONTROL!$C$42, 10.4054, 10.4054) * CHOOSE(CONTROL!$C$21, $C$9, 100%, $E$9)</f>
        <v>10.4054</v>
      </c>
      <c r="M185" s="17">
        <f>CHOOSE(CONTROL!$C$42, 9.4545, 9.4545) * CHOOSE(CONTROL!$C$21, $C$9, 100%, $E$9)</f>
        <v>9.4544999999999995</v>
      </c>
      <c r="N185" s="17">
        <f>CHOOSE(CONTROL!$C$42, 9.4708, 9.4708) * CHOOSE(CONTROL!$C$21, $C$9, 100%, $E$9)</f>
        <v>9.4708000000000006</v>
      </c>
      <c r="O185" s="17">
        <f>CHOOSE(CONTROL!$C$42, 9.7371, 9.7371) * CHOOSE(CONTROL!$C$21, $C$9, 100%, $E$9)</f>
        <v>9.7370999999999999</v>
      </c>
      <c r="P185" s="17">
        <f>CHOOSE(CONTROL!$C$42, 9.505, 9.505) * CHOOSE(CONTROL!$C$21, $C$9, 100%, $E$9)</f>
        <v>9.5050000000000008</v>
      </c>
      <c r="Q185" s="17">
        <f>CHOOSE(CONTROL!$C$42, 10.3318, 10.3318) * CHOOSE(CONTROL!$C$21, $C$9, 100%, $E$9)</f>
        <v>10.331799999999999</v>
      </c>
      <c r="R185" s="17">
        <f>CHOOSE(CONTROL!$C$42, 10.9446, 10.9446) * CHOOSE(CONTROL!$C$21, $C$9, 100%, $E$9)</f>
        <v>10.944599999999999</v>
      </c>
      <c r="S185" s="17">
        <f>CHOOSE(CONTROL!$C$42, 9.2306, 9.2306) * CHOOSE(CONTROL!$C$21, $C$9, 100%, $E$9)</f>
        <v>9.2306000000000008</v>
      </c>
      <c r="T185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185" s="56">
        <f>(1000*CHOOSE(CONTROL!$C$42, 695, 695)*CHOOSE(CONTROL!$C$42, 0.5599, 0.5599)*CHOOSE(CONTROL!$C$42, 31, 31))/1000000</f>
        <v>12.063045499999998</v>
      </c>
      <c r="V185" s="56">
        <f>(1000*CHOOSE(CONTROL!$C$42, 500, 500)*CHOOSE(CONTROL!$C$42, 0.275, 0.275)*CHOOSE(CONTROL!$C$42, 31, 31))/1000000</f>
        <v>4.2625000000000002</v>
      </c>
      <c r="W185" s="56">
        <f>(1000*CHOOSE(CONTROL!$C$42, 0.0916, 0.0916)*CHOOSE(CONTROL!$C$42, 121.5, 121.5)*CHOOSE(CONTROL!$C$42, 31, 31))/1000000</f>
        <v>0.34501139999999997</v>
      </c>
      <c r="X185" s="56">
        <f>(31*0.1790888*145000/1000000)+(31*0.2374*100000/1000000)</f>
        <v>1.5409441560000001</v>
      </c>
      <c r="Y185" s="56"/>
      <c r="Z185" s="17"/>
      <c r="AA185" s="55"/>
      <c r="AB185" s="48">
        <f>(B185*194.205+C185*267.466+D185*133.845+E185*153.484+F185*40+G185*85+H185*0+I185*100+J185*300)/(194.205+267.466+133.845+153.484+0+40+85+100+300)</f>
        <v>9.603637651412873</v>
      </c>
      <c r="AC185" s="45">
        <f>(M185*'RAP TEMPLATE-GAS AVAILABILITY'!O184+N185*'RAP TEMPLATE-GAS AVAILABILITY'!P184+O185*'RAP TEMPLATE-GAS AVAILABILITY'!Q184+P185*'RAP TEMPLATE-GAS AVAILABILITY'!R184)/('RAP TEMPLATE-GAS AVAILABILITY'!O184+'RAP TEMPLATE-GAS AVAILABILITY'!P184+'RAP TEMPLATE-GAS AVAILABILITY'!Q184+'RAP TEMPLATE-GAS AVAILABILITY'!R184)</f>
        <v>9.5448093525179853</v>
      </c>
    </row>
    <row r="186" spans="1:29" ht="15.75" x14ac:dyDescent="0.25">
      <c r="A186" s="16">
        <v>46174</v>
      </c>
      <c r="B186" s="17">
        <f>CHOOSE(CONTROL!$C$42, 9.8211, 9.8211) * CHOOSE(CONTROL!$C$21, $C$9, 100%, $E$9)</f>
        <v>9.8210999999999995</v>
      </c>
      <c r="C186" s="17">
        <f>CHOOSE(CONTROL!$C$42, 9.8291, 9.8291) * CHOOSE(CONTROL!$C$21, $C$9, 100%, $E$9)</f>
        <v>9.8291000000000004</v>
      </c>
      <c r="D186" s="17">
        <f>CHOOSE(CONTROL!$C$42, 10.0891, 10.0891) * CHOOSE(CONTROL!$C$21, $C$9, 100%, $E$9)</f>
        <v>10.0891</v>
      </c>
      <c r="E186" s="17">
        <f>CHOOSE(CONTROL!$C$42, 10.1202, 10.1202) * CHOOSE(CONTROL!$C$21, $C$9, 100%, $E$9)</f>
        <v>10.120200000000001</v>
      </c>
      <c r="F186" s="17">
        <f>CHOOSE(CONTROL!$C$42, 9.8311, 9.8311)*CHOOSE(CONTROL!$C$21, $C$9, 100%, $E$9)</f>
        <v>9.8310999999999993</v>
      </c>
      <c r="G186" s="17">
        <f>CHOOSE(CONTROL!$C$42, 9.8476, 9.8476)*CHOOSE(CONTROL!$C$21, $C$9, 100%, $E$9)</f>
        <v>9.8475999999999999</v>
      </c>
      <c r="H186" s="17">
        <f>CHOOSE(CONTROL!$C$42, 10.1086, 10.1086) * CHOOSE(CONTROL!$C$21, $C$9, 100%, $E$9)</f>
        <v>10.108599999999999</v>
      </c>
      <c r="I186" s="17">
        <f>CHOOSE(CONTROL!$C$42, 9.8755, 9.8755)* CHOOSE(CONTROL!$C$21, $C$9, 100%, $E$9)</f>
        <v>9.8755000000000006</v>
      </c>
      <c r="J186" s="17">
        <f>CHOOSE(CONTROL!$C$42, 9.8237, 9.8237)* CHOOSE(CONTROL!$C$21, $C$9, 100%, $E$9)</f>
        <v>9.8237000000000005</v>
      </c>
      <c r="K186" s="52">
        <f>CHOOSE(CONTROL!$C$42, 9.8694, 9.8694) * CHOOSE(CONTROL!$C$21, $C$9, 100%, $E$9)</f>
        <v>9.8694000000000006</v>
      </c>
      <c r="L186" s="17">
        <f>CHOOSE(CONTROL!$C$42, 10.6956, 10.6956) * CHOOSE(CONTROL!$C$21, $C$9, 100%, $E$9)</f>
        <v>10.695600000000001</v>
      </c>
      <c r="M186" s="17">
        <f>CHOOSE(CONTROL!$C$42, 9.7424, 9.7424) * CHOOSE(CONTROL!$C$21, $C$9, 100%, $E$9)</f>
        <v>9.7423999999999999</v>
      </c>
      <c r="N186" s="17">
        <f>CHOOSE(CONTROL!$C$42, 9.7588, 9.7588) * CHOOSE(CONTROL!$C$21, $C$9, 100%, $E$9)</f>
        <v>9.7588000000000008</v>
      </c>
      <c r="O186" s="17">
        <f>CHOOSE(CONTROL!$C$42, 10.0247, 10.0247) * CHOOSE(CONTROL!$C$21, $C$9, 100%, $E$9)</f>
        <v>10.024699999999999</v>
      </c>
      <c r="P186" s="17">
        <f>CHOOSE(CONTROL!$C$42, 9.7934, 9.7934) * CHOOSE(CONTROL!$C$21, $C$9, 100%, $E$9)</f>
        <v>9.7934000000000001</v>
      </c>
      <c r="Q186" s="17">
        <f>CHOOSE(CONTROL!$C$42, 10.6194, 10.6194) * CHOOSE(CONTROL!$C$21, $C$9, 100%, $E$9)</f>
        <v>10.619400000000001</v>
      </c>
      <c r="R186" s="17">
        <f>CHOOSE(CONTROL!$C$42, 11.2329, 11.2329) * CHOOSE(CONTROL!$C$21, $C$9, 100%, $E$9)</f>
        <v>11.232900000000001</v>
      </c>
      <c r="S186" s="17">
        <f>CHOOSE(CONTROL!$C$42, 9.512, 9.512) * CHOOSE(CONTROL!$C$21, $C$9, 100%, $E$9)</f>
        <v>9.5120000000000005</v>
      </c>
      <c r="T186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186" s="56">
        <f>(1000*CHOOSE(CONTROL!$C$42, 695, 695)*CHOOSE(CONTROL!$C$42, 0.5599, 0.5599)*CHOOSE(CONTROL!$C$42, 30, 30))/1000000</f>
        <v>11.673914999999997</v>
      </c>
      <c r="V186" s="56">
        <f>(1000*CHOOSE(CONTROL!$C$42, 500, 500)*CHOOSE(CONTROL!$C$42, 0.275, 0.275)*CHOOSE(CONTROL!$C$42, 30, 30))/1000000</f>
        <v>4.125</v>
      </c>
      <c r="W186" s="56">
        <f>(1000*CHOOSE(CONTROL!$C$42, 0.0916, 0.0916)*CHOOSE(CONTROL!$C$42, 121.5, 121.5)*CHOOSE(CONTROL!$C$42, 30, 30))/1000000</f>
        <v>0.33388200000000001</v>
      </c>
      <c r="X186" s="56">
        <f>(30*0.1790888*145000/1000000)+(30*0.2374*100000/1000000)</f>
        <v>1.4912362799999999</v>
      </c>
      <c r="Y186" s="56"/>
      <c r="Z186" s="17"/>
      <c r="AA186" s="55"/>
      <c r="AB186" s="48">
        <f>(B186*194.205+C186*267.466+D186*133.845+E186*153.484+F186*40+G186*85+H186*0+I186*100+J186*300)/(194.205+267.466+133.845+153.484+0+40+85+100+300)</f>
        <v>9.893933400627942</v>
      </c>
      <c r="AC186" s="45">
        <f>(M186*'RAP TEMPLATE-GAS AVAILABILITY'!O185+N186*'RAP TEMPLATE-GAS AVAILABILITY'!P185+O186*'RAP TEMPLATE-GAS AVAILABILITY'!Q185+P186*'RAP TEMPLATE-GAS AVAILABILITY'!R185)/('RAP TEMPLATE-GAS AVAILABILITY'!O185+'RAP TEMPLATE-GAS AVAILABILITY'!P185+'RAP TEMPLATE-GAS AVAILABILITY'!Q185+'RAP TEMPLATE-GAS AVAILABILITY'!R185)</f>
        <v>9.8327201438848917</v>
      </c>
    </row>
    <row r="187" spans="1:29" ht="15.75" x14ac:dyDescent="0.25">
      <c r="A187" s="16">
        <v>46204</v>
      </c>
      <c r="B187" s="17">
        <f>CHOOSE(CONTROL!$C$42, 9.6528, 9.6528) * CHOOSE(CONTROL!$C$21, $C$9, 100%, $E$9)</f>
        <v>9.6527999999999992</v>
      </c>
      <c r="C187" s="17">
        <f>CHOOSE(CONTROL!$C$42, 9.6608, 9.6608) * CHOOSE(CONTROL!$C$21, $C$9, 100%, $E$9)</f>
        <v>9.6608000000000001</v>
      </c>
      <c r="D187" s="17">
        <f>CHOOSE(CONTROL!$C$42, 9.9207, 9.9207) * CHOOSE(CONTROL!$C$21, $C$9, 100%, $E$9)</f>
        <v>9.9207000000000001</v>
      </c>
      <c r="E187" s="17">
        <f>CHOOSE(CONTROL!$C$42, 9.9519, 9.9519) * CHOOSE(CONTROL!$C$21, $C$9, 100%, $E$9)</f>
        <v>9.9519000000000002</v>
      </c>
      <c r="F187" s="17">
        <f>CHOOSE(CONTROL!$C$42, 9.6632, 9.6632)*CHOOSE(CONTROL!$C$21, $C$9, 100%, $E$9)</f>
        <v>9.6631999999999998</v>
      </c>
      <c r="G187" s="17">
        <f>CHOOSE(CONTROL!$C$42, 9.6798, 9.6798)*CHOOSE(CONTROL!$C$21, $C$9, 100%, $E$9)</f>
        <v>9.6798000000000002</v>
      </c>
      <c r="H187" s="17">
        <f>CHOOSE(CONTROL!$C$42, 9.9402, 9.9402) * CHOOSE(CONTROL!$C$21, $C$9, 100%, $E$9)</f>
        <v>9.9402000000000008</v>
      </c>
      <c r="I187" s="17">
        <f>CHOOSE(CONTROL!$C$42, 9.7066, 9.7066)* CHOOSE(CONTROL!$C$21, $C$9, 100%, $E$9)</f>
        <v>9.7065999999999999</v>
      </c>
      <c r="J187" s="17">
        <f>CHOOSE(CONTROL!$C$42, 9.6558, 9.6558)* CHOOSE(CONTROL!$C$21, $C$9, 100%, $E$9)</f>
        <v>9.6557999999999993</v>
      </c>
      <c r="K187" s="52">
        <f>CHOOSE(CONTROL!$C$42, 9.7006, 9.7006) * CHOOSE(CONTROL!$C$21, $C$9, 100%, $E$9)</f>
        <v>9.7005999999999997</v>
      </c>
      <c r="L187" s="17">
        <f>CHOOSE(CONTROL!$C$42, 10.5272, 10.5272) * CHOOSE(CONTROL!$C$21, $C$9, 100%, $E$9)</f>
        <v>10.527200000000001</v>
      </c>
      <c r="M187" s="17">
        <f>CHOOSE(CONTROL!$C$42, 9.5759, 9.5759) * CHOOSE(CONTROL!$C$21, $C$9, 100%, $E$9)</f>
        <v>9.5759000000000007</v>
      </c>
      <c r="N187" s="17">
        <f>CHOOSE(CONTROL!$C$42, 9.5924, 9.5924) * CHOOSE(CONTROL!$C$21, $C$9, 100%, $E$9)</f>
        <v>9.5923999999999996</v>
      </c>
      <c r="O187" s="17">
        <f>CHOOSE(CONTROL!$C$42, 9.8578, 9.8578) * CHOOSE(CONTROL!$C$21, $C$9, 100%, $E$9)</f>
        <v>9.8577999999999992</v>
      </c>
      <c r="P187" s="17">
        <f>CHOOSE(CONTROL!$C$42, 9.6261, 9.6261) * CHOOSE(CONTROL!$C$21, $C$9, 100%, $E$9)</f>
        <v>9.6260999999999992</v>
      </c>
      <c r="Q187" s="17">
        <f>CHOOSE(CONTROL!$C$42, 10.4525, 10.4525) * CHOOSE(CONTROL!$C$21, $C$9, 100%, $E$9)</f>
        <v>10.452500000000001</v>
      </c>
      <c r="R187" s="17">
        <f>CHOOSE(CONTROL!$C$42, 11.0657, 11.0657) * CHOOSE(CONTROL!$C$21, $C$9, 100%, $E$9)</f>
        <v>11.0657</v>
      </c>
      <c r="S187" s="17">
        <f>CHOOSE(CONTROL!$C$42, 9.3487, 9.3487) * CHOOSE(CONTROL!$C$21, $C$9, 100%, $E$9)</f>
        <v>9.3486999999999991</v>
      </c>
      <c r="T187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187" s="56">
        <f>(1000*CHOOSE(CONTROL!$C$42, 695, 695)*CHOOSE(CONTROL!$C$42, 0.5599, 0.5599)*CHOOSE(CONTROL!$C$42, 31, 31))/1000000</f>
        <v>12.063045499999998</v>
      </c>
      <c r="V187" s="56">
        <f>(1000*CHOOSE(CONTROL!$C$42, 500, 500)*CHOOSE(CONTROL!$C$42, 0.275, 0.275)*CHOOSE(CONTROL!$C$42, 31, 31))/1000000</f>
        <v>4.2625000000000002</v>
      </c>
      <c r="W187" s="56">
        <f>(1000*CHOOSE(CONTROL!$C$42, 0.0916, 0.0916)*CHOOSE(CONTROL!$C$42, 121.5, 121.5)*CHOOSE(CONTROL!$C$42, 31, 31))/1000000</f>
        <v>0.34501139999999997</v>
      </c>
      <c r="X187" s="56">
        <f>(31*0.1790888*145000/1000000)+(31*0.2374*100000/1000000)</f>
        <v>1.5409441560000001</v>
      </c>
      <c r="Y187" s="56"/>
      <c r="Z187" s="17"/>
      <c r="AA187" s="55"/>
      <c r="AB187" s="48">
        <f>(B187*194.205+C187*267.466+D187*133.845+E187*153.484+F187*40+G187*85+H187*0+I187*100+J187*300)/(194.205+267.466+133.845+153.484+0+40+85+100+300)</f>
        <v>9.7257159088697023</v>
      </c>
      <c r="AC187" s="45">
        <f>(M187*'RAP TEMPLATE-GAS AVAILABILITY'!O186+N187*'RAP TEMPLATE-GAS AVAILABILITY'!P186+O187*'RAP TEMPLATE-GAS AVAILABILITY'!Q186+P187*'RAP TEMPLATE-GAS AVAILABILITY'!R186)/('RAP TEMPLATE-GAS AVAILABILITY'!O186+'RAP TEMPLATE-GAS AVAILABILITY'!P186+'RAP TEMPLATE-GAS AVAILABILITY'!Q186+'RAP TEMPLATE-GAS AVAILABILITY'!R186)</f>
        <v>9.6660158273381285</v>
      </c>
    </row>
    <row r="188" spans="1:29" ht="15.75" x14ac:dyDescent="0.25">
      <c r="A188" s="16">
        <v>46235</v>
      </c>
      <c r="B188" s="17">
        <f>CHOOSE(CONTROL!$C$42, 9.1955, 9.1955) * CHOOSE(CONTROL!$C$21, $C$9, 100%, $E$9)</f>
        <v>9.1954999999999991</v>
      </c>
      <c r="C188" s="17">
        <f>CHOOSE(CONTROL!$C$42, 9.2035, 9.2035) * CHOOSE(CONTROL!$C$21, $C$9, 100%, $E$9)</f>
        <v>9.2035</v>
      </c>
      <c r="D188" s="17">
        <f>CHOOSE(CONTROL!$C$42, 9.4634, 9.4634) * CHOOSE(CONTROL!$C$21, $C$9, 100%, $E$9)</f>
        <v>9.4634</v>
      </c>
      <c r="E188" s="17">
        <f>CHOOSE(CONTROL!$C$42, 9.4946, 9.4946) * CHOOSE(CONTROL!$C$21, $C$9, 100%, $E$9)</f>
        <v>9.4946000000000002</v>
      </c>
      <c r="F188" s="17">
        <f>CHOOSE(CONTROL!$C$42, 9.2061, 9.2061)*CHOOSE(CONTROL!$C$21, $C$9, 100%, $E$9)</f>
        <v>9.2060999999999993</v>
      </c>
      <c r="G188" s="17">
        <f>CHOOSE(CONTROL!$C$42, 9.2228, 9.2228)*CHOOSE(CONTROL!$C$21, $C$9, 100%, $E$9)</f>
        <v>9.2227999999999994</v>
      </c>
      <c r="H188" s="17">
        <f>CHOOSE(CONTROL!$C$42, 9.4829, 9.4829) * CHOOSE(CONTROL!$C$21, $C$9, 100%, $E$9)</f>
        <v>9.4829000000000008</v>
      </c>
      <c r="I188" s="17">
        <f>CHOOSE(CONTROL!$C$42, 9.2479, 9.2479)* CHOOSE(CONTROL!$C$21, $C$9, 100%, $E$9)</f>
        <v>9.2478999999999996</v>
      </c>
      <c r="J188" s="17">
        <f>CHOOSE(CONTROL!$C$42, 9.1987, 9.1987)* CHOOSE(CONTROL!$C$21, $C$9, 100%, $E$9)</f>
        <v>9.1987000000000005</v>
      </c>
      <c r="K188" s="52">
        <f>CHOOSE(CONTROL!$C$42, 9.2418, 9.2418) * CHOOSE(CONTROL!$C$21, $C$9, 100%, $E$9)</f>
        <v>9.2417999999999996</v>
      </c>
      <c r="L188" s="17">
        <f>CHOOSE(CONTROL!$C$42, 10.0699, 10.0699) * CHOOSE(CONTROL!$C$21, $C$9, 100%, $E$9)</f>
        <v>10.069900000000001</v>
      </c>
      <c r="M188" s="17">
        <f>CHOOSE(CONTROL!$C$42, 9.123, 9.123) * CHOOSE(CONTROL!$C$21, $C$9, 100%, $E$9)</f>
        <v>9.1229999999999993</v>
      </c>
      <c r="N188" s="17">
        <f>CHOOSE(CONTROL!$C$42, 9.1396, 9.1396) * CHOOSE(CONTROL!$C$21, $C$9, 100%, $E$9)</f>
        <v>9.1395999999999997</v>
      </c>
      <c r="O188" s="17">
        <f>CHOOSE(CONTROL!$C$42, 9.4046, 9.4046) * CHOOSE(CONTROL!$C$21, $C$9, 100%, $E$9)</f>
        <v>9.4046000000000003</v>
      </c>
      <c r="P188" s="17">
        <f>CHOOSE(CONTROL!$C$42, 9.1715, 9.1715) * CHOOSE(CONTROL!$C$21, $C$9, 100%, $E$9)</f>
        <v>9.1715</v>
      </c>
      <c r="Q188" s="17">
        <f>CHOOSE(CONTROL!$C$42, 9.9993, 9.9993) * CHOOSE(CONTROL!$C$21, $C$9, 100%, $E$9)</f>
        <v>9.9992999999999999</v>
      </c>
      <c r="R188" s="17">
        <f>CHOOSE(CONTROL!$C$42, 10.6113, 10.6113) * CHOOSE(CONTROL!$C$21, $C$9, 100%, $E$9)</f>
        <v>10.6113</v>
      </c>
      <c r="S188" s="17">
        <f>CHOOSE(CONTROL!$C$42, 8.9053, 8.9053) * CHOOSE(CONTROL!$C$21, $C$9, 100%, $E$9)</f>
        <v>8.9053000000000004</v>
      </c>
      <c r="T188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188" s="56">
        <f>(1000*CHOOSE(CONTROL!$C$42, 695, 695)*CHOOSE(CONTROL!$C$42, 0.5599, 0.5599)*CHOOSE(CONTROL!$C$42, 31, 31))/1000000</f>
        <v>12.063045499999998</v>
      </c>
      <c r="V188" s="56">
        <f>(1000*CHOOSE(CONTROL!$C$42, 500, 500)*CHOOSE(CONTROL!$C$42, 0.275, 0.275)*CHOOSE(CONTROL!$C$42, 31, 31))/1000000</f>
        <v>4.2625000000000002</v>
      </c>
      <c r="W188" s="56">
        <f>(1000*CHOOSE(CONTROL!$C$42, 0.0916, 0.0916)*CHOOSE(CONTROL!$C$42, 121.5, 121.5)*CHOOSE(CONTROL!$C$42, 31, 31))/1000000</f>
        <v>0.34501139999999997</v>
      </c>
      <c r="X188" s="56">
        <f>(31*0.1790888*145000/1000000)+(31*0.2374*100000/1000000)</f>
        <v>1.5409441560000001</v>
      </c>
      <c r="Y188" s="56"/>
      <c r="Z188" s="17"/>
      <c r="AA188" s="55"/>
      <c r="AB188" s="48">
        <f>(B188*194.205+C188*267.466+D188*133.845+E188*153.484+F188*40+G188*85+H188*0+I188*100+J188*300)/(194.205+267.466+133.845+153.484+0+40+85+100+300)</f>
        <v>9.2683794096546315</v>
      </c>
      <c r="AC188" s="45">
        <f>(M188*'RAP TEMPLATE-GAS AVAILABILITY'!O187+N188*'RAP TEMPLATE-GAS AVAILABILITY'!P187+O188*'RAP TEMPLATE-GAS AVAILABILITY'!Q187+P188*'RAP TEMPLATE-GAS AVAILABILITY'!R187)/('RAP TEMPLATE-GAS AVAILABILITY'!O187+'RAP TEMPLATE-GAS AVAILABILITY'!P187+'RAP TEMPLATE-GAS AVAILABILITY'!Q187+'RAP TEMPLATE-GAS AVAILABILITY'!R187)</f>
        <v>9.2128100719424459</v>
      </c>
    </row>
    <row r="189" spans="1:29" ht="15.75" x14ac:dyDescent="0.25">
      <c r="A189" s="16">
        <v>46266</v>
      </c>
      <c r="B189" s="17">
        <f>CHOOSE(CONTROL!$C$42, 8.63, 8.63) * CHOOSE(CONTROL!$C$21, $C$9, 100%, $E$9)</f>
        <v>8.6300000000000008</v>
      </c>
      <c r="C189" s="17">
        <f>CHOOSE(CONTROL!$C$42, 8.6379, 8.6379) * CHOOSE(CONTROL!$C$21, $C$9, 100%, $E$9)</f>
        <v>8.6379000000000001</v>
      </c>
      <c r="D189" s="17">
        <f>CHOOSE(CONTROL!$C$42, 8.8979, 8.8979) * CHOOSE(CONTROL!$C$21, $C$9, 100%, $E$9)</f>
        <v>8.8978999999999999</v>
      </c>
      <c r="E189" s="17">
        <f>CHOOSE(CONTROL!$C$42, 8.9291, 8.9291) * CHOOSE(CONTROL!$C$21, $C$9, 100%, $E$9)</f>
        <v>8.9291</v>
      </c>
      <c r="F189" s="17">
        <f>CHOOSE(CONTROL!$C$42, 8.6406, 8.6406)*CHOOSE(CONTROL!$C$21, $C$9, 100%, $E$9)</f>
        <v>8.6405999999999992</v>
      </c>
      <c r="G189" s="17">
        <f>CHOOSE(CONTROL!$C$42, 8.6573, 8.6573)*CHOOSE(CONTROL!$C$21, $C$9, 100%, $E$9)</f>
        <v>8.6572999999999993</v>
      </c>
      <c r="H189" s="17">
        <f>CHOOSE(CONTROL!$C$42, 8.9174, 8.9174) * CHOOSE(CONTROL!$C$21, $C$9, 100%, $E$9)</f>
        <v>8.9174000000000007</v>
      </c>
      <c r="I189" s="17">
        <f>CHOOSE(CONTROL!$C$42, 8.6806, 8.6806)* CHOOSE(CONTROL!$C$21, $C$9, 100%, $E$9)</f>
        <v>8.6806000000000001</v>
      </c>
      <c r="J189" s="17">
        <f>CHOOSE(CONTROL!$C$42, 8.6332, 8.6332)* CHOOSE(CONTROL!$C$21, $C$9, 100%, $E$9)</f>
        <v>8.6332000000000004</v>
      </c>
      <c r="K189" s="52">
        <f>CHOOSE(CONTROL!$C$42, 8.6745, 8.6745) * CHOOSE(CONTROL!$C$21, $C$9, 100%, $E$9)</f>
        <v>8.6745000000000001</v>
      </c>
      <c r="L189" s="17">
        <f>CHOOSE(CONTROL!$C$42, 9.5044, 9.5044) * CHOOSE(CONTROL!$C$21, $C$9, 100%, $E$9)</f>
        <v>9.5044000000000004</v>
      </c>
      <c r="M189" s="17">
        <f>CHOOSE(CONTROL!$C$42, 8.5626, 8.5626) * CHOOSE(CONTROL!$C$21, $C$9, 100%, $E$9)</f>
        <v>8.5625999999999998</v>
      </c>
      <c r="N189" s="17">
        <f>CHOOSE(CONTROL!$C$42, 8.5791, 8.5791) * CHOOSE(CONTROL!$C$21, $C$9, 100%, $E$9)</f>
        <v>8.5791000000000004</v>
      </c>
      <c r="O189" s="17">
        <f>CHOOSE(CONTROL!$C$42, 8.8442, 8.8442) * CHOOSE(CONTROL!$C$21, $C$9, 100%, $E$9)</f>
        <v>8.8442000000000007</v>
      </c>
      <c r="P189" s="17">
        <f>CHOOSE(CONTROL!$C$42, 8.6093, 8.6093) * CHOOSE(CONTROL!$C$21, $C$9, 100%, $E$9)</f>
        <v>8.6092999999999993</v>
      </c>
      <c r="Q189" s="17">
        <f>CHOOSE(CONTROL!$C$42, 9.4389, 9.4389) * CHOOSE(CONTROL!$C$21, $C$9, 100%, $E$9)</f>
        <v>9.4389000000000003</v>
      </c>
      <c r="R189" s="17">
        <f>CHOOSE(CONTROL!$C$42, 10.0495, 10.0495) * CHOOSE(CONTROL!$C$21, $C$9, 100%, $E$9)</f>
        <v>10.0495</v>
      </c>
      <c r="S189" s="17">
        <f>CHOOSE(CONTROL!$C$42, 8.3569, 8.3569) * CHOOSE(CONTROL!$C$21, $C$9, 100%, $E$9)</f>
        <v>8.3568999999999996</v>
      </c>
      <c r="T189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189" s="56">
        <f>(1000*CHOOSE(CONTROL!$C$42, 695, 695)*CHOOSE(CONTROL!$C$42, 0.5599, 0.5599)*CHOOSE(CONTROL!$C$42, 30, 30))/1000000</f>
        <v>11.673914999999997</v>
      </c>
      <c r="V189" s="56">
        <f>(1000*CHOOSE(CONTROL!$C$42, 500, 500)*CHOOSE(CONTROL!$C$42, 0.275, 0.275)*CHOOSE(CONTROL!$C$42, 30, 30))/1000000</f>
        <v>4.125</v>
      </c>
      <c r="W189" s="56">
        <f>(1000*CHOOSE(CONTROL!$C$42, 0.0916, 0.0916)*CHOOSE(CONTROL!$C$42, 121.5, 121.5)*CHOOSE(CONTROL!$C$42, 30, 30))/1000000</f>
        <v>0.33388200000000001</v>
      </c>
      <c r="X189" s="56">
        <f>(30*0.1790888*145000/1000000)+(30*0.2374*100000/1000000)</f>
        <v>1.4912362799999999</v>
      </c>
      <c r="Y189" s="56"/>
      <c r="Z189" s="17"/>
      <c r="AA189" s="55"/>
      <c r="AB189" s="48">
        <f>(B189*194.205+C189*267.466+D189*133.845+E189*153.484+F189*40+G189*85+H189*0+I189*100+J189*300)/(194.205+267.466+133.845+153.484+0+40+85+100+300)</f>
        <v>8.7027171281789641</v>
      </c>
      <c r="AC189" s="45">
        <f>(M189*'RAP TEMPLATE-GAS AVAILABILITY'!O188+N189*'RAP TEMPLATE-GAS AVAILABILITY'!P188+O189*'RAP TEMPLATE-GAS AVAILABILITY'!Q188+P189*'RAP TEMPLATE-GAS AVAILABILITY'!R188)/('RAP TEMPLATE-GAS AVAILABILITY'!O188+'RAP TEMPLATE-GAS AVAILABILITY'!P188+'RAP TEMPLATE-GAS AVAILABILITY'!Q188+'RAP TEMPLATE-GAS AVAILABILITY'!R188)</f>
        <v>8.6521280575539574</v>
      </c>
    </row>
    <row r="190" spans="1:29" ht="15.75" x14ac:dyDescent="0.25">
      <c r="A190" s="16">
        <v>46296</v>
      </c>
      <c r="B190" s="17">
        <f>CHOOSE(CONTROL!$C$42, 8.4707, 8.4707) * CHOOSE(CONTROL!$C$21, $C$9, 100%, $E$9)</f>
        <v>8.4707000000000008</v>
      </c>
      <c r="C190" s="17">
        <f>CHOOSE(CONTROL!$C$42, 8.476, 8.476) * CHOOSE(CONTROL!$C$21, $C$9, 100%, $E$9)</f>
        <v>8.4760000000000009</v>
      </c>
      <c r="D190" s="17">
        <f>CHOOSE(CONTROL!$C$42, 8.7408, 8.7408) * CHOOSE(CONTROL!$C$21, $C$9, 100%, $E$9)</f>
        <v>8.7408000000000001</v>
      </c>
      <c r="E190" s="17">
        <f>CHOOSE(CONTROL!$C$42, 8.7697, 8.7697) * CHOOSE(CONTROL!$C$21, $C$9, 100%, $E$9)</f>
        <v>8.7697000000000003</v>
      </c>
      <c r="F190" s="17">
        <f>CHOOSE(CONTROL!$C$42, 8.4835, 8.4835)*CHOOSE(CONTROL!$C$21, $C$9, 100%, $E$9)</f>
        <v>8.4834999999999994</v>
      </c>
      <c r="G190" s="17">
        <f>CHOOSE(CONTROL!$C$42, 8.5001, 8.5001)*CHOOSE(CONTROL!$C$21, $C$9, 100%, $E$9)</f>
        <v>8.5000999999999998</v>
      </c>
      <c r="H190" s="17">
        <f>CHOOSE(CONTROL!$C$42, 8.7598, 8.7598) * CHOOSE(CONTROL!$C$21, $C$9, 100%, $E$9)</f>
        <v>8.7598000000000003</v>
      </c>
      <c r="I190" s="17">
        <f>CHOOSE(CONTROL!$C$42, 8.5225, 8.5225)* CHOOSE(CONTROL!$C$21, $C$9, 100%, $E$9)</f>
        <v>8.5225000000000009</v>
      </c>
      <c r="J190" s="17">
        <f>CHOOSE(CONTROL!$C$42, 8.4761, 8.4761)* CHOOSE(CONTROL!$C$21, $C$9, 100%, $E$9)</f>
        <v>8.4761000000000006</v>
      </c>
      <c r="K190" s="52">
        <f>CHOOSE(CONTROL!$C$42, 8.5165, 8.5165) * CHOOSE(CONTROL!$C$21, $C$9, 100%, $E$9)</f>
        <v>8.5165000000000006</v>
      </c>
      <c r="L190" s="17">
        <f>CHOOSE(CONTROL!$C$42, 9.3468, 9.3468) * CHOOSE(CONTROL!$C$21, $C$9, 100%, $E$9)</f>
        <v>9.3468</v>
      </c>
      <c r="M190" s="17">
        <f>CHOOSE(CONTROL!$C$42, 8.4069, 8.4069) * CHOOSE(CONTROL!$C$21, $C$9, 100%, $E$9)</f>
        <v>8.4069000000000003</v>
      </c>
      <c r="N190" s="17">
        <f>CHOOSE(CONTROL!$C$42, 8.4233, 8.4233) * CHOOSE(CONTROL!$C$21, $C$9, 100%, $E$9)</f>
        <v>8.4232999999999993</v>
      </c>
      <c r="O190" s="17">
        <f>CHOOSE(CONTROL!$C$42, 8.688, 8.688) * CHOOSE(CONTROL!$C$21, $C$9, 100%, $E$9)</f>
        <v>8.6880000000000006</v>
      </c>
      <c r="P190" s="17">
        <f>CHOOSE(CONTROL!$C$42, 8.4527, 8.4527) * CHOOSE(CONTROL!$C$21, $C$9, 100%, $E$9)</f>
        <v>8.4527000000000001</v>
      </c>
      <c r="Q190" s="17">
        <f>CHOOSE(CONTROL!$C$42, 9.2827, 9.2827) * CHOOSE(CONTROL!$C$21, $C$9, 100%, $E$9)</f>
        <v>9.2827000000000002</v>
      </c>
      <c r="R190" s="17">
        <f>CHOOSE(CONTROL!$C$42, 9.8929, 9.8929) * CHOOSE(CONTROL!$C$21, $C$9, 100%, $E$9)</f>
        <v>9.8928999999999991</v>
      </c>
      <c r="S190" s="17">
        <f>CHOOSE(CONTROL!$C$42, 8.2041, 8.2041) * CHOOSE(CONTROL!$C$21, $C$9, 100%, $E$9)</f>
        <v>8.2041000000000004</v>
      </c>
      <c r="T190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190" s="56">
        <f>(1000*CHOOSE(CONTROL!$C$42, 695, 695)*CHOOSE(CONTROL!$C$42, 0.5599, 0.5599)*CHOOSE(CONTROL!$C$42, 31, 31))/1000000</f>
        <v>12.063045499999998</v>
      </c>
      <c r="V190" s="56">
        <f>(1000*CHOOSE(CONTROL!$C$42, 500, 500)*CHOOSE(CONTROL!$C$42, 0.275, 0.275)*CHOOSE(CONTROL!$C$42, 31, 31))/1000000</f>
        <v>4.2625000000000002</v>
      </c>
      <c r="W190" s="56">
        <f>(1000*CHOOSE(CONTROL!$C$42, 0.0916, 0.0916)*CHOOSE(CONTROL!$C$42, 121.5, 121.5)*CHOOSE(CONTROL!$C$42, 31, 31))/1000000</f>
        <v>0.34501139999999997</v>
      </c>
      <c r="X190" s="56">
        <f>(31*0.1790888*145000/1000000)+(31*0.2374*100000/1000000)</f>
        <v>1.5409441560000001</v>
      </c>
      <c r="Y190" s="56"/>
      <c r="Z190" s="17"/>
      <c r="AA190" s="55"/>
      <c r="AB190" s="48">
        <f>(B190*131.881+C190*277.167+D190*79.08+E190*225.872+F190*40+G190*85+H190*0+I190*100+J190*300)/(131.881+277.167+79.08+225.872+0+40+85+100+300)</f>
        <v>8.5515516715899942</v>
      </c>
      <c r="AC190" s="45">
        <f>(M190*'RAP TEMPLATE-GAS AVAILABILITY'!O189+N190*'RAP TEMPLATE-GAS AVAILABILITY'!P189+O190*'RAP TEMPLATE-GAS AVAILABILITY'!Q189+P190*'RAP TEMPLATE-GAS AVAILABILITY'!R189)/('RAP TEMPLATE-GAS AVAILABILITY'!O189+'RAP TEMPLATE-GAS AVAILABILITY'!P189+'RAP TEMPLATE-GAS AVAILABILITY'!Q189+'RAP TEMPLATE-GAS AVAILABILITY'!R189)</f>
        <v>8.4961352517985613</v>
      </c>
    </row>
    <row r="191" spans="1:29" ht="15.75" x14ac:dyDescent="0.25">
      <c r="A191" s="16">
        <v>46327</v>
      </c>
      <c r="B191" s="17">
        <f>CHOOSE(CONTROL!$C$42, 8.711, 8.711) * CHOOSE(CONTROL!$C$21, $C$9, 100%, $E$9)</f>
        <v>8.7110000000000003</v>
      </c>
      <c r="C191" s="17">
        <f>CHOOSE(CONTROL!$C$42, 8.7161, 8.7161) * CHOOSE(CONTROL!$C$21, $C$9, 100%, $E$9)</f>
        <v>8.7161000000000008</v>
      </c>
      <c r="D191" s="17">
        <f>CHOOSE(CONTROL!$C$42, 8.8568, 8.8568) * CHOOSE(CONTROL!$C$21, $C$9, 100%, $E$9)</f>
        <v>8.8567999999999998</v>
      </c>
      <c r="E191" s="17">
        <f>CHOOSE(CONTROL!$C$42, 8.8905, 8.8905) * CHOOSE(CONTROL!$C$21, $C$9, 100%, $E$9)</f>
        <v>8.8904999999999994</v>
      </c>
      <c r="F191" s="17">
        <f>CHOOSE(CONTROL!$C$42, 8.7243, 8.7243)*CHOOSE(CONTROL!$C$21, $C$9, 100%, $E$9)</f>
        <v>8.7242999999999995</v>
      </c>
      <c r="G191" s="17">
        <f>CHOOSE(CONTROL!$C$42, 8.7412, 8.7412)*CHOOSE(CONTROL!$C$21, $C$9, 100%, $E$9)</f>
        <v>8.7411999999999992</v>
      </c>
      <c r="H191" s="17">
        <f>CHOOSE(CONTROL!$C$42, 8.8794, 8.8794) * CHOOSE(CONTROL!$C$21, $C$9, 100%, $E$9)</f>
        <v>8.8794000000000004</v>
      </c>
      <c r="I191" s="17">
        <f>CHOOSE(CONTROL!$C$42, 8.7604, 8.7604)* CHOOSE(CONTROL!$C$21, $C$9, 100%, $E$9)</f>
        <v>8.7604000000000006</v>
      </c>
      <c r="J191" s="17">
        <f>CHOOSE(CONTROL!$C$42, 8.7169, 8.7169)* CHOOSE(CONTROL!$C$21, $C$9, 100%, $E$9)</f>
        <v>8.7169000000000008</v>
      </c>
      <c r="K191" s="52">
        <f>CHOOSE(CONTROL!$C$42, 8.7544, 8.7544) * CHOOSE(CONTROL!$C$21, $C$9, 100%, $E$9)</f>
        <v>8.7544000000000004</v>
      </c>
      <c r="L191" s="17">
        <f>CHOOSE(CONTROL!$C$42, 9.4664, 9.4664) * CHOOSE(CONTROL!$C$21, $C$9, 100%, $E$9)</f>
        <v>9.4664000000000001</v>
      </c>
      <c r="M191" s="17">
        <f>CHOOSE(CONTROL!$C$42, 8.6455, 8.6455) * CHOOSE(CONTROL!$C$21, $C$9, 100%, $E$9)</f>
        <v>8.6455000000000002</v>
      </c>
      <c r="N191" s="17">
        <f>CHOOSE(CONTROL!$C$42, 8.6622, 8.6622) * CHOOSE(CONTROL!$C$21, $C$9, 100%, $E$9)</f>
        <v>8.6622000000000003</v>
      </c>
      <c r="O191" s="17">
        <f>CHOOSE(CONTROL!$C$42, 8.8065, 8.8065) * CHOOSE(CONTROL!$C$21, $C$9, 100%, $E$9)</f>
        <v>8.8064999999999998</v>
      </c>
      <c r="P191" s="17">
        <f>CHOOSE(CONTROL!$C$42, 8.6884, 8.6884) * CHOOSE(CONTROL!$C$21, $C$9, 100%, $E$9)</f>
        <v>8.6883999999999997</v>
      </c>
      <c r="Q191" s="17">
        <f>CHOOSE(CONTROL!$C$42, 9.4012, 9.4012) * CHOOSE(CONTROL!$C$21, $C$9, 100%, $E$9)</f>
        <v>9.4011999999999993</v>
      </c>
      <c r="R191" s="17">
        <f>CHOOSE(CONTROL!$C$42, 10.0117, 10.0117) * CHOOSE(CONTROL!$C$21, $C$9, 100%, $E$9)</f>
        <v>10.011699999999999</v>
      </c>
      <c r="S191" s="17">
        <f>CHOOSE(CONTROL!$C$42, 8.4376, 8.4376) * CHOOSE(CONTROL!$C$21, $C$9, 100%, $E$9)</f>
        <v>8.4375999999999998</v>
      </c>
      <c r="T191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191" s="56">
        <f>(1000*CHOOSE(CONTROL!$C$42, 695, 695)*CHOOSE(CONTROL!$C$42, 0.5599, 0.5599)*CHOOSE(CONTROL!$C$42, 30, 30))/1000000</f>
        <v>11.673914999999997</v>
      </c>
      <c r="V191" s="56">
        <f>(1000*CHOOSE(CONTROL!$C$42, 500, 500)*CHOOSE(CONTROL!$C$42, 0.275, 0.275)*CHOOSE(CONTROL!$C$42, 30, 30))/1000000</f>
        <v>4.125</v>
      </c>
      <c r="W191" s="56">
        <f>(1000*CHOOSE(CONTROL!$C$42, 0.0916, 0.0916)*CHOOSE(CONTROL!$C$42, 121.5, 121.5)*CHOOSE(CONTROL!$C$42, 30, 30))/1000000</f>
        <v>0.33388200000000001</v>
      </c>
      <c r="X191" s="56">
        <f>(30*0.2374*100000/1000000)</f>
        <v>0.71220000000000006</v>
      </c>
      <c r="Y191" s="56"/>
      <c r="Z191" s="17"/>
      <c r="AA191" s="55"/>
      <c r="AB191" s="48">
        <f>(B191*122.58+C191*297.941+D191*89.177+E191*140.302+F191*40+G191*60+H191*0+I191*100+J191*300)/(122.58+297.941+89.177+140.302+0+40+60+100+300)</f>
        <v>8.7533997519130438</v>
      </c>
      <c r="AC191" s="45">
        <f>(M191*'RAP TEMPLATE-GAS AVAILABILITY'!O190+N191*'RAP TEMPLATE-GAS AVAILABILITY'!P190+O191*'RAP TEMPLATE-GAS AVAILABILITY'!Q190+P191*'RAP TEMPLATE-GAS AVAILABILITY'!R190)/('RAP TEMPLATE-GAS AVAILABILITY'!O190+'RAP TEMPLATE-GAS AVAILABILITY'!P190+'RAP TEMPLATE-GAS AVAILABILITY'!Q190+'RAP TEMPLATE-GAS AVAILABILITY'!R190)</f>
        <v>8.7256050359712241</v>
      </c>
    </row>
    <row r="192" spans="1:29" ht="15.75" x14ac:dyDescent="0.25">
      <c r="A192" s="16">
        <v>46357</v>
      </c>
      <c r="B192" s="17">
        <f>CHOOSE(CONTROL!$C$42, 9.3233, 9.3233) * CHOOSE(CONTROL!$C$21, $C$9, 100%, $E$9)</f>
        <v>9.3232999999999997</v>
      </c>
      <c r="C192" s="17">
        <f>CHOOSE(CONTROL!$C$42, 9.3284, 9.3284) * CHOOSE(CONTROL!$C$21, $C$9, 100%, $E$9)</f>
        <v>9.3284000000000002</v>
      </c>
      <c r="D192" s="17">
        <f>CHOOSE(CONTROL!$C$42, 9.4691, 9.4691) * CHOOSE(CONTROL!$C$21, $C$9, 100%, $E$9)</f>
        <v>9.4690999999999992</v>
      </c>
      <c r="E192" s="17">
        <f>CHOOSE(CONTROL!$C$42, 9.5028, 9.5028) * CHOOSE(CONTROL!$C$21, $C$9, 100%, $E$9)</f>
        <v>9.5028000000000006</v>
      </c>
      <c r="F192" s="17">
        <f>CHOOSE(CONTROL!$C$42, 9.3391, 9.3391)*CHOOSE(CONTROL!$C$21, $C$9, 100%, $E$9)</f>
        <v>9.3391000000000002</v>
      </c>
      <c r="G192" s="17">
        <f>CHOOSE(CONTROL!$C$42, 9.3565, 9.3565)*CHOOSE(CONTROL!$C$21, $C$9, 100%, $E$9)</f>
        <v>9.3565000000000005</v>
      </c>
      <c r="H192" s="17">
        <f>CHOOSE(CONTROL!$C$42, 9.4917, 9.4917) * CHOOSE(CONTROL!$C$21, $C$9, 100%, $E$9)</f>
        <v>9.4916999999999998</v>
      </c>
      <c r="I192" s="17">
        <f>CHOOSE(CONTROL!$C$42, 9.3746, 9.3746)* CHOOSE(CONTROL!$C$21, $C$9, 100%, $E$9)</f>
        <v>9.3745999999999992</v>
      </c>
      <c r="J192" s="17">
        <f>CHOOSE(CONTROL!$C$42, 9.3317, 9.3317)* CHOOSE(CONTROL!$C$21, $C$9, 100%, $E$9)</f>
        <v>9.3316999999999997</v>
      </c>
      <c r="K192" s="52">
        <f>CHOOSE(CONTROL!$C$42, 9.3686, 9.3686) * CHOOSE(CONTROL!$C$21, $C$9, 100%, $E$9)</f>
        <v>9.3686000000000007</v>
      </c>
      <c r="L192" s="17">
        <f>CHOOSE(CONTROL!$C$42, 10.0787, 10.0787) * CHOOSE(CONTROL!$C$21, $C$9, 100%, $E$9)</f>
        <v>10.0787</v>
      </c>
      <c r="M192" s="17">
        <f>CHOOSE(CONTROL!$C$42, 9.2547, 9.2547) * CHOOSE(CONTROL!$C$21, $C$9, 100%, $E$9)</f>
        <v>9.2546999999999997</v>
      </c>
      <c r="N192" s="17">
        <f>CHOOSE(CONTROL!$C$42, 9.2721, 9.2721) * CHOOSE(CONTROL!$C$21, $C$9, 100%, $E$9)</f>
        <v>9.2721</v>
      </c>
      <c r="O192" s="17">
        <f>CHOOSE(CONTROL!$C$42, 9.4134, 9.4134) * CHOOSE(CONTROL!$C$21, $C$9, 100%, $E$9)</f>
        <v>9.4133999999999993</v>
      </c>
      <c r="P192" s="17">
        <f>CHOOSE(CONTROL!$C$42, 9.2971, 9.2971) * CHOOSE(CONTROL!$C$21, $C$9, 100%, $E$9)</f>
        <v>9.2971000000000004</v>
      </c>
      <c r="Q192" s="17">
        <f>CHOOSE(CONTROL!$C$42, 10.0081, 10.0081) * CHOOSE(CONTROL!$C$21, $C$9, 100%, $E$9)</f>
        <v>10.008100000000001</v>
      </c>
      <c r="R192" s="17">
        <f>CHOOSE(CONTROL!$C$42, 10.6201, 10.6201) * CHOOSE(CONTROL!$C$21, $C$9, 100%, $E$9)</f>
        <v>10.620100000000001</v>
      </c>
      <c r="S192" s="17">
        <f>CHOOSE(CONTROL!$C$42, 9.0313, 9.0313) * CHOOSE(CONTROL!$C$21, $C$9, 100%, $E$9)</f>
        <v>9.0312999999999999</v>
      </c>
      <c r="T192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192" s="56">
        <f>(1000*CHOOSE(CONTROL!$C$42, 695, 695)*CHOOSE(CONTROL!$C$42, 0.5599, 0.5599)*CHOOSE(CONTROL!$C$42, 31, 31))/1000000</f>
        <v>12.063045499999998</v>
      </c>
      <c r="V192" s="56">
        <f>(1000*CHOOSE(CONTROL!$C$42, 500, 500)*CHOOSE(CONTROL!$C$42, 0.275, 0.275)*CHOOSE(CONTROL!$C$42, 31, 31))/1000000</f>
        <v>4.2625000000000002</v>
      </c>
      <c r="W192" s="56">
        <f>(1000*CHOOSE(CONTROL!$C$42, 0.0916, 0.0916)*CHOOSE(CONTROL!$C$42, 121.5, 121.5)*CHOOSE(CONTROL!$C$42, 31, 31))/1000000</f>
        <v>0.34501139999999997</v>
      </c>
      <c r="X192" s="56">
        <f>(31*0.2374*100000/1000000)</f>
        <v>0.73594000000000004</v>
      </c>
      <c r="Y192" s="56"/>
      <c r="Z192" s="17"/>
      <c r="AA192" s="55"/>
      <c r="AB192" s="48">
        <f>(B192*122.58+C192*297.941+D192*89.177+E192*140.302+F192*40+G192*60+H192*0+I192*100+J192*300)/(122.58+297.941+89.177+140.302+0+40+60+100+300)</f>
        <v>9.3667606214782619</v>
      </c>
      <c r="AC192" s="45">
        <f>(M192*'RAP TEMPLATE-GAS AVAILABILITY'!O191+N192*'RAP TEMPLATE-GAS AVAILABILITY'!P191+O192*'RAP TEMPLATE-GAS AVAILABILITY'!Q191+P192*'RAP TEMPLATE-GAS AVAILABILITY'!R191)/('RAP TEMPLATE-GAS AVAILABILITY'!O191+'RAP TEMPLATE-GAS AVAILABILITY'!P191+'RAP TEMPLATE-GAS AVAILABILITY'!Q191+'RAP TEMPLATE-GAS AVAILABILITY'!R191)</f>
        <v>9.3337309352517988</v>
      </c>
    </row>
    <row r="193" spans="1:29" ht="15.75" x14ac:dyDescent="0.25">
      <c r="A193" s="16">
        <v>46388</v>
      </c>
      <c r="B193" s="17">
        <f>CHOOSE(CONTROL!$C$42, 9.8267, 9.8267) * CHOOSE(CONTROL!$C$21, $C$9, 100%, $E$9)</f>
        <v>9.8267000000000007</v>
      </c>
      <c r="C193" s="17">
        <f>CHOOSE(CONTROL!$C$42, 9.8318, 9.8318) * CHOOSE(CONTROL!$C$21, $C$9, 100%, $E$9)</f>
        <v>9.8317999999999994</v>
      </c>
      <c r="D193" s="17">
        <f>CHOOSE(CONTROL!$C$42, 9.9658, 9.9658) * CHOOSE(CONTROL!$C$21, $C$9, 100%, $E$9)</f>
        <v>9.9657999999999998</v>
      </c>
      <c r="E193" s="17">
        <f>CHOOSE(CONTROL!$C$42, 9.9995, 9.9995) * CHOOSE(CONTROL!$C$21, $C$9, 100%, $E$9)</f>
        <v>9.9994999999999994</v>
      </c>
      <c r="F193" s="17">
        <f>CHOOSE(CONTROL!$C$42, 9.8402, 9.8402)*CHOOSE(CONTROL!$C$21, $C$9, 100%, $E$9)</f>
        <v>9.8401999999999994</v>
      </c>
      <c r="G193" s="17">
        <f>CHOOSE(CONTROL!$C$42, 9.8571, 9.8571)*CHOOSE(CONTROL!$C$21, $C$9, 100%, $E$9)</f>
        <v>9.8571000000000009</v>
      </c>
      <c r="H193" s="17">
        <f>CHOOSE(CONTROL!$C$42, 9.9884, 9.9884) * CHOOSE(CONTROL!$C$21, $C$9, 100%, $E$9)</f>
        <v>9.9884000000000004</v>
      </c>
      <c r="I193" s="17">
        <f>CHOOSE(CONTROL!$C$42, 9.8837, 9.8837)* CHOOSE(CONTROL!$C$21, $C$9, 100%, $E$9)</f>
        <v>9.8836999999999993</v>
      </c>
      <c r="J193" s="17">
        <f>CHOOSE(CONTROL!$C$42, 9.8328, 9.8328)* CHOOSE(CONTROL!$C$21, $C$9, 100%, $E$9)</f>
        <v>9.8328000000000007</v>
      </c>
      <c r="K193" s="52">
        <f>CHOOSE(CONTROL!$C$42, 9.8777, 9.8777) * CHOOSE(CONTROL!$C$21, $C$9, 100%, $E$9)</f>
        <v>9.8777000000000008</v>
      </c>
      <c r="L193" s="17">
        <f>CHOOSE(CONTROL!$C$42, 10.5754, 10.5754) * CHOOSE(CONTROL!$C$21, $C$9, 100%, $E$9)</f>
        <v>10.5754</v>
      </c>
      <c r="M193" s="17">
        <f>CHOOSE(CONTROL!$C$42, 9.7513, 9.7513) * CHOOSE(CONTROL!$C$21, $C$9, 100%, $E$9)</f>
        <v>9.7513000000000005</v>
      </c>
      <c r="N193" s="17">
        <f>CHOOSE(CONTROL!$C$42, 9.7681, 9.7681) * CHOOSE(CONTROL!$C$21, $C$9, 100%, $E$9)</f>
        <v>9.7681000000000004</v>
      </c>
      <c r="O193" s="17">
        <f>CHOOSE(CONTROL!$C$42, 9.9056, 9.9056) * CHOOSE(CONTROL!$C$21, $C$9, 100%, $E$9)</f>
        <v>9.9055999999999997</v>
      </c>
      <c r="P193" s="17">
        <f>CHOOSE(CONTROL!$C$42, 9.8016, 9.8016) * CHOOSE(CONTROL!$C$21, $C$9, 100%, $E$9)</f>
        <v>9.8016000000000005</v>
      </c>
      <c r="Q193" s="17">
        <f>CHOOSE(CONTROL!$C$42, 10.5003, 10.5003) * CHOOSE(CONTROL!$C$21, $C$9, 100%, $E$9)</f>
        <v>10.500299999999999</v>
      </c>
      <c r="R193" s="17">
        <f>CHOOSE(CONTROL!$C$42, 11.1135, 11.1135) * CHOOSE(CONTROL!$C$21, $C$9, 100%, $E$9)</f>
        <v>11.1135</v>
      </c>
      <c r="S193" s="17">
        <f>CHOOSE(CONTROL!$C$42, 9.5195, 9.5195) * CHOOSE(CONTROL!$C$21, $C$9, 100%, $E$9)</f>
        <v>9.5195000000000007</v>
      </c>
      <c r="T193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193" s="56">
        <f>(1000*CHOOSE(CONTROL!$C$42, 695, 695)*CHOOSE(CONTROL!$C$42, 0.5599, 0.5599)*CHOOSE(CONTROL!$C$42, 31, 31))/1000000</f>
        <v>12.063045499999998</v>
      </c>
      <c r="V193" s="56">
        <f>(1000*CHOOSE(CONTROL!$C$42, 500, 500)*CHOOSE(CONTROL!$C$42, 0.275, 0.275)*CHOOSE(CONTROL!$C$42, 31, 31))/1000000</f>
        <v>4.2625000000000002</v>
      </c>
      <c r="W193" s="56">
        <f>(1000*CHOOSE(CONTROL!$C$42, 0.0916, 0.0916)*CHOOSE(CONTROL!$C$42, 121.5, 121.5)*CHOOSE(CONTROL!$C$42, 31, 31))/1000000</f>
        <v>0.34501139999999997</v>
      </c>
      <c r="X193" s="56">
        <f>(31*0.2374*100000/1000000)</f>
        <v>0.73594000000000004</v>
      </c>
      <c r="Y193" s="56"/>
      <c r="Z193" s="17"/>
      <c r="AA193" s="55"/>
      <c r="AB193" s="48">
        <f>(B193*122.58+C193*297.941+D193*89.177+E193*140.302+F193*40+G193*60+H193*0+I193*100+J193*300)/(122.58+297.941+89.177+140.302+0+40+60+100+300)</f>
        <v>9.8684932220869559</v>
      </c>
      <c r="AC193" s="45">
        <f>(M193*'RAP TEMPLATE-GAS AVAILABILITY'!O192+N193*'RAP TEMPLATE-GAS AVAILABILITY'!P192+O193*'RAP TEMPLATE-GAS AVAILABILITY'!Q192+P193*'RAP TEMPLATE-GAS AVAILABILITY'!R192)/('RAP TEMPLATE-GAS AVAILABILITY'!O192+'RAP TEMPLATE-GAS AVAILABILITY'!P192+'RAP TEMPLATE-GAS AVAILABILITY'!Q192+'RAP TEMPLATE-GAS AVAILABILITY'!R192)</f>
        <v>9.8294388489208639</v>
      </c>
    </row>
    <row r="194" spans="1:29" ht="15.75" x14ac:dyDescent="0.25">
      <c r="A194" s="16">
        <v>46419</v>
      </c>
      <c r="B194" s="17">
        <f>CHOOSE(CONTROL!$C$42, 10.022, 10.022) * CHOOSE(CONTROL!$C$21, $C$9, 100%, $E$9)</f>
        <v>10.022</v>
      </c>
      <c r="C194" s="17">
        <f>CHOOSE(CONTROL!$C$42, 10.0271, 10.0271) * CHOOSE(CONTROL!$C$21, $C$9, 100%, $E$9)</f>
        <v>10.027100000000001</v>
      </c>
      <c r="D194" s="17">
        <f>CHOOSE(CONTROL!$C$42, 10.1611, 10.1611) * CHOOSE(CONTROL!$C$21, $C$9, 100%, $E$9)</f>
        <v>10.161099999999999</v>
      </c>
      <c r="E194" s="17">
        <f>CHOOSE(CONTROL!$C$42, 10.1948, 10.1948) * CHOOSE(CONTROL!$C$21, $C$9, 100%, $E$9)</f>
        <v>10.194800000000001</v>
      </c>
      <c r="F194" s="17">
        <f>CHOOSE(CONTROL!$C$42, 10.0354, 10.0354)*CHOOSE(CONTROL!$C$21, $C$9, 100%, $E$9)</f>
        <v>10.035399999999999</v>
      </c>
      <c r="G194" s="17">
        <f>CHOOSE(CONTROL!$C$42, 10.0523, 10.0523)*CHOOSE(CONTROL!$C$21, $C$9, 100%, $E$9)</f>
        <v>10.052300000000001</v>
      </c>
      <c r="H194" s="17">
        <f>CHOOSE(CONTROL!$C$42, 10.1837, 10.1837) * CHOOSE(CONTROL!$C$21, $C$9, 100%, $E$9)</f>
        <v>10.1837</v>
      </c>
      <c r="I194" s="17">
        <f>CHOOSE(CONTROL!$C$42, 10.0796, 10.0796)* CHOOSE(CONTROL!$C$21, $C$9, 100%, $E$9)</f>
        <v>10.079599999999999</v>
      </c>
      <c r="J194" s="17">
        <f>CHOOSE(CONTROL!$C$42, 10.028, 10.028)* CHOOSE(CONTROL!$C$21, $C$9, 100%, $E$9)</f>
        <v>10.028</v>
      </c>
      <c r="K194" s="52">
        <f>CHOOSE(CONTROL!$C$42, 10.0736, 10.0736) * CHOOSE(CONTROL!$C$21, $C$9, 100%, $E$9)</f>
        <v>10.073600000000001</v>
      </c>
      <c r="L194" s="17">
        <f>CHOOSE(CONTROL!$C$42, 10.7707, 10.7707) * CHOOSE(CONTROL!$C$21, $C$9, 100%, $E$9)</f>
        <v>10.7707</v>
      </c>
      <c r="M194" s="17">
        <f>CHOOSE(CONTROL!$C$42, 9.9449, 9.9449) * CHOOSE(CONTROL!$C$21, $C$9, 100%, $E$9)</f>
        <v>9.9449000000000005</v>
      </c>
      <c r="N194" s="17">
        <f>CHOOSE(CONTROL!$C$42, 9.9616, 9.9616) * CHOOSE(CONTROL!$C$21, $C$9, 100%, $E$9)</f>
        <v>9.9616000000000007</v>
      </c>
      <c r="O194" s="17">
        <f>CHOOSE(CONTROL!$C$42, 10.0991, 10.0991) * CHOOSE(CONTROL!$C$21, $C$9, 100%, $E$9)</f>
        <v>10.0991</v>
      </c>
      <c r="P194" s="17">
        <f>CHOOSE(CONTROL!$C$42, 9.9958, 9.9958) * CHOOSE(CONTROL!$C$21, $C$9, 100%, $E$9)</f>
        <v>9.9957999999999991</v>
      </c>
      <c r="Q194" s="17">
        <f>CHOOSE(CONTROL!$C$42, 10.6938, 10.6938) * CHOOSE(CONTROL!$C$21, $C$9, 100%, $E$9)</f>
        <v>10.6938</v>
      </c>
      <c r="R194" s="17">
        <f>CHOOSE(CONTROL!$C$42, 11.3076, 11.3076) * CHOOSE(CONTROL!$C$21, $C$9, 100%, $E$9)</f>
        <v>11.307600000000001</v>
      </c>
      <c r="S194" s="17">
        <f>CHOOSE(CONTROL!$C$42, 9.7089, 9.7089) * CHOOSE(CONTROL!$C$21, $C$9, 100%, $E$9)</f>
        <v>9.7088999999999999</v>
      </c>
      <c r="T194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194" s="56">
        <f>(1000*CHOOSE(CONTROL!$C$42, 695, 695)*CHOOSE(CONTROL!$C$42, 0.5599, 0.5599)*CHOOSE(CONTROL!$C$42, 28, 28))/1000000</f>
        <v>10.895653999999999</v>
      </c>
      <c r="V194" s="56">
        <f>(1000*CHOOSE(CONTROL!$C$42, 500, 500)*CHOOSE(CONTROL!$C$42, 0.275, 0.275)*CHOOSE(CONTROL!$C$42, 28, 28))/1000000</f>
        <v>3.85</v>
      </c>
      <c r="W194" s="56">
        <f>(1000*CHOOSE(CONTROL!$C$42, 0.0916, 0.0916)*CHOOSE(CONTROL!$C$42, 121.5, 121.5)*CHOOSE(CONTROL!$C$42, 28, 28))/1000000</f>
        <v>0.31162319999999999</v>
      </c>
      <c r="X194" s="56">
        <f>(28*0.2374*100000/1000000)</f>
        <v>0.66471999999999998</v>
      </c>
      <c r="Y194" s="56"/>
      <c r="Z194" s="17"/>
      <c r="AA194" s="55"/>
      <c r="AB194" s="48">
        <f>(B194*122.58+C194*297.941+D194*89.177+E194*140.302+F194*40+G194*60+H194*0+I194*100+J194*300)/(122.58+297.941+89.177+140.302+0+40+60+100+300)</f>
        <v>10.063810613391304</v>
      </c>
      <c r="AC194" s="45">
        <f>(M194*'RAP TEMPLATE-GAS AVAILABILITY'!O193+N194*'RAP TEMPLATE-GAS AVAILABILITY'!P193+O194*'RAP TEMPLATE-GAS AVAILABILITY'!Q193+P194*'RAP TEMPLATE-GAS AVAILABILITY'!R193)/('RAP TEMPLATE-GAS AVAILABILITY'!O193+'RAP TEMPLATE-GAS AVAILABILITY'!P193+'RAP TEMPLATE-GAS AVAILABILITY'!Q193+'RAP TEMPLATE-GAS AVAILABILITY'!R193)</f>
        <v>10.023074100719425</v>
      </c>
    </row>
    <row r="195" spans="1:29" ht="15.75" x14ac:dyDescent="0.25">
      <c r="A195" s="16">
        <v>46447</v>
      </c>
      <c r="B195" s="17">
        <f>CHOOSE(CONTROL!$C$42, 9.7578, 9.7578) * CHOOSE(CONTROL!$C$21, $C$9, 100%, $E$9)</f>
        <v>9.7577999999999996</v>
      </c>
      <c r="C195" s="17">
        <f>CHOOSE(CONTROL!$C$42, 9.7629, 9.7629) * CHOOSE(CONTROL!$C$21, $C$9, 100%, $E$9)</f>
        <v>9.7629000000000001</v>
      </c>
      <c r="D195" s="17">
        <f>CHOOSE(CONTROL!$C$42, 9.8969, 9.8969) * CHOOSE(CONTROL!$C$21, $C$9, 100%, $E$9)</f>
        <v>9.8969000000000005</v>
      </c>
      <c r="E195" s="17">
        <f>CHOOSE(CONTROL!$C$42, 9.9306, 9.9306) * CHOOSE(CONTROL!$C$21, $C$9, 100%, $E$9)</f>
        <v>9.9306000000000001</v>
      </c>
      <c r="F195" s="17">
        <f>CHOOSE(CONTROL!$C$42, 9.7705, 9.7705)*CHOOSE(CONTROL!$C$21, $C$9, 100%, $E$9)</f>
        <v>9.7705000000000002</v>
      </c>
      <c r="G195" s="17">
        <f>CHOOSE(CONTROL!$C$42, 9.7872, 9.7872)*CHOOSE(CONTROL!$C$21, $C$9, 100%, $E$9)</f>
        <v>9.7872000000000003</v>
      </c>
      <c r="H195" s="17">
        <f>CHOOSE(CONTROL!$C$42, 9.9195, 9.9195) * CHOOSE(CONTROL!$C$21, $C$9, 100%, $E$9)</f>
        <v>9.9194999999999993</v>
      </c>
      <c r="I195" s="17">
        <f>CHOOSE(CONTROL!$C$42, 9.8146, 9.8146)* CHOOSE(CONTROL!$C$21, $C$9, 100%, $E$9)</f>
        <v>9.8146000000000004</v>
      </c>
      <c r="J195" s="17">
        <f>CHOOSE(CONTROL!$C$42, 9.7631, 9.7631)* CHOOSE(CONTROL!$C$21, $C$9, 100%, $E$9)</f>
        <v>9.7630999999999997</v>
      </c>
      <c r="K195" s="52">
        <f>CHOOSE(CONTROL!$C$42, 9.8086, 9.8086) * CHOOSE(CONTROL!$C$21, $C$9, 100%, $E$9)</f>
        <v>9.8086000000000002</v>
      </c>
      <c r="L195" s="17">
        <f>CHOOSE(CONTROL!$C$42, 10.5065, 10.5065) * CHOOSE(CONTROL!$C$21, $C$9, 100%, $E$9)</f>
        <v>10.506500000000001</v>
      </c>
      <c r="M195" s="17">
        <f>CHOOSE(CONTROL!$C$42, 9.6823, 9.6823) * CHOOSE(CONTROL!$C$21, $C$9, 100%, $E$9)</f>
        <v>9.6822999999999997</v>
      </c>
      <c r="N195" s="17">
        <f>CHOOSE(CONTROL!$C$42, 9.6988, 9.6988) * CHOOSE(CONTROL!$C$21, $C$9, 100%, $E$9)</f>
        <v>9.6988000000000003</v>
      </c>
      <c r="O195" s="17">
        <f>CHOOSE(CONTROL!$C$42, 9.8373, 9.8373) * CHOOSE(CONTROL!$C$21, $C$9, 100%, $E$9)</f>
        <v>9.8373000000000008</v>
      </c>
      <c r="P195" s="17">
        <f>CHOOSE(CONTROL!$C$42, 9.7331, 9.7331) * CHOOSE(CONTROL!$C$21, $C$9, 100%, $E$9)</f>
        <v>9.7331000000000003</v>
      </c>
      <c r="Q195" s="17">
        <f>CHOOSE(CONTROL!$C$42, 10.432, 10.432) * CHOOSE(CONTROL!$C$21, $C$9, 100%, $E$9)</f>
        <v>10.432</v>
      </c>
      <c r="R195" s="17">
        <f>CHOOSE(CONTROL!$C$42, 11.0451, 11.0451) * CHOOSE(CONTROL!$C$21, $C$9, 100%, $E$9)</f>
        <v>11.0451</v>
      </c>
      <c r="S195" s="17">
        <f>CHOOSE(CONTROL!$C$42, 9.4527, 9.4527) * CHOOSE(CONTROL!$C$21, $C$9, 100%, $E$9)</f>
        <v>9.4527000000000001</v>
      </c>
      <c r="T195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195" s="56">
        <f>(1000*CHOOSE(CONTROL!$C$42, 695, 695)*CHOOSE(CONTROL!$C$42, 0.5599, 0.5599)*CHOOSE(CONTROL!$C$42, 31, 31))/1000000</f>
        <v>12.063045499999998</v>
      </c>
      <c r="V195" s="56">
        <f>(1000*CHOOSE(CONTROL!$C$42, 500, 500)*CHOOSE(CONTROL!$C$42, 0.275, 0.275)*CHOOSE(CONTROL!$C$42, 31, 31))/1000000</f>
        <v>4.2625000000000002</v>
      </c>
      <c r="W195" s="56">
        <f>(1000*CHOOSE(CONTROL!$C$42, 0.0916, 0.0916)*CHOOSE(CONTROL!$C$42, 121.5, 121.5)*CHOOSE(CONTROL!$C$42, 31, 31))/1000000</f>
        <v>0.34501139999999997</v>
      </c>
      <c r="X195" s="56">
        <f>(31*0.2374*100000/1000000)</f>
        <v>0.73594000000000004</v>
      </c>
      <c r="Y195" s="56"/>
      <c r="Z195" s="17"/>
      <c r="AA195" s="55"/>
      <c r="AB195" s="48">
        <f>(B195*122.58+C195*297.941+D195*89.177+E195*140.302+F195*40+G195*60+H195*0+I195*100+J195*300)/(122.58+297.941+89.177+140.302+0+40+60+100+300)</f>
        <v>9.7992871351304345</v>
      </c>
      <c r="AC195" s="45">
        <f>(M195*'RAP TEMPLATE-GAS AVAILABILITY'!O194+N195*'RAP TEMPLATE-GAS AVAILABILITY'!P194+O195*'RAP TEMPLATE-GAS AVAILABILITY'!Q194+P195*'RAP TEMPLATE-GAS AVAILABILITY'!R194)/('RAP TEMPLATE-GAS AVAILABILITY'!O194+'RAP TEMPLATE-GAS AVAILABILITY'!P194+'RAP TEMPLATE-GAS AVAILABILITY'!Q194+'RAP TEMPLATE-GAS AVAILABILITY'!R194)</f>
        <v>9.7608107913669073</v>
      </c>
    </row>
    <row r="196" spans="1:29" ht="15.75" x14ac:dyDescent="0.25">
      <c r="A196" s="16">
        <v>46478</v>
      </c>
      <c r="B196" s="17">
        <f>CHOOSE(CONTROL!$C$42, 9.7497, 9.7497) * CHOOSE(CONTROL!$C$21, $C$9, 100%, $E$9)</f>
        <v>9.7497000000000007</v>
      </c>
      <c r="C196" s="17">
        <f>CHOOSE(CONTROL!$C$42, 9.7542, 9.7542) * CHOOSE(CONTROL!$C$21, $C$9, 100%, $E$9)</f>
        <v>9.7542000000000009</v>
      </c>
      <c r="D196" s="17">
        <f>CHOOSE(CONTROL!$C$42, 10.0172, 10.0172) * CHOOSE(CONTROL!$C$21, $C$9, 100%, $E$9)</f>
        <v>10.017200000000001</v>
      </c>
      <c r="E196" s="17">
        <f>CHOOSE(CONTROL!$C$42, 10.049, 10.049) * CHOOSE(CONTROL!$C$21, $C$9, 100%, $E$9)</f>
        <v>10.048999999999999</v>
      </c>
      <c r="F196" s="17">
        <f>CHOOSE(CONTROL!$C$42, 9.7606, 9.7606)*CHOOSE(CONTROL!$C$21, $C$9, 100%, $E$9)</f>
        <v>9.7606000000000002</v>
      </c>
      <c r="G196" s="17">
        <f>CHOOSE(CONTROL!$C$42, 9.7768, 9.7768)*CHOOSE(CONTROL!$C$21, $C$9, 100%, $E$9)</f>
        <v>9.7767999999999997</v>
      </c>
      <c r="H196" s="17">
        <f>CHOOSE(CONTROL!$C$42, 10.0385, 10.0385) * CHOOSE(CONTROL!$C$21, $C$9, 100%, $E$9)</f>
        <v>10.038500000000001</v>
      </c>
      <c r="I196" s="17">
        <f>CHOOSE(CONTROL!$C$42, 9.8052, 9.8052)* CHOOSE(CONTROL!$C$21, $C$9, 100%, $E$9)</f>
        <v>9.8051999999999992</v>
      </c>
      <c r="J196" s="17">
        <f>CHOOSE(CONTROL!$C$42, 9.7532, 9.7532)* CHOOSE(CONTROL!$C$21, $C$9, 100%, $E$9)</f>
        <v>9.7531999999999996</v>
      </c>
      <c r="K196" s="52">
        <f>CHOOSE(CONTROL!$C$42, 9.7991, 9.7991) * CHOOSE(CONTROL!$C$21, $C$9, 100%, $E$9)</f>
        <v>9.7990999999999993</v>
      </c>
      <c r="L196" s="17">
        <f>CHOOSE(CONTROL!$C$42, 10.6255, 10.6255) * CHOOSE(CONTROL!$C$21, $C$9, 100%, $E$9)</f>
        <v>10.625500000000001</v>
      </c>
      <c r="M196" s="17">
        <f>CHOOSE(CONTROL!$C$42, 9.6725, 9.6725) * CHOOSE(CONTROL!$C$21, $C$9, 100%, $E$9)</f>
        <v>9.6724999999999994</v>
      </c>
      <c r="N196" s="17">
        <f>CHOOSE(CONTROL!$C$42, 9.6885, 9.6885) * CHOOSE(CONTROL!$C$21, $C$9, 100%, $E$9)</f>
        <v>9.6884999999999994</v>
      </c>
      <c r="O196" s="17">
        <f>CHOOSE(CONTROL!$C$42, 9.9552, 9.9552) * CHOOSE(CONTROL!$C$21, $C$9, 100%, $E$9)</f>
        <v>9.9551999999999996</v>
      </c>
      <c r="P196" s="17">
        <f>CHOOSE(CONTROL!$C$42, 9.7238, 9.7238) * CHOOSE(CONTROL!$C$21, $C$9, 100%, $E$9)</f>
        <v>9.7238000000000007</v>
      </c>
      <c r="Q196" s="17">
        <f>CHOOSE(CONTROL!$C$42, 10.5499, 10.5499) * CHOOSE(CONTROL!$C$21, $C$9, 100%, $E$9)</f>
        <v>10.549899999999999</v>
      </c>
      <c r="R196" s="17">
        <f>CHOOSE(CONTROL!$C$42, 11.1633, 11.1633) * CHOOSE(CONTROL!$C$21, $C$9, 100%, $E$9)</f>
        <v>11.1633</v>
      </c>
      <c r="S196" s="17">
        <f>CHOOSE(CONTROL!$C$42, 9.444, 9.444) * CHOOSE(CONTROL!$C$21, $C$9, 100%, $E$9)</f>
        <v>9.4440000000000008</v>
      </c>
      <c r="T196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196" s="56">
        <f>(1000*CHOOSE(CONTROL!$C$42, 695, 695)*CHOOSE(CONTROL!$C$42, 0.5599, 0.5599)*CHOOSE(CONTROL!$C$42, 30, 30))/1000000</f>
        <v>11.673914999999997</v>
      </c>
      <c r="V196" s="56">
        <f>(1000*CHOOSE(CONTROL!$C$42, 500, 500)*CHOOSE(CONTROL!$C$42, 0.275, 0.275)*CHOOSE(CONTROL!$C$42, 30, 30))/1000000</f>
        <v>4.125</v>
      </c>
      <c r="W196" s="56">
        <f>(1000*CHOOSE(CONTROL!$C$42, 0.0916, 0.0916)*CHOOSE(CONTROL!$C$42, 121.5, 121.5)*CHOOSE(CONTROL!$C$42, 30, 30))/1000000</f>
        <v>0.33388200000000001</v>
      </c>
      <c r="X196" s="56">
        <f>(30*0.1790888*145000/1000000)+(30*0.2374*100000/1000000)</f>
        <v>1.4912362799999999</v>
      </c>
      <c r="Y196" s="56"/>
      <c r="Z196" s="17"/>
      <c r="AA196" s="55"/>
      <c r="AB196" s="48">
        <f>(B196*141.293+C196*267.993+D196*115.016+E196*189.698+F196*40+G196*85+H196*0+I196*100+J196*300)/(141.293+267.993+115.016+189.698+0+40+85+100+300)</f>
        <v>9.8288677642453592</v>
      </c>
      <c r="AC196" s="45">
        <f>(M196*'RAP TEMPLATE-GAS AVAILABILITY'!O195+N196*'RAP TEMPLATE-GAS AVAILABILITY'!P195+O196*'RAP TEMPLATE-GAS AVAILABILITY'!Q195+P196*'RAP TEMPLATE-GAS AVAILABILITY'!R195)/('RAP TEMPLATE-GAS AVAILABILITY'!O195+'RAP TEMPLATE-GAS AVAILABILITY'!P195+'RAP TEMPLATE-GAS AVAILABILITY'!Q195+'RAP TEMPLATE-GAS AVAILABILITY'!R195)</f>
        <v>9.7628834532374089</v>
      </c>
    </row>
    <row r="197" spans="1:29" ht="15.75" x14ac:dyDescent="0.25">
      <c r="A197" s="16">
        <v>46508</v>
      </c>
      <c r="B197" s="17">
        <f>CHOOSE(CONTROL!$C$42, 9.8573, 9.8573) * CHOOSE(CONTROL!$C$21, $C$9, 100%, $E$9)</f>
        <v>9.8573000000000004</v>
      </c>
      <c r="C197" s="17">
        <f>CHOOSE(CONTROL!$C$42, 9.8653, 9.8653) * CHOOSE(CONTROL!$C$21, $C$9, 100%, $E$9)</f>
        <v>9.8652999999999995</v>
      </c>
      <c r="D197" s="17">
        <f>CHOOSE(CONTROL!$C$42, 10.1252, 10.1252) * CHOOSE(CONTROL!$C$21, $C$9, 100%, $E$9)</f>
        <v>10.1252</v>
      </c>
      <c r="E197" s="17">
        <f>CHOOSE(CONTROL!$C$42, 10.1564, 10.1564) * CHOOSE(CONTROL!$C$21, $C$9, 100%, $E$9)</f>
        <v>10.1564</v>
      </c>
      <c r="F197" s="17">
        <f>CHOOSE(CONTROL!$C$42, 9.8669, 9.8669)*CHOOSE(CONTROL!$C$21, $C$9, 100%, $E$9)</f>
        <v>9.8668999999999993</v>
      </c>
      <c r="G197" s="17">
        <f>CHOOSE(CONTROL!$C$42, 9.8834, 9.8834)*CHOOSE(CONTROL!$C$21, $C$9, 100%, $E$9)</f>
        <v>9.8834</v>
      </c>
      <c r="H197" s="17">
        <f>CHOOSE(CONTROL!$C$42, 10.1447, 10.1447) * CHOOSE(CONTROL!$C$21, $C$9, 100%, $E$9)</f>
        <v>10.1447</v>
      </c>
      <c r="I197" s="17">
        <f>CHOOSE(CONTROL!$C$42, 9.9117, 9.9117)* CHOOSE(CONTROL!$C$21, $C$9, 100%, $E$9)</f>
        <v>9.9116999999999997</v>
      </c>
      <c r="J197" s="17">
        <f>CHOOSE(CONTROL!$C$42, 9.8595, 9.8595)* CHOOSE(CONTROL!$C$21, $C$9, 100%, $E$9)</f>
        <v>9.8595000000000006</v>
      </c>
      <c r="K197" s="52">
        <f>CHOOSE(CONTROL!$C$42, 9.9057, 9.9057) * CHOOSE(CONTROL!$C$21, $C$9, 100%, $E$9)</f>
        <v>9.9056999999999995</v>
      </c>
      <c r="L197" s="17">
        <f>CHOOSE(CONTROL!$C$42, 10.7317, 10.7317) * CHOOSE(CONTROL!$C$21, $C$9, 100%, $E$9)</f>
        <v>10.7317</v>
      </c>
      <c r="M197" s="17">
        <f>CHOOSE(CONTROL!$C$42, 9.7779, 9.7779) * CHOOSE(CONTROL!$C$21, $C$9, 100%, $E$9)</f>
        <v>9.7779000000000007</v>
      </c>
      <c r="N197" s="17">
        <f>CHOOSE(CONTROL!$C$42, 9.7942, 9.7942) * CHOOSE(CONTROL!$C$21, $C$9, 100%, $E$9)</f>
        <v>9.7942</v>
      </c>
      <c r="O197" s="17">
        <f>CHOOSE(CONTROL!$C$42, 10.0605, 10.0605) * CHOOSE(CONTROL!$C$21, $C$9, 100%, $E$9)</f>
        <v>10.060499999999999</v>
      </c>
      <c r="P197" s="17">
        <f>CHOOSE(CONTROL!$C$42, 9.8293, 9.8293) * CHOOSE(CONTROL!$C$21, $C$9, 100%, $E$9)</f>
        <v>9.8292999999999999</v>
      </c>
      <c r="Q197" s="17">
        <f>CHOOSE(CONTROL!$C$42, 10.6552, 10.6552) * CHOOSE(CONTROL!$C$21, $C$9, 100%, $E$9)</f>
        <v>10.655200000000001</v>
      </c>
      <c r="R197" s="17">
        <f>CHOOSE(CONTROL!$C$42, 11.2688, 11.2688) * CHOOSE(CONTROL!$C$21, $C$9, 100%, $E$9)</f>
        <v>11.268800000000001</v>
      </c>
      <c r="S197" s="17">
        <f>CHOOSE(CONTROL!$C$42, 9.547, 9.547) * CHOOSE(CONTROL!$C$21, $C$9, 100%, $E$9)</f>
        <v>9.5470000000000006</v>
      </c>
      <c r="T197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197" s="56">
        <f>(1000*CHOOSE(CONTROL!$C$42, 695, 695)*CHOOSE(CONTROL!$C$42, 0.5599, 0.5599)*CHOOSE(CONTROL!$C$42, 31, 31))/1000000</f>
        <v>12.063045499999998</v>
      </c>
      <c r="V197" s="56">
        <f>(1000*CHOOSE(CONTROL!$C$42, 500, 500)*CHOOSE(CONTROL!$C$42, 0.275, 0.275)*CHOOSE(CONTROL!$C$42, 31, 31))/1000000</f>
        <v>4.2625000000000002</v>
      </c>
      <c r="W197" s="56">
        <f>(1000*CHOOSE(CONTROL!$C$42, 0.0916, 0.0916)*CHOOSE(CONTROL!$C$42, 121.5, 121.5)*CHOOSE(CONTROL!$C$42, 31, 31))/1000000</f>
        <v>0.34501139999999997</v>
      </c>
      <c r="X197" s="56">
        <f>(31*0.1790888*145000/1000000)+(31*0.2374*100000/1000000)</f>
        <v>1.5409441560000001</v>
      </c>
      <c r="Y197" s="56"/>
      <c r="Z197" s="17"/>
      <c r="AA197" s="55"/>
      <c r="AB197" s="48">
        <f>(B197*194.205+C197*267.466+D197*133.845+E197*153.484+F197*40+G197*85+H197*0+I197*100+J197*300)/(194.205+267.466+133.845+153.484+0+40+85+100+300)</f>
        <v>9.929989456750393</v>
      </c>
      <c r="AC197" s="45">
        <f>(M197*'RAP TEMPLATE-GAS AVAILABILITY'!O196+N197*'RAP TEMPLATE-GAS AVAILABILITY'!P196+O197*'RAP TEMPLATE-GAS AVAILABILITY'!Q196+P197*'RAP TEMPLATE-GAS AVAILABILITY'!R196)/('RAP TEMPLATE-GAS AVAILABILITY'!O196+'RAP TEMPLATE-GAS AVAILABILITY'!P196+'RAP TEMPLATE-GAS AVAILABILITY'!Q196+'RAP TEMPLATE-GAS AVAILABILITY'!R196)</f>
        <v>9.8683388489208639</v>
      </c>
    </row>
    <row r="198" spans="1:29" ht="15.75" x14ac:dyDescent="0.25">
      <c r="A198" s="16">
        <v>46539</v>
      </c>
      <c r="B198" s="17">
        <f>CHOOSE(CONTROL!$C$42, 10.1574, 10.1574) * CHOOSE(CONTROL!$C$21, $C$9, 100%, $E$9)</f>
        <v>10.157400000000001</v>
      </c>
      <c r="C198" s="17">
        <f>CHOOSE(CONTROL!$C$42, 10.1654, 10.1654) * CHOOSE(CONTROL!$C$21, $C$9, 100%, $E$9)</f>
        <v>10.1654</v>
      </c>
      <c r="D198" s="17">
        <f>CHOOSE(CONTROL!$C$42, 10.4253, 10.4253) * CHOOSE(CONTROL!$C$21, $C$9, 100%, $E$9)</f>
        <v>10.4253</v>
      </c>
      <c r="E198" s="17">
        <f>CHOOSE(CONTROL!$C$42, 10.4565, 10.4565) * CHOOSE(CONTROL!$C$21, $C$9, 100%, $E$9)</f>
        <v>10.4565</v>
      </c>
      <c r="F198" s="17">
        <f>CHOOSE(CONTROL!$C$42, 10.1673, 10.1673)*CHOOSE(CONTROL!$C$21, $C$9, 100%, $E$9)</f>
        <v>10.167299999999999</v>
      </c>
      <c r="G198" s="17">
        <f>CHOOSE(CONTROL!$C$42, 10.1839, 10.1839)*CHOOSE(CONTROL!$C$21, $C$9, 100%, $E$9)</f>
        <v>10.1839</v>
      </c>
      <c r="H198" s="17">
        <f>CHOOSE(CONTROL!$C$42, 10.4448, 10.4448) * CHOOSE(CONTROL!$C$21, $C$9, 100%, $E$9)</f>
        <v>10.444800000000001</v>
      </c>
      <c r="I198" s="17">
        <f>CHOOSE(CONTROL!$C$42, 10.2127, 10.2127)* CHOOSE(CONTROL!$C$21, $C$9, 100%, $E$9)</f>
        <v>10.2127</v>
      </c>
      <c r="J198" s="17">
        <f>CHOOSE(CONTROL!$C$42, 10.1599, 10.1599)* CHOOSE(CONTROL!$C$21, $C$9, 100%, $E$9)</f>
        <v>10.1599</v>
      </c>
      <c r="K198" s="52">
        <f>CHOOSE(CONTROL!$C$42, 10.2067, 10.2067) * CHOOSE(CONTROL!$C$21, $C$9, 100%, $E$9)</f>
        <v>10.2067</v>
      </c>
      <c r="L198" s="17">
        <f>CHOOSE(CONTROL!$C$42, 11.0318, 11.0318) * CHOOSE(CONTROL!$C$21, $C$9, 100%, $E$9)</f>
        <v>11.0318</v>
      </c>
      <c r="M198" s="17">
        <f>CHOOSE(CONTROL!$C$42, 10.0756, 10.0756) * CHOOSE(CONTROL!$C$21, $C$9, 100%, $E$9)</f>
        <v>10.0756</v>
      </c>
      <c r="N198" s="17">
        <f>CHOOSE(CONTROL!$C$42, 10.092, 10.092) * CHOOSE(CONTROL!$C$21, $C$9, 100%, $E$9)</f>
        <v>10.092000000000001</v>
      </c>
      <c r="O198" s="17">
        <f>CHOOSE(CONTROL!$C$42, 10.3579, 10.3579) * CHOOSE(CONTROL!$C$21, $C$9, 100%, $E$9)</f>
        <v>10.357900000000001</v>
      </c>
      <c r="P198" s="17">
        <f>CHOOSE(CONTROL!$C$42, 10.1277, 10.1277) * CHOOSE(CONTROL!$C$21, $C$9, 100%, $E$9)</f>
        <v>10.127700000000001</v>
      </c>
      <c r="Q198" s="17">
        <f>CHOOSE(CONTROL!$C$42, 10.9526, 10.9526) * CHOOSE(CONTROL!$C$21, $C$9, 100%, $E$9)</f>
        <v>10.9526</v>
      </c>
      <c r="R198" s="17">
        <f>CHOOSE(CONTROL!$C$42, 11.5669, 11.5669) * CHOOSE(CONTROL!$C$21, $C$9, 100%, $E$9)</f>
        <v>11.5669</v>
      </c>
      <c r="S198" s="17">
        <f>CHOOSE(CONTROL!$C$42, 9.838, 9.838) * CHOOSE(CONTROL!$C$21, $C$9, 100%, $E$9)</f>
        <v>9.8379999999999992</v>
      </c>
      <c r="T198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198" s="56">
        <f>(1000*CHOOSE(CONTROL!$C$42, 695, 695)*CHOOSE(CONTROL!$C$42, 0.5599, 0.5599)*CHOOSE(CONTROL!$C$42, 30, 30))/1000000</f>
        <v>11.673914999999997</v>
      </c>
      <c r="V198" s="56">
        <f>(1000*CHOOSE(CONTROL!$C$42, 500, 500)*CHOOSE(CONTROL!$C$42, 0.275, 0.275)*CHOOSE(CONTROL!$C$42, 30, 30))/1000000</f>
        <v>4.125</v>
      </c>
      <c r="W198" s="56">
        <f>(1000*CHOOSE(CONTROL!$C$42, 0.0916, 0.0916)*CHOOSE(CONTROL!$C$42, 121.5, 121.5)*CHOOSE(CONTROL!$C$42, 30, 30))/1000000</f>
        <v>0.33388200000000001</v>
      </c>
      <c r="X198" s="56">
        <f>(30*0.1790888*145000/1000000)+(30*0.2374*100000/1000000)</f>
        <v>1.4912362799999999</v>
      </c>
      <c r="Y198" s="56"/>
      <c r="Z198" s="17"/>
      <c r="AA198" s="55"/>
      <c r="AB198" s="48">
        <f>(B198*194.205+C198*267.466+D198*133.845+E198*153.484+F198*40+G198*85+H198*0+I198*100+J198*300)/(194.205+267.466+133.845+153.484+0+40+85+100+300)</f>
        <v>10.230266850784933</v>
      </c>
      <c r="AC198" s="45">
        <f>(M198*'RAP TEMPLATE-GAS AVAILABILITY'!O197+N198*'RAP TEMPLATE-GAS AVAILABILITY'!P197+O198*'RAP TEMPLATE-GAS AVAILABILITY'!Q197+P198*'RAP TEMPLATE-GAS AVAILABILITY'!R197)/('RAP TEMPLATE-GAS AVAILABILITY'!O197+'RAP TEMPLATE-GAS AVAILABILITY'!P197+'RAP TEMPLATE-GAS AVAILABILITY'!Q197+'RAP TEMPLATE-GAS AVAILABILITY'!R197)</f>
        <v>10.166078417266187</v>
      </c>
    </row>
    <row r="199" spans="1:29" ht="15.75" x14ac:dyDescent="0.25">
      <c r="A199" s="16">
        <v>46569</v>
      </c>
      <c r="B199" s="17">
        <f>CHOOSE(CONTROL!$C$42, 9.9832, 9.9832) * CHOOSE(CONTROL!$C$21, $C$9, 100%, $E$9)</f>
        <v>9.9832000000000001</v>
      </c>
      <c r="C199" s="17">
        <f>CHOOSE(CONTROL!$C$42, 9.9912, 9.9912) * CHOOSE(CONTROL!$C$21, $C$9, 100%, $E$9)</f>
        <v>9.9911999999999992</v>
      </c>
      <c r="D199" s="17">
        <f>CHOOSE(CONTROL!$C$42, 10.2512, 10.2512) * CHOOSE(CONTROL!$C$21, $C$9, 100%, $E$9)</f>
        <v>10.251200000000001</v>
      </c>
      <c r="E199" s="17">
        <f>CHOOSE(CONTROL!$C$42, 10.2823, 10.2823) * CHOOSE(CONTROL!$C$21, $C$9, 100%, $E$9)</f>
        <v>10.282299999999999</v>
      </c>
      <c r="F199" s="17">
        <f>CHOOSE(CONTROL!$C$42, 9.9936, 9.9936)*CHOOSE(CONTROL!$C$21, $C$9, 100%, $E$9)</f>
        <v>9.9936000000000007</v>
      </c>
      <c r="G199" s="17">
        <f>CHOOSE(CONTROL!$C$42, 10.0103, 10.0103)*CHOOSE(CONTROL!$C$21, $C$9, 100%, $E$9)</f>
        <v>10.010300000000001</v>
      </c>
      <c r="H199" s="17">
        <f>CHOOSE(CONTROL!$C$42, 10.2707, 10.2707) * CHOOSE(CONTROL!$C$21, $C$9, 100%, $E$9)</f>
        <v>10.2707</v>
      </c>
      <c r="I199" s="17">
        <f>CHOOSE(CONTROL!$C$42, 10.0381, 10.0381)* CHOOSE(CONTROL!$C$21, $C$9, 100%, $E$9)</f>
        <v>10.0381</v>
      </c>
      <c r="J199" s="17">
        <f>CHOOSE(CONTROL!$C$42, 9.9862, 9.9862)* CHOOSE(CONTROL!$C$21, $C$9, 100%, $E$9)</f>
        <v>9.9862000000000002</v>
      </c>
      <c r="K199" s="52">
        <f>CHOOSE(CONTROL!$C$42, 10.032, 10.032) * CHOOSE(CONTROL!$C$21, $C$9, 100%, $E$9)</f>
        <v>10.032</v>
      </c>
      <c r="L199" s="17">
        <f>CHOOSE(CONTROL!$C$42, 10.8577, 10.8577) * CHOOSE(CONTROL!$C$21, $C$9, 100%, $E$9)</f>
        <v>10.857699999999999</v>
      </c>
      <c r="M199" s="17">
        <f>CHOOSE(CONTROL!$C$42, 9.9034, 9.9034) * CHOOSE(CONTROL!$C$21, $C$9, 100%, $E$9)</f>
        <v>9.9033999999999995</v>
      </c>
      <c r="N199" s="17">
        <f>CHOOSE(CONTROL!$C$42, 9.9199, 9.9199) * CHOOSE(CONTROL!$C$21, $C$9, 100%, $E$9)</f>
        <v>9.9199000000000002</v>
      </c>
      <c r="O199" s="17">
        <f>CHOOSE(CONTROL!$C$42, 10.1853, 10.1853) * CHOOSE(CONTROL!$C$21, $C$9, 100%, $E$9)</f>
        <v>10.1853</v>
      </c>
      <c r="P199" s="17">
        <f>CHOOSE(CONTROL!$C$42, 9.9546, 9.9546) * CHOOSE(CONTROL!$C$21, $C$9, 100%, $E$9)</f>
        <v>9.9545999999999992</v>
      </c>
      <c r="Q199" s="17">
        <f>CHOOSE(CONTROL!$C$42, 10.78, 10.78) * CHOOSE(CONTROL!$C$21, $C$9, 100%, $E$9)</f>
        <v>10.78</v>
      </c>
      <c r="R199" s="17">
        <f>CHOOSE(CONTROL!$C$42, 11.394, 11.394) * CHOOSE(CONTROL!$C$21, $C$9, 100%, $E$9)</f>
        <v>11.394</v>
      </c>
      <c r="S199" s="17">
        <f>CHOOSE(CONTROL!$C$42, 9.6692, 9.6692) * CHOOSE(CONTROL!$C$21, $C$9, 100%, $E$9)</f>
        <v>9.6692</v>
      </c>
      <c r="T199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199" s="56">
        <f>(1000*CHOOSE(CONTROL!$C$42, 695, 695)*CHOOSE(CONTROL!$C$42, 0.5599, 0.5599)*CHOOSE(CONTROL!$C$42, 31, 31))/1000000</f>
        <v>12.063045499999998</v>
      </c>
      <c r="V199" s="56">
        <f>(1000*CHOOSE(CONTROL!$C$42, 500, 500)*CHOOSE(CONTROL!$C$42, 0.275, 0.275)*CHOOSE(CONTROL!$C$42, 31, 31))/1000000</f>
        <v>4.2625000000000002</v>
      </c>
      <c r="W199" s="56">
        <f>(1000*CHOOSE(CONTROL!$C$42, 0.0916, 0.0916)*CHOOSE(CONTROL!$C$42, 121.5, 121.5)*CHOOSE(CONTROL!$C$42, 31, 31))/1000000</f>
        <v>0.34501139999999997</v>
      </c>
      <c r="X199" s="56">
        <f>(31*0.1790888*145000/1000000)+(31*0.2374*100000/1000000)</f>
        <v>1.5409441560000001</v>
      </c>
      <c r="Y199" s="56"/>
      <c r="Z199" s="17"/>
      <c r="AA199" s="55"/>
      <c r="AB199" s="48">
        <f>(B199*194.205+C199*267.466+D199*133.845+E199*153.484+F199*40+G199*85+H199*0+I199*100+J199*300)/(194.205+267.466+133.845+153.484+0+40+85+100+300)</f>
        <v>10.056219428885399</v>
      </c>
      <c r="AC199" s="45">
        <f>(M199*'RAP TEMPLATE-GAS AVAILABILITY'!O198+N199*'RAP TEMPLATE-GAS AVAILABILITY'!P198+O199*'RAP TEMPLATE-GAS AVAILABILITY'!Q198+P199*'RAP TEMPLATE-GAS AVAILABILITY'!R198)/('RAP TEMPLATE-GAS AVAILABILITY'!O198+'RAP TEMPLATE-GAS AVAILABILITY'!P198+'RAP TEMPLATE-GAS AVAILABILITY'!Q198+'RAP TEMPLATE-GAS AVAILABILITY'!R198)</f>
        <v>9.9936597122302153</v>
      </c>
    </row>
    <row r="200" spans="1:29" ht="15.75" x14ac:dyDescent="0.25">
      <c r="A200" s="16">
        <v>46600</v>
      </c>
      <c r="B200" s="17">
        <f>CHOOSE(CONTROL!$C$42, 9.5103, 9.5103) * CHOOSE(CONTROL!$C$21, $C$9, 100%, $E$9)</f>
        <v>9.5103000000000009</v>
      </c>
      <c r="C200" s="17">
        <f>CHOOSE(CONTROL!$C$42, 9.5183, 9.5183) * CHOOSE(CONTROL!$C$21, $C$9, 100%, $E$9)</f>
        <v>9.5183</v>
      </c>
      <c r="D200" s="17">
        <f>CHOOSE(CONTROL!$C$42, 9.7782, 9.7782) * CHOOSE(CONTROL!$C$21, $C$9, 100%, $E$9)</f>
        <v>9.7782</v>
      </c>
      <c r="E200" s="17">
        <f>CHOOSE(CONTROL!$C$42, 9.8094, 9.8094) * CHOOSE(CONTROL!$C$21, $C$9, 100%, $E$9)</f>
        <v>9.8094000000000001</v>
      </c>
      <c r="F200" s="17">
        <f>CHOOSE(CONTROL!$C$42, 9.5209, 9.5209)*CHOOSE(CONTROL!$C$21, $C$9, 100%, $E$9)</f>
        <v>9.5208999999999993</v>
      </c>
      <c r="G200" s="17">
        <f>CHOOSE(CONTROL!$C$42, 9.5376, 9.5376)*CHOOSE(CONTROL!$C$21, $C$9, 100%, $E$9)</f>
        <v>9.5375999999999994</v>
      </c>
      <c r="H200" s="17">
        <f>CHOOSE(CONTROL!$C$42, 9.7977, 9.7977) * CHOOSE(CONTROL!$C$21, $C$9, 100%, $E$9)</f>
        <v>9.7977000000000007</v>
      </c>
      <c r="I200" s="17">
        <f>CHOOSE(CONTROL!$C$42, 9.5636, 9.5636)* CHOOSE(CONTROL!$C$21, $C$9, 100%, $E$9)</f>
        <v>9.5635999999999992</v>
      </c>
      <c r="J200" s="17">
        <f>CHOOSE(CONTROL!$C$42, 9.5135, 9.5135)* CHOOSE(CONTROL!$C$21, $C$9, 100%, $E$9)</f>
        <v>9.5135000000000005</v>
      </c>
      <c r="K200" s="52">
        <f>CHOOSE(CONTROL!$C$42, 9.5576, 9.5576) * CHOOSE(CONTROL!$C$21, $C$9, 100%, $E$9)</f>
        <v>9.5576000000000008</v>
      </c>
      <c r="L200" s="17">
        <f>CHOOSE(CONTROL!$C$42, 10.3847, 10.3847) * CHOOSE(CONTROL!$C$21, $C$9, 100%, $E$9)</f>
        <v>10.3847</v>
      </c>
      <c r="M200" s="17">
        <f>CHOOSE(CONTROL!$C$42, 9.435, 9.435) * CHOOSE(CONTROL!$C$21, $C$9, 100%, $E$9)</f>
        <v>9.4350000000000005</v>
      </c>
      <c r="N200" s="17">
        <f>CHOOSE(CONTROL!$C$42, 9.4515, 9.4515) * CHOOSE(CONTROL!$C$21, $C$9, 100%, $E$9)</f>
        <v>9.4514999999999993</v>
      </c>
      <c r="O200" s="17">
        <f>CHOOSE(CONTROL!$C$42, 9.7166, 9.7166) * CHOOSE(CONTROL!$C$21, $C$9, 100%, $E$9)</f>
        <v>9.7165999999999997</v>
      </c>
      <c r="P200" s="17">
        <f>CHOOSE(CONTROL!$C$42, 9.4844, 9.4844) * CHOOSE(CONTROL!$C$21, $C$9, 100%, $E$9)</f>
        <v>9.4844000000000008</v>
      </c>
      <c r="Q200" s="17">
        <f>CHOOSE(CONTROL!$C$42, 10.3113, 10.3113) * CHOOSE(CONTROL!$C$21, $C$9, 100%, $E$9)</f>
        <v>10.311299999999999</v>
      </c>
      <c r="R200" s="17">
        <f>CHOOSE(CONTROL!$C$42, 10.9241, 10.9241) * CHOOSE(CONTROL!$C$21, $C$9, 100%, $E$9)</f>
        <v>10.924099999999999</v>
      </c>
      <c r="S200" s="17">
        <f>CHOOSE(CONTROL!$C$42, 9.2105, 9.2105) * CHOOSE(CONTROL!$C$21, $C$9, 100%, $E$9)</f>
        <v>9.2104999999999997</v>
      </c>
      <c r="T200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200" s="56">
        <f>(1000*CHOOSE(CONTROL!$C$42, 695, 695)*CHOOSE(CONTROL!$C$42, 0.5599, 0.5599)*CHOOSE(CONTROL!$C$42, 31, 31))/1000000</f>
        <v>12.063045499999998</v>
      </c>
      <c r="V200" s="56">
        <f>(1000*CHOOSE(CONTROL!$C$42, 500, 500)*CHOOSE(CONTROL!$C$42, 0.275, 0.275)*CHOOSE(CONTROL!$C$42, 31, 31))/1000000</f>
        <v>4.2625000000000002</v>
      </c>
      <c r="W200" s="56">
        <f>(1000*CHOOSE(CONTROL!$C$42, 0.0916, 0.0916)*CHOOSE(CONTROL!$C$42, 121.5, 121.5)*CHOOSE(CONTROL!$C$42, 31, 31))/1000000</f>
        <v>0.34501139999999997</v>
      </c>
      <c r="X200" s="56">
        <f>(31*0.1790888*145000/1000000)+(31*0.2374*100000/1000000)</f>
        <v>1.5409441560000001</v>
      </c>
      <c r="Y200" s="56"/>
      <c r="Z200" s="17"/>
      <c r="AA200" s="55"/>
      <c r="AB200" s="48">
        <f>(B200*194.205+C200*267.466+D200*133.845+E200*153.484+F200*40+G200*85+H200*0+I200*100+J200*300)/(194.205+267.466+133.845+153.484+0+40+85+100+300)</f>
        <v>9.5832500532967035</v>
      </c>
      <c r="AC200" s="45">
        <f>(M200*'RAP TEMPLATE-GAS AVAILABILITY'!O199+N200*'RAP TEMPLATE-GAS AVAILABILITY'!P199+O200*'RAP TEMPLATE-GAS AVAILABILITY'!Q199+P200*'RAP TEMPLATE-GAS AVAILABILITY'!R199)/('RAP TEMPLATE-GAS AVAILABILITY'!O199+'RAP TEMPLATE-GAS AVAILABILITY'!P199+'RAP TEMPLATE-GAS AVAILABILITY'!Q199+'RAP TEMPLATE-GAS AVAILABILITY'!R199)</f>
        <v>9.5249165467625883</v>
      </c>
    </row>
    <row r="201" spans="1:29" ht="15.75" x14ac:dyDescent="0.25">
      <c r="A201" s="16">
        <v>46631</v>
      </c>
      <c r="B201" s="17">
        <f>CHOOSE(CONTROL!$C$42, 8.9254, 8.9254) * CHOOSE(CONTROL!$C$21, $C$9, 100%, $E$9)</f>
        <v>8.9253999999999998</v>
      </c>
      <c r="C201" s="17">
        <f>CHOOSE(CONTROL!$C$42, 8.9333, 8.9333) * CHOOSE(CONTROL!$C$21, $C$9, 100%, $E$9)</f>
        <v>8.9332999999999991</v>
      </c>
      <c r="D201" s="17">
        <f>CHOOSE(CONTROL!$C$42, 9.1933, 9.1933) * CHOOSE(CONTROL!$C$21, $C$9, 100%, $E$9)</f>
        <v>9.1933000000000007</v>
      </c>
      <c r="E201" s="17">
        <f>CHOOSE(CONTROL!$C$42, 9.2245, 9.2245) * CHOOSE(CONTROL!$C$21, $C$9, 100%, $E$9)</f>
        <v>9.2245000000000008</v>
      </c>
      <c r="F201" s="17">
        <f>CHOOSE(CONTROL!$C$42, 8.936, 8.936)*CHOOSE(CONTROL!$C$21, $C$9, 100%, $E$9)</f>
        <v>8.9359999999999999</v>
      </c>
      <c r="G201" s="17">
        <f>CHOOSE(CONTROL!$C$42, 8.9527, 8.9527)*CHOOSE(CONTROL!$C$21, $C$9, 100%, $E$9)</f>
        <v>8.9527000000000001</v>
      </c>
      <c r="H201" s="17">
        <f>CHOOSE(CONTROL!$C$42, 9.2128, 9.2128) * CHOOSE(CONTROL!$C$21, $C$9, 100%, $E$9)</f>
        <v>9.2127999999999997</v>
      </c>
      <c r="I201" s="17">
        <f>CHOOSE(CONTROL!$C$42, 8.9769, 8.9769)* CHOOSE(CONTROL!$C$21, $C$9, 100%, $E$9)</f>
        <v>8.9769000000000005</v>
      </c>
      <c r="J201" s="17">
        <f>CHOOSE(CONTROL!$C$42, 8.9286, 8.9286)* CHOOSE(CONTROL!$C$21, $C$9, 100%, $E$9)</f>
        <v>8.9285999999999994</v>
      </c>
      <c r="K201" s="52">
        <f>CHOOSE(CONTROL!$C$42, 8.9709, 8.9709) * CHOOSE(CONTROL!$C$21, $C$9, 100%, $E$9)</f>
        <v>8.9709000000000003</v>
      </c>
      <c r="L201" s="17">
        <f>CHOOSE(CONTROL!$C$42, 9.7998, 9.7998) * CHOOSE(CONTROL!$C$21, $C$9, 100%, $E$9)</f>
        <v>9.7997999999999994</v>
      </c>
      <c r="M201" s="17">
        <f>CHOOSE(CONTROL!$C$42, 8.8553, 8.8553) * CHOOSE(CONTROL!$C$21, $C$9, 100%, $E$9)</f>
        <v>8.8552999999999997</v>
      </c>
      <c r="N201" s="17">
        <f>CHOOSE(CONTROL!$C$42, 8.8719, 8.8719) * CHOOSE(CONTROL!$C$21, $C$9, 100%, $E$9)</f>
        <v>8.8719000000000001</v>
      </c>
      <c r="O201" s="17">
        <f>CHOOSE(CONTROL!$C$42, 9.1369, 9.1369) * CHOOSE(CONTROL!$C$21, $C$9, 100%, $E$9)</f>
        <v>9.1369000000000007</v>
      </c>
      <c r="P201" s="17">
        <f>CHOOSE(CONTROL!$C$42, 8.903, 8.903) * CHOOSE(CONTROL!$C$21, $C$9, 100%, $E$9)</f>
        <v>8.9030000000000005</v>
      </c>
      <c r="Q201" s="17">
        <f>CHOOSE(CONTROL!$C$42, 9.7316, 9.7316) * CHOOSE(CONTROL!$C$21, $C$9, 100%, $E$9)</f>
        <v>9.7316000000000003</v>
      </c>
      <c r="R201" s="17">
        <f>CHOOSE(CONTROL!$C$42, 10.343, 10.343) * CHOOSE(CONTROL!$C$21, $C$9, 100%, $E$9)</f>
        <v>10.343</v>
      </c>
      <c r="S201" s="17">
        <f>CHOOSE(CONTROL!$C$42, 8.6433, 8.6433) * CHOOSE(CONTROL!$C$21, $C$9, 100%, $E$9)</f>
        <v>8.6433</v>
      </c>
      <c r="T201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201" s="56">
        <f>(1000*CHOOSE(CONTROL!$C$42, 695, 695)*CHOOSE(CONTROL!$C$42, 0.5599, 0.5599)*CHOOSE(CONTROL!$C$42, 30, 30))/1000000</f>
        <v>11.673914999999997</v>
      </c>
      <c r="V201" s="56">
        <f>(1000*CHOOSE(CONTROL!$C$42, 500, 500)*CHOOSE(CONTROL!$C$42, 0.275, 0.275)*CHOOSE(CONTROL!$C$42, 30, 30))/1000000</f>
        <v>4.125</v>
      </c>
      <c r="W201" s="56">
        <f>(1000*CHOOSE(CONTROL!$C$42, 0.0916, 0.0916)*CHOOSE(CONTROL!$C$42, 121.5, 121.5)*CHOOSE(CONTROL!$C$42, 30, 30))/1000000</f>
        <v>0.33388200000000001</v>
      </c>
      <c r="X201" s="56">
        <f>(30*0.1790888*145000/1000000)+(30*0.2374*100000/1000000)</f>
        <v>1.4912362799999999</v>
      </c>
      <c r="Y201" s="56"/>
      <c r="Z201" s="17"/>
      <c r="AA201" s="55"/>
      <c r="AB201" s="48">
        <f>(B201*194.205+C201*267.466+D201*133.845+E201*153.484+F201*40+G201*85+H201*0+I201*100+J201*300)/(194.205+267.466+133.845+153.484+0+40+85+100+300)</f>
        <v>8.9981877718210352</v>
      </c>
      <c r="AC201" s="45">
        <f>(M201*'RAP TEMPLATE-GAS AVAILABILITY'!O200+N201*'RAP TEMPLATE-GAS AVAILABILITY'!P200+O201*'RAP TEMPLATE-GAS AVAILABILITY'!Q200+P201*'RAP TEMPLATE-GAS AVAILABILITY'!R200)/('RAP TEMPLATE-GAS AVAILABILITY'!O200+'RAP TEMPLATE-GAS AVAILABILITY'!P200+'RAP TEMPLATE-GAS AVAILABILITY'!Q200+'RAP TEMPLATE-GAS AVAILABILITY'!R200)</f>
        <v>8.9449949640287763</v>
      </c>
    </row>
    <row r="202" spans="1:29" ht="15.75" x14ac:dyDescent="0.25">
      <c r="A202" s="16">
        <v>46661</v>
      </c>
      <c r="B202" s="17">
        <f>CHOOSE(CONTROL!$C$42, 8.7607, 8.7607) * CHOOSE(CONTROL!$C$21, $C$9, 100%, $E$9)</f>
        <v>8.7606999999999999</v>
      </c>
      <c r="C202" s="17">
        <f>CHOOSE(CONTROL!$C$42, 8.766, 8.766) * CHOOSE(CONTROL!$C$21, $C$9, 100%, $E$9)</f>
        <v>8.766</v>
      </c>
      <c r="D202" s="17">
        <f>CHOOSE(CONTROL!$C$42, 9.0308, 9.0308) * CHOOSE(CONTROL!$C$21, $C$9, 100%, $E$9)</f>
        <v>9.0307999999999993</v>
      </c>
      <c r="E202" s="17">
        <f>CHOOSE(CONTROL!$C$42, 9.0597, 9.0597) * CHOOSE(CONTROL!$C$21, $C$9, 100%, $E$9)</f>
        <v>9.0596999999999994</v>
      </c>
      <c r="F202" s="17">
        <f>CHOOSE(CONTROL!$C$42, 8.7735, 8.7735)*CHOOSE(CONTROL!$C$21, $C$9, 100%, $E$9)</f>
        <v>8.7735000000000003</v>
      </c>
      <c r="G202" s="17">
        <f>CHOOSE(CONTROL!$C$42, 8.7901, 8.7901)*CHOOSE(CONTROL!$C$21, $C$9, 100%, $E$9)</f>
        <v>8.7901000000000007</v>
      </c>
      <c r="H202" s="17">
        <f>CHOOSE(CONTROL!$C$42, 9.0498, 9.0498) * CHOOSE(CONTROL!$C$21, $C$9, 100%, $E$9)</f>
        <v>9.0497999999999994</v>
      </c>
      <c r="I202" s="17">
        <f>CHOOSE(CONTROL!$C$42, 8.8134, 8.8134)* CHOOSE(CONTROL!$C$21, $C$9, 100%, $E$9)</f>
        <v>8.8133999999999997</v>
      </c>
      <c r="J202" s="17">
        <f>CHOOSE(CONTROL!$C$42, 8.7661, 8.7661)* CHOOSE(CONTROL!$C$21, $C$9, 100%, $E$9)</f>
        <v>8.7660999999999998</v>
      </c>
      <c r="K202" s="52">
        <f>CHOOSE(CONTROL!$C$42, 8.8074, 8.8074) * CHOOSE(CONTROL!$C$21, $C$9, 100%, $E$9)</f>
        <v>8.8073999999999995</v>
      </c>
      <c r="L202" s="17">
        <f>CHOOSE(CONTROL!$C$42, 9.6368, 9.6368) * CHOOSE(CONTROL!$C$21, $C$9, 100%, $E$9)</f>
        <v>9.6367999999999991</v>
      </c>
      <c r="M202" s="17">
        <f>CHOOSE(CONTROL!$C$42, 8.6943, 8.6943) * CHOOSE(CONTROL!$C$21, $C$9, 100%, $E$9)</f>
        <v>8.6943000000000001</v>
      </c>
      <c r="N202" s="17">
        <f>CHOOSE(CONTROL!$C$42, 8.7107, 8.7107) * CHOOSE(CONTROL!$C$21, $C$9, 100%, $E$9)</f>
        <v>8.7106999999999992</v>
      </c>
      <c r="O202" s="17">
        <f>CHOOSE(CONTROL!$C$42, 8.9754, 8.9754) * CHOOSE(CONTROL!$C$21, $C$9, 100%, $E$9)</f>
        <v>8.9754000000000005</v>
      </c>
      <c r="P202" s="17">
        <f>CHOOSE(CONTROL!$C$42, 8.741, 8.741) * CHOOSE(CONTROL!$C$21, $C$9, 100%, $E$9)</f>
        <v>8.7409999999999997</v>
      </c>
      <c r="Q202" s="17">
        <f>CHOOSE(CONTROL!$C$42, 9.5701, 9.5701) * CHOOSE(CONTROL!$C$21, $C$9, 100%, $E$9)</f>
        <v>9.5701000000000001</v>
      </c>
      <c r="R202" s="17">
        <f>CHOOSE(CONTROL!$C$42, 10.181, 10.181) * CHOOSE(CONTROL!$C$21, $C$9, 100%, $E$9)</f>
        <v>10.180999999999999</v>
      </c>
      <c r="S202" s="17">
        <f>CHOOSE(CONTROL!$C$42, 8.4853, 8.4853) * CHOOSE(CONTROL!$C$21, $C$9, 100%, $E$9)</f>
        <v>8.4853000000000005</v>
      </c>
      <c r="T202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202" s="56">
        <f>(1000*CHOOSE(CONTROL!$C$42, 695, 695)*CHOOSE(CONTROL!$C$42, 0.5599, 0.5599)*CHOOSE(CONTROL!$C$42, 31, 31))/1000000</f>
        <v>12.063045499999998</v>
      </c>
      <c r="V202" s="56">
        <f>(1000*CHOOSE(CONTROL!$C$42, 500, 500)*CHOOSE(CONTROL!$C$42, 0.275, 0.275)*CHOOSE(CONTROL!$C$42, 31, 31))/1000000</f>
        <v>4.2625000000000002</v>
      </c>
      <c r="W202" s="56">
        <f>(1000*CHOOSE(CONTROL!$C$42, 0.0916, 0.0916)*CHOOSE(CONTROL!$C$42, 121.5, 121.5)*CHOOSE(CONTROL!$C$42, 31, 31))/1000000</f>
        <v>0.34501139999999997</v>
      </c>
      <c r="X202" s="56">
        <f>(31*0.1790888*145000/1000000)+(31*0.2374*100000/1000000)</f>
        <v>1.5409441560000001</v>
      </c>
      <c r="Y202" s="56"/>
      <c r="Z202" s="17"/>
      <c r="AA202" s="55"/>
      <c r="AB202" s="48">
        <f>(B202*131.881+C202*277.167+D202*79.08+E202*225.872+F202*40+G202*85+H202*0+I202*100+J202*300)/(131.881+277.167+79.08+225.872+0+40+85+100+300)</f>
        <v>8.841624310815174</v>
      </c>
      <c r="AC202" s="45">
        <f>(M202*'RAP TEMPLATE-GAS AVAILABILITY'!O201+N202*'RAP TEMPLATE-GAS AVAILABILITY'!P201+O202*'RAP TEMPLATE-GAS AVAILABILITY'!Q201+P202*'RAP TEMPLATE-GAS AVAILABILITY'!R201)/('RAP TEMPLATE-GAS AVAILABILITY'!O201+'RAP TEMPLATE-GAS AVAILABILITY'!P201+'RAP TEMPLATE-GAS AVAILABILITY'!Q201+'RAP TEMPLATE-GAS AVAILABILITY'!R201)</f>
        <v>8.7836647482014403</v>
      </c>
    </row>
    <row r="203" spans="1:29" ht="15.75" x14ac:dyDescent="0.25">
      <c r="A203" s="16">
        <v>46692</v>
      </c>
      <c r="B203" s="17">
        <f>CHOOSE(CONTROL!$C$42, 9.0093, 9.0093) * CHOOSE(CONTROL!$C$21, $C$9, 100%, $E$9)</f>
        <v>9.0092999999999996</v>
      </c>
      <c r="C203" s="17">
        <f>CHOOSE(CONTROL!$C$42, 9.0143, 9.0143) * CHOOSE(CONTROL!$C$21, $C$9, 100%, $E$9)</f>
        <v>9.0143000000000004</v>
      </c>
      <c r="D203" s="17">
        <f>CHOOSE(CONTROL!$C$42, 9.155, 9.155) * CHOOSE(CONTROL!$C$21, $C$9, 100%, $E$9)</f>
        <v>9.1549999999999994</v>
      </c>
      <c r="E203" s="17">
        <f>CHOOSE(CONTROL!$C$42, 9.1888, 9.1888) * CHOOSE(CONTROL!$C$21, $C$9, 100%, $E$9)</f>
        <v>9.1888000000000005</v>
      </c>
      <c r="F203" s="17">
        <f>CHOOSE(CONTROL!$C$42, 9.0226, 9.0226)*CHOOSE(CONTROL!$C$21, $C$9, 100%, $E$9)</f>
        <v>9.0226000000000006</v>
      </c>
      <c r="G203" s="17">
        <f>CHOOSE(CONTROL!$C$42, 9.0394, 9.0394)*CHOOSE(CONTROL!$C$21, $C$9, 100%, $E$9)</f>
        <v>9.0394000000000005</v>
      </c>
      <c r="H203" s="17">
        <f>CHOOSE(CONTROL!$C$42, 9.1776, 9.1776) * CHOOSE(CONTROL!$C$21, $C$9, 100%, $E$9)</f>
        <v>9.1776</v>
      </c>
      <c r="I203" s="17">
        <f>CHOOSE(CONTROL!$C$42, 9.0596, 9.0596)* CHOOSE(CONTROL!$C$21, $C$9, 100%, $E$9)</f>
        <v>9.0595999999999997</v>
      </c>
      <c r="J203" s="17">
        <f>CHOOSE(CONTROL!$C$42, 9.0152, 9.0152)* CHOOSE(CONTROL!$C$21, $C$9, 100%, $E$9)</f>
        <v>9.0152000000000001</v>
      </c>
      <c r="K203" s="52">
        <f>CHOOSE(CONTROL!$C$42, 9.0535, 9.0535) * CHOOSE(CONTROL!$C$21, $C$9, 100%, $E$9)</f>
        <v>9.0534999999999997</v>
      </c>
      <c r="L203" s="17">
        <f>CHOOSE(CONTROL!$C$42, 9.7646, 9.7646) * CHOOSE(CONTROL!$C$21, $C$9, 100%, $E$9)</f>
        <v>9.7645999999999997</v>
      </c>
      <c r="M203" s="17">
        <f>CHOOSE(CONTROL!$C$42, 8.9411, 8.9411) * CHOOSE(CONTROL!$C$21, $C$9, 100%, $E$9)</f>
        <v>8.9411000000000005</v>
      </c>
      <c r="N203" s="17">
        <f>CHOOSE(CONTROL!$C$42, 8.9578, 8.9578) * CHOOSE(CONTROL!$C$21, $C$9, 100%, $E$9)</f>
        <v>8.9578000000000007</v>
      </c>
      <c r="O203" s="17">
        <f>CHOOSE(CONTROL!$C$42, 9.1021, 9.1021) * CHOOSE(CONTROL!$C$21, $C$9, 100%, $E$9)</f>
        <v>9.1021000000000001</v>
      </c>
      <c r="P203" s="17">
        <f>CHOOSE(CONTROL!$C$42, 8.9849, 8.9849) * CHOOSE(CONTROL!$C$21, $C$9, 100%, $E$9)</f>
        <v>8.9848999999999997</v>
      </c>
      <c r="Q203" s="17">
        <f>CHOOSE(CONTROL!$C$42, 9.6968, 9.6968) * CHOOSE(CONTROL!$C$21, $C$9, 100%, $E$9)</f>
        <v>9.6967999999999996</v>
      </c>
      <c r="R203" s="17">
        <f>CHOOSE(CONTROL!$C$42, 10.308, 10.308) * CHOOSE(CONTROL!$C$21, $C$9, 100%, $E$9)</f>
        <v>10.308</v>
      </c>
      <c r="S203" s="17">
        <f>CHOOSE(CONTROL!$C$42, 8.7268, 8.7268) * CHOOSE(CONTROL!$C$21, $C$9, 100%, $E$9)</f>
        <v>8.7268000000000008</v>
      </c>
      <c r="T203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203" s="56">
        <f>(1000*CHOOSE(CONTROL!$C$42, 695, 695)*CHOOSE(CONTROL!$C$42, 0.5599, 0.5599)*CHOOSE(CONTROL!$C$42, 30, 30))/1000000</f>
        <v>11.673914999999997</v>
      </c>
      <c r="V203" s="56">
        <f>(1000*CHOOSE(CONTROL!$C$42, 500, 500)*CHOOSE(CONTROL!$C$42, 0.275, 0.275)*CHOOSE(CONTROL!$C$42, 30, 30))/1000000</f>
        <v>4.125</v>
      </c>
      <c r="W203" s="56">
        <f>(1000*CHOOSE(CONTROL!$C$42, 0.0916, 0.0916)*CHOOSE(CONTROL!$C$42, 121.5, 121.5)*CHOOSE(CONTROL!$C$42, 30, 30))/1000000</f>
        <v>0.33388200000000001</v>
      </c>
      <c r="X203" s="56">
        <f>(30*0.2374*100000/1000000)</f>
        <v>0.71220000000000006</v>
      </c>
      <c r="Y203" s="56"/>
      <c r="Z203" s="17"/>
      <c r="AA203" s="55"/>
      <c r="AB203" s="48">
        <f>(B203*122.58+C203*297.941+D203*89.177+E203*140.302+F203*40+G203*60+H203*0+I203*100+J203*300)/(122.58+297.941+89.177+140.302+0+40+60+100+300)</f>
        <v>9.0517391329565218</v>
      </c>
      <c r="AC203" s="45">
        <f>(M203*'RAP TEMPLATE-GAS AVAILABILITY'!O202+N203*'RAP TEMPLATE-GAS AVAILABILITY'!P202+O203*'RAP TEMPLATE-GAS AVAILABILITY'!Q202+P203*'RAP TEMPLATE-GAS AVAILABILITY'!R202)/('RAP TEMPLATE-GAS AVAILABILITY'!O202+'RAP TEMPLATE-GAS AVAILABILITY'!P202+'RAP TEMPLATE-GAS AVAILABILITY'!Q202+'RAP TEMPLATE-GAS AVAILABILITY'!R202)</f>
        <v>9.0213345323740999</v>
      </c>
    </row>
    <row r="204" spans="1:29" ht="15.75" x14ac:dyDescent="0.25">
      <c r="A204" s="16">
        <v>46722</v>
      </c>
      <c r="B204" s="17">
        <f>CHOOSE(CONTROL!$C$42, 9.6426, 9.6426) * CHOOSE(CONTROL!$C$21, $C$9, 100%, $E$9)</f>
        <v>9.6425999999999998</v>
      </c>
      <c r="C204" s="17">
        <f>CHOOSE(CONTROL!$C$42, 9.6477, 9.6477) * CHOOSE(CONTROL!$C$21, $C$9, 100%, $E$9)</f>
        <v>9.6477000000000004</v>
      </c>
      <c r="D204" s="17">
        <f>CHOOSE(CONTROL!$C$42, 9.7883, 9.7883) * CHOOSE(CONTROL!$C$21, $C$9, 100%, $E$9)</f>
        <v>9.7882999999999996</v>
      </c>
      <c r="E204" s="17">
        <f>CHOOSE(CONTROL!$C$42, 9.8221, 9.8221) * CHOOSE(CONTROL!$C$21, $C$9, 100%, $E$9)</f>
        <v>9.8221000000000007</v>
      </c>
      <c r="F204" s="17">
        <f>CHOOSE(CONTROL!$C$42, 9.6583, 9.6583)*CHOOSE(CONTROL!$C$21, $C$9, 100%, $E$9)</f>
        <v>9.6583000000000006</v>
      </c>
      <c r="G204" s="17">
        <f>CHOOSE(CONTROL!$C$42, 9.6758, 9.6758)*CHOOSE(CONTROL!$C$21, $C$9, 100%, $E$9)</f>
        <v>9.6758000000000006</v>
      </c>
      <c r="H204" s="17">
        <f>CHOOSE(CONTROL!$C$42, 9.811, 9.811) * CHOOSE(CONTROL!$C$21, $C$9, 100%, $E$9)</f>
        <v>9.8109999999999999</v>
      </c>
      <c r="I204" s="17">
        <f>CHOOSE(CONTROL!$C$42, 9.6949, 9.6949)* CHOOSE(CONTROL!$C$21, $C$9, 100%, $E$9)</f>
        <v>9.6949000000000005</v>
      </c>
      <c r="J204" s="17">
        <f>CHOOSE(CONTROL!$C$42, 9.6509, 9.6509)* CHOOSE(CONTROL!$C$21, $C$9, 100%, $E$9)</f>
        <v>9.6509</v>
      </c>
      <c r="K204" s="52">
        <f>CHOOSE(CONTROL!$C$42, 9.6888, 9.6888) * CHOOSE(CONTROL!$C$21, $C$9, 100%, $E$9)</f>
        <v>9.6888000000000005</v>
      </c>
      <c r="L204" s="17">
        <f>CHOOSE(CONTROL!$C$42, 10.398, 10.398) * CHOOSE(CONTROL!$C$21, $C$9, 100%, $E$9)</f>
        <v>10.398</v>
      </c>
      <c r="M204" s="17">
        <f>CHOOSE(CONTROL!$C$42, 9.5711, 9.5711) * CHOOSE(CONTROL!$C$21, $C$9, 100%, $E$9)</f>
        <v>9.5710999999999995</v>
      </c>
      <c r="N204" s="17">
        <f>CHOOSE(CONTROL!$C$42, 9.5884, 9.5884) * CHOOSE(CONTROL!$C$21, $C$9, 100%, $E$9)</f>
        <v>9.5884</v>
      </c>
      <c r="O204" s="17">
        <f>CHOOSE(CONTROL!$C$42, 9.7297, 9.7297) * CHOOSE(CONTROL!$C$21, $C$9, 100%, $E$9)</f>
        <v>9.7296999999999993</v>
      </c>
      <c r="P204" s="17">
        <f>CHOOSE(CONTROL!$C$42, 9.6145, 9.6145) * CHOOSE(CONTROL!$C$21, $C$9, 100%, $E$9)</f>
        <v>9.6144999999999996</v>
      </c>
      <c r="Q204" s="17">
        <f>CHOOSE(CONTROL!$C$42, 10.3244, 10.3244) * CHOOSE(CONTROL!$C$21, $C$9, 100%, $E$9)</f>
        <v>10.324400000000001</v>
      </c>
      <c r="R204" s="17">
        <f>CHOOSE(CONTROL!$C$42, 10.9372, 10.9372) * CHOOSE(CONTROL!$C$21, $C$9, 100%, $E$9)</f>
        <v>10.937200000000001</v>
      </c>
      <c r="S204" s="17">
        <f>CHOOSE(CONTROL!$C$42, 9.3409, 9.3409) * CHOOSE(CONTROL!$C$21, $C$9, 100%, $E$9)</f>
        <v>9.3408999999999995</v>
      </c>
      <c r="T204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204" s="56">
        <f>(1000*CHOOSE(CONTROL!$C$42, 695, 695)*CHOOSE(CONTROL!$C$42, 0.5599, 0.5599)*CHOOSE(CONTROL!$C$42, 31, 31))/1000000</f>
        <v>12.063045499999998</v>
      </c>
      <c r="V204" s="56">
        <f>(1000*CHOOSE(CONTROL!$C$42, 500, 500)*CHOOSE(CONTROL!$C$42, 0.275, 0.275)*CHOOSE(CONTROL!$C$42, 31, 31))/1000000</f>
        <v>4.2625000000000002</v>
      </c>
      <c r="W204" s="56">
        <f>(1000*CHOOSE(CONTROL!$C$42, 0.0916, 0.0916)*CHOOSE(CONTROL!$C$42, 121.5, 121.5)*CHOOSE(CONTROL!$C$42, 31, 31))/1000000</f>
        <v>0.34501139999999997</v>
      </c>
      <c r="X204" s="56">
        <f>(31*0.2374*100000/1000000)</f>
        <v>0.73594000000000004</v>
      </c>
      <c r="Y204" s="56"/>
      <c r="Z204" s="17"/>
      <c r="AA204" s="55"/>
      <c r="AB204" s="48">
        <f>(B204*122.58+C204*297.941+D204*89.177+E204*140.302+F204*40+G204*60+H204*0+I204*100+J204*300)/(122.58+297.941+89.177+140.302+0+40+60+100+300)</f>
        <v>9.6861102582608698</v>
      </c>
      <c r="AC204" s="45">
        <f>(M204*'RAP TEMPLATE-GAS AVAILABILITY'!O203+N204*'RAP TEMPLATE-GAS AVAILABILITY'!P203+O204*'RAP TEMPLATE-GAS AVAILABILITY'!Q203+P204*'RAP TEMPLATE-GAS AVAILABILITY'!R203)/('RAP TEMPLATE-GAS AVAILABILITY'!O203+'RAP TEMPLATE-GAS AVAILABILITY'!P203+'RAP TEMPLATE-GAS AVAILABILITY'!Q203+'RAP TEMPLATE-GAS AVAILABILITY'!R203)</f>
        <v>9.6502237410071938</v>
      </c>
    </row>
    <row r="205" spans="1:29" ht="15.75" x14ac:dyDescent="0.25">
      <c r="A205" s="16">
        <v>46753</v>
      </c>
      <c r="B205" s="17">
        <f>CHOOSE(CONTROL!$C$42, 10.1542, 10.1542) * CHOOSE(CONTROL!$C$21, $C$9, 100%, $E$9)</f>
        <v>10.154199999999999</v>
      </c>
      <c r="C205" s="17">
        <f>CHOOSE(CONTROL!$C$42, 10.1593, 10.1593) * CHOOSE(CONTROL!$C$21, $C$9, 100%, $E$9)</f>
        <v>10.1593</v>
      </c>
      <c r="D205" s="17">
        <f>CHOOSE(CONTROL!$C$42, 10.2932, 10.2932) * CHOOSE(CONTROL!$C$21, $C$9, 100%, $E$9)</f>
        <v>10.293200000000001</v>
      </c>
      <c r="E205" s="17">
        <f>CHOOSE(CONTROL!$C$42, 10.327, 10.327) * CHOOSE(CONTROL!$C$21, $C$9, 100%, $E$9)</f>
        <v>10.327</v>
      </c>
      <c r="F205" s="17">
        <f>CHOOSE(CONTROL!$C$42, 10.1676, 10.1676)*CHOOSE(CONTROL!$C$21, $C$9, 100%, $E$9)</f>
        <v>10.1676</v>
      </c>
      <c r="G205" s="17">
        <f>CHOOSE(CONTROL!$C$42, 10.1845, 10.1845)*CHOOSE(CONTROL!$C$21, $C$9, 100%, $E$9)</f>
        <v>10.1845</v>
      </c>
      <c r="H205" s="17">
        <f>CHOOSE(CONTROL!$C$42, 10.3159, 10.3159) * CHOOSE(CONTROL!$C$21, $C$9, 100%, $E$9)</f>
        <v>10.315899999999999</v>
      </c>
      <c r="I205" s="17">
        <f>CHOOSE(CONTROL!$C$42, 10.2122, 10.2122)* CHOOSE(CONTROL!$C$21, $C$9, 100%, $E$9)</f>
        <v>10.212199999999999</v>
      </c>
      <c r="J205" s="17">
        <f>CHOOSE(CONTROL!$C$42, 10.1602, 10.1602)* CHOOSE(CONTROL!$C$21, $C$9, 100%, $E$9)</f>
        <v>10.1602</v>
      </c>
      <c r="K205" s="52">
        <f>CHOOSE(CONTROL!$C$42, 10.2062, 10.2062) * CHOOSE(CONTROL!$C$21, $C$9, 100%, $E$9)</f>
        <v>10.206200000000001</v>
      </c>
      <c r="L205" s="17">
        <f>CHOOSE(CONTROL!$C$42, 10.9029, 10.9029) * CHOOSE(CONTROL!$C$21, $C$9, 100%, $E$9)</f>
        <v>10.902900000000001</v>
      </c>
      <c r="M205" s="17">
        <f>CHOOSE(CONTROL!$C$42, 10.0759, 10.0759) * CHOOSE(CONTROL!$C$21, $C$9, 100%, $E$9)</f>
        <v>10.075900000000001</v>
      </c>
      <c r="N205" s="17">
        <f>CHOOSE(CONTROL!$C$42, 10.0926, 10.0926) * CHOOSE(CONTROL!$C$21, $C$9, 100%, $E$9)</f>
        <v>10.092599999999999</v>
      </c>
      <c r="O205" s="17">
        <f>CHOOSE(CONTROL!$C$42, 10.2301, 10.2301) * CHOOSE(CONTROL!$C$21, $C$9, 100%, $E$9)</f>
        <v>10.2301</v>
      </c>
      <c r="P205" s="17">
        <f>CHOOSE(CONTROL!$C$42, 10.1271, 10.1271) * CHOOSE(CONTROL!$C$21, $C$9, 100%, $E$9)</f>
        <v>10.1271</v>
      </c>
      <c r="Q205" s="17">
        <f>CHOOSE(CONTROL!$C$42, 10.8248, 10.8248) * CHOOSE(CONTROL!$C$21, $C$9, 100%, $E$9)</f>
        <v>10.8248</v>
      </c>
      <c r="R205" s="17">
        <f>CHOOSE(CONTROL!$C$42, 11.4389, 11.4389) * CHOOSE(CONTROL!$C$21, $C$9, 100%, $E$9)</f>
        <v>11.4389</v>
      </c>
      <c r="S205" s="17">
        <f>CHOOSE(CONTROL!$C$42, 9.837, 9.837) * CHOOSE(CONTROL!$C$21, $C$9, 100%, $E$9)</f>
        <v>9.8369999999999997</v>
      </c>
      <c r="T205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205" s="56">
        <f>(1000*CHOOSE(CONTROL!$C$42, 695, 695)*CHOOSE(CONTROL!$C$42, 0.5599, 0.5599)*CHOOSE(CONTROL!$C$42, 31, 31))/1000000</f>
        <v>12.063045499999998</v>
      </c>
      <c r="V205" s="56">
        <f>(1000*CHOOSE(CONTROL!$C$42, 500, 500)*CHOOSE(CONTROL!$C$42, 0.275, 0.275)*CHOOSE(CONTROL!$C$42, 31, 31))/1000000</f>
        <v>4.2625000000000002</v>
      </c>
      <c r="W205" s="56">
        <f>(1000*CHOOSE(CONTROL!$C$42, 0.0916, 0.0916)*CHOOSE(CONTROL!$C$42, 121.5, 121.5)*CHOOSE(CONTROL!$C$42, 31, 31))/1000000</f>
        <v>0.34501139999999997</v>
      </c>
      <c r="X205" s="56">
        <f>(31*0.2374*100000/1000000)</f>
        <v>0.73594000000000004</v>
      </c>
      <c r="Y205" s="56"/>
      <c r="Z205" s="17"/>
      <c r="AA205" s="55"/>
      <c r="AB205" s="48">
        <f>(B205*122.58+C205*297.941+D205*89.177+E205*140.302+F205*40+G205*60+H205*0+I205*100+J205*300)/(122.58+297.941+89.177+140.302+0+40+60+100+300)</f>
        <v>10.196037641478259</v>
      </c>
      <c r="AC205" s="45">
        <f>(M205*'RAP TEMPLATE-GAS AVAILABILITY'!O204+N205*'RAP TEMPLATE-GAS AVAILABILITY'!P204+O205*'RAP TEMPLATE-GAS AVAILABILITY'!Q204+P205*'RAP TEMPLATE-GAS AVAILABILITY'!R204)/('RAP TEMPLATE-GAS AVAILABILITY'!O204+'RAP TEMPLATE-GAS AVAILABILITY'!P204+'RAP TEMPLATE-GAS AVAILABILITY'!Q204+'RAP TEMPLATE-GAS AVAILABILITY'!R204)</f>
        <v>10.15411726618705</v>
      </c>
    </row>
    <row r="206" spans="1:29" ht="15.75" x14ac:dyDescent="0.25">
      <c r="A206" s="16">
        <v>46784</v>
      </c>
      <c r="B206" s="17">
        <f>CHOOSE(CONTROL!$C$42, 10.356, 10.356) * CHOOSE(CONTROL!$C$21, $C$9, 100%, $E$9)</f>
        <v>10.356</v>
      </c>
      <c r="C206" s="17">
        <f>CHOOSE(CONTROL!$C$42, 10.3611, 10.3611) * CHOOSE(CONTROL!$C$21, $C$9, 100%, $E$9)</f>
        <v>10.3611</v>
      </c>
      <c r="D206" s="17">
        <f>CHOOSE(CONTROL!$C$42, 10.4951, 10.4951) * CHOOSE(CONTROL!$C$21, $C$9, 100%, $E$9)</f>
        <v>10.495100000000001</v>
      </c>
      <c r="E206" s="17">
        <f>CHOOSE(CONTROL!$C$42, 10.5288, 10.5288) * CHOOSE(CONTROL!$C$21, $C$9, 100%, $E$9)</f>
        <v>10.5288</v>
      </c>
      <c r="F206" s="17">
        <f>CHOOSE(CONTROL!$C$42, 10.3694, 10.3694)*CHOOSE(CONTROL!$C$21, $C$9, 100%, $E$9)</f>
        <v>10.369400000000001</v>
      </c>
      <c r="G206" s="17">
        <f>CHOOSE(CONTROL!$C$42, 10.3863, 10.3863)*CHOOSE(CONTROL!$C$21, $C$9, 100%, $E$9)</f>
        <v>10.3863</v>
      </c>
      <c r="H206" s="17">
        <f>CHOOSE(CONTROL!$C$42, 10.5177, 10.5177) * CHOOSE(CONTROL!$C$21, $C$9, 100%, $E$9)</f>
        <v>10.5177</v>
      </c>
      <c r="I206" s="17">
        <f>CHOOSE(CONTROL!$C$42, 10.4147, 10.4147)* CHOOSE(CONTROL!$C$21, $C$9, 100%, $E$9)</f>
        <v>10.4147</v>
      </c>
      <c r="J206" s="17">
        <f>CHOOSE(CONTROL!$C$42, 10.362, 10.362)* CHOOSE(CONTROL!$C$21, $C$9, 100%, $E$9)</f>
        <v>10.362</v>
      </c>
      <c r="K206" s="52">
        <f>CHOOSE(CONTROL!$C$42, 10.4086, 10.4086) * CHOOSE(CONTROL!$C$21, $C$9, 100%, $E$9)</f>
        <v>10.4086</v>
      </c>
      <c r="L206" s="17">
        <f>CHOOSE(CONTROL!$C$42, 11.1047, 11.1047) * CHOOSE(CONTROL!$C$21, $C$9, 100%, $E$9)</f>
        <v>11.104699999999999</v>
      </c>
      <c r="M206" s="17">
        <f>CHOOSE(CONTROL!$C$42, 10.2758, 10.2758) * CHOOSE(CONTROL!$C$21, $C$9, 100%, $E$9)</f>
        <v>10.2758</v>
      </c>
      <c r="N206" s="17">
        <f>CHOOSE(CONTROL!$C$42, 10.2926, 10.2926) * CHOOSE(CONTROL!$C$21, $C$9, 100%, $E$9)</f>
        <v>10.2926</v>
      </c>
      <c r="O206" s="17">
        <f>CHOOSE(CONTROL!$C$42, 10.4301, 10.4301) * CHOOSE(CONTROL!$C$21, $C$9, 100%, $E$9)</f>
        <v>10.430099999999999</v>
      </c>
      <c r="P206" s="17">
        <f>CHOOSE(CONTROL!$C$42, 10.3278, 10.3278) * CHOOSE(CONTROL!$C$21, $C$9, 100%, $E$9)</f>
        <v>10.3278</v>
      </c>
      <c r="Q206" s="17">
        <f>CHOOSE(CONTROL!$C$42, 11.0248, 11.0248) * CHOOSE(CONTROL!$C$21, $C$9, 100%, $E$9)</f>
        <v>11.024800000000001</v>
      </c>
      <c r="R206" s="17">
        <f>CHOOSE(CONTROL!$C$42, 11.6394, 11.6394) * CHOOSE(CONTROL!$C$21, $C$9, 100%, $E$9)</f>
        <v>11.6394</v>
      </c>
      <c r="S206" s="17">
        <f>CHOOSE(CONTROL!$C$42, 10.0327, 10.0327) * CHOOSE(CONTROL!$C$21, $C$9, 100%, $E$9)</f>
        <v>10.0327</v>
      </c>
      <c r="T206" s="56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206" s="56">
        <f>(1000*CHOOSE(CONTROL!$C$42, 695, 695)*CHOOSE(CONTROL!$C$42, 0.5599, 0.5599)*CHOOSE(CONTROL!$C$42, 29, 29))/1000000</f>
        <v>11.284784499999999</v>
      </c>
      <c r="V206" s="56">
        <f>(1000*CHOOSE(CONTROL!$C$42, 500, 500)*CHOOSE(CONTROL!$C$42, 0.275, 0.275)*CHOOSE(CONTROL!$C$42, 29, 29))/1000000</f>
        <v>3.9874999999999998</v>
      </c>
      <c r="W206" s="56">
        <f>(1000*CHOOSE(CONTROL!$C$42, 0.0916, 0.0916)*CHOOSE(CONTROL!$C$42, 121.5, 121.5)*CHOOSE(CONTROL!$C$42, 29, 29))/1000000</f>
        <v>0.3227526</v>
      </c>
      <c r="X206" s="56">
        <f>(29*0.2374*100000/1000000)</f>
        <v>0.68845999999999996</v>
      </c>
      <c r="Y206" s="56"/>
      <c r="Z206" s="17"/>
      <c r="AA206" s="55"/>
      <c r="AB206" s="48">
        <f>(B206*122.58+C206*297.941+D206*89.177+E206*140.302+F206*40+G206*60+H206*0+I206*100+J206*300)/(122.58+297.941+89.177+140.302+0+40+60+100+300)</f>
        <v>10.397906265565217</v>
      </c>
      <c r="AC206" s="45">
        <f>(M206*'RAP TEMPLATE-GAS AVAILABILITY'!O205+N206*'RAP TEMPLATE-GAS AVAILABILITY'!P205+O206*'RAP TEMPLATE-GAS AVAILABILITY'!Q205+P206*'RAP TEMPLATE-GAS AVAILABILITY'!R205)/('RAP TEMPLATE-GAS AVAILABILITY'!O205+'RAP TEMPLATE-GAS AVAILABILITY'!P205+'RAP TEMPLATE-GAS AVAILABILITY'!Q205+'RAP TEMPLATE-GAS AVAILABILITY'!R205)</f>
        <v>10.354183453237411</v>
      </c>
    </row>
    <row r="207" spans="1:29" ht="15.75" x14ac:dyDescent="0.25">
      <c r="A207" s="16">
        <v>46813</v>
      </c>
      <c r="B207" s="17">
        <f>CHOOSE(CONTROL!$C$42, 10.083, 10.083) * CHOOSE(CONTROL!$C$21, $C$9, 100%, $E$9)</f>
        <v>10.083</v>
      </c>
      <c r="C207" s="17">
        <f>CHOOSE(CONTROL!$C$42, 10.0881, 10.0881) * CHOOSE(CONTROL!$C$21, $C$9, 100%, $E$9)</f>
        <v>10.088100000000001</v>
      </c>
      <c r="D207" s="17">
        <f>CHOOSE(CONTROL!$C$42, 10.2221, 10.2221) * CHOOSE(CONTROL!$C$21, $C$9, 100%, $E$9)</f>
        <v>10.222099999999999</v>
      </c>
      <c r="E207" s="17">
        <f>CHOOSE(CONTROL!$C$42, 10.2558, 10.2558) * CHOOSE(CONTROL!$C$21, $C$9, 100%, $E$9)</f>
        <v>10.255800000000001</v>
      </c>
      <c r="F207" s="17">
        <f>CHOOSE(CONTROL!$C$42, 10.0957, 10.0957)*CHOOSE(CONTROL!$C$21, $C$9, 100%, $E$9)</f>
        <v>10.095700000000001</v>
      </c>
      <c r="G207" s="17">
        <f>CHOOSE(CONTROL!$C$42, 10.1123, 10.1123)*CHOOSE(CONTROL!$C$21, $C$9, 100%, $E$9)</f>
        <v>10.112299999999999</v>
      </c>
      <c r="H207" s="17">
        <f>CHOOSE(CONTROL!$C$42, 10.2447, 10.2447) * CHOOSE(CONTROL!$C$21, $C$9, 100%, $E$9)</f>
        <v>10.2447</v>
      </c>
      <c r="I207" s="17">
        <f>CHOOSE(CONTROL!$C$42, 10.1408, 10.1408)* CHOOSE(CONTROL!$C$21, $C$9, 100%, $E$9)</f>
        <v>10.1408</v>
      </c>
      <c r="J207" s="17">
        <f>CHOOSE(CONTROL!$C$42, 10.0883, 10.0883)* CHOOSE(CONTROL!$C$21, $C$9, 100%, $E$9)</f>
        <v>10.0883</v>
      </c>
      <c r="K207" s="52">
        <f>CHOOSE(CONTROL!$C$42, 10.1348, 10.1348) * CHOOSE(CONTROL!$C$21, $C$9, 100%, $E$9)</f>
        <v>10.1348</v>
      </c>
      <c r="L207" s="17">
        <f>CHOOSE(CONTROL!$C$42, 10.8317, 10.8317) * CHOOSE(CONTROL!$C$21, $C$9, 100%, $E$9)</f>
        <v>10.8317</v>
      </c>
      <c r="M207" s="17">
        <f>CHOOSE(CONTROL!$C$42, 10.0045, 10.0045) * CHOOSE(CONTROL!$C$21, $C$9, 100%, $E$9)</f>
        <v>10.0045</v>
      </c>
      <c r="N207" s="17">
        <f>CHOOSE(CONTROL!$C$42, 10.0211, 10.0211) * CHOOSE(CONTROL!$C$21, $C$9, 100%, $E$9)</f>
        <v>10.021100000000001</v>
      </c>
      <c r="O207" s="17">
        <f>CHOOSE(CONTROL!$C$42, 10.1596, 10.1596) * CHOOSE(CONTROL!$C$21, $C$9, 100%, $E$9)</f>
        <v>10.159599999999999</v>
      </c>
      <c r="P207" s="17">
        <f>CHOOSE(CONTROL!$C$42, 10.0564, 10.0564) * CHOOSE(CONTROL!$C$21, $C$9, 100%, $E$9)</f>
        <v>10.0564</v>
      </c>
      <c r="Q207" s="17">
        <f>CHOOSE(CONTROL!$C$42, 10.7543, 10.7543) * CHOOSE(CONTROL!$C$21, $C$9, 100%, $E$9)</f>
        <v>10.754300000000001</v>
      </c>
      <c r="R207" s="17">
        <f>CHOOSE(CONTROL!$C$42, 11.3682, 11.3682) * CHOOSE(CONTROL!$C$21, $C$9, 100%, $E$9)</f>
        <v>11.3682</v>
      </c>
      <c r="S207" s="17">
        <f>CHOOSE(CONTROL!$C$42, 9.768, 9.768) * CHOOSE(CONTROL!$C$21, $C$9, 100%, $E$9)</f>
        <v>9.7680000000000007</v>
      </c>
      <c r="T207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207" s="56">
        <f>(1000*CHOOSE(CONTROL!$C$42, 695, 695)*CHOOSE(CONTROL!$C$42, 0.5599, 0.5599)*CHOOSE(CONTROL!$C$42, 31, 31))/1000000</f>
        <v>12.063045499999998</v>
      </c>
      <c r="V207" s="56">
        <f>(1000*CHOOSE(CONTROL!$C$42, 500, 500)*CHOOSE(CONTROL!$C$42, 0.275, 0.275)*CHOOSE(CONTROL!$C$42, 31, 31))/1000000</f>
        <v>4.2625000000000002</v>
      </c>
      <c r="W207" s="56">
        <f>(1000*CHOOSE(CONTROL!$C$42, 0.0916, 0.0916)*CHOOSE(CONTROL!$C$42, 121.5, 121.5)*CHOOSE(CONTROL!$C$42, 31, 31))/1000000</f>
        <v>0.34501139999999997</v>
      </c>
      <c r="X207" s="56">
        <f>(31*0.2374*100000/1000000)</f>
        <v>0.73594000000000004</v>
      </c>
      <c r="Y207" s="56"/>
      <c r="Z207" s="17"/>
      <c r="AA207" s="55"/>
      <c r="AB207" s="48">
        <f>(B207*122.58+C207*297.941+D207*89.177+E207*140.302+F207*40+G207*60+H207*0+I207*100+J207*300)/(122.58+297.941+89.177+140.302+0+40+60+100+300)</f>
        <v>10.12456887426087</v>
      </c>
      <c r="AC207" s="45">
        <f>(M207*'RAP TEMPLATE-GAS AVAILABILITY'!O206+N207*'RAP TEMPLATE-GAS AVAILABILITY'!P206+O207*'RAP TEMPLATE-GAS AVAILABILITY'!Q206+P207*'RAP TEMPLATE-GAS AVAILABILITY'!R206)/('RAP TEMPLATE-GAS AVAILABILITY'!O206+'RAP TEMPLATE-GAS AVAILABILITY'!P206+'RAP TEMPLATE-GAS AVAILABILITY'!Q206+'RAP TEMPLATE-GAS AVAILABILITY'!R206)</f>
        <v>10.083220143884892</v>
      </c>
    </row>
    <row r="208" spans="1:29" ht="15.75" x14ac:dyDescent="0.25">
      <c r="A208" s="16">
        <v>46844</v>
      </c>
      <c r="B208" s="17">
        <f>CHOOSE(CONTROL!$C$42, 10.0746, 10.0746) * CHOOSE(CONTROL!$C$21, $C$9, 100%, $E$9)</f>
        <v>10.0746</v>
      </c>
      <c r="C208" s="17">
        <f>CHOOSE(CONTROL!$C$42, 10.0791, 10.0791) * CHOOSE(CONTROL!$C$21, $C$9, 100%, $E$9)</f>
        <v>10.0791</v>
      </c>
      <c r="D208" s="17">
        <f>CHOOSE(CONTROL!$C$42, 10.3421, 10.3421) * CHOOSE(CONTROL!$C$21, $C$9, 100%, $E$9)</f>
        <v>10.3421</v>
      </c>
      <c r="E208" s="17">
        <f>CHOOSE(CONTROL!$C$42, 10.3739, 10.3739) * CHOOSE(CONTROL!$C$21, $C$9, 100%, $E$9)</f>
        <v>10.373900000000001</v>
      </c>
      <c r="F208" s="17">
        <f>CHOOSE(CONTROL!$C$42, 10.0855, 10.0855)*CHOOSE(CONTROL!$C$21, $C$9, 100%, $E$9)</f>
        <v>10.0855</v>
      </c>
      <c r="G208" s="17">
        <f>CHOOSE(CONTROL!$C$42, 10.1017, 10.1017)*CHOOSE(CONTROL!$C$21, $C$9, 100%, $E$9)</f>
        <v>10.101699999999999</v>
      </c>
      <c r="H208" s="17">
        <f>CHOOSE(CONTROL!$C$42, 10.3634, 10.3634) * CHOOSE(CONTROL!$C$21, $C$9, 100%, $E$9)</f>
        <v>10.3634</v>
      </c>
      <c r="I208" s="17">
        <f>CHOOSE(CONTROL!$C$42, 10.1311, 10.1311)* CHOOSE(CONTROL!$C$21, $C$9, 100%, $E$9)</f>
        <v>10.1311</v>
      </c>
      <c r="J208" s="17">
        <f>CHOOSE(CONTROL!$C$42, 10.0781, 10.0781)* CHOOSE(CONTROL!$C$21, $C$9, 100%, $E$9)</f>
        <v>10.078099999999999</v>
      </c>
      <c r="K208" s="52">
        <f>CHOOSE(CONTROL!$C$42, 10.125, 10.125) * CHOOSE(CONTROL!$C$21, $C$9, 100%, $E$9)</f>
        <v>10.125</v>
      </c>
      <c r="L208" s="17">
        <f>CHOOSE(CONTROL!$C$42, 10.9504, 10.9504) * CHOOSE(CONTROL!$C$21, $C$9, 100%, $E$9)</f>
        <v>10.9504</v>
      </c>
      <c r="M208" s="17">
        <f>CHOOSE(CONTROL!$C$42, 9.9945, 9.9945) * CHOOSE(CONTROL!$C$21, $C$9, 100%, $E$9)</f>
        <v>9.9945000000000004</v>
      </c>
      <c r="N208" s="17">
        <f>CHOOSE(CONTROL!$C$42, 10.0105, 10.0105) * CHOOSE(CONTROL!$C$21, $C$9, 100%, $E$9)</f>
        <v>10.0105</v>
      </c>
      <c r="O208" s="17">
        <f>CHOOSE(CONTROL!$C$42, 10.2772, 10.2772) * CHOOSE(CONTROL!$C$21, $C$9, 100%, $E$9)</f>
        <v>10.277200000000001</v>
      </c>
      <c r="P208" s="17">
        <f>CHOOSE(CONTROL!$C$42, 10.0467, 10.0467) * CHOOSE(CONTROL!$C$21, $C$9, 100%, $E$9)</f>
        <v>10.0467</v>
      </c>
      <c r="Q208" s="17">
        <f>CHOOSE(CONTROL!$C$42, 10.8719, 10.8719) * CHOOSE(CONTROL!$C$21, $C$9, 100%, $E$9)</f>
        <v>10.8719</v>
      </c>
      <c r="R208" s="17">
        <f>CHOOSE(CONTROL!$C$42, 11.4861, 11.4861) * CHOOSE(CONTROL!$C$21, $C$9, 100%, $E$9)</f>
        <v>11.4861</v>
      </c>
      <c r="S208" s="17">
        <f>CHOOSE(CONTROL!$C$42, 9.7591, 9.7591) * CHOOSE(CONTROL!$C$21, $C$9, 100%, $E$9)</f>
        <v>9.7591000000000001</v>
      </c>
      <c r="T208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208" s="56">
        <f>(1000*CHOOSE(CONTROL!$C$42, 695, 695)*CHOOSE(CONTROL!$C$42, 0.5599, 0.5599)*CHOOSE(CONTROL!$C$42, 30, 30))/1000000</f>
        <v>11.673914999999997</v>
      </c>
      <c r="V208" s="56">
        <f>(1000*CHOOSE(CONTROL!$C$42, 500, 500)*CHOOSE(CONTROL!$C$42, 0.275, 0.275)*CHOOSE(CONTROL!$C$42, 30, 30))/1000000</f>
        <v>4.125</v>
      </c>
      <c r="W208" s="56">
        <f>(1000*CHOOSE(CONTROL!$C$42, 0.0916, 0.0916)*CHOOSE(CONTROL!$C$42, 121.5, 121.5)*CHOOSE(CONTROL!$C$42, 30, 30))/1000000</f>
        <v>0.33388200000000001</v>
      </c>
      <c r="X208" s="56">
        <f>(30*0.1790888*145000/1000000)+(30*0.2374*100000/1000000)</f>
        <v>1.4912362799999999</v>
      </c>
      <c r="Y208" s="56"/>
      <c r="Z208" s="17"/>
      <c r="AA208" s="55"/>
      <c r="AB208" s="48">
        <f>(B208*141.293+C208*267.993+D208*115.016+E208*189.698+F208*40+G208*85+H208*0+I208*100+J208*300)/(141.293+267.993+115.016+189.698+0+40+85+100+300)</f>
        <v>10.153848474495563</v>
      </c>
      <c r="AC208" s="45">
        <f>(M208*'RAP TEMPLATE-GAS AVAILABILITY'!O207+N208*'RAP TEMPLATE-GAS AVAILABILITY'!P207+O208*'RAP TEMPLATE-GAS AVAILABILITY'!Q207+P208*'RAP TEMPLATE-GAS AVAILABILITY'!R207)/('RAP TEMPLATE-GAS AVAILABILITY'!O207+'RAP TEMPLATE-GAS AVAILABILITY'!P207+'RAP TEMPLATE-GAS AVAILABILITY'!Q207+'RAP TEMPLATE-GAS AVAILABILITY'!R207)</f>
        <v>10.085012949640289</v>
      </c>
    </row>
    <row r="209" spans="1:29" ht="15.75" x14ac:dyDescent="0.25">
      <c r="A209" s="16">
        <v>46874</v>
      </c>
      <c r="B209" s="17">
        <f>CHOOSE(CONTROL!$C$42, 10.1857, 10.1857) * CHOOSE(CONTROL!$C$21, $C$9, 100%, $E$9)</f>
        <v>10.185700000000001</v>
      </c>
      <c r="C209" s="17">
        <f>CHOOSE(CONTROL!$C$42, 10.1937, 10.1937) * CHOOSE(CONTROL!$C$21, $C$9, 100%, $E$9)</f>
        <v>10.1937</v>
      </c>
      <c r="D209" s="17">
        <f>CHOOSE(CONTROL!$C$42, 10.4536, 10.4536) * CHOOSE(CONTROL!$C$21, $C$9, 100%, $E$9)</f>
        <v>10.4536</v>
      </c>
      <c r="E209" s="17">
        <f>CHOOSE(CONTROL!$C$42, 10.4848, 10.4848) * CHOOSE(CONTROL!$C$21, $C$9, 100%, $E$9)</f>
        <v>10.4848</v>
      </c>
      <c r="F209" s="17">
        <f>CHOOSE(CONTROL!$C$42, 10.1954, 10.1954)*CHOOSE(CONTROL!$C$21, $C$9, 100%, $E$9)</f>
        <v>10.195399999999999</v>
      </c>
      <c r="G209" s="17">
        <f>CHOOSE(CONTROL!$C$42, 10.2118, 10.2118)*CHOOSE(CONTROL!$C$21, $C$9, 100%, $E$9)</f>
        <v>10.2118</v>
      </c>
      <c r="H209" s="17">
        <f>CHOOSE(CONTROL!$C$42, 10.4731, 10.4731) * CHOOSE(CONTROL!$C$21, $C$9, 100%, $E$9)</f>
        <v>10.473100000000001</v>
      </c>
      <c r="I209" s="17">
        <f>CHOOSE(CONTROL!$C$42, 10.2411, 10.2411)* CHOOSE(CONTROL!$C$21, $C$9, 100%, $E$9)</f>
        <v>10.241099999999999</v>
      </c>
      <c r="J209" s="17">
        <f>CHOOSE(CONTROL!$C$42, 10.188, 10.188)* CHOOSE(CONTROL!$C$21, $C$9, 100%, $E$9)</f>
        <v>10.188000000000001</v>
      </c>
      <c r="K209" s="52">
        <f>CHOOSE(CONTROL!$C$42, 10.2351, 10.2351) * CHOOSE(CONTROL!$C$21, $C$9, 100%, $E$9)</f>
        <v>10.235099999999999</v>
      </c>
      <c r="L209" s="17">
        <f>CHOOSE(CONTROL!$C$42, 11.0601, 11.0601) * CHOOSE(CONTROL!$C$21, $C$9, 100%, $E$9)</f>
        <v>11.0601</v>
      </c>
      <c r="M209" s="17">
        <f>CHOOSE(CONTROL!$C$42, 10.1033, 10.1033) * CHOOSE(CONTROL!$C$21, $C$9, 100%, $E$9)</f>
        <v>10.103300000000001</v>
      </c>
      <c r="N209" s="17">
        <f>CHOOSE(CONTROL!$C$42, 10.1196, 10.1196) * CHOOSE(CONTROL!$C$21, $C$9, 100%, $E$9)</f>
        <v>10.1196</v>
      </c>
      <c r="O209" s="17">
        <f>CHOOSE(CONTROL!$C$42, 10.3859, 10.3859) * CHOOSE(CONTROL!$C$21, $C$9, 100%, $E$9)</f>
        <v>10.385899999999999</v>
      </c>
      <c r="P209" s="17">
        <f>CHOOSE(CONTROL!$C$42, 10.1558, 10.1558) * CHOOSE(CONTROL!$C$21, $C$9, 100%, $E$9)</f>
        <v>10.155799999999999</v>
      </c>
      <c r="Q209" s="17">
        <f>CHOOSE(CONTROL!$C$42, 10.9806, 10.9806) * CHOOSE(CONTROL!$C$21, $C$9, 100%, $E$9)</f>
        <v>10.980600000000001</v>
      </c>
      <c r="R209" s="17">
        <f>CHOOSE(CONTROL!$C$42, 11.5951, 11.5951) * CHOOSE(CONTROL!$C$21, $C$9, 100%, $E$9)</f>
        <v>11.5951</v>
      </c>
      <c r="S209" s="17">
        <f>CHOOSE(CONTROL!$C$42, 9.8655, 9.8655) * CHOOSE(CONTROL!$C$21, $C$9, 100%, $E$9)</f>
        <v>9.8655000000000008</v>
      </c>
      <c r="T209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209" s="56">
        <f>(1000*CHOOSE(CONTROL!$C$42, 695, 695)*CHOOSE(CONTROL!$C$42, 0.5599, 0.5599)*CHOOSE(CONTROL!$C$42, 31, 31))/1000000</f>
        <v>12.063045499999998</v>
      </c>
      <c r="V209" s="56">
        <f>(1000*CHOOSE(CONTROL!$C$42, 500, 500)*CHOOSE(CONTROL!$C$42, 0.275, 0.275)*CHOOSE(CONTROL!$C$42, 31, 31))/1000000</f>
        <v>4.2625000000000002</v>
      </c>
      <c r="W209" s="56">
        <f>(1000*CHOOSE(CONTROL!$C$42, 0.0916, 0.0916)*CHOOSE(CONTROL!$C$42, 121.5, 121.5)*CHOOSE(CONTROL!$C$42, 31, 31))/1000000</f>
        <v>0.34501139999999997</v>
      </c>
      <c r="X209" s="56">
        <f>(31*0.1790888*145000/1000000)+(31*0.2374*100000/1000000)</f>
        <v>1.5409441560000001</v>
      </c>
      <c r="Y209" s="56"/>
      <c r="Z209" s="17"/>
      <c r="AA209" s="55"/>
      <c r="AB209" s="48">
        <f>(B209*194.205+C209*267.466+D209*133.845+E209*153.484+F209*40+G209*85+H209*0+I209*100+J209*300)/(194.205+267.466+133.845+153.484+0+40+85+100+300)</f>
        <v>10.258494637284146</v>
      </c>
      <c r="AC209" s="45">
        <f>(M209*'RAP TEMPLATE-GAS AVAILABILITY'!O208+N209*'RAP TEMPLATE-GAS AVAILABILITY'!P208+O209*'RAP TEMPLATE-GAS AVAILABILITY'!Q208+P209*'RAP TEMPLATE-GAS AVAILABILITY'!R208)/('RAP TEMPLATE-GAS AVAILABILITY'!O208+'RAP TEMPLATE-GAS AVAILABILITY'!P208+'RAP TEMPLATE-GAS AVAILABILITY'!Q208+'RAP TEMPLATE-GAS AVAILABILITY'!R208)</f>
        <v>10.193897122302157</v>
      </c>
    </row>
    <row r="210" spans="1:29" ht="15.75" x14ac:dyDescent="0.25">
      <c r="A210" s="16">
        <v>46905</v>
      </c>
      <c r="B210" s="17">
        <f>CHOOSE(CONTROL!$C$42, 10.4958, 10.4958) * CHOOSE(CONTROL!$C$21, $C$9, 100%, $E$9)</f>
        <v>10.495799999999999</v>
      </c>
      <c r="C210" s="17">
        <f>CHOOSE(CONTROL!$C$42, 10.5038, 10.5038) * CHOOSE(CONTROL!$C$21, $C$9, 100%, $E$9)</f>
        <v>10.5038</v>
      </c>
      <c r="D210" s="17">
        <f>CHOOSE(CONTROL!$C$42, 10.7637, 10.7637) * CHOOSE(CONTROL!$C$21, $C$9, 100%, $E$9)</f>
        <v>10.7637</v>
      </c>
      <c r="E210" s="17">
        <f>CHOOSE(CONTROL!$C$42, 10.7949, 10.7949) * CHOOSE(CONTROL!$C$21, $C$9, 100%, $E$9)</f>
        <v>10.7949</v>
      </c>
      <c r="F210" s="17">
        <f>CHOOSE(CONTROL!$C$42, 10.5058, 10.5058)*CHOOSE(CONTROL!$C$21, $C$9, 100%, $E$9)</f>
        <v>10.505800000000001</v>
      </c>
      <c r="G210" s="17">
        <f>CHOOSE(CONTROL!$C$42, 10.5223, 10.5223)*CHOOSE(CONTROL!$C$21, $C$9, 100%, $E$9)</f>
        <v>10.5223</v>
      </c>
      <c r="H210" s="17">
        <f>CHOOSE(CONTROL!$C$42, 10.7832, 10.7832) * CHOOSE(CONTROL!$C$21, $C$9, 100%, $E$9)</f>
        <v>10.783200000000001</v>
      </c>
      <c r="I210" s="17">
        <f>CHOOSE(CONTROL!$C$42, 10.5522, 10.5522)* CHOOSE(CONTROL!$C$21, $C$9, 100%, $E$9)</f>
        <v>10.552199999999999</v>
      </c>
      <c r="J210" s="17">
        <f>CHOOSE(CONTROL!$C$42, 10.4984, 10.4984)* CHOOSE(CONTROL!$C$21, $C$9, 100%, $E$9)</f>
        <v>10.4984</v>
      </c>
      <c r="K210" s="52">
        <f>CHOOSE(CONTROL!$C$42, 10.5462, 10.5462) * CHOOSE(CONTROL!$C$21, $C$9, 100%, $E$9)</f>
        <v>10.546200000000001</v>
      </c>
      <c r="L210" s="17">
        <f>CHOOSE(CONTROL!$C$42, 11.3702, 11.3702) * CHOOSE(CONTROL!$C$21, $C$9, 100%, $E$9)</f>
        <v>11.370200000000001</v>
      </c>
      <c r="M210" s="17">
        <f>CHOOSE(CONTROL!$C$42, 10.4109, 10.4109) * CHOOSE(CONTROL!$C$21, $C$9, 100%, $E$9)</f>
        <v>10.4109</v>
      </c>
      <c r="N210" s="17">
        <f>CHOOSE(CONTROL!$C$42, 10.4273, 10.4273) * CHOOSE(CONTROL!$C$21, $C$9, 100%, $E$9)</f>
        <v>10.427300000000001</v>
      </c>
      <c r="O210" s="17">
        <f>CHOOSE(CONTROL!$C$42, 10.6932, 10.6932) * CHOOSE(CONTROL!$C$21, $C$9, 100%, $E$9)</f>
        <v>10.693199999999999</v>
      </c>
      <c r="P210" s="17">
        <f>CHOOSE(CONTROL!$C$42, 10.4641, 10.4641) * CHOOSE(CONTROL!$C$21, $C$9, 100%, $E$9)</f>
        <v>10.4641</v>
      </c>
      <c r="Q210" s="17">
        <f>CHOOSE(CONTROL!$C$42, 11.2879, 11.2879) * CHOOSE(CONTROL!$C$21, $C$9, 100%, $E$9)</f>
        <v>11.2879</v>
      </c>
      <c r="R210" s="17">
        <f>CHOOSE(CONTROL!$C$42, 11.9032, 11.9032) * CHOOSE(CONTROL!$C$21, $C$9, 100%, $E$9)</f>
        <v>11.9032</v>
      </c>
      <c r="S210" s="17">
        <f>CHOOSE(CONTROL!$C$42, 10.1662, 10.1662) * CHOOSE(CONTROL!$C$21, $C$9, 100%, $E$9)</f>
        <v>10.1662</v>
      </c>
      <c r="T210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210" s="56">
        <f>(1000*CHOOSE(CONTROL!$C$42, 695, 695)*CHOOSE(CONTROL!$C$42, 0.5599, 0.5599)*CHOOSE(CONTROL!$C$42, 30, 30))/1000000</f>
        <v>11.673914999999997</v>
      </c>
      <c r="V210" s="56">
        <f>(1000*CHOOSE(CONTROL!$C$42, 500, 500)*CHOOSE(CONTROL!$C$42, 0.275, 0.275)*CHOOSE(CONTROL!$C$42, 30, 30))/1000000</f>
        <v>4.125</v>
      </c>
      <c r="W210" s="56">
        <f>(1000*CHOOSE(CONTROL!$C$42, 0.0916, 0.0916)*CHOOSE(CONTROL!$C$42, 121.5, 121.5)*CHOOSE(CONTROL!$C$42, 30, 30))/1000000</f>
        <v>0.33388200000000001</v>
      </c>
      <c r="X210" s="56">
        <f>(30*0.1790888*145000/1000000)+(30*0.2374*100000/1000000)</f>
        <v>1.4912362799999999</v>
      </c>
      <c r="Y210" s="56"/>
      <c r="Z210" s="17"/>
      <c r="AA210" s="55"/>
      <c r="AB210" s="48">
        <f>(B210*194.205+C210*267.466+D210*133.845+E210*153.484+F210*40+G210*85+H210*0+I210*100+J210*300)/(194.205+267.466+133.845+153.484+0+40+85+100+300)</f>
        <v>10.568779880612245</v>
      </c>
      <c r="AC210" s="45">
        <f>(M210*'RAP TEMPLATE-GAS AVAILABILITY'!O209+N210*'RAP TEMPLATE-GAS AVAILABILITY'!P209+O210*'RAP TEMPLATE-GAS AVAILABILITY'!Q209+P210*'RAP TEMPLATE-GAS AVAILABILITY'!R209)/('RAP TEMPLATE-GAS AVAILABILITY'!O209+'RAP TEMPLATE-GAS AVAILABILITY'!P209+'RAP TEMPLATE-GAS AVAILABILITY'!Q209+'RAP TEMPLATE-GAS AVAILABILITY'!R209)</f>
        <v>10.501536690647482</v>
      </c>
    </row>
    <row r="211" spans="1:29" ht="15.75" x14ac:dyDescent="0.25">
      <c r="A211" s="16">
        <v>46935</v>
      </c>
      <c r="B211" s="17">
        <f>CHOOSE(CONTROL!$C$42, 10.3159, 10.3159) * CHOOSE(CONTROL!$C$21, $C$9, 100%, $E$9)</f>
        <v>10.315899999999999</v>
      </c>
      <c r="C211" s="17">
        <f>CHOOSE(CONTROL!$C$42, 10.3238, 10.3238) * CHOOSE(CONTROL!$C$21, $C$9, 100%, $E$9)</f>
        <v>10.3238</v>
      </c>
      <c r="D211" s="17">
        <f>CHOOSE(CONTROL!$C$42, 10.5838, 10.5838) * CHOOSE(CONTROL!$C$21, $C$9, 100%, $E$9)</f>
        <v>10.5838</v>
      </c>
      <c r="E211" s="17">
        <f>CHOOSE(CONTROL!$C$42, 10.615, 10.615) * CHOOSE(CONTROL!$C$21, $C$9, 100%, $E$9)</f>
        <v>10.615</v>
      </c>
      <c r="F211" s="17">
        <f>CHOOSE(CONTROL!$C$42, 10.3263, 10.3263)*CHOOSE(CONTROL!$C$21, $C$9, 100%, $E$9)</f>
        <v>10.3263</v>
      </c>
      <c r="G211" s="17">
        <f>CHOOSE(CONTROL!$C$42, 10.3429, 10.3429)*CHOOSE(CONTROL!$C$21, $C$9, 100%, $E$9)</f>
        <v>10.3429</v>
      </c>
      <c r="H211" s="17">
        <f>CHOOSE(CONTROL!$C$42, 10.6033, 10.6033) * CHOOSE(CONTROL!$C$21, $C$9, 100%, $E$9)</f>
        <v>10.603300000000001</v>
      </c>
      <c r="I211" s="17">
        <f>CHOOSE(CONTROL!$C$42, 10.3717, 10.3717)* CHOOSE(CONTROL!$C$21, $C$9, 100%, $E$9)</f>
        <v>10.371700000000001</v>
      </c>
      <c r="J211" s="17">
        <f>CHOOSE(CONTROL!$C$42, 10.3189, 10.3189)* CHOOSE(CONTROL!$C$21, $C$9, 100%, $E$9)</f>
        <v>10.318899999999999</v>
      </c>
      <c r="K211" s="52">
        <f>CHOOSE(CONTROL!$C$42, 10.3657, 10.3657) * CHOOSE(CONTROL!$C$21, $C$9, 100%, $E$9)</f>
        <v>10.3657</v>
      </c>
      <c r="L211" s="17">
        <f>CHOOSE(CONTROL!$C$42, 11.1903, 11.1903) * CHOOSE(CONTROL!$C$21, $C$9, 100%, $E$9)</f>
        <v>11.190300000000001</v>
      </c>
      <c r="M211" s="17">
        <f>CHOOSE(CONTROL!$C$42, 10.2331, 10.2331) * CHOOSE(CONTROL!$C$21, $C$9, 100%, $E$9)</f>
        <v>10.2331</v>
      </c>
      <c r="N211" s="17">
        <f>CHOOSE(CONTROL!$C$42, 10.2496, 10.2496) * CHOOSE(CONTROL!$C$21, $C$9, 100%, $E$9)</f>
        <v>10.249599999999999</v>
      </c>
      <c r="O211" s="17">
        <f>CHOOSE(CONTROL!$C$42, 10.5149, 10.5149) * CHOOSE(CONTROL!$C$21, $C$9, 100%, $E$9)</f>
        <v>10.514900000000001</v>
      </c>
      <c r="P211" s="17">
        <f>CHOOSE(CONTROL!$C$42, 10.2852, 10.2852) * CHOOSE(CONTROL!$C$21, $C$9, 100%, $E$9)</f>
        <v>10.2852</v>
      </c>
      <c r="Q211" s="17">
        <f>CHOOSE(CONTROL!$C$42, 11.1096, 11.1096) * CHOOSE(CONTROL!$C$21, $C$9, 100%, $E$9)</f>
        <v>11.1096</v>
      </c>
      <c r="R211" s="17">
        <f>CHOOSE(CONTROL!$C$42, 11.7244, 11.7244) * CHOOSE(CONTROL!$C$21, $C$9, 100%, $E$9)</f>
        <v>11.724399999999999</v>
      </c>
      <c r="S211" s="17">
        <f>CHOOSE(CONTROL!$C$42, 9.9917, 9.9917) * CHOOSE(CONTROL!$C$21, $C$9, 100%, $E$9)</f>
        <v>9.9916999999999998</v>
      </c>
      <c r="T211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211" s="56">
        <f>(1000*CHOOSE(CONTROL!$C$42, 695, 695)*CHOOSE(CONTROL!$C$42, 0.5599, 0.5599)*CHOOSE(CONTROL!$C$42, 31, 31))/1000000</f>
        <v>12.063045499999998</v>
      </c>
      <c r="V211" s="56">
        <f>(1000*CHOOSE(CONTROL!$C$42, 500, 500)*CHOOSE(CONTROL!$C$42, 0.275, 0.275)*CHOOSE(CONTROL!$C$42, 31, 31))/1000000</f>
        <v>4.2625000000000002</v>
      </c>
      <c r="W211" s="56">
        <f>(1000*CHOOSE(CONTROL!$C$42, 0.0916, 0.0916)*CHOOSE(CONTROL!$C$42, 121.5, 121.5)*CHOOSE(CONTROL!$C$42, 31, 31))/1000000</f>
        <v>0.34501139999999997</v>
      </c>
      <c r="X211" s="56">
        <f>(31*0.1790888*145000/1000000)+(31*0.2374*100000/1000000)</f>
        <v>1.5409441560000001</v>
      </c>
      <c r="Y211" s="56"/>
      <c r="Z211" s="17"/>
      <c r="AA211" s="55"/>
      <c r="AB211" s="48">
        <f>(B211*194.205+C211*267.466+D211*133.845+E211*153.484+F211*40+G211*85+H211*0+I211*100+J211*300)/(194.205+267.466+133.845+153.484+0+40+85+100+300)</f>
        <v>10.388951900549451</v>
      </c>
      <c r="AC211" s="45">
        <f>(M211*'RAP TEMPLATE-GAS AVAILABILITY'!O210+N211*'RAP TEMPLATE-GAS AVAILABILITY'!P210+O211*'RAP TEMPLATE-GAS AVAILABILITY'!Q210+P211*'RAP TEMPLATE-GAS AVAILABILITY'!R210)/('RAP TEMPLATE-GAS AVAILABILITY'!O210+'RAP TEMPLATE-GAS AVAILABILITY'!P210+'RAP TEMPLATE-GAS AVAILABILITY'!Q210+'RAP TEMPLATE-GAS AVAILABILITY'!R210)</f>
        <v>10.323461151079137</v>
      </c>
    </row>
    <row r="212" spans="1:29" ht="15.75" x14ac:dyDescent="0.25">
      <c r="A212" s="16">
        <v>46966</v>
      </c>
      <c r="B212" s="17">
        <f>CHOOSE(CONTROL!$C$42, 9.8271, 9.8271) * CHOOSE(CONTROL!$C$21, $C$9, 100%, $E$9)</f>
        <v>9.8270999999999997</v>
      </c>
      <c r="C212" s="17">
        <f>CHOOSE(CONTROL!$C$42, 9.8351, 9.8351) * CHOOSE(CONTROL!$C$21, $C$9, 100%, $E$9)</f>
        <v>9.8351000000000006</v>
      </c>
      <c r="D212" s="17">
        <f>CHOOSE(CONTROL!$C$42, 10.095, 10.095) * CHOOSE(CONTROL!$C$21, $C$9, 100%, $E$9)</f>
        <v>10.095000000000001</v>
      </c>
      <c r="E212" s="17">
        <f>CHOOSE(CONTROL!$C$42, 10.1262, 10.1262) * CHOOSE(CONTROL!$C$21, $C$9, 100%, $E$9)</f>
        <v>10.126200000000001</v>
      </c>
      <c r="F212" s="17">
        <f>CHOOSE(CONTROL!$C$42, 9.8377, 9.8377)*CHOOSE(CONTROL!$C$21, $C$9, 100%, $E$9)</f>
        <v>9.8376999999999999</v>
      </c>
      <c r="G212" s="17">
        <f>CHOOSE(CONTROL!$C$42, 9.8545, 9.8545)*CHOOSE(CONTROL!$C$21, $C$9, 100%, $E$9)</f>
        <v>9.8544999999999998</v>
      </c>
      <c r="H212" s="17">
        <f>CHOOSE(CONTROL!$C$42, 10.1145, 10.1145) * CHOOSE(CONTROL!$C$21, $C$9, 100%, $E$9)</f>
        <v>10.1145</v>
      </c>
      <c r="I212" s="17">
        <f>CHOOSE(CONTROL!$C$42, 9.8815, 9.8815)* CHOOSE(CONTROL!$C$21, $C$9, 100%, $E$9)</f>
        <v>9.8815000000000008</v>
      </c>
      <c r="J212" s="17">
        <f>CHOOSE(CONTROL!$C$42, 9.8303, 9.8303)* CHOOSE(CONTROL!$C$21, $C$9, 100%, $E$9)</f>
        <v>9.8302999999999994</v>
      </c>
      <c r="K212" s="52">
        <f>CHOOSE(CONTROL!$C$42, 9.8754, 9.8754) * CHOOSE(CONTROL!$C$21, $C$9, 100%, $E$9)</f>
        <v>9.8754000000000008</v>
      </c>
      <c r="L212" s="17">
        <f>CHOOSE(CONTROL!$C$42, 10.7015, 10.7015) * CHOOSE(CONTROL!$C$21, $C$9, 100%, $E$9)</f>
        <v>10.701499999999999</v>
      </c>
      <c r="M212" s="17">
        <f>CHOOSE(CONTROL!$C$42, 9.7489, 9.7489) * CHOOSE(CONTROL!$C$21, $C$9, 100%, $E$9)</f>
        <v>9.7489000000000008</v>
      </c>
      <c r="N212" s="17">
        <f>CHOOSE(CONTROL!$C$42, 9.7655, 9.7655) * CHOOSE(CONTROL!$C$21, $C$9, 100%, $E$9)</f>
        <v>9.7654999999999994</v>
      </c>
      <c r="O212" s="17">
        <f>CHOOSE(CONTROL!$C$42, 10.0306, 10.0306) * CHOOSE(CONTROL!$C$21, $C$9, 100%, $E$9)</f>
        <v>10.0306</v>
      </c>
      <c r="P212" s="17">
        <f>CHOOSE(CONTROL!$C$42, 9.7994, 9.7994) * CHOOSE(CONTROL!$C$21, $C$9, 100%, $E$9)</f>
        <v>9.7994000000000003</v>
      </c>
      <c r="Q212" s="17">
        <f>CHOOSE(CONTROL!$C$42, 10.6253, 10.6253) * CHOOSE(CONTROL!$C$21, $C$9, 100%, $E$9)</f>
        <v>10.625299999999999</v>
      </c>
      <c r="R212" s="17">
        <f>CHOOSE(CONTROL!$C$42, 11.2388, 11.2388) * CHOOSE(CONTROL!$C$21, $C$9, 100%, $E$9)</f>
        <v>11.238799999999999</v>
      </c>
      <c r="S212" s="17">
        <f>CHOOSE(CONTROL!$C$42, 9.5178, 9.5178) * CHOOSE(CONTROL!$C$21, $C$9, 100%, $E$9)</f>
        <v>9.5177999999999994</v>
      </c>
      <c r="T212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212" s="56">
        <f>(1000*CHOOSE(CONTROL!$C$42, 695, 695)*CHOOSE(CONTROL!$C$42, 0.5599, 0.5599)*CHOOSE(CONTROL!$C$42, 31, 31))/1000000</f>
        <v>12.063045499999998</v>
      </c>
      <c r="V212" s="56">
        <f>(1000*CHOOSE(CONTROL!$C$42, 500, 500)*CHOOSE(CONTROL!$C$42, 0.275, 0.275)*CHOOSE(CONTROL!$C$42, 31, 31))/1000000</f>
        <v>4.2625000000000002</v>
      </c>
      <c r="W212" s="56">
        <f>(1000*CHOOSE(CONTROL!$C$42, 0.0916, 0.0916)*CHOOSE(CONTROL!$C$42, 121.5, 121.5)*CHOOSE(CONTROL!$C$42, 31, 31))/1000000</f>
        <v>0.34501139999999997</v>
      </c>
      <c r="X212" s="56">
        <f>(31*0.1790888*145000/1000000)+(31*0.2374*100000/1000000)</f>
        <v>1.5409441560000001</v>
      </c>
      <c r="Y212" s="56"/>
      <c r="Z212" s="17"/>
      <c r="AA212" s="55"/>
      <c r="AB212" s="48">
        <f>(B212*194.205+C212*267.466+D212*133.845+E212*153.484+F212*40+G212*85+H212*0+I212*100+J212*300)/(194.205+267.466+133.845+153.484+0+40+85+100+300)</f>
        <v>9.9001430674254323</v>
      </c>
      <c r="AC212" s="45">
        <f>(M212*'RAP TEMPLATE-GAS AVAILABILITY'!O211+N212*'RAP TEMPLATE-GAS AVAILABILITY'!P211+O212*'RAP TEMPLATE-GAS AVAILABILITY'!Q211+P212*'RAP TEMPLATE-GAS AVAILABILITY'!R211)/('RAP TEMPLATE-GAS AVAILABILITY'!O211+'RAP TEMPLATE-GAS AVAILABILITY'!P211+'RAP TEMPLATE-GAS AVAILABILITY'!Q211+'RAP TEMPLATE-GAS AVAILABILITY'!R211)</f>
        <v>9.8390258992805748</v>
      </c>
    </row>
    <row r="213" spans="1:29" ht="15.75" x14ac:dyDescent="0.25">
      <c r="A213" s="16">
        <v>46997</v>
      </c>
      <c r="B213" s="17">
        <f>CHOOSE(CONTROL!$C$42, 9.2227, 9.2227) * CHOOSE(CONTROL!$C$21, $C$9, 100%, $E$9)</f>
        <v>9.2226999999999997</v>
      </c>
      <c r="C213" s="17">
        <f>CHOOSE(CONTROL!$C$42, 9.2307, 9.2307) * CHOOSE(CONTROL!$C$21, $C$9, 100%, $E$9)</f>
        <v>9.2307000000000006</v>
      </c>
      <c r="D213" s="17">
        <f>CHOOSE(CONTROL!$C$42, 9.4906, 9.4906) * CHOOSE(CONTROL!$C$21, $C$9, 100%, $E$9)</f>
        <v>9.4906000000000006</v>
      </c>
      <c r="E213" s="17">
        <f>CHOOSE(CONTROL!$C$42, 9.5218, 9.5218) * CHOOSE(CONTROL!$C$21, $C$9, 100%, $E$9)</f>
        <v>9.5218000000000007</v>
      </c>
      <c r="F213" s="17">
        <f>CHOOSE(CONTROL!$C$42, 9.2333, 9.2333)*CHOOSE(CONTROL!$C$21, $C$9, 100%, $E$9)</f>
        <v>9.2332999999999998</v>
      </c>
      <c r="G213" s="17">
        <f>CHOOSE(CONTROL!$C$42, 9.2501, 9.2501)*CHOOSE(CONTROL!$C$21, $C$9, 100%, $E$9)</f>
        <v>9.2500999999999998</v>
      </c>
      <c r="H213" s="17">
        <f>CHOOSE(CONTROL!$C$42, 9.5101, 9.5101) * CHOOSE(CONTROL!$C$21, $C$9, 100%, $E$9)</f>
        <v>9.5100999999999996</v>
      </c>
      <c r="I213" s="17">
        <f>CHOOSE(CONTROL!$C$42, 9.2752, 9.2752)* CHOOSE(CONTROL!$C$21, $C$9, 100%, $E$9)</f>
        <v>9.2751999999999999</v>
      </c>
      <c r="J213" s="17">
        <f>CHOOSE(CONTROL!$C$42, 9.2259, 9.2259)* CHOOSE(CONTROL!$C$21, $C$9, 100%, $E$9)</f>
        <v>9.2258999999999993</v>
      </c>
      <c r="K213" s="52">
        <f>CHOOSE(CONTROL!$C$42, 9.2691, 9.2691) * CHOOSE(CONTROL!$C$21, $C$9, 100%, $E$9)</f>
        <v>9.2690999999999999</v>
      </c>
      <c r="L213" s="17">
        <f>CHOOSE(CONTROL!$C$42, 10.0971, 10.0971) * CHOOSE(CONTROL!$C$21, $C$9, 100%, $E$9)</f>
        <v>10.097099999999999</v>
      </c>
      <c r="M213" s="17">
        <f>CHOOSE(CONTROL!$C$42, 9.15, 9.15) * CHOOSE(CONTROL!$C$21, $C$9, 100%, $E$9)</f>
        <v>9.15</v>
      </c>
      <c r="N213" s="17">
        <f>CHOOSE(CONTROL!$C$42, 9.1665, 9.1665) * CHOOSE(CONTROL!$C$21, $C$9, 100%, $E$9)</f>
        <v>9.1664999999999992</v>
      </c>
      <c r="O213" s="17">
        <f>CHOOSE(CONTROL!$C$42, 9.4316, 9.4316) * CHOOSE(CONTROL!$C$21, $C$9, 100%, $E$9)</f>
        <v>9.4315999999999995</v>
      </c>
      <c r="P213" s="17">
        <f>CHOOSE(CONTROL!$C$42, 9.1985, 9.1985) * CHOOSE(CONTROL!$C$21, $C$9, 100%, $E$9)</f>
        <v>9.1984999999999992</v>
      </c>
      <c r="Q213" s="17">
        <f>CHOOSE(CONTROL!$C$42, 10.0263, 10.0263) * CHOOSE(CONTROL!$C$21, $C$9, 100%, $E$9)</f>
        <v>10.026300000000001</v>
      </c>
      <c r="R213" s="17">
        <f>CHOOSE(CONTROL!$C$42, 10.6384, 10.6384) * CHOOSE(CONTROL!$C$21, $C$9, 100%, $E$9)</f>
        <v>10.638400000000001</v>
      </c>
      <c r="S213" s="17">
        <f>CHOOSE(CONTROL!$C$42, 8.9317, 8.9317) * CHOOSE(CONTROL!$C$21, $C$9, 100%, $E$9)</f>
        <v>8.9316999999999993</v>
      </c>
      <c r="T213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213" s="56">
        <f>(1000*CHOOSE(CONTROL!$C$42, 695, 695)*CHOOSE(CONTROL!$C$42, 0.5599, 0.5599)*CHOOSE(CONTROL!$C$42, 30, 30))/1000000</f>
        <v>11.673914999999997</v>
      </c>
      <c r="V213" s="56">
        <f>(1000*CHOOSE(CONTROL!$C$42, 500, 500)*CHOOSE(CONTROL!$C$42, 0.275, 0.275)*CHOOSE(CONTROL!$C$42, 30, 30))/1000000</f>
        <v>4.125</v>
      </c>
      <c r="W213" s="56">
        <f>(1000*CHOOSE(CONTROL!$C$42, 0.0916, 0.0916)*CHOOSE(CONTROL!$C$42, 121.5, 121.5)*CHOOSE(CONTROL!$C$42, 30, 30))/1000000</f>
        <v>0.33388200000000001</v>
      </c>
      <c r="X213" s="56">
        <f>(30*0.1790888*145000/1000000)+(30*0.2374*100000/1000000)</f>
        <v>1.4912362799999999</v>
      </c>
      <c r="Y213" s="56"/>
      <c r="Z213" s="17"/>
      <c r="AA213" s="55"/>
      <c r="AB213" s="48">
        <f>(B213*194.205+C213*267.466+D213*133.845+E213*153.484+F213*40+G213*85+H213*0+I213*100+J213*300)/(194.205+267.466+133.845+153.484+0+40+85+100+300)</f>
        <v>9.2955939308477245</v>
      </c>
      <c r="AC213" s="45">
        <f>(M213*'RAP TEMPLATE-GAS AVAILABILITY'!O212+N213*'RAP TEMPLATE-GAS AVAILABILITY'!P212+O213*'RAP TEMPLATE-GAS AVAILABILITY'!Q212+P213*'RAP TEMPLATE-GAS AVAILABILITY'!R212)/('RAP TEMPLATE-GAS AVAILABILITY'!O212+'RAP TEMPLATE-GAS AVAILABILITY'!P212+'RAP TEMPLATE-GAS AVAILABILITY'!Q212+'RAP TEMPLATE-GAS AVAILABILITY'!R212)</f>
        <v>9.2397870503597126</v>
      </c>
    </row>
    <row r="214" spans="1:29" ht="15.75" x14ac:dyDescent="0.25">
      <c r="A214" s="16">
        <v>47027</v>
      </c>
      <c r="B214" s="17">
        <f>CHOOSE(CONTROL!$C$42, 9.0526, 9.0526) * CHOOSE(CONTROL!$C$21, $C$9, 100%, $E$9)</f>
        <v>9.0526</v>
      </c>
      <c r="C214" s="17">
        <f>CHOOSE(CONTROL!$C$42, 9.0579, 9.0579) * CHOOSE(CONTROL!$C$21, $C$9, 100%, $E$9)</f>
        <v>9.0579000000000001</v>
      </c>
      <c r="D214" s="17">
        <f>CHOOSE(CONTROL!$C$42, 9.3227, 9.3227) * CHOOSE(CONTROL!$C$21, $C$9, 100%, $E$9)</f>
        <v>9.3226999999999993</v>
      </c>
      <c r="E214" s="17">
        <f>CHOOSE(CONTROL!$C$42, 9.3516, 9.3516) * CHOOSE(CONTROL!$C$21, $C$9, 100%, $E$9)</f>
        <v>9.3515999999999995</v>
      </c>
      <c r="F214" s="17">
        <f>CHOOSE(CONTROL!$C$42, 9.0654, 9.0654)*CHOOSE(CONTROL!$C$21, $C$9, 100%, $E$9)</f>
        <v>9.0654000000000003</v>
      </c>
      <c r="G214" s="17">
        <f>CHOOSE(CONTROL!$C$42, 9.082, 9.082)*CHOOSE(CONTROL!$C$21, $C$9, 100%, $E$9)</f>
        <v>9.0820000000000007</v>
      </c>
      <c r="H214" s="17">
        <f>CHOOSE(CONTROL!$C$42, 9.3417, 9.3417) * CHOOSE(CONTROL!$C$21, $C$9, 100%, $E$9)</f>
        <v>9.3416999999999994</v>
      </c>
      <c r="I214" s="17">
        <f>CHOOSE(CONTROL!$C$42, 9.1062, 9.1062)* CHOOSE(CONTROL!$C$21, $C$9, 100%, $E$9)</f>
        <v>9.1061999999999994</v>
      </c>
      <c r="J214" s="17">
        <f>CHOOSE(CONTROL!$C$42, 9.058, 9.058)* CHOOSE(CONTROL!$C$21, $C$9, 100%, $E$9)</f>
        <v>9.0579999999999998</v>
      </c>
      <c r="K214" s="52">
        <f>CHOOSE(CONTROL!$C$42, 9.1002, 9.1002) * CHOOSE(CONTROL!$C$21, $C$9, 100%, $E$9)</f>
        <v>9.1001999999999992</v>
      </c>
      <c r="L214" s="17">
        <f>CHOOSE(CONTROL!$C$42, 9.9287, 9.9287) * CHOOSE(CONTROL!$C$21, $C$9, 100%, $E$9)</f>
        <v>9.9286999999999992</v>
      </c>
      <c r="M214" s="17">
        <f>CHOOSE(CONTROL!$C$42, 8.9835, 8.9835) * CHOOSE(CONTROL!$C$21, $C$9, 100%, $E$9)</f>
        <v>8.9834999999999994</v>
      </c>
      <c r="N214" s="17">
        <f>CHOOSE(CONTROL!$C$42, 9, 9) * CHOOSE(CONTROL!$C$21, $C$9, 100%, $E$9)</f>
        <v>9</v>
      </c>
      <c r="O214" s="17">
        <f>CHOOSE(CONTROL!$C$42, 9.2647, 9.2647) * CHOOSE(CONTROL!$C$21, $C$9, 100%, $E$9)</f>
        <v>9.2646999999999995</v>
      </c>
      <c r="P214" s="17">
        <f>CHOOSE(CONTROL!$C$42, 9.0311, 9.0311) * CHOOSE(CONTROL!$C$21, $C$9, 100%, $E$9)</f>
        <v>9.0311000000000003</v>
      </c>
      <c r="Q214" s="17">
        <f>CHOOSE(CONTROL!$C$42, 9.8594, 9.8594) * CHOOSE(CONTROL!$C$21, $C$9, 100%, $E$9)</f>
        <v>9.8594000000000008</v>
      </c>
      <c r="R214" s="17">
        <f>CHOOSE(CONTROL!$C$42, 10.471, 10.471) * CHOOSE(CONTROL!$C$21, $C$9, 100%, $E$9)</f>
        <v>10.471</v>
      </c>
      <c r="S214" s="17">
        <f>CHOOSE(CONTROL!$C$42, 8.7684, 8.7684) * CHOOSE(CONTROL!$C$21, $C$9, 100%, $E$9)</f>
        <v>8.7683999999999997</v>
      </c>
      <c r="T214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214" s="56">
        <f>(1000*CHOOSE(CONTROL!$C$42, 695, 695)*CHOOSE(CONTROL!$C$42, 0.5599, 0.5599)*CHOOSE(CONTROL!$C$42, 31, 31))/1000000</f>
        <v>12.063045499999998</v>
      </c>
      <c r="V214" s="56">
        <f>(1000*CHOOSE(CONTROL!$C$42, 500, 500)*CHOOSE(CONTROL!$C$42, 0.275, 0.275)*CHOOSE(CONTROL!$C$42, 31, 31))/1000000</f>
        <v>4.2625000000000002</v>
      </c>
      <c r="W214" s="56">
        <f>(1000*CHOOSE(CONTROL!$C$42, 0.0916, 0.0916)*CHOOSE(CONTROL!$C$42, 121.5, 121.5)*CHOOSE(CONTROL!$C$42, 31, 31))/1000000</f>
        <v>0.34501139999999997</v>
      </c>
      <c r="X214" s="56">
        <f>(31*0.1790888*145000/1000000)+(31*0.2374*100000/1000000)</f>
        <v>1.5409441560000001</v>
      </c>
      <c r="Y214" s="56"/>
      <c r="Z214" s="17"/>
      <c r="AA214" s="55"/>
      <c r="AB214" s="48">
        <f>(B214*131.881+C214*277.167+D214*79.08+E214*225.872+F214*40+G214*85+H214*0+I214*100+J214*300)/(131.881+277.167+79.08+225.872+0+40+85+100+300)</f>
        <v>9.1335969500403547</v>
      </c>
      <c r="AC214" s="45">
        <f>(M214*'RAP TEMPLATE-GAS AVAILABILITY'!O213+N214*'RAP TEMPLATE-GAS AVAILABILITY'!P213+O214*'RAP TEMPLATE-GAS AVAILABILITY'!Q213+P214*'RAP TEMPLATE-GAS AVAILABILITY'!R213)/('RAP TEMPLATE-GAS AVAILABILITY'!O213+'RAP TEMPLATE-GAS AVAILABILITY'!P213+'RAP TEMPLATE-GAS AVAILABILITY'!Q213+'RAP TEMPLATE-GAS AVAILABILITY'!R213)</f>
        <v>9.073045323741006</v>
      </c>
    </row>
    <row r="215" spans="1:29" ht="15.75" x14ac:dyDescent="0.25">
      <c r="A215" s="16">
        <v>47058</v>
      </c>
      <c r="B215" s="17">
        <f>CHOOSE(CONTROL!$C$42, 9.3095, 9.3095) * CHOOSE(CONTROL!$C$21, $C$9, 100%, $E$9)</f>
        <v>9.3094999999999999</v>
      </c>
      <c r="C215" s="17">
        <f>CHOOSE(CONTROL!$C$42, 9.3145, 9.3145) * CHOOSE(CONTROL!$C$21, $C$9, 100%, $E$9)</f>
        <v>9.3145000000000007</v>
      </c>
      <c r="D215" s="17">
        <f>CHOOSE(CONTROL!$C$42, 9.4552, 9.4552) * CHOOSE(CONTROL!$C$21, $C$9, 100%, $E$9)</f>
        <v>9.4551999999999996</v>
      </c>
      <c r="E215" s="17">
        <f>CHOOSE(CONTROL!$C$42, 9.489, 9.489) * CHOOSE(CONTROL!$C$21, $C$9, 100%, $E$9)</f>
        <v>9.4890000000000008</v>
      </c>
      <c r="F215" s="17">
        <f>CHOOSE(CONTROL!$C$42, 9.3228, 9.3228)*CHOOSE(CONTROL!$C$21, $C$9, 100%, $E$9)</f>
        <v>9.3228000000000009</v>
      </c>
      <c r="G215" s="17">
        <f>CHOOSE(CONTROL!$C$42, 9.3396, 9.3396)*CHOOSE(CONTROL!$C$21, $C$9, 100%, $E$9)</f>
        <v>9.3396000000000008</v>
      </c>
      <c r="H215" s="17">
        <f>CHOOSE(CONTROL!$C$42, 9.4778, 9.4778) * CHOOSE(CONTROL!$C$21, $C$9, 100%, $E$9)</f>
        <v>9.4778000000000002</v>
      </c>
      <c r="I215" s="17">
        <f>CHOOSE(CONTROL!$C$42, 9.3607, 9.3607)* CHOOSE(CONTROL!$C$21, $C$9, 100%, $E$9)</f>
        <v>9.3606999999999996</v>
      </c>
      <c r="J215" s="17">
        <f>CHOOSE(CONTROL!$C$42, 9.3154, 9.3154)* CHOOSE(CONTROL!$C$21, $C$9, 100%, $E$9)</f>
        <v>9.3154000000000003</v>
      </c>
      <c r="K215" s="52">
        <f>CHOOSE(CONTROL!$C$42, 9.3547, 9.3547) * CHOOSE(CONTROL!$C$21, $C$9, 100%, $E$9)</f>
        <v>9.3546999999999993</v>
      </c>
      <c r="L215" s="17">
        <f>CHOOSE(CONTROL!$C$42, 10.0648, 10.0648) * CHOOSE(CONTROL!$C$21, $C$9, 100%, $E$9)</f>
        <v>10.0648</v>
      </c>
      <c r="M215" s="17">
        <f>CHOOSE(CONTROL!$C$42, 9.2386, 9.2386) * CHOOSE(CONTROL!$C$21, $C$9, 100%, $E$9)</f>
        <v>9.2385999999999999</v>
      </c>
      <c r="N215" s="17">
        <f>CHOOSE(CONTROL!$C$42, 9.2553, 9.2553) * CHOOSE(CONTROL!$C$21, $C$9, 100%, $E$9)</f>
        <v>9.2553000000000001</v>
      </c>
      <c r="O215" s="17">
        <f>CHOOSE(CONTROL!$C$42, 9.3996, 9.3996) * CHOOSE(CONTROL!$C$21, $C$9, 100%, $E$9)</f>
        <v>9.3995999999999995</v>
      </c>
      <c r="P215" s="17">
        <f>CHOOSE(CONTROL!$C$42, 9.2833, 9.2833) * CHOOSE(CONTROL!$C$21, $C$9, 100%, $E$9)</f>
        <v>9.2833000000000006</v>
      </c>
      <c r="Q215" s="17">
        <f>CHOOSE(CONTROL!$C$42, 9.9943, 9.9943) * CHOOSE(CONTROL!$C$21, $C$9, 100%, $E$9)</f>
        <v>9.9943000000000008</v>
      </c>
      <c r="R215" s="17">
        <f>CHOOSE(CONTROL!$C$42, 10.6063, 10.6063) * CHOOSE(CONTROL!$C$21, $C$9, 100%, $E$9)</f>
        <v>10.606299999999999</v>
      </c>
      <c r="S215" s="17">
        <f>CHOOSE(CONTROL!$C$42, 9.0179, 9.0179) * CHOOSE(CONTROL!$C$21, $C$9, 100%, $E$9)</f>
        <v>9.0178999999999991</v>
      </c>
      <c r="T215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215" s="56">
        <f>(1000*CHOOSE(CONTROL!$C$42, 695, 695)*CHOOSE(CONTROL!$C$42, 0.5599, 0.5599)*CHOOSE(CONTROL!$C$42, 30, 30))/1000000</f>
        <v>11.673914999999997</v>
      </c>
      <c r="V215" s="56">
        <f>(1000*CHOOSE(CONTROL!$C$42, 500, 500)*CHOOSE(CONTROL!$C$42, 0.275, 0.275)*CHOOSE(CONTROL!$C$42, 30, 30))/1000000</f>
        <v>4.125</v>
      </c>
      <c r="W215" s="56">
        <f>(1000*CHOOSE(CONTROL!$C$42, 0.0916, 0.0916)*CHOOSE(CONTROL!$C$42, 121.5, 121.5)*CHOOSE(CONTROL!$C$42, 30, 30))/1000000</f>
        <v>0.33388200000000001</v>
      </c>
      <c r="X215" s="56">
        <f>(30*0.2374*100000/1000000)</f>
        <v>0.71220000000000006</v>
      </c>
      <c r="Y215" s="56"/>
      <c r="Z215" s="17"/>
      <c r="AA215" s="55"/>
      <c r="AB215" s="48">
        <f>(B215*122.58+C215*297.941+D215*89.177+E215*140.302+F215*40+G215*60+H215*0+I215*100+J215*300)/(122.58+297.941+89.177+140.302+0+40+60+100+300)</f>
        <v>9.3520173938260864</v>
      </c>
      <c r="AC215" s="45">
        <f>(M215*'RAP TEMPLATE-GAS AVAILABILITY'!O214+N215*'RAP TEMPLATE-GAS AVAILABILITY'!P214+O215*'RAP TEMPLATE-GAS AVAILABILITY'!Q214+P215*'RAP TEMPLATE-GAS AVAILABILITY'!R214)/('RAP TEMPLATE-GAS AVAILABILITY'!O214+'RAP TEMPLATE-GAS AVAILABILITY'!P214+'RAP TEMPLATE-GAS AVAILABILITY'!Q214+'RAP TEMPLATE-GAS AVAILABILITY'!R214)</f>
        <v>9.3189640287769784</v>
      </c>
    </row>
    <row r="216" spans="1:29" ht="15.75" x14ac:dyDescent="0.25">
      <c r="A216" s="16">
        <v>47088</v>
      </c>
      <c r="B216" s="17">
        <f>CHOOSE(CONTROL!$C$42, 9.9639, 9.9639) * CHOOSE(CONTROL!$C$21, $C$9, 100%, $E$9)</f>
        <v>9.9639000000000006</v>
      </c>
      <c r="C216" s="17">
        <f>CHOOSE(CONTROL!$C$42, 9.969, 9.969) * CHOOSE(CONTROL!$C$21, $C$9, 100%, $E$9)</f>
        <v>9.9689999999999994</v>
      </c>
      <c r="D216" s="17">
        <f>CHOOSE(CONTROL!$C$42, 10.1097, 10.1097) * CHOOSE(CONTROL!$C$21, $C$9, 100%, $E$9)</f>
        <v>10.1097</v>
      </c>
      <c r="E216" s="17">
        <f>CHOOSE(CONTROL!$C$42, 10.1434, 10.1434) * CHOOSE(CONTROL!$C$21, $C$9, 100%, $E$9)</f>
        <v>10.1434</v>
      </c>
      <c r="F216" s="17">
        <f>CHOOSE(CONTROL!$C$42, 9.9796, 9.9796)*CHOOSE(CONTROL!$C$21, $C$9, 100%, $E$9)</f>
        <v>9.9795999999999996</v>
      </c>
      <c r="G216" s="17">
        <f>CHOOSE(CONTROL!$C$42, 9.9971, 9.9971)*CHOOSE(CONTROL!$C$21, $C$9, 100%, $E$9)</f>
        <v>9.9970999999999997</v>
      </c>
      <c r="H216" s="17">
        <f>CHOOSE(CONTROL!$C$42, 10.1323, 10.1323) * CHOOSE(CONTROL!$C$21, $C$9, 100%, $E$9)</f>
        <v>10.132300000000001</v>
      </c>
      <c r="I216" s="17">
        <f>CHOOSE(CONTROL!$C$42, 10.0172, 10.0172)* CHOOSE(CONTROL!$C$21, $C$9, 100%, $E$9)</f>
        <v>10.017200000000001</v>
      </c>
      <c r="J216" s="17">
        <f>CHOOSE(CONTROL!$C$42, 9.9722, 9.9722)* CHOOSE(CONTROL!$C$21, $C$9, 100%, $E$9)</f>
        <v>9.9722000000000008</v>
      </c>
      <c r="K216" s="52">
        <f>CHOOSE(CONTROL!$C$42, 10.0112, 10.0112) * CHOOSE(CONTROL!$C$21, $C$9, 100%, $E$9)</f>
        <v>10.011200000000001</v>
      </c>
      <c r="L216" s="17">
        <f>CHOOSE(CONTROL!$C$42, 10.7193, 10.7193) * CHOOSE(CONTROL!$C$21, $C$9, 100%, $E$9)</f>
        <v>10.7193</v>
      </c>
      <c r="M216" s="17">
        <f>CHOOSE(CONTROL!$C$42, 9.8895, 9.8895) * CHOOSE(CONTROL!$C$21, $C$9, 100%, $E$9)</f>
        <v>9.8895</v>
      </c>
      <c r="N216" s="17">
        <f>CHOOSE(CONTROL!$C$42, 9.9069, 9.9069) * CHOOSE(CONTROL!$C$21, $C$9, 100%, $E$9)</f>
        <v>9.9069000000000003</v>
      </c>
      <c r="O216" s="17">
        <f>CHOOSE(CONTROL!$C$42, 10.0482, 10.0482) * CHOOSE(CONTROL!$C$21, $C$9, 100%, $E$9)</f>
        <v>10.0482</v>
      </c>
      <c r="P216" s="17">
        <f>CHOOSE(CONTROL!$C$42, 9.9339, 9.9339) * CHOOSE(CONTROL!$C$21, $C$9, 100%, $E$9)</f>
        <v>9.9338999999999995</v>
      </c>
      <c r="Q216" s="17">
        <f>CHOOSE(CONTROL!$C$42, 10.6429, 10.6429) * CHOOSE(CONTROL!$C$21, $C$9, 100%, $E$9)</f>
        <v>10.642899999999999</v>
      </c>
      <c r="R216" s="17">
        <f>CHOOSE(CONTROL!$C$42, 11.2565, 11.2565) * CHOOSE(CONTROL!$C$21, $C$9, 100%, $E$9)</f>
        <v>11.256500000000001</v>
      </c>
      <c r="S216" s="17">
        <f>CHOOSE(CONTROL!$C$42, 9.6525, 9.6525) * CHOOSE(CONTROL!$C$21, $C$9, 100%, $E$9)</f>
        <v>9.6524999999999999</v>
      </c>
      <c r="T216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216" s="56">
        <f>(1000*CHOOSE(CONTROL!$C$42, 695, 695)*CHOOSE(CONTROL!$C$42, 0.5599, 0.5599)*CHOOSE(CONTROL!$C$42, 31, 31))/1000000</f>
        <v>12.063045499999998</v>
      </c>
      <c r="V216" s="56">
        <f>(1000*CHOOSE(CONTROL!$C$42, 500, 500)*CHOOSE(CONTROL!$C$42, 0.275, 0.275)*CHOOSE(CONTROL!$C$42, 31, 31))/1000000</f>
        <v>4.2625000000000002</v>
      </c>
      <c r="W216" s="56">
        <f>(1000*CHOOSE(CONTROL!$C$42, 0.0916, 0.0916)*CHOOSE(CONTROL!$C$42, 121.5, 121.5)*CHOOSE(CONTROL!$C$42, 31, 31))/1000000</f>
        <v>0.34501139999999997</v>
      </c>
      <c r="X216" s="56">
        <f>(31*0.2374*100000/1000000)</f>
        <v>0.73594000000000004</v>
      </c>
      <c r="Y216" s="56"/>
      <c r="Z216" s="17"/>
      <c r="AA216" s="55"/>
      <c r="AB216" s="48">
        <f>(B216*122.58+C216*297.941+D216*89.177+E216*140.302+F216*40+G216*60+H216*0+I216*100+J216*300)/(122.58+297.941+89.177+140.302+0+40+60+100+300)</f>
        <v>10.007504969304346</v>
      </c>
      <c r="AC216" s="45">
        <f>(M216*'RAP TEMPLATE-GAS AVAILABILITY'!O215+N216*'RAP TEMPLATE-GAS AVAILABILITY'!P215+O216*'RAP TEMPLATE-GAS AVAILABILITY'!Q215+P216*'RAP TEMPLATE-GAS AVAILABILITY'!R215)/('RAP TEMPLATE-GAS AVAILABILITY'!O215+'RAP TEMPLATE-GAS AVAILABILITY'!P215+'RAP TEMPLATE-GAS AVAILABILITY'!Q215+'RAP TEMPLATE-GAS AVAILABILITY'!R215)</f>
        <v>9.9688187050359716</v>
      </c>
    </row>
    <row r="217" spans="1:29" ht="15.75" x14ac:dyDescent="0.25">
      <c r="A217" s="16">
        <v>47119</v>
      </c>
      <c r="B217" s="17">
        <f>CHOOSE(CONTROL!$C$42, 10.4919, 10.4919) * CHOOSE(CONTROL!$C$21, $C$9, 100%, $E$9)</f>
        <v>10.491899999999999</v>
      </c>
      <c r="C217" s="17">
        <f>CHOOSE(CONTROL!$C$42, 10.497, 10.497) * CHOOSE(CONTROL!$C$21, $C$9, 100%, $E$9)</f>
        <v>10.497</v>
      </c>
      <c r="D217" s="17">
        <f>CHOOSE(CONTROL!$C$42, 10.6309, 10.6309) * CHOOSE(CONTROL!$C$21, $C$9, 100%, $E$9)</f>
        <v>10.6309</v>
      </c>
      <c r="E217" s="17">
        <f>CHOOSE(CONTROL!$C$42, 10.6647, 10.6647) * CHOOSE(CONTROL!$C$21, $C$9, 100%, $E$9)</f>
        <v>10.6647</v>
      </c>
      <c r="F217" s="17">
        <f>CHOOSE(CONTROL!$C$42, 10.5054, 10.5054)*CHOOSE(CONTROL!$C$21, $C$9, 100%, $E$9)</f>
        <v>10.5054</v>
      </c>
      <c r="G217" s="17">
        <f>CHOOSE(CONTROL!$C$42, 10.5223, 10.5223)*CHOOSE(CONTROL!$C$21, $C$9, 100%, $E$9)</f>
        <v>10.5223</v>
      </c>
      <c r="H217" s="17">
        <f>CHOOSE(CONTROL!$C$42, 10.6536, 10.6536) * CHOOSE(CONTROL!$C$21, $C$9, 100%, $E$9)</f>
        <v>10.653600000000001</v>
      </c>
      <c r="I217" s="17">
        <f>CHOOSE(CONTROL!$C$42, 10.551, 10.551)* CHOOSE(CONTROL!$C$21, $C$9, 100%, $E$9)</f>
        <v>10.551</v>
      </c>
      <c r="J217" s="17">
        <f>CHOOSE(CONTROL!$C$42, 10.498, 10.498)* CHOOSE(CONTROL!$C$21, $C$9, 100%, $E$9)</f>
        <v>10.497999999999999</v>
      </c>
      <c r="K217" s="52">
        <f>CHOOSE(CONTROL!$C$42, 10.5449, 10.5449) * CHOOSE(CONTROL!$C$21, $C$9, 100%, $E$9)</f>
        <v>10.5449</v>
      </c>
      <c r="L217" s="17">
        <f>CHOOSE(CONTROL!$C$42, 11.2406, 11.2406) * CHOOSE(CONTROL!$C$21, $C$9, 100%, $E$9)</f>
        <v>11.240600000000001</v>
      </c>
      <c r="M217" s="17">
        <f>CHOOSE(CONTROL!$C$42, 10.4105, 10.4105) * CHOOSE(CONTROL!$C$21, $C$9, 100%, $E$9)</f>
        <v>10.410500000000001</v>
      </c>
      <c r="N217" s="17">
        <f>CHOOSE(CONTROL!$C$42, 10.4273, 10.4273) * CHOOSE(CONTROL!$C$21, $C$9, 100%, $E$9)</f>
        <v>10.427300000000001</v>
      </c>
      <c r="O217" s="17">
        <f>CHOOSE(CONTROL!$C$42, 10.5648, 10.5648) * CHOOSE(CONTROL!$C$21, $C$9, 100%, $E$9)</f>
        <v>10.5648</v>
      </c>
      <c r="P217" s="17">
        <f>CHOOSE(CONTROL!$C$42, 10.4628, 10.4628) * CHOOSE(CONTROL!$C$21, $C$9, 100%, $E$9)</f>
        <v>10.4628</v>
      </c>
      <c r="Q217" s="17">
        <f>CHOOSE(CONTROL!$C$42, 11.1595, 11.1595) * CHOOSE(CONTROL!$C$21, $C$9, 100%, $E$9)</f>
        <v>11.1595</v>
      </c>
      <c r="R217" s="17">
        <f>CHOOSE(CONTROL!$C$42, 11.7744, 11.7744) * CHOOSE(CONTROL!$C$21, $C$9, 100%, $E$9)</f>
        <v>11.7744</v>
      </c>
      <c r="S217" s="17">
        <f>CHOOSE(CONTROL!$C$42, 10.1645, 10.1645) * CHOOSE(CONTROL!$C$21, $C$9, 100%, $E$9)</f>
        <v>10.1645</v>
      </c>
      <c r="T217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217" s="56">
        <f>(1000*CHOOSE(CONTROL!$C$42, 695, 695)*CHOOSE(CONTROL!$C$42, 0.5599, 0.5599)*CHOOSE(CONTROL!$C$42, 31, 31))/1000000</f>
        <v>12.063045499999998</v>
      </c>
      <c r="V217" s="56">
        <f>(1000*CHOOSE(CONTROL!$C$42, 500, 500)*CHOOSE(CONTROL!$C$42, 0.275, 0.275)*CHOOSE(CONTROL!$C$42, 31, 31))/1000000</f>
        <v>4.2625000000000002</v>
      </c>
      <c r="W217" s="56">
        <f>(1000*CHOOSE(CONTROL!$C$42, 0.0916, 0.0916)*CHOOSE(CONTROL!$C$42, 121.5, 121.5)*CHOOSE(CONTROL!$C$42, 31, 31))/1000000</f>
        <v>0.34501139999999997</v>
      </c>
      <c r="X217" s="56">
        <f>(31*0.2374*100000/1000000)</f>
        <v>0.73594000000000004</v>
      </c>
      <c r="Y217" s="56"/>
      <c r="Z217" s="17"/>
      <c r="AA217" s="55"/>
      <c r="AB217" s="48">
        <f>(B217*122.58+C217*297.941+D217*89.177+E217*140.302+F217*40+G217*60+H217*0+I217*100+J217*300)/(122.58+297.941+89.177+140.302+0+40+60+100+300)</f>
        <v>10.53386807626087</v>
      </c>
      <c r="AC217" s="45">
        <f>(M217*'RAP TEMPLATE-GAS AVAILABILITY'!O216+N217*'RAP TEMPLATE-GAS AVAILABILITY'!P216+O217*'RAP TEMPLATE-GAS AVAILABILITY'!Q216+P217*'RAP TEMPLATE-GAS AVAILABILITY'!R216)/('RAP TEMPLATE-GAS AVAILABILITY'!O216+'RAP TEMPLATE-GAS AVAILABILITY'!P216+'RAP TEMPLATE-GAS AVAILABILITY'!Q216+'RAP TEMPLATE-GAS AVAILABILITY'!R216)</f>
        <v>10.488926618705035</v>
      </c>
    </row>
    <row r="218" spans="1:29" ht="15.75" x14ac:dyDescent="0.25">
      <c r="A218" s="16">
        <v>47150</v>
      </c>
      <c r="B218" s="17">
        <f>CHOOSE(CONTROL!$C$42, 10.7005, 10.7005) * CHOOSE(CONTROL!$C$21, $C$9, 100%, $E$9)</f>
        <v>10.7005</v>
      </c>
      <c r="C218" s="17">
        <f>CHOOSE(CONTROL!$C$42, 10.7055, 10.7055) * CHOOSE(CONTROL!$C$21, $C$9, 100%, $E$9)</f>
        <v>10.705500000000001</v>
      </c>
      <c r="D218" s="17">
        <f>CHOOSE(CONTROL!$C$42, 10.8395, 10.8395) * CHOOSE(CONTROL!$C$21, $C$9, 100%, $E$9)</f>
        <v>10.839499999999999</v>
      </c>
      <c r="E218" s="17">
        <f>CHOOSE(CONTROL!$C$42, 10.8733, 10.8733) * CHOOSE(CONTROL!$C$21, $C$9, 100%, $E$9)</f>
        <v>10.8733</v>
      </c>
      <c r="F218" s="17">
        <f>CHOOSE(CONTROL!$C$42, 10.7139, 10.7139)*CHOOSE(CONTROL!$C$21, $C$9, 100%, $E$9)</f>
        <v>10.713900000000001</v>
      </c>
      <c r="G218" s="17">
        <f>CHOOSE(CONTROL!$C$42, 10.7307, 10.7307)*CHOOSE(CONTROL!$C$21, $C$9, 100%, $E$9)</f>
        <v>10.730700000000001</v>
      </c>
      <c r="H218" s="17">
        <f>CHOOSE(CONTROL!$C$42, 10.8621, 10.8621) * CHOOSE(CONTROL!$C$21, $C$9, 100%, $E$9)</f>
        <v>10.8621</v>
      </c>
      <c r="I218" s="17">
        <f>CHOOSE(CONTROL!$C$42, 10.7602, 10.7602)* CHOOSE(CONTROL!$C$21, $C$9, 100%, $E$9)</f>
        <v>10.760199999999999</v>
      </c>
      <c r="J218" s="17">
        <f>CHOOSE(CONTROL!$C$42, 10.7065, 10.7065)* CHOOSE(CONTROL!$C$21, $C$9, 100%, $E$9)</f>
        <v>10.7065</v>
      </c>
      <c r="K218" s="52">
        <f>CHOOSE(CONTROL!$C$42, 10.7541, 10.7541) * CHOOSE(CONTROL!$C$21, $C$9, 100%, $E$9)</f>
        <v>10.754099999999999</v>
      </c>
      <c r="L218" s="17">
        <f>CHOOSE(CONTROL!$C$42, 11.4491, 11.4491) * CHOOSE(CONTROL!$C$21, $C$9, 100%, $E$9)</f>
        <v>11.4491</v>
      </c>
      <c r="M218" s="17">
        <f>CHOOSE(CONTROL!$C$42, 10.6172, 10.6172) * CHOOSE(CONTROL!$C$21, $C$9, 100%, $E$9)</f>
        <v>10.6172</v>
      </c>
      <c r="N218" s="17">
        <f>CHOOSE(CONTROL!$C$42, 10.6339, 10.6339) * CHOOSE(CONTROL!$C$21, $C$9, 100%, $E$9)</f>
        <v>10.633900000000001</v>
      </c>
      <c r="O218" s="17">
        <f>CHOOSE(CONTROL!$C$42, 10.7715, 10.7715) * CHOOSE(CONTROL!$C$21, $C$9, 100%, $E$9)</f>
        <v>10.7715</v>
      </c>
      <c r="P218" s="17">
        <f>CHOOSE(CONTROL!$C$42, 10.6702, 10.6702) * CHOOSE(CONTROL!$C$21, $C$9, 100%, $E$9)</f>
        <v>10.670199999999999</v>
      </c>
      <c r="Q218" s="17">
        <f>CHOOSE(CONTROL!$C$42, 11.3662, 11.3662) * CHOOSE(CONTROL!$C$21, $C$9, 100%, $E$9)</f>
        <v>11.366199999999999</v>
      </c>
      <c r="R218" s="17">
        <f>CHOOSE(CONTROL!$C$42, 11.9816, 11.9816) * CHOOSE(CONTROL!$C$21, $C$9, 100%, $E$9)</f>
        <v>11.9816</v>
      </c>
      <c r="S218" s="17">
        <f>CHOOSE(CONTROL!$C$42, 10.3667, 10.3667) * CHOOSE(CONTROL!$C$21, $C$9, 100%, $E$9)</f>
        <v>10.3667</v>
      </c>
      <c r="T218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218" s="56">
        <f>(1000*CHOOSE(CONTROL!$C$42, 695, 695)*CHOOSE(CONTROL!$C$42, 0.5599, 0.5599)*CHOOSE(CONTROL!$C$42, 28, 28))/1000000</f>
        <v>10.895653999999999</v>
      </c>
      <c r="V218" s="56">
        <f>(1000*CHOOSE(CONTROL!$C$42, 500, 500)*CHOOSE(CONTROL!$C$42, 0.275, 0.275)*CHOOSE(CONTROL!$C$42, 28, 28))/1000000</f>
        <v>3.85</v>
      </c>
      <c r="W218" s="56">
        <f>(1000*CHOOSE(CONTROL!$C$42, 0.0916, 0.0916)*CHOOSE(CONTROL!$C$42, 121.5, 121.5)*CHOOSE(CONTROL!$C$42, 28, 28))/1000000</f>
        <v>0.31162319999999999</v>
      </c>
      <c r="X218" s="56">
        <f>(28*0.2374*100000/1000000)</f>
        <v>0.66471999999999998</v>
      </c>
      <c r="Y218" s="56"/>
      <c r="Z218" s="17"/>
      <c r="AA218" s="55"/>
      <c r="AB218" s="48">
        <f>(B218*122.58+C218*297.941+D218*89.177+E218*140.302+F218*40+G218*60+H218*0+I218*100+J218*300)/(122.58+297.941+89.177+140.302+0+40+60+100+300)</f>
        <v>10.742454342260867</v>
      </c>
      <c r="AC218" s="45">
        <f>(M218*'RAP TEMPLATE-GAS AVAILABILITY'!O217+N218*'RAP TEMPLATE-GAS AVAILABILITY'!P217+O218*'RAP TEMPLATE-GAS AVAILABILITY'!Q217+P218*'RAP TEMPLATE-GAS AVAILABILITY'!R217)/('RAP TEMPLATE-GAS AVAILABILITY'!O217+'RAP TEMPLATE-GAS AVAILABILITY'!P217+'RAP TEMPLATE-GAS AVAILABILITY'!Q217+'RAP TEMPLATE-GAS AVAILABILITY'!R217)</f>
        <v>10.695721582733812</v>
      </c>
    </row>
    <row r="219" spans="1:29" ht="15.75" x14ac:dyDescent="0.25">
      <c r="A219" s="16">
        <v>47178</v>
      </c>
      <c r="B219" s="17">
        <f>CHOOSE(CONTROL!$C$42, 10.4184, 10.4184) * CHOOSE(CONTROL!$C$21, $C$9, 100%, $E$9)</f>
        <v>10.4184</v>
      </c>
      <c r="C219" s="17">
        <f>CHOOSE(CONTROL!$C$42, 10.4234, 10.4234) * CHOOSE(CONTROL!$C$21, $C$9, 100%, $E$9)</f>
        <v>10.423400000000001</v>
      </c>
      <c r="D219" s="17">
        <f>CHOOSE(CONTROL!$C$42, 10.5574, 10.5574) * CHOOSE(CONTROL!$C$21, $C$9, 100%, $E$9)</f>
        <v>10.557399999999999</v>
      </c>
      <c r="E219" s="17">
        <f>CHOOSE(CONTROL!$C$42, 10.5912, 10.5912) * CHOOSE(CONTROL!$C$21, $C$9, 100%, $E$9)</f>
        <v>10.591200000000001</v>
      </c>
      <c r="F219" s="17">
        <f>CHOOSE(CONTROL!$C$42, 10.431, 10.431)*CHOOSE(CONTROL!$C$21, $C$9, 100%, $E$9)</f>
        <v>10.430999999999999</v>
      </c>
      <c r="G219" s="17">
        <f>CHOOSE(CONTROL!$C$42, 10.4477, 10.4477)*CHOOSE(CONTROL!$C$21, $C$9, 100%, $E$9)</f>
        <v>10.447699999999999</v>
      </c>
      <c r="H219" s="17">
        <f>CHOOSE(CONTROL!$C$42, 10.58, 10.58) * CHOOSE(CONTROL!$C$21, $C$9, 100%, $E$9)</f>
        <v>10.58</v>
      </c>
      <c r="I219" s="17">
        <f>CHOOSE(CONTROL!$C$42, 10.4772, 10.4772)* CHOOSE(CONTROL!$C$21, $C$9, 100%, $E$9)</f>
        <v>10.4772</v>
      </c>
      <c r="J219" s="17">
        <f>CHOOSE(CONTROL!$C$42, 10.4236, 10.4236)* CHOOSE(CONTROL!$C$21, $C$9, 100%, $E$9)</f>
        <v>10.4236</v>
      </c>
      <c r="K219" s="52">
        <f>CHOOSE(CONTROL!$C$42, 10.4712, 10.4712) * CHOOSE(CONTROL!$C$21, $C$9, 100%, $E$9)</f>
        <v>10.4712</v>
      </c>
      <c r="L219" s="17">
        <f>CHOOSE(CONTROL!$C$42, 11.167, 11.167) * CHOOSE(CONTROL!$C$21, $C$9, 100%, $E$9)</f>
        <v>11.167</v>
      </c>
      <c r="M219" s="17">
        <f>CHOOSE(CONTROL!$C$42, 10.3369, 10.3369) * CHOOSE(CONTROL!$C$21, $C$9, 100%, $E$9)</f>
        <v>10.3369</v>
      </c>
      <c r="N219" s="17">
        <f>CHOOSE(CONTROL!$C$42, 10.3534, 10.3534) * CHOOSE(CONTROL!$C$21, $C$9, 100%, $E$9)</f>
        <v>10.353400000000001</v>
      </c>
      <c r="O219" s="17">
        <f>CHOOSE(CONTROL!$C$42, 10.4919, 10.4919) * CHOOSE(CONTROL!$C$21, $C$9, 100%, $E$9)</f>
        <v>10.491899999999999</v>
      </c>
      <c r="P219" s="17">
        <f>CHOOSE(CONTROL!$C$42, 10.3897, 10.3897) * CHOOSE(CONTROL!$C$21, $C$9, 100%, $E$9)</f>
        <v>10.389699999999999</v>
      </c>
      <c r="Q219" s="17">
        <f>CHOOSE(CONTROL!$C$42, 11.0866, 11.0866) * CHOOSE(CONTROL!$C$21, $C$9, 100%, $E$9)</f>
        <v>11.086600000000001</v>
      </c>
      <c r="R219" s="17">
        <f>CHOOSE(CONTROL!$C$42, 11.7013, 11.7013) * CHOOSE(CONTROL!$C$21, $C$9, 100%, $E$9)</f>
        <v>11.7013</v>
      </c>
      <c r="S219" s="17">
        <f>CHOOSE(CONTROL!$C$42, 10.0932, 10.0932) * CHOOSE(CONTROL!$C$21, $C$9, 100%, $E$9)</f>
        <v>10.0932</v>
      </c>
      <c r="T219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219" s="56">
        <f>(1000*CHOOSE(CONTROL!$C$42, 695, 695)*CHOOSE(CONTROL!$C$42, 0.5599, 0.5599)*CHOOSE(CONTROL!$C$42, 31, 31))/1000000</f>
        <v>12.063045499999998</v>
      </c>
      <c r="V219" s="56">
        <f>(1000*CHOOSE(CONTROL!$C$42, 500, 500)*CHOOSE(CONTROL!$C$42, 0.275, 0.275)*CHOOSE(CONTROL!$C$42, 31, 31))/1000000</f>
        <v>4.2625000000000002</v>
      </c>
      <c r="W219" s="56">
        <f>(1000*CHOOSE(CONTROL!$C$42, 0.0916, 0.0916)*CHOOSE(CONTROL!$C$42, 121.5, 121.5)*CHOOSE(CONTROL!$C$42, 31, 31))/1000000</f>
        <v>0.34501139999999997</v>
      </c>
      <c r="X219" s="56">
        <f>(31*0.2374*100000/1000000)</f>
        <v>0.73594000000000004</v>
      </c>
      <c r="Y219" s="56"/>
      <c r="Z219" s="17"/>
      <c r="AA219" s="55"/>
      <c r="AB219" s="48">
        <f>(B219*122.58+C219*297.941+D219*89.177+E219*140.302+F219*40+G219*60+H219*0+I219*100+J219*300)/(122.58+297.941+89.177+140.302+0+40+60+100+300)</f>
        <v>10.459992603130436</v>
      </c>
      <c r="AC219" s="45">
        <f>(M219*'RAP TEMPLATE-GAS AVAILABILITY'!O218+N219*'RAP TEMPLATE-GAS AVAILABILITY'!P218+O219*'RAP TEMPLATE-GAS AVAILABILITY'!Q218+P219*'RAP TEMPLATE-GAS AVAILABILITY'!R218)/('RAP TEMPLATE-GAS AVAILABILITY'!O218+'RAP TEMPLATE-GAS AVAILABILITY'!P218+'RAP TEMPLATE-GAS AVAILABILITY'!Q218+'RAP TEMPLATE-GAS AVAILABILITY'!R218)</f>
        <v>10.415698561151078</v>
      </c>
    </row>
    <row r="220" spans="1:29" ht="15.75" x14ac:dyDescent="0.25">
      <c r="A220" s="16">
        <v>47209</v>
      </c>
      <c r="B220" s="17">
        <f>CHOOSE(CONTROL!$C$42, 10.4096, 10.4096) * CHOOSE(CONTROL!$C$21, $C$9, 100%, $E$9)</f>
        <v>10.409599999999999</v>
      </c>
      <c r="C220" s="17">
        <f>CHOOSE(CONTROL!$C$42, 10.4141, 10.4141) * CHOOSE(CONTROL!$C$21, $C$9, 100%, $E$9)</f>
        <v>10.414099999999999</v>
      </c>
      <c r="D220" s="17">
        <f>CHOOSE(CONTROL!$C$42, 10.6771, 10.6771) * CHOOSE(CONTROL!$C$21, $C$9, 100%, $E$9)</f>
        <v>10.677099999999999</v>
      </c>
      <c r="E220" s="17">
        <f>CHOOSE(CONTROL!$C$42, 10.7089, 10.7089) * CHOOSE(CONTROL!$C$21, $C$9, 100%, $E$9)</f>
        <v>10.7089</v>
      </c>
      <c r="F220" s="17">
        <f>CHOOSE(CONTROL!$C$42, 10.4205, 10.4205)*CHOOSE(CONTROL!$C$21, $C$9, 100%, $E$9)</f>
        <v>10.420500000000001</v>
      </c>
      <c r="G220" s="17">
        <f>CHOOSE(CONTROL!$C$42, 10.4367, 10.4367)*CHOOSE(CONTROL!$C$21, $C$9, 100%, $E$9)</f>
        <v>10.4367</v>
      </c>
      <c r="H220" s="17">
        <f>CHOOSE(CONTROL!$C$42, 10.6984, 10.6984) * CHOOSE(CONTROL!$C$21, $C$9, 100%, $E$9)</f>
        <v>10.698399999999999</v>
      </c>
      <c r="I220" s="17">
        <f>CHOOSE(CONTROL!$C$42, 10.4671, 10.4671)* CHOOSE(CONTROL!$C$21, $C$9, 100%, $E$9)</f>
        <v>10.4671</v>
      </c>
      <c r="J220" s="17">
        <f>CHOOSE(CONTROL!$C$42, 10.4131, 10.4131)* CHOOSE(CONTROL!$C$21, $C$9, 100%, $E$9)</f>
        <v>10.4131</v>
      </c>
      <c r="K220" s="52">
        <f>CHOOSE(CONTROL!$C$42, 10.4611, 10.4611) * CHOOSE(CONTROL!$C$21, $C$9, 100%, $E$9)</f>
        <v>10.4611</v>
      </c>
      <c r="L220" s="17">
        <f>CHOOSE(CONTROL!$C$42, 11.2854, 11.2854) * CHOOSE(CONTROL!$C$21, $C$9, 100%, $E$9)</f>
        <v>11.285399999999999</v>
      </c>
      <c r="M220" s="17">
        <f>CHOOSE(CONTROL!$C$42, 10.3265, 10.3265) * CHOOSE(CONTROL!$C$21, $C$9, 100%, $E$9)</f>
        <v>10.326499999999999</v>
      </c>
      <c r="N220" s="17">
        <f>CHOOSE(CONTROL!$C$42, 10.3425, 10.3425) * CHOOSE(CONTROL!$C$21, $C$9, 100%, $E$9)</f>
        <v>10.342499999999999</v>
      </c>
      <c r="O220" s="17">
        <f>CHOOSE(CONTROL!$C$42, 10.6092, 10.6092) * CHOOSE(CONTROL!$C$21, $C$9, 100%, $E$9)</f>
        <v>10.6092</v>
      </c>
      <c r="P220" s="17">
        <f>CHOOSE(CONTROL!$C$42, 10.3798, 10.3798) * CHOOSE(CONTROL!$C$21, $C$9, 100%, $E$9)</f>
        <v>10.379799999999999</v>
      </c>
      <c r="Q220" s="17">
        <f>CHOOSE(CONTROL!$C$42, 11.2039, 11.2039) * CHOOSE(CONTROL!$C$21, $C$9, 100%, $E$9)</f>
        <v>11.203900000000001</v>
      </c>
      <c r="R220" s="17">
        <f>CHOOSE(CONTROL!$C$42, 11.8189, 11.8189) * CHOOSE(CONTROL!$C$21, $C$9, 100%, $E$9)</f>
        <v>11.818899999999999</v>
      </c>
      <c r="S220" s="17">
        <f>CHOOSE(CONTROL!$C$42, 10.0839, 10.0839) * CHOOSE(CONTROL!$C$21, $C$9, 100%, $E$9)</f>
        <v>10.0839</v>
      </c>
      <c r="T220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220" s="56">
        <f>(1000*CHOOSE(CONTROL!$C$42, 695, 695)*CHOOSE(CONTROL!$C$42, 0.5599, 0.5599)*CHOOSE(CONTROL!$C$42, 30, 30))/1000000</f>
        <v>11.673914999999997</v>
      </c>
      <c r="V220" s="56">
        <f>(1000*CHOOSE(CONTROL!$C$42, 500, 500)*CHOOSE(CONTROL!$C$42, 0.275, 0.275)*CHOOSE(CONTROL!$C$42, 30, 30))/1000000</f>
        <v>4.125</v>
      </c>
      <c r="W220" s="56">
        <f>(1000*CHOOSE(CONTROL!$C$42, 0.0916, 0.0916)*CHOOSE(CONTROL!$C$42, 121.5, 121.5)*CHOOSE(CONTROL!$C$42, 30, 30))/1000000</f>
        <v>0.33388200000000001</v>
      </c>
      <c r="X220" s="56">
        <f>(30*0.1790888*145000/1000000)+(30*0.2374*100000/1000000)</f>
        <v>1.4912362799999999</v>
      </c>
      <c r="Y220" s="56"/>
      <c r="Z220" s="17"/>
      <c r="AA220" s="55"/>
      <c r="AB220" s="48">
        <f>(B220*141.293+C220*267.993+D220*115.016+E220*189.698+F220*40+G220*85+H220*0+I220*100+J220*300)/(141.293+267.993+115.016+189.698+0+40+85+100+300)</f>
        <v>10.488929184745762</v>
      </c>
      <c r="AC220" s="45">
        <f>(M220*'RAP TEMPLATE-GAS AVAILABILITY'!O219+N220*'RAP TEMPLATE-GAS AVAILABILITY'!P219+O220*'RAP TEMPLATE-GAS AVAILABILITY'!Q219+P220*'RAP TEMPLATE-GAS AVAILABILITY'!R219)/('RAP TEMPLATE-GAS AVAILABILITY'!O219+'RAP TEMPLATE-GAS AVAILABILITY'!P219+'RAP TEMPLATE-GAS AVAILABILITY'!Q219+'RAP TEMPLATE-GAS AVAILABILITY'!R219)</f>
        <v>10.417171223021581</v>
      </c>
    </row>
    <row r="221" spans="1:29" ht="15.75" x14ac:dyDescent="0.25">
      <c r="A221" s="16">
        <v>47239</v>
      </c>
      <c r="B221" s="17">
        <f>CHOOSE(CONTROL!$C$42, 10.5244, 10.5244) * CHOOSE(CONTROL!$C$21, $C$9, 100%, $E$9)</f>
        <v>10.5244</v>
      </c>
      <c r="C221" s="17">
        <f>CHOOSE(CONTROL!$C$42, 10.5323, 10.5323) * CHOOSE(CONTROL!$C$21, $C$9, 100%, $E$9)</f>
        <v>10.532299999999999</v>
      </c>
      <c r="D221" s="17">
        <f>CHOOSE(CONTROL!$C$42, 10.7923, 10.7923) * CHOOSE(CONTROL!$C$21, $C$9, 100%, $E$9)</f>
        <v>10.792299999999999</v>
      </c>
      <c r="E221" s="17">
        <f>CHOOSE(CONTROL!$C$42, 10.8235, 10.8235) * CHOOSE(CONTROL!$C$21, $C$9, 100%, $E$9)</f>
        <v>10.823499999999999</v>
      </c>
      <c r="F221" s="17">
        <f>CHOOSE(CONTROL!$C$42, 10.534, 10.534)*CHOOSE(CONTROL!$C$21, $C$9, 100%, $E$9)</f>
        <v>10.534000000000001</v>
      </c>
      <c r="G221" s="17">
        <f>CHOOSE(CONTROL!$C$42, 10.5505, 10.5505)*CHOOSE(CONTROL!$C$21, $C$9, 100%, $E$9)</f>
        <v>10.5505</v>
      </c>
      <c r="H221" s="17">
        <f>CHOOSE(CONTROL!$C$42, 10.8118, 10.8118) * CHOOSE(CONTROL!$C$21, $C$9, 100%, $E$9)</f>
        <v>10.8118</v>
      </c>
      <c r="I221" s="17">
        <f>CHOOSE(CONTROL!$C$42, 10.5809, 10.5809)* CHOOSE(CONTROL!$C$21, $C$9, 100%, $E$9)</f>
        <v>10.5809</v>
      </c>
      <c r="J221" s="17">
        <f>CHOOSE(CONTROL!$C$42, 10.5266, 10.5266)* CHOOSE(CONTROL!$C$21, $C$9, 100%, $E$9)</f>
        <v>10.5266</v>
      </c>
      <c r="K221" s="52">
        <f>CHOOSE(CONTROL!$C$42, 10.5748, 10.5748) * CHOOSE(CONTROL!$C$21, $C$9, 100%, $E$9)</f>
        <v>10.5748</v>
      </c>
      <c r="L221" s="17">
        <f>CHOOSE(CONTROL!$C$42, 11.3988, 11.3988) * CHOOSE(CONTROL!$C$21, $C$9, 100%, $E$9)</f>
        <v>11.3988</v>
      </c>
      <c r="M221" s="17">
        <f>CHOOSE(CONTROL!$C$42, 10.439, 10.439) * CHOOSE(CONTROL!$C$21, $C$9, 100%, $E$9)</f>
        <v>10.439</v>
      </c>
      <c r="N221" s="17">
        <f>CHOOSE(CONTROL!$C$42, 10.4553, 10.4553) * CHOOSE(CONTROL!$C$21, $C$9, 100%, $E$9)</f>
        <v>10.455299999999999</v>
      </c>
      <c r="O221" s="17">
        <f>CHOOSE(CONTROL!$C$42, 10.7215, 10.7215) * CHOOSE(CONTROL!$C$21, $C$9, 100%, $E$9)</f>
        <v>10.721500000000001</v>
      </c>
      <c r="P221" s="17">
        <f>CHOOSE(CONTROL!$C$42, 10.4925, 10.4925) * CHOOSE(CONTROL!$C$21, $C$9, 100%, $E$9)</f>
        <v>10.4925</v>
      </c>
      <c r="Q221" s="17">
        <f>CHOOSE(CONTROL!$C$42, 11.3162, 11.3162) * CHOOSE(CONTROL!$C$21, $C$9, 100%, $E$9)</f>
        <v>11.3162</v>
      </c>
      <c r="R221" s="17">
        <f>CHOOSE(CONTROL!$C$42, 11.9315, 11.9315) * CHOOSE(CONTROL!$C$21, $C$9, 100%, $E$9)</f>
        <v>11.9315</v>
      </c>
      <c r="S221" s="17">
        <f>CHOOSE(CONTROL!$C$42, 10.1939, 10.1939) * CHOOSE(CONTROL!$C$21, $C$9, 100%, $E$9)</f>
        <v>10.193899999999999</v>
      </c>
      <c r="T221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221" s="56">
        <f>(1000*CHOOSE(CONTROL!$C$42, 695, 695)*CHOOSE(CONTROL!$C$42, 0.5599, 0.5599)*CHOOSE(CONTROL!$C$42, 31, 31))/1000000</f>
        <v>12.063045499999998</v>
      </c>
      <c r="V221" s="56">
        <f>(1000*CHOOSE(CONTROL!$C$42, 500, 500)*CHOOSE(CONTROL!$C$42, 0.275, 0.275)*CHOOSE(CONTROL!$C$42, 31, 31))/1000000</f>
        <v>4.2625000000000002</v>
      </c>
      <c r="W221" s="56">
        <f>(1000*CHOOSE(CONTROL!$C$42, 0.0916, 0.0916)*CHOOSE(CONTROL!$C$42, 121.5, 121.5)*CHOOSE(CONTROL!$C$42, 31, 31))/1000000</f>
        <v>0.34501139999999997</v>
      </c>
      <c r="X221" s="56">
        <f>(31*0.1790888*145000/1000000)+(31*0.2374*100000/1000000)</f>
        <v>1.5409441560000001</v>
      </c>
      <c r="Y221" s="56"/>
      <c r="Z221" s="17"/>
      <c r="AA221" s="55"/>
      <c r="AB221" s="48">
        <f>(B221*194.205+C221*267.466+D221*133.845+E221*153.484+F221*40+G221*85+H221*0+I221*100+J221*300)/(194.205+267.466+133.845+153.484+0+40+85+100+300)</f>
        <v>10.597233297723704</v>
      </c>
      <c r="AC221" s="45">
        <f>(M221*'RAP TEMPLATE-GAS AVAILABILITY'!O220+N221*'RAP TEMPLATE-GAS AVAILABILITY'!P220+O221*'RAP TEMPLATE-GAS AVAILABILITY'!Q220+P221*'RAP TEMPLATE-GAS AVAILABILITY'!R220)/('RAP TEMPLATE-GAS AVAILABILITY'!O220+'RAP TEMPLATE-GAS AVAILABILITY'!P220+'RAP TEMPLATE-GAS AVAILABILITY'!Q220+'RAP TEMPLATE-GAS AVAILABILITY'!R220)</f>
        <v>10.529712949640288</v>
      </c>
    </row>
    <row r="222" spans="1:29" ht="15.75" x14ac:dyDescent="0.25">
      <c r="A222" s="16">
        <v>47270</v>
      </c>
      <c r="B222" s="17">
        <f>CHOOSE(CONTROL!$C$42, 10.8448, 10.8448) * CHOOSE(CONTROL!$C$21, $C$9, 100%, $E$9)</f>
        <v>10.844799999999999</v>
      </c>
      <c r="C222" s="17">
        <f>CHOOSE(CONTROL!$C$42, 10.8528, 10.8528) * CHOOSE(CONTROL!$C$21, $C$9, 100%, $E$9)</f>
        <v>10.8528</v>
      </c>
      <c r="D222" s="17">
        <f>CHOOSE(CONTROL!$C$42, 11.1127, 11.1127) * CHOOSE(CONTROL!$C$21, $C$9, 100%, $E$9)</f>
        <v>11.1127</v>
      </c>
      <c r="E222" s="17">
        <f>CHOOSE(CONTROL!$C$42, 11.1439, 11.1439) * CHOOSE(CONTROL!$C$21, $C$9, 100%, $E$9)</f>
        <v>11.1439</v>
      </c>
      <c r="F222" s="17">
        <f>CHOOSE(CONTROL!$C$42, 10.8548, 10.8548)*CHOOSE(CONTROL!$C$21, $C$9, 100%, $E$9)</f>
        <v>10.854799999999999</v>
      </c>
      <c r="G222" s="17">
        <f>CHOOSE(CONTROL!$C$42, 10.8713, 10.8713)*CHOOSE(CONTROL!$C$21, $C$9, 100%, $E$9)</f>
        <v>10.8713</v>
      </c>
      <c r="H222" s="17">
        <f>CHOOSE(CONTROL!$C$42, 11.1322, 11.1322) * CHOOSE(CONTROL!$C$21, $C$9, 100%, $E$9)</f>
        <v>11.132199999999999</v>
      </c>
      <c r="I222" s="17">
        <f>CHOOSE(CONTROL!$C$42, 10.9023, 10.9023)* CHOOSE(CONTROL!$C$21, $C$9, 100%, $E$9)</f>
        <v>10.9023</v>
      </c>
      <c r="J222" s="17">
        <f>CHOOSE(CONTROL!$C$42, 10.8474, 10.8474)* CHOOSE(CONTROL!$C$21, $C$9, 100%, $E$9)</f>
        <v>10.8474</v>
      </c>
      <c r="K222" s="52">
        <f>CHOOSE(CONTROL!$C$42, 10.8963, 10.8963) * CHOOSE(CONTROL!$C$21, $C$9, 100%, $E$9)</f>
        <v>10.8963</v>
      </c>
      <c r="L222" s="17">
        <f>CHOOSE(CONTROL!$C$42, 11.7192, 11.7192) * CHOOSE(CONTROL!$C$21, $C$9, 100%, $E$9)</f>
        <v>11.719200000000001</v>
      </c>
      <c r="M222" s="17">
        <f>CHOOSE(CONTROL!$C$42, 10.7568, 10.7568) * CHOOSE(CONTROL!$C$21, $C$9, 100%, $E$9)</f>
        <v>10.7568</v>
      </c>
      <c r="N222" s="17">
        <f>CHOOSE(CONTROL!$C$42, 10.7732, 10.7732) * CHOOSE(CONTROL!$C$21, $C$9, 100%, $E$9)</f>
        <v>10.773199999999999</v>
      </c>
      <c r="O222" s="17">
        <f>CHOOSE(CONTROL!$C$42, 11.0391, 11.0391) * CHOOSE(CONTROL!$C$21, $C$9, 100%, $E$9)</f>
        <v>11.039099999999999</v>
      </c>
      <c r="P222" s="17">
        <f>CHOOSE(CONTROL!$C$42, 10.811, 10.811) * CHOOSE(CONTROL!$C$21, $C$9, 100%, $E$9)</f>
        <v>10.811</v>
      </c>
      <c r="Q222" s="17">
        <f>CHOOSE(CONTROL!$C$42, 11.6338, 11.6338) * CHOOSE(CONTROL!$C$21, $C$9, 100%, $E$9)</f>
        <v>11.633800000000001</v>
      </c>
      <c r="R222" s="17">
        <f>CHOOSE(CONTROL!$C$42, 12.2499, 12.2499) * CHOOSE(CONTROL!$C$21, $C$9, 100%, $E$9)</f>
        <v>12.2499</v>
      </c>
      <c r="S222" s="17">
        <f>CHOOSE(CONTROL!$C$42, 10.5046, 10.5046) * CHOOSE(CONTROL!$C$21, $C$9, 100%, $E$9)</f>
        <v>10.5046</v>
      </c>
      <c r="T222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222" s="56">
        <f>(1000*CHOOSE(CONTROL!$C$42, 695, 695)*CHOOSE(CONTROL!$C$42, 0.5599, 0.5599)*CHOOSE(CONTROL!$C$42, 30, 30))/1000000</f>
        <v>11.673914999999997</v>
      </c>
      <c r="V222" s="56">
        <f>(1000*CHOOSE(CONTROL!$C$42, 500, 500)*CHOOSE(CONTROL!$C$42, 0.275, 0.275)*CHOOSE(CONTROL!$C$42, 30, 30))/1000000</f>
        <v>4.125</v>
      </c>
      <c r="W222" s="56">
        <f>(1000*CHOOSE(CONTROL!$C$42, 0.0916, 0.0916)*CHOOSE(CONTROL!$C$42, 121.5, 121.5)*CHOOSE(CONTROL!$C$42, 30, 30))/1000000</f>
        <v>0.33388200000000001</v>
      </c>
      <c r="X222" s="56">
        <f>(30*0.1790888*145000/1000000)+(30*0.2374*100000/1000000)</f>
        <v>1.4912362799999999</v>
      </c>
      <c r="Y222" s="56"/>
      <c r="Z222" s="17"/>
      <c r="AA222" s="55"/>
      <c r="AB222" s="48">
        <f>(B222*194.205+C222*267.466+D222*133.845+E222*153.484+F222*40+G222*85+H222*0+I222*100+J222*300)/(194.205+267.466+133.845+153.484+0+40+85+100+300)</f>
        <v>10.917866222841443</v>
      </c>
      <c r="AC222" s="45">
        <f>(M222*'RAP TEMPLATE-GAS AVAILABILITY'!O221+N222*'RAP TEMPLATE-GAS AVAILABILITY'!P221+O222*'RAP TEMPLATE-GAS AVAILABILITY'!Q221+P222*'RAP TEMPLATE-GAS AVAILABILITY'!R221)/('RAP TEMPLATE-GAS AVAILABILITY'!O221+'RAP TEMPLATE-GAS AVAILABILITY'!P221+'RAP TEMPLATE-GAS AVAILABILITY'!Q221+'RAP TEMPLATE-GAS AVAILABILITY'!R221)</f>
        <v>10.847580575539567</v>
      </c>
    </row>
    <row r="223" spans="1:29" ht="15.75" x14ac:dyDescent="0.25">
      <c r="A223" s="16">
        <v>47300</v>
      </c>
      <c r="B223" s="17">
        <f>CHOOSE(CONTROL!$C$42, 10.6589, 10.6589) * CHOOSE(CONTROL!$C$21, $C$9, 100%, $E$9)</f>
        <v>10.658899999999999</v>
      </c>
      <c r="C223" s="17">
        <f>CHOOSE(CONTROL!$C$42, 10.6669, 10.6669) * CHOOSE(CONTROL!$C$21, $C$9, 100%, $E$9)</f>
        <v>10.6669</v>
      </c>
      <c r="D223" s="17">
        <f>CHOOSE(CONTROL!$C$42, 10.9268, 10.9268) * CHOOSE(CONTROL!$C$21, $C$9, 100%, $E$9)</f>
        <v>10.9268</v>
      </c>
      <c r="E223" s="17">
        <f>CHOOSE(CONTROL!$C$42, 10.958, 10.958) * CHOOSE(CONTROL!$C$21, $C$9, 100%, $E$9)</f>
        <v>10.958</v>
      </c>
      <c r="F223" s="17">
        <f>CHOOSE(CONTROL!$C$42, 10.6693, 10.6693)*CHOOSE(CONTROL!$C$21, $C$9, 100%, $E$9)</f>
        <v>10.6693</v>
      </c>
      <c r="G223" s="17">
        <f>CHOOSE(CONTROL!$C$42, 10.6859, 10.6859)*CHOOSE(CONTROL!$C$21, $C$9, 100%, $E$9)</f>
        <v>10.6859</v>
      </c>
      <c r="H223" s="17">
        <f>CHOOSE(CONTROL!$C$42, 10.9463, 10.9463) * CHOOSE(CONTROL!$C$21, $C$9, 100%, $E$9)</f>
        <v>10.946300000000001</v>
      </c>
      <c r="I223" s="17">
        <f>CHOOSE(CONTROL!$C$42, 10.7158, 10.7158)* CHOOSE(CONTROL!$C$21, $C$9, 100%, $E$9)</f>
        <v>10.7158</v>
      </c>
      <c r="J223" s="17">
        <f>CHOOSE(CONTROL!$C$42, 10.6619, 10.6619)* CHOOSE(CONTROL!$C$21, $C$9, 100%, $E$9)</f>
        <v>10.661899999999999</v>
      </c>
      <c r="K223" s="52">
        <f>CHOOSE(CONTROL!$C$42, 10.7098, 10.7098) * CHOOSE(CONTROL!$C$21, $C$9, 100%, $E$9)</f>
        <v>10.7098</v>
      </c>
      <c r="L223" s="17">
        <f>CHOOSE(CONTROL!$C$42, 11.5333, 11.5333) * CHOOSE(CONTROL!$C$21, $C$9, 100%, $E$9)</f>
        <v>11.533300000000001</v>
      </c>
      <c r="M223" s="17">
        <f>CHOOSE(CONTROL!$C$42, 10.573, 10.573) * CHOOSE(CONTROL!$C$21, $C$9, 100%, $E$9)</f>
        <v>10.573</v>
      </c>
      <c r="N223" s="17">
        <f>CHOOSE(CONTROL!$C$42, 10.5895, 10.5895) * CHOOSE(CONTROL!$C$21, $C$9, 100%, $E$9)</f>
        <v>10.589499999999999</v>
      </c>
      <c r="O223" s="17">
        <f>CHOOSE(CONTROL!$C$42, 10.8549, 10.8549) * CHOOSE(CONTROL!$C$21, $C$9, 100%, $E$9)</f>
        <v>10.854900000000001</v>
      </c>
      <c r="P223" s="17">
        <f>CHOOSE(CONTROL!$C$42, 10.6262, 10.6262) * CHOOSE(CONTROL!$C$21, $C$9, 100%, $E$9)</f>
        <v>10.626200000000001</v>
      </c>
      <c r="Q223" s="17">
        <f>CHOOSE(CONTROL!$C$42, 11.4496, 11.4496) * CHOOSE(CONTROL!$C$21, $C$9, 100%, $E$9)</f>
        <v>11.4496</v>
      </c>
      <c r="R223" s="17">
        <f>CHOOSE(CONTROL!$C$42, 12.0652, 12.0652) * CHOOSE(CONTROL!$C$21, $C$9, 100%, $E$9)</f>
        <v>12.065200000000001</v>
      </c>
      <c r="S223" s="17">
        <f>CHOOSE(CONTROL!$C$42, 10.3243, 10.3243) * CHOOSE(CONTROL!$C$21, $C$9, 100%, $E$9)</f>
        <v>10.324299999999999</v>
      </c>
      <c r="T223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223" s="56">
        <f>(1000*CHOOSE(CONTROL!$C$42, 695, 695)*CHOOSE(CONTROL!$C$42, 0.5599, 0.5599)*CHOOSE(CONTROL!$C$42, 31, 31))/1000000</f>
        <v>12.063045499999998</v>
      </c>
      <c r="V223" s="56">
        <f>(1000*CHOOSE(CONTROL!$C$42, 500, 500)*CHOOSE(CONTROL!$C$42, 0.275, 0.275)*CHOOSE(CONTROL!$C$42, 31, 31))/1000000</f>
        <v>4.2625000000000002</v>
      </c>
      <c r="W223" s="56">
        <f>(1000*CHOOSE(CONTROL!$C$42, 0.0916, 0.0916)*CHOOSE(CONTROL!$C$42, 121.5, 121.5)*CHOOSE(CONTROL!$C$42, 31, 31))/1000000</f>
        <v>0.34501139999999997</v>
      </c>
      <c r="X223" s="56">
        <f>(31*0.1790888*145000/1000000)+(31*0.2374*100000/1000000)</f>
        <v>1.5409441560000001</v>
      </c>
      <c r="Y223" s="56"/>
      <c r="Z223" s="17"/>
      <c r="AA223" s="55"/>
      <c r="AB223" s="48">
        <f>(B223*194.205+C223*267.466+D223*133.845+E223*153.484+F223*40+G223*85+H223*0+I223*100+J223*300)/(194.205+267.466+133.845+153.484+0+40+85+100+300)</f>
        <v>10.732059236970173</v>
      </c>
      <c r="AC223" s="45">
        <f>(M223*'RAP TEMPLATE-GAS AVAILABILITY'!O222+N223*'RAP TEMPLATE-GAS AVAILABILITY'!P222+O223*'RAP TEMPLATE-GAS AVAILABILITY'!Q222+P223*'RAP TEMPLATE-GAS AVAILABILITY'!R222)/('RAP TEMPLATE-GAS AVAILABILITY'!O222+'RAP TEMPLATE-GAS AVAILABILITY'!P222+'RAP TEMPLATE-GAS AVAILABILITY'!Q222+'RAP TEMPLATE-GAS AVAILABILITY'!R222)</f>
        <v>10.663547482014389</v>
      </c>
    </row>
    <row r="224" spans="1:29" ht="15.75" x14ac:dyDescent="0.25">
      <c r="A224" s="16">
        <v>47331</v>
      </c>
      <c r="B224" s="17">
        <f>CHOOSE(CONTROL!$C$42, 10.1539, 10.1539) * CHOOSE(CONTROL!$C$21, $C$9, 100%, $E$9)</f>
        <v>10.1539</v>
      </c>
      <c r="C224" s="17">
        <f>CHOOSE(CONTROL!$C$42, 10.1618, 10.1618) * CHOOSE(CONTROL!$C$21, $C$9, 100%, $E$9)</f>
        <v>10.161799999999999</v>
      </c>
      <c r="D224" s="17">
        <f>CHOOSE(CONTROL!$C$42, 10.4218, 10.4218) * CHOOSE(CONTROL!$C$21, $C$9, 100%, $E$9)</f>
        <v>10.421799999999999</v>
      </c>
      <c r="E224" s="17">
        <f>CHOOSE(CONTROL!$C$42, 10.453, 10.453) * CHOOSE(CONTROL!$C$21, $C$9, 100%, $E$9)</f>
        <v>10.452999999999999</v>
      </c>
      <c r="F224" s="17">
        <f>CHOOSE(CONTROL!$C$42, 10.1645, 10.1645)*CHOOSE(CONTROL!$C$21, $C$9, 100%, $E$9)</f>
        <v>10.1645</v>
      </c>
      <c r="G224" s="17">
        <f>CHOOSE(CONTROL!$C$42, 10.1812, 10.1812)*CHOOSE(CONTROL!$C$21, $C$9, 100%, $E$9)</f>
        <v>10.1812</v>
      </c>
      <c r="H224" s="17">
        <f>CHOOSE(CONTROL!$C$42, 10.4413, 10.4413) * CHOOSE(CONTROL!$C$21, $C$9, 100%, $E$9)</f>
        <v>10.4413</v>
      </c>
      <c r="I224" s="17">
        <f>CHOOSE(CONTROL!$C$42, 10.2092, 10.2092)* CHOOSE(CONTROL!$C$21, $C$9, 100%, $E$9)</f>
        <v>10.209199999999999</v>
      </c>
      <c r="J224" s="17">
        <f>CHOOSE(CONTROL!$C$42, 10.1571, 10.1571)* CHOOSE(CONTROL!$C$21, $C$9, 100%, $E$9)</f>
        <v>10.1571</v>
      </c>
      <c r="K224" s="52">
        <f>CHOOSE(CONTROL!$C$42, 10.2032, 10.2032) * CHOOSE(CONTROL!$C$21, $C$9, 100%, $E$9)</f>
        <v>10.203200000000001</v>
      </c>
      <c r="L224" s="17">
        <f>CHOOSE(CONTROL!$C$42, 11.0283, 11.0283) * CHOOSE(CONTROL!$C$21, $C$9, 100%, $E$9)</f>
        <v>11.0283</v>
      </c>
      <c r="M224" s="17">
        <f>CHOOSE(CONTROL!$C$42, 10.0727, 10.0727) * CHOOSE(CONTROL!$C$21, $C$9, 100%, $E$9)</f>
        <v>10.072699999999999</v>
      </c>
      <c r="N224" s="17">
        <f>CHOOSE(CONTROL!$C$42, 10.0893, 10.0893) * CHOOSE(CONTROL!$C$21, $C$9, 100%, $E$9)</f>
        <v>10.0893</v>
      </c>
      <c r="O224" s="17">
        <f>CHOOSE(CONTROL!$C$42, 10.3544, 10.3544) * CHOOSE(CONTROL!$C$21, $C$9, 100%, $E$9)</f>
        <v>10.3544</v>
      </c>
      <c r="P224" s="17">
        <f>CHOOSE(CONTROL!$C$42, 10.1242, 10.1242) * CHOOSE(CONTROL!$C$21, $C$9, 100%, $E$9)</f>
        <v>10.1242</v>
      </c>
      <c r="Q224" s="17">
        <f>CHOOSE(CONTROL!$C$42, 10.9491, 10.9491) * CHOOSE(CONTROL!$C$21, $C$9, 100%, $E$9)</f>
        <v>10.9491</v>
      </c>
      <c r="R224" s="17">
        <f>CHOOSE(CONTROL!$C$42, 11.5635, 11.5635) * CHOOSE(CONTROL!$C$21, $C$9, 100%, $E$9)</f>
        <v>11.563499999999999</v>
      </c>
      <c r="S224" s="17">
        <f>CHOOSE(CONTROL!$C$42, 9.8346, 9.8346) * CHOOSE(CONTROL!$C$21, $C$9, 100%, $E$9)</f>
        <v>9.8346</v>
      </c>
      <c r="T224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224" s="56">
        <f>(1000*CHOOSE(CONTROL!$C$42, 695, 695)*CHOOSE(CONTROL!$C$42, 0.5599, 0.5599)*CHOOSE(CONTROL!$C$42, 31, 31))/1000000</f>
        <v>12.063045499999998</v>
      </c>
      <c r="V224" s="56">
        <f>(1000*CHOOSE(CONTROL!$C$42, 500, 500)*CHOOSE(CONTROL!$C$42, 0.275, 0.275)*CHOOSE(CONTROL!$C$42, 31, 31))/1000000</f>
        <v>4.2625000000000002</v>
      </c>
      <c r="W224" s="56">
        <f>(1000*CHOOSE(CONTROL!$C$42, 0.0916, 0.0916)*CHOOSE(CONTROL!$C$42, 121.5, 121.5)*CHOOSE(CONTROL!$C$42, 31, 31))/1000000</f>
        <v>0.34501139999999997</v>
      </c>
      <c r="X224" s="56">
        <f>(31*0.1790888*145000/1000000)+(31*0.2374*100000/1000000)</f>
        <v>1.5409441560000001</v>
      </c>
      <c r="Y224" s="56"/>
      <c r="Z224" s="17"/>
      <c r="AA224" s="55"/>
      <c r="AB224" s="48">
        <f>(B224*194.205+C224*267.466+D224*133.845+E224*153.484+F224*40+G224*85+H224*0+I224*100+J224*300)/(194.205+267.466+133.845+153.484+0+40+85+100+300)</f>
        <v>10.226986044976453</v>
      </c>
      <c r="AC224" s="45">
        <f>(M224*'RAP TEMPLATE-GAS AVAILABILITY'!O223+N224*'RAP TEMPLATE-GAS AVAILABILITY'!P223+O224*'RAP TEMPLATE-GAS AVAILABILITY'!Q223+P224*'RAP TEMPLATE-GAS AVAILABILITY'!R223)/('RAP TEMPLATE-GAS AVAILABILITY'!O223+'RAP TEMPLATE-GAS AVAILABILITY'!P223+'RAP TEMPLATE-GAS AVAILABILITY'!Q223+'RAP TEMPLATE-GAS AVAILABILITY'!R223)</f>
        <v>10.162969784172661</v>
      </c>
    </row>
    <row r="225" spans="1:29" ht="15.75" x14ac:dyDescent="0.25">
      <c r="A225" s="16">
        <v>47362</v>
      </c>
      <c r="B225" s="17">
        <f>CHOOSE(CONTROL!$C$42, 9.5293, 9.5293) * CHOOSE(CONTROL!$C$21, $C$9, 100%, $E$9)</f>
        <v>9.5292999999999992</v>
      </c>
      <c r="C225" s="17">
        <f>CHOOSE(CONTROL!$C$42, 9.5373, 9.5373) * CHOOSE(CONTROL!$C$21, $C$9, 100%, $E$9)</f>
        <v>9.5373000000000001</v>
      </c>
      <c r="D225" s="17">
        <f>CHOOSE(CONTROL!$C$42, 9.7972, 9.7972) * CHOOSE(CONTROL!$C$21, $C$9, 100%, $E$9)</f>
        <v>9.7972000000000001</v>
      </c>
      <c r="E225" s="17">
        <f>CHOOSE(CONTROL!$C$42, 9.8284, 9.8284) * CHOOSE(CONTROL!$C$21, $C$9, 100%, $E$9)</f>
        <v>9.8284000000000002</v>
      </c>
      <c r="F225" s="17">
        <f>CHOOSE(CONTROL!$C$42, 9.54, 9.54)*CHOOSE(CONTROL!$C$21, $C$9, 100%, $E$9)</f>
        <v>9.5399999999999991</v>
      </c>
      <c r="G225" s="17">
        <f>CHOOSE(CONTROL!$C$42, 9.5567, 9.5567)*CHOOSE(CONTROL!$C$21, $C$9, 100%, $E$9)</f>
        <v>9.5566999999999993</v>
      </c>
      <c r="H225" s="17">
        <f>CHOOSE(CONTROL!$C$42, 9.8167, 9.8167) * CHOOSE(CONTROL!$C$21, $C$9, 100%, $E$9)</f>
        <v>9.8167000000000009</v>
      </c>
      <c r="I225" s="17">
        <f>CHOOSE(CONTROL!$C$42, 9.5827, 9.5827)* CHOOSE(CONTROL!$C$21, $C$9, 100%, $E$9)</f>
        <v>9.5827000000000009</v>
      </c>
      <c r="J225" s="17">
        <f>CHOOSE(CONTROL!$C$42, 9.5326, 9.5326)* CHOOSE(CONTROL!$C$21, $C$9, 100%, $E$9)</f>
        <v>9.5326000000000004</v>
      </c>
      <c r="K225" s="52">
        <f>CHOOSE(CONTROL!$C$42, 9.5767, 9.5767) * CHOOSE(CONTROL!$C$21, $C$9, 100%, $E$9)</f>
        <v>9.5767000000000007</v>
      </c>
      <c r="L225" s="17">
        <f>CHOOSE(CONTROL!$C$42, 10.4037, 10.4037) * CHOOSE(CONTROL!$C$21, $C$9, 100%, $E$9)</f>
        <v>10.403700000000001</v>
      </c>
      <c r="M225" s="17">
        <f>CHOOSE(CONTROL!$C$42, 9.4538, 9.4538) * CHOOSE(CONTROL!$C$21, $C$9, 100%, $E$9)</f>
        <v>9.4537999999999993</v>
      </c>
      <c r="N225" s="17">
        <f>CHOOSE(CONTROL!$C$42, 9.4704, 9.4704) * CHOOSE(CONTROL!$C$21, $C$9, 100%, $E$9)</f>
        <v>9.4703999999999997</v>
      </c>
      <c r="O225" s="17">
        <f>CHOOSE(CONTROL!$C$42, 9.7355, 9.7355) * CHOOSE(CONTROL!$C$21, $C$9, 100%, $E$9)</f>
        <v>9.7355</v>
      </c>
      <c r="P225" s="17">
        <f>CHOOSE(CONTROL!$C$42, 9.5033, 9.5033) * CHOOSE(CONTROL!$C$21, $C$9, 100%, $E$9)</f>
        <v>9.5032999999999994</v>
      </c>
      <c r="Q225" s="17">
        <f>CHOOSE(CONTROL!$C$42, 10.3302, 10.3302) * CHOOSE(CONTROL!$C$21, $C$9, 100%, $E$9)</f>
        <v>10.3302</v>
      </c>
      <c r="R225" s="17">
        <f>CHOOSE(CONTROL!$C$42, 10.943, 10.943) * CHOOSE(CONTROL!$C$21, $C$9, 100%, $E$9)</f>
        <v>10.943</v>
      </c>
      <c r="S225" s="17">
        <f>CHOOSE(CONTROL!$C$42, 9.229, 9.229) * CHOOSE(CONTROL!$C$21, $C$9, 100%, $E$9)</f>
        <v>9.2289999999999992</v>
      </c>
      <c r="T225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225" s="56">
        <f>(1000*CHOOSE(CONTROL!$C$42, 695, 695)*CHOOSE(CONTROL!$C$42, 0.5599, 0.5599)*CHOOSE(CONTROL!$C$42, 30, 30))/1000000</f>
        <v>11.673914999999997</v>
      </c>
      <c r="V225" s="56">
        <f>(1000*CHOOSE(CONTROL!$C$42, 500, 500)*CHOOSE(CONTROL!$C$42, 0.275, 0.275)*CHOOSE(CONTROL!$C$42, 30, 30))/1000000</f>
        <v>4.125</v>
      </c>
      <c r="W225" s="56">
        <f>(1000*CHOOSE(CONTROL!$C$42, 0.0916, 0.0916)*CHOOSE(CONTROL!$C$42, 121.5, 121.5)*CHOOSE(CONTROL!$C$42, 30, 30))/1000000</f>
        <v>0.33388200000000001</v>
      </c>
      <c r="X225" s="56">
        <f>(30*0.1790888*145000/1000000)+(30*0.2374*100000/1000000)</f>
        <v>1.4912362799999999</v>
      </c>
      <c r="Y225" s="56"/>
      <c r="Z225" s="17"/>
      <c r="AA225" s="55"/>
      <c r="AB225" s="48">
        <f>(B225*194.205+C225*267.466+D225*133.845+E225*153.484+F225*40+G225*85+H225*0+I225*100+J225*300)/(194.205+267.466+133.845+153.484+0+40+85+100+300)</f>
        <v>9.6022912620879133</v>
      </c>
      <c r="AC225" s="45">
        <f>(M225*'RAP TEMPLATE-GAS AVAILABILITY'!O224+N225*'RAP TEMPLATE-GAS AVAILABILITY'!P224+O225*'RAP TEMPLATE-GAS AVAILABILITY'!Q224+P225*'RAP TEMPLATE-GAS AVAILABILITY'!R224)/('RAP TEMPLATE-GAS AVAILABILITY'!O224+'RAP TEMPLATE-GAS AVAILABILITY'!P224+'RAP TEMPLATE-GAS AVAILABILITY'!Q224+'RAP TEMPLATE-GAS AVAILABILITY'!R224)</f>
        <v>9.5437820143884871</v>
      </c>
    </row>
    <row r="226" spans="1:29" ht="15.75" x14ac:dyDescent="0.25">
      <c r="A226" s="16">
        <v>47392</v>
      </c>
      <c r="B226" s="17">
        <f>CHOOSE(CONTROL!$C$42, 9.3536, 9.3536) * CHOOSE(CONTROL!$C$21, $C$9, 100%, $E$9)</f>
        <v>9.3536000000000001</v>
      </c>
      <c r="C226" s="17">
        <f>CHOOSE(CONTROL!$C$42, 9.3589, 9.3589) * CHOOSE(CONTROL!$C$21, $C$9, 100%, $E$9)</f>
        <v>9.3589000000000002</v>
      </c>
      <c r="D226" s="17">
        <f>CHOOSE(CONTROL!$C$42, 9.6237, 9.6237) * CHOOSE(CONTROL!$C$21, $C$9, 100%, $E$9)</f>
        <v>9.6236999999999995</v>
      </c>
      <c r="E226" s="17">
        <f>CHOOSE(CONTROL!$C$42, 9.6526, 9.6526) * CHOOSE(CONTROL!$C$21, $C$9, 100%, $E$9)</f>
        <v>9.6525999999999996</v>
      </c>
      <c r="F226" s="17">
        <f>CHOOSE(CONTROL!$C$42, 9.3664, 9.3664)*CHOOSE(CONTROL!$C$21, $C$9, 100%, $E$9)</f>
        <v>9.3664000000000005</v>
      </c>
      <c r="G226" s="17">
        <f>CHOOSE(CONTROL!$C$42, 9.383, 9.383)*CHOOSE(CONTROL!$C$21, $C$9, 100%, $E$9)</f>
        <v>9.3829999999999991</v>
      </c>
      <c r="H226" s="17">
        <f>CHOOSE(CONTROL!$C$42, 9.6427, 9.6427) * CHOOSE(CONTROL!$C$21, $C$9, 100%, $E$9)</f>
        <v>9.6426999999999996</v>
      </c>
      <c r="I226" s="17">
        <f>CHOOSE(CONTROL!$C$42, 9.4082, 9.4082)* CHOOSE(CONTROL!$C$21, $C$9, 100%, $E$9)</f>
        <v>9.4082000000000008</v>
      </c>
      <c r="J226" s="17">
        <f>CHOOSE(CONTROL!$C$42, 9.359, 9.359)* CHOOSE(CONTROL!$C$21, $C$9, 100%, $E$9)</f>
        <v>9.359</v>
      </c>
      <c r="K226" s="52">
        <f>CHOOSE(CONTROL!$C$42, 9.4021, 9.4021) * CHOOSE(CONTROL!$C$21, $C$9, 100%, $E$9)</f>
        <v>9.4021000000000008</v>
      </c>
      <c r="L226" s="17">
        <f>CHOOSE(CONTROL!$C$42, 10.2297, 10.2297) * CHOOSE(CONTROL!$C$21, $C$9, 100%, $E$9)</f>
        <v>10.229699999999999</v>
      </c>
      <c r="M226" s="17">
        <f>CHOOSE(CONTROL!$C$42, 9.2819, 9.2819) * CHOOSE(CONTROL!$C$21, $C$9, 100%, $E$9)</f>
        <v>9.2819000000000003</v>
      </c>
      <c r="N226" s="17">
        <f>CHOOSE(CONTROL!$C$42, 9.2983, 9.2983) * CHOOSE(CONTROL!$C$21, $C$9, 100%, $E$9)</f>
        <v>9.2982999999999993</v>
      </c>
      <c r="O226" s="17">
        <f>CHOOSE(CONTROL!$C$42, 9.563, 9.563) * CHOOSE(CONTROL!$C$21, $C$9, 100%, $E$9)</f>
        <v>9.5630000000000006</v>
      </c>
      <c r="P226" s="17">
        <f>CHOOSE(CONTROL!$C$42, 9.3304, 9.3304) * CHOOSE(CONTROL!$C$21, $C$9, 100%, $E$9)</f>
        <v>9.3303999999999991</v>
      </c>
      <c r="Q226" s="17">
        <f>CHOOSE(CONTROL!$C$42, 10.1577, 10.1577) * CHOOSE(CONTROL!$C$21, $C$9, 100%, $E$9)</f>
        <v>10.1577</v>
      </c>
      <c r="R226" s="17">
        <f>CHOOSE(CONTROL!$C$42, 10.7701, 10.7701) * CHOOSE(CONTROL!$C$21, $C$9, 100%, $E$9)</f>
        <v>10.770099999999999</v>
      </c>
      <c r="S226" s="17">
        <f>CHOOSE(CONTROL!$C$42, 9.0603, 9.0603) * CHOOSE(CONTROL!$C$21, $C$9, 100%, $E$9)</f>
        <v>9.0602999999999998</v>
      </c>
      <c r="T226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226" s="56">
        <f>(1000*CHOOSE(CONTROL!$C$42, 695, 695)*CHOOSE(CONTROL!$C$42, 0.5599, 0.5599)*CHOOSE(CONTROL!$C$42, 31, 31))/1000000</f>
        <v>12.063045499999998</v>
      </c>
      <c r="V226" s="56">
        <f>(1000*CHOOSE(CONTROL!$C$42, 500, 500)*CHOOSE(CONTROL!$C$42, 0.275, 0.275)*CHOOSE(CONTROL!$C$42, 31, 31))/1000000</f>
        <v>4.2625000000000002</v>
      </c>
      <c r="W226" s="56">
        <f>(1000*CHOOSE(CONTROL!$C$42, 0.0916, 0.0916)*CHOOSE(CONTROL!$C$42, 121.5, 121.5)*CHOOSE(CONTROL!$C$42, 31, 31))/1000000</f>
        <v>0.34501139999999997</v>
      </c>
      <c r="X226" s="56">
        <f>(31*0.1790888*145000/1000000)+(31*0.2374*100000/1000000)</f>
        <v>1.5409441560000001</v>
      </c>
      <c r="Y226" s="56"/>
      <c r="Z226" s="17"/>
      <c r="AA226" s="55"/>
      <c r="AB226" s="48">
        <f>(B226*131.881+C226*277.167+D226*79.08+E226*225.872+F226*40+G226*85+H226*0+I226*100+J226*300)/(131.881+277.167+79.08+225.872+0+40+85+100+300)</f>
        <v>9.4346776602905553</v>
      </c>
      <c r="AC226" s="45">
        <f>(M226*'RAP TEMPLATE-GAS AVAILABILITY'!O225+N226*'RAP TEMPLATE-GAS AVAILABILITY'!P225+O226*'RAP TEMPLATE-GAS AVAILABILITY'!Q225+P226*'RAP TEMPLATE-GAS AVAILABILITY'!R225)/('RAP TEMPLATE-GAS AVAILABILITY'!O225+'RAP TEMPLATE-GAS AVAILABILITY'!P225+'RAP TEMPLATE-GAS AVAILABILITY'!Q225+'RAP TEMPLATE-GAS AVAILABILITY'!R225)</f>
        <v>9.3715237410071932</v>
      </c>
    </row>
    <row r="227" spans="1:29" ht="15.75" x14ac:dyDescent="0.25">
      <c r="A227" s="16">
        <v>47423</v>
      </c>
      <c r="B227" s="17">
        <f>CHOOSE(CONTROL!$C$42, 9.6191, 9.6191) * CHOOSE(CONTROL!$C$21, $C$9, 100%, $E$9)</f>
        <v>9.6190999999999995</v>
      </c>
      <c r="C227" s="17">
        <f>CHOOSE(CONTROL!$C$42, 9.6241, 9.6241) * CHOOSE(CONTROL!$C$21, $C$9, 100%, $E$9)</f>
        <v>9.6241000000000003</v>
      </c>
      <c r="D227" s="17">
        <f>CHOOSE(CONTROL!$C$42, 9.7648, 9.7648) * CHOOSE(CONTROL!$C$21, $C$9, 100%, $E$9)</f>
        <v>9.7647999999999993</v>
      </c>
      <c r="E227" s="17">
        <f>CHOOSE(CONTROL!$C$42, 9.7986, 9.7986) * CHOOSE(CONTROL!$C$21, $C$9, 100%, $E$9)</f>
        <v>9.7986000000000004</v>
      </c>
      <c r="F227" s="17">
        <f>CHOOSE(CONTROL!$C$42, 9.6323, 9.6323)*CHOOSE(CONTROL!$C$21, $C$9, 100%, $E$9)</f>
        <v>9.6323000000000008</v>
      </c>
      <c r="G227" s="17">
        <f>CHOOSE(CONTROL!$C$42, 9.6492, 9.6492)*CHOOSE(CONTROL!$C$21, $C$9, 100%, $E$9)</f>
        <v>9.6492000000000004</v>
      </c>
      <c r="H227" s="17">
        <f>CHOOSE(CONTROL!$C$42, 9.7874, 9.7874) * CHOOSE(CONTROL!$C$21, $C$9, 100%, $E$9)</f>
        <v>9.7873999999999999</v>
      </c>
      <c r="I227" s="17">
        <f>CHOOSE(CONTROL!$C$42, 9.6713, 9.6713)* CHOOSE(CONTROL!$C$21, $C$9, 100%, $E$9)</f>
        <v>9.6713000000000005</v>
      </c>
      <c r="J227" s="17">
        <f>CHOOSE(CONTROL!$C$42, 9.6249, 9.6249)* CHOOSE(CONTROL!$C$21, $C$9, 100%, $E$9)</f>
        <v>9.6249000000000002</v>
      </c>
      <c r="K227" s="52">
        <f>CHOOSE(CONTROL!$C$42, 9.6652, 9.6652) * CHOOSE(CONTROL!$C$21, $C$9, 100%, $E$9)</f>
        <v>9.6652000000000005</v>
      </c>
      <c r="L227" s="17">
        <f>CHOOSE(CONTROL!$C$42, 10.3744, 10.3744) * CHOOSE(CONTROL!$C$21, $C$9, 100%, $E$9)</f>
        <v>10.3744</v>
      </c>
      <c r="M227" s="17">
        <f>CHOOSE(CONTROL!$C$42, 9.5454, 9.5454) * CHOOSE(CONTROL!$C$21, $C$9, 100%, $E$9)</f>
        <v>9.5454000000000008</v>
      </c>
      <c r="N227" s="17">
        <f>CHOOSE(CONTROL!$C$42, 9.5621, 9.5621) * CHOOSE(CONTROL!$C$21, $C$9, 100%, $E$9)</f>
        <v>9.5620999999999992</v>
      </c>
      <c r="O227" s="17">
        <f>CHOOSE(CONTROL!$C$42, 9.7064, 9.7064) * CHOOSE(CONTROL!$C$21, $C$9, 100%, $E$9)</f>
        <v>9.7064000000000004</v>
      </c>
      <c r="P227" s="17">
        <f>CHOOSE(CONTROL!$C$42, 9.5911, 9.5911) * CHOOSE(CONTROL!$C$21, $C$9, 100%, $E$9)</f>
        <v>9.5911000000000008</v>
      </c>
      <c r="Q227" s="17">
        <f>CHOOSE(CONTROL!$C$42, 10.3011, 10.3011) * CHOOSE(CONTROL!$C$21, $C$9, 100%, $E$9)</f>
        <v>10.3011</v>
      </c>
      <c r="R227" s="17">
        <f>CHOOSE(CONTROL!$C$42, 10.9139, 10.9139) * CHOOSE(CONTROL!$C$21, $C$9, 100%, $E$9)</f>
        <v>10.9139</v>
      </c>
      <c r="S227" s="17">
        <f>CHOOSE(CONTROL!$C$42, 9.3181, 9.3181) * CHOOSE(CONTROL!$C$21, $C$9, 100%, $E$9)</f>
        <v>9.3180999999999994</v>
      </c>
      <c r="T227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227" s="56">
        <f>(1000*CHOOSE(CONTROL!$C$42, 695, 695)*CHOOSE(CONTROL!$C$42, 0.5599, 0.5599)*CHOOSE(CONTROL!$C$42, 30, 30))/1000000</f>
        <v>11.673914999999997</v>
      </c>
      <c r="V227" s="56">
        <f>(1000*CHOOSE(CONTROL!$C$42, 500, 500)*CHOOSE(CONTROL!$C$42, 0.275, 0.275)*CHOOSE(CONTROL!$C$42, 30, 30))/1000000</f>
        <v>4.125</v>
      </c>
      <c r="W227" s="56">
        <f>(1000*CHOOSE(CONTROL!$C$42, 0.0916, 0.0916)*CHOOSE(CONTROL!$C$42, 121.5, 121.5)*CHOOSE(CONTROL!$C$42, 30, 30))/1000000</f>
        <v>0.33388200000000001</v>
      </c>
      <c r="X227" s="56">
        <f>(30*0.2374*100000/1000000)</f>
        <v>0.71220000000000006</v>
      </c>
      <c r="Y227" s="56"/>
      <c r="Z227" s="17"/>
      <c r="AA227" s="55"/>
      <c r="AB227" s="48">
        <f>(B227*122.58+C227*297.941+D227*89.177+E227*140.302+F227*40+G227*60+H227*0+I227*100+J227*300)/(122.58+297.941+89.177+140.302+0+40+60+100+300)</f>
        <v>9.661674785130435</v>
      </c>
      <c r="AC227" s="45">
        <f>(M227*'RAP TEMPLATE-GAS AVAILABILITY'!O226+N227*'RAP TEMPLATE-GAS AVAILABILITY'!P226+O227*'RAP TEMPLATE-GAS AVAILABILITY'!Q226+P227*'RAP TEMPLATE-GAS AVAILABILITY'!R226)/('RAP TEMPLATE-GAS AVAILABILITY'!O226+'RAP TEMPLATE-GAS AVAILABILITY'!P226+'RAP TEMPLATE-GAS AVAILABILITY'!Q226+'RAP TEMPLATE-GAS AVAILABILITY'!R226)</f>
        <v>9.6259079136690673</v>
      </c>
    </row>
    <row r="228" spans="1:29" ht="15.75" x14ac:dyDescent="0.25">
      <c r="A228" s="16">
        <v>47453</v>
      </c>
      <c r="B228" s="17">
        <f>CHOOSE(CONTROL!$C$42, 10.2953, 10.2953) * CHOOSE(CONTROL!$C$21, $C$9, 100%, $E$9)</f>
        <v>10.295299999999999</v>
      </c>
      <c r="C228" s="17">
        <f>CHOOSE(CONTROL!$C$42, 10.3004, 10.3004) * CHOOSE(CONTROL!$C$21, $C$9, 100%, $E$9)</f>
        <v>10.3004</v>
      </c>
      <c r="D228" s="17">
        <f>CHOOSE(CONTROL!$C$42, 10.441, 10.441) * CHOOSE(CONTROL!$C$21, $C$9, 100%, $E$9)</f>
        <v>10.441000000000001</v>
      </c>
      <c r="E228" s="17">
        <f>CHOOSE(CONTROL!$C$42, 10.4748, 10.4748) * CHOOSE(CONTROL!$C$21, $C$9, 100%, $E$9)</f>
        <v>10.4748</v>
      </c>
      <c r="F228" s="17">
        <f>CHOOSE(CONTROL!$C$42, 10.311, 10.311)*CHOOSE(CONTROL!$C$21, $C$9, 100%, $E$9)</f>
        <v>10.311</v>
      </c>
      <c r="G228" s="17">
        <f>CHOOSE(CONTROL!$C$42, 10.3285, 10.3285)*CHOOSE(CONTROL!$C$21, $C$9, 100%, $E$9)</f>
        <v>10.3285</v>
      </c>
      <c r="H228" s="17">
        <f>CHOOSE(CONTROL!$C$42, 10.4637, 10.4637) * CHOOSE(CONTROL!$C$21, $C$9, 100%, $E$9)</f>
        <v>10.463699999999999</v>
      </c>
      <c r="I228" s="17">
        <f>CHOOSE(CONTROL!$C$42, 10.3496, 10.3496)* CHOOSE(CONTROL!$C$21, $C$9, 100%, $E$9)</f>
        <v>10.349600000000001</v>
      </c>
      <c r="J228" s="17">
        <f>CHOOSE(CONTROL!$C$42, 10.3036, 10.3036)* CHOOSE(CONTROL!$C$21, $C$9, 100%, $E$9)</f>
        <v>10.303599999999999</v>
      </c>
      <c r="K228" s="52">
        <f>CHOOSE(CONTROL!$C$42, 10.3436, 10.3436) * CHOOSE(CONTROL!$C$21, $C$9, 100%, $E$9)</f>
        <v>10.3436</v>
      </c>
      <c r="L228" s="17">
        <f>CHOOSE(CONTROL!$C$42, 11.0507, 11.0507) * CHOOSE(CONTROL!$C$21, $C$9, 100%, $E$9)</f>
        <v>11.050700000000001</v>
      </c>
      <c r="M228" s="17">
        <f>CHOOSE(CONTROL!$C$42, 10.2179, 10.2179) * CHOOSE(CONTROL!$C$21, $C$9, 100%, $E$9)</f>
        <v>10.2179</v>
      </c>
      <c r="N228" s="17">
        <f>CHOOSE(CONTROL!$C$42, 10.2353, 10.2353) * CHOOSE(CONTROL!$C$21, $C$9, 100%, $E$9)</f>
        <v>10.235300000000001</v>
      </c>
      <c r="O228" s="17">
        <f>CHOOSE(CONTROL!$C$42, 10.3766, 10.3766) * CHOOSE(CONTROL!$C$21, $C$9, 100%, $E$9)</f>
        <v>10.3766</v>
      </c>
      <c r="P228" s="17">
        <f>CHOOSE(CONTROL!$C$42, 10.2633, 10.2633) * CHOOSE(CONTROL!$C$21, $C$9, 100%, $E$9)</f>
        <v>10.263299999999999</v>
      </c>
      <c r="Q228" s="17">
        <f>CHOOSE(CONTROL!$C$42, 10.9713, 10.9713) * CHOOSE(CONTROL!$C$21, $C$9, 100%, $E$9)</f>
        <v>10.971299999999999</v>
      </c>
      <c r="R228" s="17">
        <f>CHOOSE(CONTROL!$C$42, 11.5857, 11.5857) * CHOOSE(CONTROL!$C$21, $C$9, 100%, $E$9)</f>
        <v>11.585699999999999</v>
      </c>
      <c r="S228" s="17">
        <f>CHOOSE(CONTROL!$C$42, 9.9738, 9.9738) * CHOOSE(CONTROL!$C$21, $C$9, 100%, $E$9)</f>
        <v>9.9738000000000007</v>
      </c>
      <c r="T228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228" s="56">
        <f>(1000*CHOOSE(CONTROL!$C$42, 695, 695)*CHOOSE(CONTROL!$C$42, 0.5599, 0.5599)*CHOOSE(CONTROL!$C$42, 31, 31))/1000000</f>
        <v>12.063045499999998</v>
      </c>
      <c r="V228" s="56">
        <f>(1000*CHOOSE(CONTROL!$C$42, 500, 500)*CHOOSE(CONTROL!$C$42, 0.275, 0.275)*CHOOSE(CONTROL!$C$42, 31, 31))/1000000</f>
        <v>4.2625000000000002</v>
      </c>
      <c r="W228" s="56">
        <f>(1000*CHOOSE(CONTROL!$C$42, 0.0916, 0.0916)*CHOOSE(CONTROL!$C$42, 121.5, 121.5)*CHOOSE(CONTROL!$C$42, 31, 31))/1000000</f>
        <v>0.34501139999999997</v>
      </c>
      <c r="X228" s="56">
        <f>(31*0.2374*100000/1000000)</f>
        <v>0.73594000000000004</v>
      </c>
      <c r="Y228" s="56"/>
      <c r="Z228" s="17"/>
      <c r="AA228" s="55"/>
      <c r="AB228" s="48">
        <f>(B228*122.58+C228*297.941+D228*89.177+E228*140.302+F228*40+G228*60+H228*0+I228*100+J228*300)/(122.58+297.941+89.177+140.302+0+40+60+100+300)</f>
        <v>10.338984171304347</v>
      </c>
      <c r="AC228" s="45">
        <f>(M228*'RAP TEMPLATE-GAS AVAILABILITY'!O227+N228*'RAP TEMPLATE-GAS AVAILABILITY'!P227+O228*'RAP TEMPLATE-GAS AVAILABILITY'!Q227+P228*'RAP TEMPLATE-GAS AVAILABILITY'!R227)/('RAP TEMPLATE-GAS AVAILABILITY'!O227+'RAP TEMPLATE-GAS AVAILABILITY'!P227+'RAP TEMPLATE-GAS AVAILABILITY'!Q227+'RAP TEMPLATE-GAS AVAILABILITY'!R227)</f>
        <v>10.297362589928058</v>
      </c>
    </row>
    <row r="229" spans="1:29" ht="15.75" x14ac:dyDescent="0.25">
      <c r="A229" s="16">
        <v>47484</v>
      </c>
      <c r="B229" s="17">
        <f>CHOOSE(CONTROL!$C$42, 10.8229, 10.8229) * CHOOSE(CONTROL!$C$21, $C$9, 100%, $E$9)</f>
        <v>10.822900000000001</v>
      </c>
      <c r="C229" s="17">
        <f>CHOOSE(CONTROL!$C$42, 10.828, 10.828) * CHOOSE(CONTROL!$C$21, $C$9, 100%, $E$9)</f>
        <v>10.827999999999999</v>
      </c>
      <c r="D229" s="17">
        <f>CHOOSE(CONTROL!$C$42, 10.962, 10.962) * CHOOSE(CONTROL!$C$21, $C$9, 100%, $E$9)</f>
        <v>10.962</v>
      </c>
      <c r="E229" s="17">
        <f>CHOOSE(CONTROL!$C$42, 10.9957, 10.9957) * CHOOSE(CONTROL!$C$21, $C$9, 100%, $E$9)</f>
        <v>10.995699999999999</v>
      </c>
      <c r="F229" s="17">
        <f>CHOOSE(CONTROL!$C$42, 10.8364, 10.8364)*CHOOSE(CONTROL!$C$21, $C$9, 100%, $E$9)</f>
        <v>10.836399999999999</v>
      </c>
      <c r="G229" s="17">
        <f>CHOOSE(CONTROL!$C$42, 10.8533, 10.8533)*CHOOSE(CONTROL!$C$21, $C$9, 100%, $E$9)</f>
        <v>10.853300000000001</v>
      </c>
      <c r="H229" s="17">
        <f>CHOOSE(CONTROL!$C$42, 10.9846, 10.9846) * CHOOSE(CONTROL!$C$21, $C$9, 100%, $E$9)</f>
        <v>10.9846</v>
      </c>
      <c r="I229" s="17">
        <f>CHOOSE(CONTROL!$C$42, 10.883, 10.883)* CHOOSE(CONTROL!$C$21, $C$9, 100%, $E$9)</f>
        <v>10.882999999999999</v>
      </c>
      <c r="J229" s="17">
        <f>CHOOSE(CONTROL!$C$42, 10.829, 10.829)* CHOOSE(CONTROL!$C$21, $C$9, 100%, $E$9)</f>
        <v>10.829000000000001</v>
      </c>
      <c r="K229" s="52">
        <f>CHOOSE(CONTROL!$C$42, 10.877, 10.877) * CHOOSE(CONTROL!$C$21, $C$9, 100%, $E$9)</f>
        <v>10.877000000000001</v>
      </c>
      <c r="L229" s="17">
        <f>CHOOSE(CONTROL!$C$42, 11.5716, 11.5716) * CHOOSE(CONTROL!$C$21, $C$9, 100%, $E$9)</f>
        <v>11.5716</v>
      </c>
      <c r="M229" s="17">
        <f>CHOOSE(CONTROL!$C$42, 10.7386, 10.7386) * CHOOSE(CONTROL!$C$21, $C$9, 100%, $E$9)</f>
        <v>10.7386</v>
      </c>
      <c r="N229" s="17">
        <f>CHOOSE(CONTROL!$C$42, 10.7553, 10.7553) * CHOOSE(CONTROL!$C$21, $C$9, 100%, $E$9)</f>
        <v>10.7553</v>
      </c>
      <c r="O229" s="17">
        <f>CHOOSE(CONTROL!$C$42, 10.8928, 10.8928) * CHOOSE(CONTROL!$C$21, $C$9, 100%, $E$9)</f>
        <v>10.892799999999999</v>
      </c>
      <c r="P229" s="17">
        <f>CHOOSE(CONTROL!$C$42, 10.7919, 10.7919) * CHOOSE(CONTROL!$C$21, $C$9, 100%, $E$9)</f>
        <v>10.7919</v>
      </c>
      <c r="Q229" s="17">
        <f>CHOOSE(CONTROL!$C$42, 11.4875, 11.4875) * CHOOSE(CONTROL!$C$21, $C$9, 100%, $E$9)</f>
        <v>11.487500000000001</v>
      </c>
      <c r="R229" s="17">
        <f>CHOOSE(CONTROL!$C$42, 12.1032, 12.1032) * CHOOSE(CONTROL!$C$21, $C$9, 100%, $E$9)</f>
        <v>12.103199999999999</v>
      </c>
      <c r="S229" s="17">
        <f>CHOOSE(CONTROL!$C$42, 10.4855, 10.4855) * CHOOSE(CONTROL!$C$21, $C$9, 100%, $E$9)</f>
        <v>10.4855</v>
      </c>
      <c r="T229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229" s="56">
        <f>(1000*CHOOSE(CONTROL!$C$42, 695, 695)*CHOOSE(CONTROL!$C$42, 0.5599, 0.5599)*CHOOSE(CONTROL!$C$42, 31, 31))/1000000</f>
        <v>12.063045499999998</v>
      </c>
      <c r="V229" s="56">
        <f>(1000*CHOOSE(CONTROL!$C$42, 500, 500)*CHOOSE(CONTROL!$C$42, 0.275, 0.275)*CHOOSE(CONTROL!$C$42, 31, 31))/1000000</f>
        <v>4.2625000000000002</v>
      </c>
      <c r="W229" s="56">
        <f>(1000*CHOOSE(CONTROL!$C$42, 0.0916, 0.0916)*CHOOSE(CONTROL!$C$42, 121.5, 121.5)*CHOOSE(CONTROL!$C$42, 31, 31))/1000000</f>
        <v>0.34501139999999997</v>
      </c>
      <c r="X229" s="56">
        <f>(31*0.2374*100000/1000000)</f>
        <v>0.73594000000000004</v>
      </c>
      <c r="Y229" s="56"/>
      <c r="Z229" s="17"/>
      <c r="AA229" s="55"/>
      <c r="AB229" s="48">
        <f>(B229*122.58+C229*297.941+D229*89.177+E229*140.302+F229*40+G229*60+H229*0+I229*100+J229*300)/(122.58+297.941+89.177+140.302+0+40+60+100+300)</f>
        <v>10.864962787304348</v>
      </c>
      <c r="AC229" s="45">
        <f>(M229*'RAP TEMPLATE-GAS AVAILABILITY'!O228+N229*'RAP TEMPLATE-GAS AVAILABILITY'!P228+O229*'RAP TEMPLATE-GAS AVAILABILITY'!Q228+P229*'RAP TEMPLATE-GAS AVAILABILITY'!R228)/('RAP TEMPLATE-GAS AVAILABILITY'!O228+'RAP TEMPLATE-GAS AVAILABILITY'!P228+'RAP TEMPLATE-GAS AVAILABILITY'!Q228+'RAP TEMPLATE-GAS AVAILABILITY'!R228)</f>
        <v>10.817119424460433</v>
      </c>
    </row>
    <row r="230" spans="1:29" ht="15.75" x14ac:dyDescent="0.25">
      <c r="A230" s="16">
        <v>47515</v>
      </c>
      <c r="B230" s="17">
        <f>CHOOSE(CONTROL!$C$42, 11.0381, 11.0381) * CHOOSE(CONTROL!$C$21, $C$9, 100%, $E$9)</f>
        <v>11.0381</v>
      </c>
      <c r="C230" s="17">
        <f>CHOOSE(CONTROL!$C$42, 11.0431, 11.0431) * CHOOSE(CONTROL!$C$21, $C$9, 100%, $E$9)</f>
        <v>11.043100000000001</v>
      </c>
      <c r="D230" s="17">
        <f>CHOOSE(CONTROL!$C$42, 11.1771, 11.1771) * CHOOSE(CONTROL!$C$21, $C$9, 100%, $E$9)</f>
        <v>11.177099999999999</v>
      </c>
      <c r="E230" s="17">
        <f>CHOOSE(CONTROL!$C$42, 11.2109, 11.2109) * CHOOSE(CONTROL!$C$21, $C$9, 100%, $E$9)</f>
        <v>11.210900000000001</v>
      </c>
      <c r="F230" s="17">
        <f>CHOOSE(CONTROL!$C$42, 11.0515, 11.0515)*CHOOSE(CONTROL!$C$21, $C$9, 100%, $E$9)</f>
        <v>11.051500000000001</v>
      </c>
      <c r="G230" s="17">
        <f>CHOOSE(CONTROL!$C$42, 11.0683, 11.0683)*CHOOSE(CONTROL!$C$21, $C$9, 100%, $E$9)</f>
        <v>11.068300000000001</v>
      </c>
      <c r="H230" s="17">
        <f>CHOOSE(CONTROL!$C$42, 11.1997, 11.1997) * CHOOSE(CONTROL!$C$21, $C$9, 100%, $E$9)</f>
        <v>11.1997</v>
      </c>
      <c r="I230" s="17">
        <f>CHOOSE(CONTROL!$C$42, 11.0988, 11.0988)* CHOOSE(CONTROL!$C$21, $C$9, 100%, $E$9)</f>
        <v>11.098800000000001</v>
      </c>
      <c r="J230" s="17">
        <f>CHOOSE(CONTROL!$C$42, 11.0441, 11.0441)* CHOOSE(CONTROL!$C$21, $C$9, 100%, $E$9)</f>
        <v>11.0441</v>
      </c>
      <c r="K230" s="52">
        <f>CHOOSE(CONTROL!$C$42, 11.0928, 11.0928) * CHOOSE(CONTROL!$C$21, $C$9, 100%, $E$9)</f>
        <v>11.0928</v>
      </c>
      <c r="L230" s="17">
        <f>CHOOSE(CONTROL!$C$42, 11.7867, 11.7867) * CHOOSE(CONTROL!$C$21, $C$9, 100%, $E$9)</f>
        <v>11.7867</v>
      </c>
      <c r="M230" s="17">
        <f>CHOOSE(CONTROL!$C$42, 10.9517, 10.9517) * CHOOSE(CONTROL!$C$21, $C$9, 100%, $E$9)</f>
        <v>10.951700000000001</v>
      </c>
      <c r="N230" s="17">
        <f>CHOOSE(CONTROL!$C$42, 10.9685, 10.9685) * CHOOSE(CONTROL!$C$21, $C$9, 100%, $E$9)</f>
        <v>10.968500000000001</v>
      </c>
      <c r="O230" s="17">
        <f>CHOOSE(CONTROL!$C$42, 11.106, 11.106) * CHOOSE(CONTROL!$C$21, $C$9, 100%, $E$9)</f>
        <v>11.106</v>
      </c>
      <c r="P230" s="17">
        <f>CHOOSE(CONTROL!$C$42, 11.0057, 11.0057) * CHOOSE(CONTROL!$C$21, $C$9, 100%, $E$9)</f>
        <v>11.005699999999999</v>
      </c>
      <c r="Q230" s="17">
        <f>CHOOSE(CONTROL!$C$42, 11.7007, 11.7007) * CHOOSE(CONTROL!$C$21, $C$9, 100%, $E$9)</f>
        <v>11.700699999999999</v>
      </c>
      <c r="R230" s="17">
        <f>CHOOSE(CONTROL!$C$42, 12.317, 12.317) * CHOOSE(CONTROL!$C$21, $C$9, 100%, $E$9)</f>
        <v>12.317</v>
      </c>
      <c r="S230" s="17">
        <f>CHOOSE(CONTROL!$C$42, 10.6941, 10.6941) * CHOOSE(CONTROL!$C$21, $C$9, 100%, $E$9)</f>
        <v>10.694100000000001</v>
      </c>
      <c r="T230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230" s="56">
        <f>(1000*CHOOSE(CONTROL!$C$42, 695, 695)*CHOOSE(CONTROL!$C$42, 0.5599, 0.5599)*CHOOSE(CONTROL!$C$42, 28, 28))/1000000</f>
        <v>10.895653999999999</v>
      </c>
      <c r="V230" s="56">
        <f>(1000*CHOOSE(CONTROL!$C$42, 500, 500)*CHOOSE(CONTROL!$C$42, 0.275, 0.275)*CHOOSE(CONTROL!$C$42, 28, 28))/1000000</f>
        <v>3.85</v>
      </c>
      <c r="W230" s="56">
        <f>(1000*CHOOSE(CONTROL!$C$42, 0.0916, 0.0916)*CHOOSE(CONTROL!$C$42, 121.5, 121.5)*CHOOSE(CONTROL!$C$42, 28, 28))/1000000</f>
        <v>0.31162319999999999</v>
      </c>
      <c r="X230" s="56">
        <f>(28*0.2374*100000/1000000)</f>
        <v>0.66471999999999998</v>
      </c>
      <c r="Y230" s="56"/>
      <c r="Z230" s="17"/>
      <c r="AA230" s="55"/>
      <c r="AB230" s="48">
        <f>(B230*122.58+C230*297.941+D230*89.177+E230*140.302+F230*40+G230*60+H230*0+I230*100+J230*300)/(122.58+297.941+89.177+140.302+0+40+60+100+300)</f>
        <v>11.080141298782609</v>
      </c>
      <c r="AC230" s="45">
        <f>(M230*'RAP TEMPLATE-GAS AVAILABILITY'!O229+N230*'RAP TEMPLATE-GAS AVAILABILITY'!P229+O230*'RAP TEMPLATE-GAS AVAILABILITY'!Q229+P230*'RAP TEMPLATE-GAS AVAILABILITY'!R229)/('RAP TEMPLATE-GAS AVAILABILITY'!O229+'RAP TEMPLATE-GAS AVAILABILITY'!P229+'RAP TEMPLATE-GAS AVAILABILITY'!Q229+'RAP TEMPLATE-GAS AVAILABILITY'!R229)</f>
        <v>11.030371223021582</v>
      </c>
    </row>
    <row r="231" spans="1:29" ht="15.75" x14ac:dyDescent="0.25">
      <c r="A231" s="16">
        <v>47543</v>
      </c>
      <c r="B231" s="17">
        <f>CHOOSE(CONTROL!$C$42, 10.7471, 10.7471) * CHOOSE(CONTROL!$C$21, $C$9, 100%, $E$9)</f>
        <v>10.7471</v>
      </c>
      <c r="C231" s="17">
        <f>CHOOSE(CONTROL!$C$42, 10.7521, 10.7521) * CHOOSE(CONTROL!$C$21, $C$9, 100%, $E$9)</f>
        <v>10.7521</v>
      </c>
      <c r="D231" s="17">
        <f>CHOOSE(CONTROL!$C$42, 10.8861, 10.8861) * CHOOSE(CONTROL!$C$21, $C$9, 100%, $E$9)</f>
        <v>10.886100000000001</v>
      </c>
      <c r="E231" s="17">
        <f>CHOOSE(CONTROL!$C$42, 10.9199, 10.9199) * CHOOSE(CONTROL!$C$21, $C$9, 100%, $E$9)</f>
        <v>10.9199</v>
      </c>
      <c r="F231" s="17">
        <f>CHOOSE(CONTROL!$C$42, 10.7597, 10.7597)*CHOOSE(CONTROL!$C$21, $C$9, 100%, $E$9)</f>
        <v>10.7597</v>
      </c>
      <c r="G231" s="17">
        <f>CHOOSE(CONTROL!$C$42, 10.7764, 10.7764)*CHOOSE(CONTROL!$C$21, $C$9, 100%, $E$9)</f>
        <v>10.776400000000001</v>
      </c>
      <c r="H231" s="17">
        <f>CHOOSE(CONTROL!$C$42, 10.9087, 10.9087) * CHOOSE(CONTROL!$C$21, $C$9, 100%, $E$9)</f>
        <v>10.9087</v>
      </c>
      <c r="I231" s="17">
        <f>CHOOSE(CONTROL!$C$42, 10.8069, 10.8069)* CHOOSE(CONTROL!$C$21, $C$9, 100%, $E$9)</f>
        <v>10.806900000000001</v>
      </c>
      <c r="J231" s="17">
        <f>CHOOSE(CONTROL!$C$42, 10.7523, 10.7523)* CHOOSE(CONTROL!$C$21, $C$9, 100%, $E$9)</f>
        <v>10.7523</v>
      </c>
      <c r="K231" s="52">
        <f>CHOOSE(CONTROL!$C$42, 10.8009, 10.8009) * CHOOSE(CONTROL!$C$21, $C$9, 100%, $E$9)</f>
        <v>10.8009</v>
      </c>
      <c r="L231" s="17">
        <f>CHOOSE(CONTROL!$C$42, 11.4957, 11.4957) * CHOOSE(CONTROL!$C$21, $C$9, 100%, $E$9)</f>
        <v>11.495699999999999</v>
      </c>
      <c r="M231" s="17">
        <f>CHOOSE(CONTROL!$C$42, 10.6626, 10.6626) * CHOOSE(CONTROL!$C$21, $C$9, 100%, $E$9)</f>
        <v>10.662599999999999</v>
      </c>
      <c r="N231" s="17">
        <f>CHOOSE(CONTROL!$C$42, 10.6791, 10.6791) * CHOOSE(CONTROL!$C$21, $C$9, 100%, $E$9)</f>
        <v>10.6791</v>
      </c>
      <c r="O231" s="17">
        <f>CHOOSE(CONTROL!$C$42, 10.8176, 10.8176) * CHOOSE(CONTROL!$C$21, $C$9, 100%, $E$9)</f>
        <v>10.817600000000001</v>
      </c>
      <c r="P231" s="17">
        <f>CHOOSE(CONTROL!$C$42, 10.7165, 10.7165) * CHOOSE(CONTROL!$C$21, $C$9, 100%, $E$9)</f>
        <v>10.7165</v>
      </c>
      <c r="Q231" s="17">
        <f>CHOOSE(CONTROL!$C$42, 11.4123, 11.4123) * CHOOSE(CONTROL!$C$21, $C$9, 100%, $E$9)</f>
        <v>11.4123</v>
      </c>
      <c r="R231" s="17">
        <f>CHOOSE(CONTROL!$C$42, 12.0279, 12.0279) * CHOOSE(CONTROL!$C$21, $C$9, 100%, $E$9)</f>
        <v>12.027900000000001</v>
      </c>
      <c r="S231" s="17">
        <f>CHOOSE(CONTROL!$C$42, 10.4119, 10.4119) * CHOOSE(CONTROL!$C$21, $C$9, 100%, $E$9)</f>
        <v>10.411899999999999</v>
      </c>
      <c r="T231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231" s="56">
        <f>(1000*CHOOSE(CONTROL!$C$42, 695, 695)*CHOOSE(CONTROL!$C$42, 0.5599, 0.5599)*CHOOSE(CONTROL!$C$42, 31, 31))/1000000</f>
        <v>12.063045499999998</v>
      </c>
      <c r="V231" s="56">
        <f>(1000*CHOOSE(CONTROL!$C$42, 500, 500)*CHOOSE(CONTROL!$C$42, 0.275, 0.275)*CHOOSE(CONTROL!$C$42, 31, 31))/1000000</f>
        <v>4.2625000000000002</v>
      </c>
      <c r="W231" s="56">
        <f>(1000*CHOOSE(CONTROL!$C$42, 0.0916, 0.0916)*CHOOSE(CONTROL!$C$42, 121.5, 121.5)*CHOOSE(CONTROL!$C$42, 31, 31))/1000000</f>
        <v>0.34501139999999997</v>
      </c>
      <c r="X231" s="56">
        <f>(31*0.2374*100000/1000000)</f>
        <v>0.73594000000000004</v>
      </c>
      <c r="Y231" s="56"/>
      <c r="Z231" s="17"/>
      <c r="AA231" s="55"/>
      <c r="AB231" s="48">
        <f>(B231*122.58+C231*297.941+D231*89.177+E231*140.302+F231*40+G231*60+H231*0+I231*100+J231*300)/(122.58+297.941+89.177+140.302+0+40+60+100+300)</f>
        <v>10.788779559652175</v>
      </c>
      <c r="AC231" s="45">
        <f>(M231*'RAP TEMPLATE-GAS AVAILABILITY'!O230+N231*'RAP TEMPLATE-GAS AVAILABILITY'!P230+O231*'RAP TEMPLATE-GAS AVAILABILITY'!Q230+P231*'RAP TEMPLATE-GAS AVAILABILITY'!R230)/('RAP TEMPLATE-GAS AVAILABILITY'!O230+'RAP TEMPLATE-GAS AVAILABILITY'!P230+'RAP TEMPLATE-GAS AVAILABILITY'!Q230+'RAP TEMPLATE-GAS AVAILABILITY'!R230)</f>
        <v>10.741556834532373</v>
      </c>
    </row>
    <row r="232" spans="1:29" ht="15.75" x14ac:dyDescent="0.25">
      <c r="A232" s="16">
        <v>47574</v>
      </c>
      <c r="B232" s="17">
        <f>CHOOSE(CONTROL!$C$42, 10.738, 10.738) * CHOOSE(CONTROL!$C$21, $C$9, 100%, $E$9)</f>
        <v>10.738</v>
      </c>
      <c r="C232" s="17">
        <f>CHOOSE(CONTROL!$C$42, 10.7425, 10.7425) * CHOOSE(CONTROL!$C$21, $C$9, 100%, $E$9)</f>
        <v>10.7425</v>
      </c>
      <c r="D232" s="17">
        <f>CHOOSE(CONTROL!$C$42, 11.0055, 11.0055) * CHOOSE(CONTROL!$C$21, $C$9, 100%, $E$9)</f>
        <v>11.0055</v>
      </c>
      <c r="E232" s="17">
        <f>CHOOSE(CONTROL!$C$42, 11.0373, 11.0373) * CHOOSE(CONTROL!$C$21, $C$9, 100%, $E$9)</f>
        <v>11.0373</v>
      </c>
      <c r="F232" s="17">
        <f>CHOOSE(CONTROL!$C$42, 10.7489, 10.7489)*CHOOSE(CONTROL!$C$21, $C$9, 100%, $E$9)</f>
        <v>10.748900000000001</v>
      </c>
      <c r="G232" s="17">
        <f>CHOOSE(CONTROL!$C$42, 10.7651, 10.7651)*CHOOSE(CONTROL!$C$21, $C$9, 100%, $E$9)</f>
        <v>10.7651</v>
      </c>
      <c r="H232" s="17">
        <f>CHOOSE(CONTROL!$C$42, 11.0268, 11.0268) * CHOOSE(CONTROL!$C$21, $C$9, 100%, $E$9)</f>
        <v>11.0268</v>
      </c>
      <c r="I232" s="17">
        <f>CHOOSE(CONTROL!$C$42, 10.7965, 10.7965)* CHOOSE(CONTROL!$C$21, $C$9, 100%, $E$9)</f>
        <v>10.7965</v>
      </c>
      <c r="J232" s="17">
        <f>CHOOSE(CONTROL!$C$42, 10.7415, 10.7415)* CHOOSE(CONTROL!$C$21, $C$9, 100%, $E$9)</f>
        <v>10.7415</v>
      </c>
      <c r="K232" s="52">
        <f>CHOOSE(CONTROL!$C$42, 10.7905, 10.7905) * CHOOSE(CONTROL!$C$21, $C$9, 100%, $E$9)</f>
        <v>10.7905</v>
      </c>
      <c r="L232" s="17">
        <f>CHOOSE(CONTROL!$C$42, 11.6138, 11.6138) * CHOOSE(CONTROL!$C$21, $C$9, 100%, $E$9)</f>
        <v>11.613799999999999</v>
      </c>
      <c r="M232" s="17">
        <f>CHOOSE(CONTROL!$C$42, 10.6519, 10.6519) * CHOOSE(CONTROL!$C$21, $C$9, 100%, $E$9)</f>
        <v>10.651899999999999</v>
      </c>
      <c r="N232" s="17">
        <f>CHOOSE(CONTROL!$C$42, 10.6679, 10.6679) * CHOOSE(CONTROL!$C$21, $C$9, 100%, $E$9)</f>
        <v>10.667899999999999</v>
      </c>
      <c r="O232" s="17">
        <f>CHOOSE(CONTROL!$C$42, 10.9346, 10.9346) * CHOOSE(CONTROL!$C$21, $C$9, 100%, $E$9)</f>
        <v>10.9346</v>
      </c>
      <c r="P232" s="17">
        <f>CHOOSE(CONTROL!$C$42, 10.7062, 10.7062) * CHOOSE(CONTROL!$C$21, $C$9, 100%, $E$9)</f>
        <v>10.706200000000001</v>
      </c>
      <c r="Q232" s="17">
        <f>CHOOSE(CONTROL!$C$42, 11.5293, 11.5293) * CHOOSE(CONTROL!$C$21, $C$9, 100%, $E$9)</f>
        <v>11.529299999999999</v>
      </c>
      <c r="R232" s="17">
        <f>CHOOSE(CONTROL!$C$42, 12.1451, 12.1451) * CHOOSE(CONTROL!$C$21, $C$9, 100%, $E$9)</f>
        <v>12.145099999999999</v>
      </c>
      <c r="S232" s="17">
        <f>CHOOSE(CONTROL!$C$42, 10.4024, 10.4024) * CHOOSE(CONTROL!$C$21, $C$9, 100%, $E$9)</f>
        <v>10.4024</v>
      </c>
      <c r="T232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232" s="56">
        <f>(1000*CHOOSE(CONTROL!$C$42, 695, 695)*CHOOSE(CONTROL!$C$42, 0.5599, 0.5599)*CHOOSE(CONTROL!$C$42, 30, 30))/1000000</f>
        <v>11.673914999999997</v>
      </c>
      <c r="V232" s="56">
        <f>(1000*CHOOSE(CONTROL!$C$42, 500, 500)*CHOOSE(CONTROL!$C$42, 0.275, 0.275)*CHOOSE(CONTROL!$C$42, 30, 30))/1000000</f>
        <v>4.125</v>
      </c>
      <c r="W232" s="56">
        <f>(1000*CHOOSE(CONTROL!$C$42, 0.0916, 0.0916)*CHOOSE(CONTROL!$C$42, 121.5, 121.5)*CHOOSE(CONTROL!$C$42, 30, 30))/1000000</f>
        <v>0.33388200000000001</v>
      </c>
      <c r="X232" s="56">
        <f>(30*0.1790888*145000/1000000)+(30*0.2374*100000/1000000)</f>
        <v>1.4912362799999999</v>
      </c>
      <c r="Y232" s="56"/>
      <c r="Z232" s="17"/>
      <c r="AA232" s="55"/>
      <c r="AB232" s="48">
        <f>(B232*141.293+C232*267.993+D232*115.016+E232*189.698+F232*40+G232*85+H232*0+I232*100+J232*300)/(141.293+267.993+115.016+189.698+0+40+85+100+300)</f>
        <v>10.817409894995965</v>
      </c>
      <c r="AC232" s="45">
        <f>(M232*'RAP TEMPLATE-GAS AVAILABILITY'!O231+N232*'RAP TEMPLATE-GAS AVAILABILITY'!P231+O232*'RAP TEMPLATE-GAS AVAILABILITY'!Q231+P232*'RAP TEMPLATE-GAS AVAILABILITY'!R231)/('RAP TEMPLATE-GAS AVAILABILITY'!O231+'RAP TEMPLATE-GAS AVAILABILITY'!P231+'RAP TEMPLATE-GAS AVAILABILITY'!Q231+'RAP TEMPLATE-GAS AVAILABILITY'!R231)</f>
        <v>10.742715107913668</v>
      </c>
    </row>
    <row r="233" spans="1:29" ht="15.75" x14ac:dyDescent="0.25">
      <c r="A233" s="16">
        <v>47604</v>
      </c>
      <c r="B233" s="17">
        <f>CHOOSE(CONTROL!$C$42, 10.8563, 10.8563) * CHOOSE(CONTROL!$C$21, $C$9, 100%, $E$9)</f>
        <v>10.856299999999999</v>
      </c>
      <c r="C233" s="17">
        <f>CHOOSE(CONTROL!$C$42, 10.8643, 10.8643) * CHOOSE(CONTROL!$C$21, $C$9, 100%, $E$9)</f>
        <v>10.8643</v>
      </c>
      <c r="D233" s="17">
        <f>CHOOSE(CONTROL!$C$42, 11.1242, 11.1242) * CHOOSE(CONTROL!$C$21, $C$9, 100%, $E$9)</f>
        <v>11.1242</v>
      </c>
      <c r="E233" s="17">
        <f>CHOOSE(CONTROL!$C$42, 11.1554, 11.1554) * CHOOSE(CONTROL!$C$21, $C$9, 100%, $E$9)</f>
        <v>11.1554</v>
      </c>
      <c r="F233" s="17">
        <f>CHOOSE(CONTROL!$C$42, 10.866, 10.866)*CHOOSE(CONTROL!$C$21, $C$9, 100%, $E$9)</f>
        <v>10.866</v>
      </c>
      <c r="G233" s="17">
        <f>CHOOSE(CONTROL!$C$42, 10.8825, 10.8825)*CHOOSE(CONTROL!$C$21, $C$9, 100%, $E$9)</f>
        <v>10.8825</v>
      </c>
      <c r="H233" s="17">
        <f>CHOOSE(CONTROL!$C$42, 11.1437, 11.1437) * CHOOSE(CONTROL!$C$21, $C$9, 100%, $E$9)</f>
        <v>11.143700000000001</v>
      </c>
      <c r="I233" s="17">
        <f>CHOOSE(CONTROL!$C$42, 10.9139, 10.9139)* CHOOSE(CONTROL!$C$21, $C$9, 100%, $E$9)</f>
        <v>10.9139</v>
      </c>
      <c r="J233" s="17">
        <f>CHOOSE(CONTROL!$C$42, 10.8586, 10.8586)* CHOOSE(CONTROL!$C$21, $C$9, 100%, $E$9)</f>
        <v>10.858599999999999</v>
      </c>
      <c r="K233" s="52">
        <f>CHOOSE(CONTROL!$C$42, 10.9078, 10.9078) * CHOOSE(CONTROL!$C$21, $C$9, 100%, $E$9)</f>
        <v>10.9078</v>
      </c>
      <c r="L233" s="17">
        <f>CHOOSE(CONTROL!$C$42, 11.7307, 11.7307) * CHOOSE(CONTROL!$C$21, $C$9, 100%, $E$9)</f>
        <v>11.730700000000001</v>
      </c>
      <c r="M233" s="17">
        <f>CHOOSE(CONTROL!$C$42, 10.7679, 10.7679) * CHOOSE(CONTROL!$C$21, $C$9, 100%, $E$9)</f>
        <v>10.767899999999999</v>
      </c>
      <c r="N233" s="17">
        <f>CHOOSE(CONTROL!$C$42, 10.7843, 10.7843) * CHOOSE(CONTROL!$C$21, $C$9, 100%, $E$9)</f>
        <v>10.7843</v>
      </c>
      <c r="O233" s="17">
        <f>CHOOSE(CONTROL!$C$42, 11.0505, 11.0505) * CHOOSE(CONTROL!$C$21, $C$9, 100%, $E$9)</f>
        <v>11.0505</v>
      </c>
      <c r="P233" s="17">
        <f>CHOOSE(CONTROL!$C$42, 10.8225, 10.8225) * CHOOSE(CONTROL!$C$21, $C$9, 100%, $E$9)</f>
        <v>10.8225</v>
      </c>
      <c r="Q233" s="17">
        <f>CHOOSE(CONTROL!$C$42, 11.6452, 11.6452) * CHOOSE(CONTROL!$C$21, $C$9, 100%, $E$9)</f>
        <v>11.645200000000001</v>
      </c>
      <c r="R233" s="17">
        <f>CHOOSE(CONTROL!$C$42, 12.2613, 12.2613) * CHOOSE(CONTROL!$C$21, $C$9, 100%, $E$9)</f>
        <v>12.2613</v>
      </c>
      <c r="S233" s="17">
        <f>CHOOSE(CONTROL!$C$42, 10.5158, 10.5158) * CHOOSE(CONTROL!$C$21, $C$9, 100%, $E$9)</f>
        <v>10.5158</v>
      </c>
      <c r="T233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233" s="56">
        <f>(1000*CHOOSE(CONTROL!$C$42, 695, 695)*CHOOSE(CONTROL!$C$42, 0.5599, 0.5599)*CHOOSE(CONTROL!$C$42, 31, 31))/1000000</f>
        <v>12.063045499999998</v>
      </c>
      <c r="V233" s="56">
        <f>(1000*CHOOSE(CONTROL!$C$42, 500, 500)*CHOOSE(CONTROL!$C$42, 0.275, 0.275)*CHOOSE(CONTROL!$C$42, 31, 31))/1000000</f>
        <v>4.2625000000000002</v>
      </c>
      <c r="W233" s="56">
        <f>(1000*CHOOSE(CONTROL!$C$42, 0.0916, 0.0916)*CHOOSE(CONTROL!$C$42, 121.5, 121.5)*CHOOSE(CONTROL!$C$42, 31, 31))/1000000</f>
        <v>0.34501139999999997</v>
      </c>
      <c r="X233" s="56">
        <f>(31*0.1790888*145000/1000000)+(31*0.2374*100000/1000000)</f>
        <v>1.5409441560000001</v>
      </c>
      <c r="Y233" s="56"/>
      <c r="Z233" s="17"/>
      <c r="AA233" s="55"/>
      <c r="AB233" s="48">
        <f>(B233*194.205+C233*267.466+D233*133.845+E233*153.484+F233*40+G233*85+H233*0+I233*100+J233*300)/(194.205+267.466+133.845+153.484+0+40+85+100+300)</f>
        <v>10.929273993642072</v>
      </c>
      <c r="AC233" s="45">
        <f>(M233*'RAP TEMPLATE-GAS AVAILABILITY'!O232+N233*'RAP TEMPLATE-GAS AVAILABILITY'!P232+O233*'RAP TEMPLATE-GAS AVAILABILITY'!Q232+P233*'RAP TEMPLATE-GAS AVAILABILITY'!R232)/('RAP TEMPLATE-GAS AVAILABILITY'!O232+'RAP TEMPLATE-GAS AVAILABILITY'!P232+'RAP TEMPLATE-GAS AVAILABILITY'!Q232+'RAP TEMPLATE-GAS AVAILABILITY'!R232)</f>
        <v>10.858822302158273</v>
      </c>
    </row>
    <row r="234" spans="1:29" ht="15.75" x14ac:dyDescent="0.25">
      <c r="A234" s="16">
        <v>47635</v>
      </c>
      <c r="B234" s="17">
        <f>CHOOSE(CONTROL!$C$42, 11.1869, 11.1869) * CHOOSE(CONTROL!$C$21, $C$9, 100%, $E$9)</f>
        <v>11.1869</v>
      </c>
      <c r="C234" s="17">
        <f>CHOOSE(CONTROL!$C$42, 11.1949, 11.1949) * CHOOSE(CONTROL!$C$21, $C$9, 100%, $E$9)</f>
        <v>11.194900000000001</v>
      </c>
      <c r="D234" s="17">
        <f>CHOOSE(CONTROL!$C$42, 11.4548, 11.4548) * CHOOSE(CONTROL!$C$21, $C$9, 100%, $E$9)</f>
        <v>11.454800000000001</v>
      </c>
      <c r="E234" s="17">
        <f>CHOOSE(CONTROL!$C$42, 11.486, 11.486) * CHOOSE(CONTROL!$C$21, $C$9, 100%, $E$9)</f>
        <v>11.486000000000001</v>
      </c>
      <c r="F234" s="17">
        <f>CHOOSE(CONTROL!$C$42, 11.1968, 11.1968)*CHOOSE(CONTROL!$C$21, $C$9, 100%, $E$9)</f>
        <v>11.1968</v>
      </c>
      <c r="G234" s="17">
        <f>CHOOSE(CONTROL!$C$42, 11.2134, 11.2134)*CHOOSE(CONTROL!$C$21, $C$9, 100%, $E$9)</f>
        <v>11.2134</v>
      </c>
      <c r="H234" s="17">
        <f>CHOOSE(CONTROL!$C$42, 11.4743, 11.4743) * CHOOSE(CONTROL!$C$21, $C$9, 100%, $E$9)</f>
        <v>11.474299999999999</v>
      </c>
      <c r="I234" s="17">
        <f>CHOOSE(CONTROL!$C$42, 11.2454, 11.2454)* CHOOSE(CONTROL!$C$21, $C$9, 100%, $E$9)</f>
        <v>11.2454</v>
      </c>
      <c r="J234" s="17">
        <f>CHOOSE(CONTROL!$C$42, 11.1894, 11.1894)* CHOOSE(CONTROL!$C$21, $C$9, 100%, $E$9)</f>
        <v>11.189399999999999</v>
      </c>
      <c r="K234" s="52">
        <f>CHOOSE(CONTROL!$C$42, 11.2394, 11.2394) * CHOOSE(CONTROL!$C$21, $C$9, 100%, $E$9)</f>
        <v>11.2394</v>
      </c>
      <c r="L234" s="17">
        <f>CHOOSE(CONTROL!$C$42, 12.0613, 12.0613) * CHOOSE(CONTROL!$C$21, $C$9, 100%, $E$9)</f>
        <v>12.061299999999999</v>
      </c>
      <c r="M234" s="17">
        <f>CHOOSE(CONTROL!$C$42, 11.0958, 11.0958) * CHOOSE(CONTROL!$C$21, $C$9, 100%, $E$9)</f>
        <v>11.095800000000001</v>
      </c>
      <c r="N234" s="17">
        <f>CHOOSE(CONTROL!$C$42, 11.1122, 11.1122) * CHOOSE(CONTROL!$C$21, $C$9, 100%, $E$9)</f>
        <v>11.1122</v>
      </c>
      <c r="O234" s="17">
        <f>CHOOSE(CONTROL!$C$42, 11.3781, 11.3781) * CHOOSE(CONTROL!$C$21, $C$9, 100%, $E$9)</f>
        <v>11.3781</v>
      </c>
      <c r="P234" s="17">
        <f>CHOOSE(CONTROL!$C$42, 11.1511, 11.1511) * CHOOSE(CONTROL!$C$21, $C$9, 100%, $E$9)</f>
        <v>11.1511</v>
      </c>
      <c r="Q234" s="17">
        <f>CHOOSE(CONTROL!$C$42, 11.9728, 11.9728) * CHOOSE(CONTROL!$C$21, $C$9, 100%, $E$9)</f>
        <v>11.972799999999999</v>
      </c>
      <c r="R234" s="17">
        <f>CHOOSE(CONTROL!$C$42, 12.5897, 12.5897) * CHOOSE(CONTROL!$C$21, $C$9, 100%, $E$9)</f>
        <v>12.589700000000001</v>
      </c>
      <c r="S234" s="17">
        <f>CHOOSE(CONTROL!$C$42, 10.8363, 10.8363) * CHOOSE(CONTROL!$C$21, $C$9, 100%, $E$9)</f>
        <v>10.8363</v>
      </c>
      <c r="T234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234" s="56">
        <f>(1000*CHOOSE(CONTROL!$C$42, 695, 695)*CHOOSE(CONTROL!$C$42, 0.5599, 0.5599)*CHOOSE(CONTROL!$C$42, 30, 30))/1000000</f>
        <v>11.673914999999997</v>
      </c>
      <c r="V234" s="56">
        <f>(1000*CHOOSE(CONTROL!$C$42, 500, 500)*CHOOSE(CONTROL!$C$42, 0.275, 0.275)*CHOOSE(CONTROL!$C$42, 30, 30))/1000000</f>
        <v>4.125</v>
      </c>
      <c r="W234" s="56">
        <f>(1000*CHOOSE(CONTROL!$C$42, 0.0916, 0.0916)*CHOOSE(CONTROL!$C$42, 121.5, 121.5)*CHOOSE(CONTROL!$C$42, 30, 30))/1000000</f>
        <v>0.33388200000000001</v>
      </c>
      <c r="X234" s="56">
        <f>(30*0.1790888*145000/1000000)+(30*0.2374*100000/1000000)</f>
        <v>1.4912362799999999</v>
      </c>
      <c r="Y234" s="56"/>
      <c r="Z234" s="17"/>
      <c r="AA234" s="55"/>
      <c r="AB234" s="48">
        <f>(B234*194.205+C234*267.466+D234*133.845+E234*153.484+F234*40+G234*85+H234*0+I234*100+J234*300)/(194.205+267.466+133.845+153.484+0+40+85+100+300)</f>
        <v>11.260018028178962</v>
      </c>
      <c r="AC234" s="45">
        <f>(M234*'RAP TEMPLATE-GAS AVAILABILITY'!O233+N234*'RAP TEMPLATE-GAS AVAILABILITY'!P233+O234*'RAP TEMPLATE-GAS AVAILABILITY'!Q233+P234*'RAP TEMPLATE-GAS AVAILABILITY'!R233)/('RAP TEMPLATE-GAS AVAILABILITY'!O233+'RAP TEMPLATE-GAS AVAILABILITY'!P233+'RAP TEMPLATE-GAS AVAILABILITY'!Q233+'RAP TEMPLATE-GAS AVAILABILITY'!R233)</f>
        <v>11.186738848920864</v>
      </c>
    </row>
    <row r="235" spans="1:29" ht="15.75" x14ac:dyDescent="0.25">
      <c r="A235" s="16">
        <v>47665</v>
      </c>
      <c r="B235" s="17">
        <f>CHOOSE(CONTROL!$C$42, 10.9951, 10.9951) * CHOOSE(CONTROL!$C$21, $C$9, 100%, $E$9)</f>
        <v>10.995100000000001</v>
      </c>
      <c r="C235" s="17">
        <f>CHOOSE(CONTROL!$C$42, 11.0031, 11.0031) * CHOOSE(CONTROL!$C$21, $C$9, 100%, $E$9)</f>
        <v>11.0031</v>
      </c>
      <c r="D235" s="17">
        <f>CHOOSE(CONTROL!$C$42, 11.263, 11.263) * CHOOSE(CONTROL!$C$21, $C$9, 100%, $E$9)</f>
        <v>11.263</v>
      </c>
      <c r="E235" s="17">
        <f>CHOOSE(CONTROL!$C$42, 11.2942, 11.2942) * CHOOSE(CONTROL!$C$21, $C$9, 100%, $E$9)</f>
        <v>11.2942</v>
      </c>
      <c r="F235" s="17">
        <f>CHOOSE(CONTROL!$C$42, 11.0055, 11.0055)*CHOOSE(CONTROL!$C$21, $C$9, 100%, $E$9)</f>
        <v>11.0055</v>
      </c>
      <c r="G235" s="17">
        <f>CHOOSE(CONTROL!$C$42, 11.0221, 11.0221)*CHOOSE(CONTROL!$C$21, $C$9, 100%, $E$9)</f>
        <v>11.0221</v>
      </c>
      <c r="H235" s="17">
        <f>CHOOSE(CONTROL!$C$42, 11.2825, 11.2825) * CHOOSE(CONTROL!$C$21, $C$9, 100%, $E$9)</f>
        <v>11.282500000000001</v>
      </c>
      <c r="I235" s="17">
        <f>CHOOSE(CONTROL!$C$42, 11.053, 11.053)* CHOOSE(CONTROL!$C$21, $C$9, 100%, $E$9)</f>
        <v>11.053000000000001</v>
      </c>
      <c r="J235" s="17">
        <f>CHOOSE(CONTROL!$C$42, 10.9981, 10.9981)* CHOOSE(CONTROL!$C$21, $C$9, 100%, $E$9)</f>
        <v>10.998100000000001</v>
      </c>
      <c r="K235" s="52">
        <f>CHOOSE(CONTROL!$C$42, 11.047, 11.047) * CHOOSE(CONTROL!$C$21, $C$9, 100%, $E$9)</f>
        <v>11.047000000000001</v>
      </c>
      <c r="L235" s="17">
        <f>CHOOSE(CONTROL!$C$42, 11.8695, 11.8695) * CHOOSE(CONTROL!$C$21, $C$9, 100%, $E$9)</f>
        <v>11.8695</v>
      </c>
      <c r="M235" s="17">
        <f>CHOOSE(CONTROL!$C$42, 10.9062, 10.9062) * CHOOSE(CONTROL!$C$21, $C$9, 100%, $E$9)</f>
        <v>10.9062</v>
      </c>
      <c r="N235" s="17">
        <f>CHOOSE(CONTROL!$C$42, 10.9227, 10.9227) * CHOOSE(CONTROL!$C$21, $C$9, 100%, $E$9)</f>
        <v>10.922700000000001</v>
      </c>
      <c r="O235" s="17">
        <f>CHOOSE(CONTROL!$C$42, 11.188, 11.188) * CHOOSE(CONTROL!$C$21, $C$9, 100%, $E$9)</f>
        <v>11.188000000000001</v>
      </c>
      <c r="P235" s="17">
        <f>CHOOSE(CONTROL!$C$42, 10.9604, 10.9604) * CHOOSE(CONTROL!$C$21, $C$9, 100%, $E$9)</f>
        <v>10.9604</v>
      </c>
      <c r="Q235" s="17">
        <f>CHOOSE(CONTROL!$C$42, 11.7827, 11.7827) * CHOOSE(CONTROL!$C$21, $C$9, 100%, $E$9)</f>
        <v>11.7827</v>
      </c>
      <c r="R235" s="17">
        <f>CHOOSE(CONTROL!$C$42, 12.3992, 12.3992) * CHOOSE(CONTROL!$C$21, $C$9, 100%, $E$9)</f>
        <v>12.3992</v>
      </c>
      <c r="S235" s="17">
        <f>CHOOSE(CONTROL!$C$42, 10.6504, 10.6504) * CHOOSE(CONTROL!$C$21, $C$9, 100%, $E$9)</f>
        <v>10.650399999999999</v>
      </c>
      <c r="T235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235" s="56">
        <f>(1000*CHOOSE(CONTROL!$C$42, 695, 695)*CHOOSE(CONTROL!$C$42, 0.5599, 0.5599)*CHOOSE(CONTROL!$C$42, 31, 31))/1000000</f>
        <v>12.063045499999998</v>
      </c>
      <c r="V235" s="56">
        <f>(1000*CHOOSE(CONTROL!$C$42, 500, 500)*CHOOSE(CONTROL!$C$42, 0.275, 0.275)*CHOOSE(CONTROL!$C$42, 31, 31))/1000000</f>
        <v>4.2625000000000002</v>
      </c>
      <c r="W235" s="56">
        <f>(1000*CHOOSE(CONTROL!$C$42, 0.0916, 0.0916)*CHOOSE(CONTROL!$C$42, 121.5, 121.5)*CHOOSE(CONTROL!$C$42, 31, 31))/1000000</f>
        <v>0.34501139999999997</v>
      </c>
      <c r="X235" s="56">
        <f>(31*0.1790888*145000/1000000)+(31*0.2374*100000/1000000)</f>
        <v>1.5409441560000001</v>
      </c>
      <c r="Y235" s="56"/>
      <c r="Z235" s="17"/>
      <c r="AA235" s="55"/>
      <c r="AB235" s="48">
        <f>(B235*194.205+C235*267.466+D235*133.845+E235*153.484+F235*40+G235*85+H235*0+I235*100+J235*300)/(194.205+267.466+133.845+153.484+0+40+85+100+300)</f>
        <v>11.068337729905808</v>
      </c>
      <c r="AC235" s="45">
        <f>(M235*'RAP TEMPLATE-GAS AVAILABILITY'!O234+N235*'RAP TEMPLATE-GAS AVAILABILITY'!P234+O235*'RAP TEMPLATE-GAS AVAILABILITY'!Q234+P235*'RAP TEMPLATE-GAS AVAILABILITY'!R234)/('RAP TEMPLATE-GAS AVAILABILITY'!O234+'RAP TEMPLATE-GAS AVAILABILITY'!P234+'RAP TEMPLATE-GAS AVAILABILITY'!Q234+'RAP TEMPLATE-GAS AVAILABILITY'!R234)</f>
        <v>10.996863309352518</v>
      </c>
    </row>
    <row r="236" spans="1:29" ht="15.75" x14ac:dyDescent="0.25">
      <c r="A236" s="16">
        <v>47696</v>
      </c>
      <c r="B236" s="17">
        <f>CHOOSE(CONTROL!$C$42, 10.4526, 10.4526) * CHOOSE(CONTROL!$C$21, $C$9, 100%, $E$9)</f>
        <v>10.4526</v>
      </c>
      <c r="C236" s="17">
        <f>CHOOSE(CONTROL!$C$42, 10.4606, 10.4606) * CHOOSE(CONTROL!$C$21, $C$9, 100%, $E$9)</f>
        <v>10.460599999999999</v>
      </c>
      <c r="D236" s="17">
        <f>CHOOSE(CONTROL!$C$42, 10.7205, 10.7205) * CHOOSE(CONTROL!$C$21, $C$9, 100%, $E$9)</f>
        <v>10.720499999999999</v>
      </c>
      <c r="E236" s="17">
        <f>CHOOSE(CONTROL!$C$42, 10.7517, 10.7517) * CHOOSE(CONTROL!$C$21, $C$9, 100%, $E$9)</f>
        <v>10.7517</v>
      </c>
      <c r="F236" s="17">
        <f>CHOOSE(CONTROL!$C$42, 10.4632, 10.4632)*CHOOSE(CONTROL!$C$21, $C$9, 100%, $E$9)</f>
        <v>10.463200000000001</v>
      </c>
      <c r="G236" s="17">
        <f>CHOOSE(CONTROL!$C$42, 10.48, 10.48)*CHOOSE(CONTROL!$C$21, $C$9, 100%, $E$9)</f>
        <v>10.48</v>
      </c>
      <c r="H236" s="17">
        <f>CHOOSE(CONTROL!$C$42, 10.74, 10.74) * CHOOSE(CONTROL!$C$21, $C$9, 100%, $E$9)</f>
        <v>10.74</v>
      </c>
      <c r="I236" s="17">
        <f>CHOOSE(CONTROL!$C$42, 10.5089, 10.5089)* CHOOSE(CONTROL!$C$21, $C$9, 100%, $E$9)</f>
        <v>10.508900000000001</v>
      </c>
      <c r="J236" s="17">
        <f>CHOOSE(CONTROL!$C$42, 10.4558, 10.4558)* CHOOSE(CONTROL!$C$21, $C$9, 100%, $E$9)</f>
        <v>10.4558</v>
      </c>
      <c r="K236" s="52">
        <f>CHOOSE(CONTROL!$C$42, 10.5029, 10.5029) * CHOOSE(CONTROL!$C$21, $C$9, 100%, $E$9)</f>
        <v>10.5029</v>
      </c>
      <c r="L236" s="17">
        <f>CHOOSE(CONTROL!$C$42, 11.327, 11.327) * CHOOSE(CONTROL!$C$21, $C$9, 100%, $E$9)</f>
        <v>11.327</v>
      </c>
      <c r="M236" s="17">
        <f>CHOOSE(CONTROL!$C$42, 10.3688, 10.3688) * CHOOSE(CONTROL!$C$21, $C$9, 100%, $E$9)</f>
        <v>10.3688</v>
      </c>
      <c r="N236" s="17">
        <f>CHOOSE(CONTROL!$C$42, 10.3854, 10.3854) * CHOOSE(CONTROL!$C$21, $C$9, 100%, $E$9)</f>
        <v>10.385400000000001</v>
      </c>
      <c r="O236" s="17">
        <f>CHOOSE(CONTROL!$C$42, 10.6505, 10.6505) * CHOOSE(CONTROL!$C$21, $C$9, 100%, $E$9)</f>
        <v>10.650499999999999</v>
      </c>
      <c r="P236" s="17">
        <f>CHOOSE(CONTROL!$C$42, 10.4212, 10.4212) * CHOOSE(CONTROL!$C$21, $C$9, 100%, $E$9)</f>
        <v>10.421200000000001</v>
      </c>
      <c r="Q236" s="17">
        <f>CHOOSE(CONTROL!$C$42, 11.2452, 11.2452) * CHOOSE(CONTROL!$C$21, $C$9, 100%, $E$9)</f>
        <v>11.245200000000001</v>
      </c>
      <c r="R236" s="17">
        <f>CHOOSE(CONTROL!$C$42, 11.8603, 11.8603) * CHOOSE(CONTROL!$C$21, $C$9, 100%, $E$9)</f>
        <v>11.860300000000001</v>
      </c>
      <c r="S236" s="17">
        <f>CHOOSE(CONTROL!$C$42, 10.1243, 10.1243) * CHOOSE(CONTROL!$C$21, $C$9, 100%, $E$9)</f>
        <v>10.1243</v>
      </c>
      <c r="T236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236" s="56">
        <f>(1000*CHOOSE(CONTROL!$C$42, 695, 695)*CHOOSE(CONTROL!$C$42, 0.5599, 0.5599)*CHOOSE(CONTROL!$C$42, 31, 31))/1000000</f>
        <v>12.063045499999998</v>
      </c>
      <c r="V236" s="56">
        <f>(1000*CHOOSE(CONTROL!$C$42, 500, 500)*CHOOSE(CONTROL!$C$42, 0.275, 0.275)*CHOOSE(CONTROL!$C$42, 31, 31))/1000000</f>
        <v>4.2625000000000002</v>
      </c>
      <c r="W236" s="56">
        <f>(1000*CHOOSE(CONTROL!$C$42, 0.0916, 0.0916)*CHOOSE(CONTROL!$C$42, 121.5, 121.5)*CHOOSE(CONTROL!$C$42, 31, 31))/1000000</f>
        <v>0.34501139999999997</v>
      </c>
      <c r="X236" s="56">
        <f>(31*0.1790888*145000/1000000)+(31*0.2374*100000/1000000)</f>
        <v>1.5409441560000001</v>
      </c>
      <c r="Y236" s="56"/>
      <c r="Z236" s="17"/>
      <c r="AA236" s="55"/>
      <c r="AB236" s="48">
        <f>(B236*194.205+C236*267.466+D236*133.845+E236*153.484+F236*40+G236*85+H236*0+I236*100+J236*300)/(194.205+267.466+133.845+153.484+0+40+85+100+300)</f>
        <v>10.525792204003139</v>
      </c>
      <c r="AC236" s="45">
        <f>(M236*'RAP TEMPLATE-GAS AVAILABILITY'!O235+N236*'RAP TEMPLATE-GAS AVAILABILITY'!P235+O236*'RAP TEMPLATE-GAS AVAILABILITY'!Q235+P236*'RAP TEMPLATE-GAS AVAILABILITY'!R235)/('RAP TEMPLATE-GAS AVAILABILITY'!O235+'RAP TEMPLATE-GAS AVAILABILITY'!P235+'RAP TEMPLATE-GAS AVAILABILITY'!Q235+'RAP TEMPLATE-GAS AVAILABILITY'!R235)</f>
        <v>10.45919928057554</v>
      </c>
    </row>
    <row r="237" spans="1:29" ht="15.75" x14ac:dyDescent="0.25">
      <c r="A237" s="16">
        <v>47727</v>
      </c>
      <c r="B237" s="17">
        <f>CHOOSE(CONTROL!$C$42, 9.7895, 9.7895) * CHOOSE(CONTROL!$C$21, $C$9, 100%, $E$9)</f>
        <v>9.7895000000000003</v>
      </c>
      <c r="C237" s="17">
        <f>CHOOSE(CONTROL!$C$42, 9.7975, 9.7975) * CHOOSE(CONTROL!$C$21, $C$9, 100%, $E$9)</f>
        <v>9.7974999999999994</v>
      </c>
      <c r="D237" s="17">
        <f>CHOOSE(CONTROL!$C$42, 10.0575, 10.0575) * CHOOSE(CONTROL!$C$21, $C$9, 100%, $E$9)</f>
        <v>10.057499999999999</v>
      </c>
      <c r="E237" s="17">
        <f>CHOOSE(CONTROL!$C$42, 10.0886, 10.0886) * CHOOSE(CONTROL!$C$21, $C$9, 100%, $E$9)</f>
        <v>10.0886</v>
      </c>
      <c r="F237" s="17">
        <f>CHOOSE(CONTROL!$C$42, 9.8002, 9.8002)*CHOOSE(CONTROL!$C$21, $C$9, 100%, $E$9)</f>
        <v>9.8002000000000002</v>
      </c>
      <c r="G237" s="17">
        <f>CHOOSE(CONTROL!$C$42, 9.8169, 9.8169)*CHOOSE(CONTROL!$C$21, $C$9, 100%, $E$9)</f>
        <v>9.8169000000000004</v>
      </c>
      <c r="H237" s="17">
        <f>CHOOSE(CONTROL!$C$42, 10.077, 10.077) * CHOOSE(CONTROL!$C$21, $C$9, 100%, $E$9)</f>
        <v>10.077</v>
      </c>
      <c r="I237" s="17">
        <f>CHOOSE(CONTROL!$C$42, 9.8438, 9.8438)* CHOOSE(CONTROL!$C$21, $C$9, 100%, $E$9)</f>
        <v>9.8437999999999999</v>
      </c>
      <c r="J237" s="17">
        <f>CHOOSE(CONTROL!$C$42, 9.7928, 9.7928)* CHOOSE(CONTROL!$C$21, $C$9, 100%, $E$9)</f>
        <v>9.7927999999999997</v>
      </c>
      <c r="K237" s="52">
        <f>CHOOSE(CONTROL!$C$42, 9.8377, 9.8377) * CHOOSE(CONTROL!$C$21, $C$9, 100%, $E$9)</f>
        <v>9.8376999999999999</v>
      </c>
      <c r="L237" s="17">
        <f>CHOOSE(CONTROL!$C$42, 10.664, 10.664) * CHOOSE(CONTROL!$C$21, $C$9, 100%, $E$9)</f>
        <v>10.664</v>
      </c>
      <c r="M237" s="17">
        <f>CHOOSE(CONTROL!$C$42, 9.7117, 9.7117) * CHOOSE(CONTROL!$C$21, $C$9, 100%, $E$9)</f>
        <v>9.7117000000000004</v>
      </c>
      <c r="N237" s="17">
        <f>CHOOSE(CONTROL!$C$42, 9.7283, 9.7283) * CHOOSE(CONTROL!$C$21, $C$9, 100%, $E$9)</f>
        <v>9.7283000000000008</v>
      </c>
      <c r="O237" s="17">
        <f>CHOOSE(CONTROL!$C$42, 9.9933, 9.9933) * CHOOSE(CONTROL!$C$21, $C$9, 100%, $E$9)</f>
        <v>9.9932999999999996</v>
      </c>
      <c r="P237" s="17">
        <f>CHOOSE(CONTROL!$C$42, 9.762, 9.762) * CHOOSE(CONTROL!$C$21, $C$9, 100%, $E$9)</f>
        <v>9.7620000000000005</v>
      </c>
      <c r="Q237" s="17">
        <f>CHOOSE(CONTROL!$C$42, 10.588, 10.588) * CHOOSE(CONTROL!$C$21, $C$9, 100%, $E$9)</f>
        <v>10.587999999999999</v>
      </c>
      <c r="R237" s="17">
        <f>CHOOSE(CONTROL!$C$42, 11.2015, 11.2015) * CHOOSE(CONTROL!$C$21, $C$9, 100%, $E$9)</f>
        <v>11.201499999999999</v>
      </c>
      <c r="S237" s="17">
        <f>CHOOSE(CONTROL!$C$42, 9.4813, 9.4813) * CHOOSE(CONTROL!$C$21, $C$9, 100%, $E$9)</f>
        <v>9.4812999999999992</v>
      </c>
      <c r="T237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237" s="56">
        <f>(1000*CHOOSE(CONTROL!$C$42, 695, 695)*CHOOSE(CONTROL!$C$42, 0.5599, 0.5599)*CHOOSE(CONTROL!$C$42, 30, 30))/1000000</f>
        <v>11.673914999999997</v>
      </c>
      <c r="V237" s="56">
        <f>(1000*CHOOSE(CONTROL!$C$42, 500, 500)*CHOOSE(CONTROL!$C$42, 0.275, 0.275)*CHOOSE(CONTROL!$C$42, 30, 30))/1000000</f>
        <v>4.125</v>
      </c>
      <c r="W237" s="56">
        <f>(1000*CHOOSE(CONTROL!$C$42, 0.0916, 0.0916)*CHOOSE(CONTROL!$C$42, 121.5, 121.5)*CHOOSE(CONTROL!$C$42, 30, 30))/1000000</f>
        <v>0.33388200000000001</v>
      </c>
      <c r="X237" s="56">
        <f>(30*0.1790888*145000/1000000)+(30*0.2374*100000/1000000)</f>
        <v>1.4912362799999999</v>
      </c>
      <c r="Y237" s="56"/>
      <c r="Z237" s="17"/>
      <c r="AA237" s="55"/>
      <c r="AB237" s="48">
        <f>(B237*194.205+C237*267.466+D237*133.845+E237*153.484+F237*40+G237*85+H237*0+I237*100+J237*300)/(194.205+267.466+133.845+153.484+0+40+85+100+300)</f>
        <v>9.8625724116169557</v>
      </c>
      <c r="AC237" s="45">
        <f>(M237*'RAP TEMPLATE-GAS AVAILABILITY'!O236+N237*'RAP TEMPLATE-GAS AVAILABILITY'!P236+O237*'RAP TEMPLATE-GAS AVAILABILITY'!Q236+P237*'RAP TEMPLATE-GAS AVAILABILITY'!R236)/('RAP TEMPLATE-GAS AVAILABILITY'!O236+'RAP TEMPLATE-GAS AVAILABILITY'!P236+'RAP TEMPLATE-GAS AVAILABILITY'!Q236+'RAP TEMPLATE-GAS AVAILABILITY'!R236)</f>
        <v>9.8017690647482016</v>
      </c>
    </row>
    <row r="238" spans="1:29" ht="15.75" x14ac:dyDescent="0.25">
      <c r="A238" s="16">
        <v>47757</v>
      </c>
      <c r="B238" s="17">
        <f>CHOOSE(CONTROL!$C$42, 9.5893, 9.5893) * CHOOSE(CONTROL!$C$21, $C$9, 100%, $E$9)</f>
        <v>9.5892999999999997</v>
      </c>
      <c r="C238" s="17">
        <f>CHOOSE(CONTROL!$C$42, 9.5947, 9.5947) * CHOOSE(CONTROL!$C$21, $C$9, 100%, $E$9)</f>
        <v>9.5946999999999996</v>
      </c>
      <c r="D238" s="17">
        <f>CHOOSE(CONTROL!$C$42, 9.8594, 9.8594) * CHOOSE(CONTROL!$C$21, $C$9, 100%, $E$9)</f>
        <v>9.8594000000000008</v>
      </c>
      <c r="E238" s="17">
        <f>CHOOSE(CONTROL!$C$42, 9.8883, 9.8883) * CHOOSE(CONTROL!$C$21, $C$9, 100%, $E$9)</f>
        <v>9.8882999999999992</v>
      </c>
      <c r="F238" s="17">
        <f>CHOOSE(CONTROL!$C$42, 9.6022, 9.6022)*CHOOSE(CONTROL!$C$21, $C$9, 100%, $E$9)</f>
        <v>9.6021999999999998</v>
      </c>
      <c r="G238" s="17">
        <f>CHOOSE(CONTROL!$C$42, 9.6187, 9.6187)*CHOOSE(CONTROL!$C$21, $C$9, 100%, $E$9)</f>
        <v>9.6187000000000005</v>
      </c>
      <c r="H238" s="17">
        <f>CHOOSE(CONTROL!$C$42, 9.8785, 9.8785) * CHOOSE(CONTROL!$C$21, $C$9, 100%, $E$9)</f>
        <v>9.8785000000000007</v>
      </c>
      <c r="I238" s="17">
        <f>CHOOSE(CONTROL!$C$42, 9.6446, 9.6446)* CHOOSE(CONTROL!$C$21, $C$9, 100%, $E$9)</f>
        <v>9.6446000000000005</v>
      </c>
      <c r="J238" s="17">
        <f>CHOOSE(CONTROL!$C$42, 9.5948, 9.5948)* CHOOSE(CONTROL!$C$21, $C$9, 100%, $E$9)</f>
        <v>9.5947999999999993</v>
      </c>
      <c r="K238" s="52">
        <f>CHOOSE(CONTROL!$C$42, 9.6386, 9.6386) * CHOOSE(CONTROL!$C$21, $C$9, 100%, $E$9)</f>
        <v>9.6386000000000003</v>
      </c>
      <c r="L238" s="17">
        <f>CHOOSE(CONTROL!$C$42, 10.4655, 10.4655) * CHOOSE(CONTROL!$C$21, $C$9, 100%, $E$9)</f>
        <v>10.4655</v>
      </c>
      <c r="M238" s="17">
        <f>CHOOSE(CONTROL!$C$42, 9.5155, 9.5155) * CHOOSE(CONTROL!$C$21, $C$9, 100%, $E$9)</f>
        <v>9.5154999999999994</v>
      </c>
      <c r="N238" s="17">
        <f>CHOOSE(CONTROL!$C$42, 9.5319, 9.5319) * CHOOSE(CONTROL!$C$21, $C$9, 100%, $E$9)</f>
        <v>9.5319000000000003</v>
      </c>
      <c r="O238" s="17">
        <f>CHOOSE(CONTROL!$C$42, 9.7966, 9.7966) * CHOOSE(CONTROL!$C$21, $C$9, 100%, $E$9)</f>
        <v>9.7965999999999998</v>
      </c>
      <c r="P238" s="17">
        <f>CHOOSE(CONTROL!$C$42, 9.5647, 9.5647) * CHOOSE(CONTROL!$C$21, $C$9, 100%, $E$9)</f>
        <v>9.5647000000000002</v>
      </c>
      <c r="Q238" s="17">
        <f>CHOOSE(CONTROL!$C$42, 10.3913, 10.3913) * CHOOSE(CONTROL!$C$21, $C$9, 100%, $E$9)</f>
        <v>10.391299999999999</v>
      </c>
      <c r="R238" s="17">
        <f>CHOOSE(CONTROL!$C$42, 11.0043, 11.0043) * CHOOSE(CONTROL!$C$21, $C$9, 100%, $E$9)</f>
        <v>11.004300000000001</v>
      </c>
      <c r="S238" s="17">
        <f>CHOOSE(CONTROL!$C$42, 9.2889, 9.2889) * CHOOSE(CONTROL!$C$21, $C$9, 100%, $E$9)</f>
        <v>9.2888999999999999</v>
      </c>
      <c r="T238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238" s="56">
        <f>(1000*CHOOSE(CONTROL!$C$42, 695, 695)*CHOOSE(CONTROL!$C$42, 0.5599, 0.5599)*CHOOSE(CONTROL!$C$42, 31, 31))/1000000</f>
        <v>12.063045499999998</v>
      </c>
      <c r="V238" s="56">
        <f>(1000*CHOOSE(CONTROL!$C$42, 500, 500)*CHOOSE(CONTROL!$C$42, 0.275, 0.275)*CHOOSE(CONTROL!$C$42, 31, 31))/1000000</f>
        <v>4.2625000000000002</v>
      </c>
      <c r="W238" s="56">
        <f>(1000*CHOOSE(CONTROL!$C$42, 0.0916, 0.0916)*CHOOSE(CONTROL!$C$42, 121.5, 121.5)*CHOOSE(CONTROL!$C$42, 31, 31))/1000000</f>
        <v>0.34501139999999997</v>
      </c>
      <c r="X238" s="56">
        <f>(31*0.1790888*145000/1000000)+(31*0.2374*100000/1000000)</f>
        <v>1.5409441560000001</v>
      </c>
      <c r="Y238" s="56"/>
      <c r="Z238" s="17"/>
      <c r="AA238" s="55"/>
      <c r="AB238" s="48">
        <f>(B238*131.881+C238*277.167+D238*79.08+E238*225.872+F238*40+G238*85+H238*0+I238*100+J238*300)/(131.881+277.167+79.08+225.872+0+40+85+100+300)</f>
        <v>9.6704839691686839</v>
      </c>
      <c r="AC238" s="45">
        <f>(M238*'RAP TEMPLATE-GAS AVAILABILITY'!O237+N238*'RAP TEMPLATE-GAS AVAILABILITY'!P237+O238*'RAP TEMPLATE-GAS AVAILABILITY'!Q237+P238*'RAP TEMPLATE-GAS AVAILABILITY'!R237)/('RAP TEMPLATE-GAS AVAILABILITY'!O237+'RAP TEMPLATE-GAS AVAILABILITY'!P237+'RAP TEMPLATE-GAS AVAILABILITY'!Q237+'RAP TEMPLATE-GAS AVAILABILITY'!R237)</f>
        <v>9.6052244604316552</v>
      </c>
    </row>
    <row r="239" spans="1:29" ht="15.75" x14ac:dyDescent="0.25">
      <c r="A239" s="16">
        <v>47788</v>
      </c>
      <c r="B239" s="17">
        <f>CHOOSE(CONTROL!$C$42, 9.8412, 9.8412) * CHOOSE(CONTROL!$C$21, $C$9, 100%, $E$9)</f>
        <v>9.8412000000000006</v>
      </c>
      <c r="C239" s="17">
        <f>CHOOSE(CONTROL!$C$42, 9.8463, 9.8463) * CHOOSE(CONTROL!$C$21, $C$9, 100%, $E$9)</f>
        <v>9.8462999999999994</v>
      </c>
      <c r="D239" s="17">
        <f>CHOOSE(CONTROL!$C$42, 9.987, 9.987) * CHOOSE(CONTROL!$C$21, $C$9, 100%, $E$9)</f>
        <v>9.9870000000000001</v>
      </c>
      <c r="E239" s="17">
        <f>CHOOSE(CONTROL!$C$42, 10.0207, 10.0207) * CHOOSE(CONTROL!$C$21, $C$9, 100%, $E$9)</f>
        <v>10.0207</v>
      </c>
      <c r="F239" s="17">
        <f>CHOOSE(CONTROL!$C$42, 9.8545, 9.8545)*CHOOSE(CONTROL!$C$21, $C$9, 100%, $E$9)</f>
        <v>9.8544999999999998</v>
      </c>
      <c r="G239" s="17">
        <f>CHOOSE(CONTROL!$C$42, 9.8714, 9.8714)*CHOOSE(CONTROL!$C$21, $C$9, 100%, $E$9)</f>
        <v>9.8713999999999995</v>
      </c>
      <c r="H239" s="17">
        <f>CHOOSE(CONTROL!$C$42, 10.0096, 10.0096) * CHOOSE(CONTROL!$C$21, $C$9, 100%, $E$9)</f>
        <v>10.009600000000001</v>
      </c>
      <c r="I239" s="17">
        <f>CHOOSE(CONTROL!$C$42, 9.8941, 9.8941)* CHOOSE(CONTROL!$C$21, $C$9, 100%, $E$9)</f>
        <v>9.8940999999999999</v>
      </c>
      <c r="J239" s="17">
        <f>CHOOSE(CONTROL!$C$42, 9.8471, 9.8471)* CHOOSE(CONTROL!$C$21, $C$9, 100%, $E$9)</f>
        <v>9.8470999999999993</v>
      </c>
      <c r="K239" s="52">
        <f>CHOOSE(CONTROL!$C$42, 9.8881, 9.8881) * CHOOSE(CONTROL!$C$21, $C$9, 100%, $E$9)</f>
        <v>9.8880999999999997</v>
      </c>
      <c r="L239" s="17">
        <f>CHOOSE(CONTROL!$C$42, 10.5966, 10.5966) * CHOOSE(CONTROL!$C$21, $C$9, 100%, $E$9)</f>
        <v>10.5966</v>
      </c>
      <c r="M239" s="17">
        <f>CHOOSE(CONTROL!$C$42, 9.7656, 9.7656) * CHOOSE(CONTROL!$C$21, $C$9, 100%, $E$9)</f>
        <v>9.7655999999999992</v>
      </c>
      <c r="N239" s="17">
        <f>CHOOSE(CONTROL!$C$42, 9.7823, 9.7823) * CHOOSE(CONTROL!$C$21, $C$9, 100%, $E$9)</f>
        <v>9.7822999999999993</v>
      </c>
      <c r="O239" s="17">
        <f>CHOOSE(CONTROL!$C$42, 9.9266, 9.9266) * CHOOSE(CONTROL!$C$21, $C$9, 100%, $E$9)</f>
        <v>9.9266000000000005</v>
      </c>
      <c r="P239" s="17">
        <f>CHOOSE(CONTROL!$C$42, 9.812, 9.812) * CHOOSE(CONTROL!$C$21, $C$9, 100%, $E$9)</f>
        <v>9.8119999999999994</v>
      </c>
      <c r="Q239" s="17">
        <f>CHOOSE(CONTROL!$C$42, 10.5213, 10.5213) * CHOOSE(CONTROL!$C$21, $C$9, 100%, $E$9)</f>
        <v>10.5213</v>
      </c>
      <c r="R239" s="17">
        <f>CHOOSE(CONTROL!$C$42, 11.1346, 11.1346) * CHOOSE(CONTROL!$C$21, $C$9, 100%, $E$9)</f>
        <v>11.134600000000001</v>
      </c>
      <c r="S239" s="17">
        <f>CHOOSE(CONTROL!$C$42, 9.5335, 9.5335) * CHOOSE(CONTROL!$C$21, $C$9, 100%, $E$9)</f>
        <v>9.5335000000000001</v>
      </c>
      <c r="T239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239" s="56">
        <f>(1000*CHOOSE(CONTROL!$C$42, 695, 695)*CHOOSE(CONTROL!$C$42, 0.5599, 0.5599)*CHOOSE(CONTROL!$C$42, 30, 30))/1000000</f>
        <v>11.673914999999997</v>
      </c>
      <c r="V239" s="56">
        <f>(1000*CHOOSE(CONTROL!$C$42, 500, 500)*CHOOSE(CONTROL!$C$42, 0.275, 0.275)*CHOOSE(CONTROL!$C$42, 30, 30))/1000000</f>
        <v>4.125</v>
      </c>
      <c r="W239" s="56">
        <f>(1000*CHOOSE(CONTROL!$C$42, 0.0916, 0.0916)*CHOOSE(CONTROL!$C$42, 121.5, 121.5)*CHOOSE(CONTROL!$C$42, 30, 30))/1000000</f>
        <v>0.33388200000000001</v>
      </c>
      <c r="X239" s="56">
        <f>(30*0.2374*100000/1000000)</f>
        <v>0.71220000000000006</v>
      </c>
      <c r="Y239" s="56"/>
      <c r="Z239" s="17"/>
      <c r="AA239" s="55"/>
      <c r="AB239" s="48">
        <f>(B239*122.58+C239*297.941+D239*89.177+E239*140.302+F239*40+G239*60+H239*0+I239*100+J239*300)/(122.58+297.941+89.177+140.302+0+40+60+100+300)</f>
        <v>9.8839040997391301</v>
      </c>
      <c r="AC239" s="45">
        <f>(M239*'RAP TEMPLATE-GAS AVAILABILITY'!O238+N239*'RAP TEMPLATE-GAS AVAILABILITY'!P238+O239*'RAP TEMPLATE-GAS AVAILABILITY'!Q238+P239*'RAP TEMPLATE-GAS AVAILABILITY'!R238)/('RAP TEMPLATE-GAS AVAILABILITY'!O238+'RAP TEMPLATE-GAS AVAILABILITY'!P238+'RAP TEMPLATE-GAS AVAILABILITY'!Q238+'RAP TEMPLATE-GAS AVAILABILITY'!R238)</f>
        <v>9.846208633093525</v>
      </c>
    </row>
    <row r="240" spans="1:29" ht="15.75" x14ac:dyDescent="0.25">
      <c r="A240" s="16">
        <v>47818</v>
      </c>
      <c r="B240" s="17">
        <f>CHOOSE(CONTROL!$C$42, 10.5115, 10.5115) * CHOOSE(CONTROL!$C$21, $C$9, 100%, $E$9)</f>
        <v>10.5115</v>
      </c>
      <c r="C240" s="17">
        <f>CHOOSE(CONTROL!$C$42, 10.5166, 10.5166) * CHOOSE(CONTROL!$C$21, $C$9, 100%, $E$9)</f>
        <v>10.5166</v>
      </c>
      <c r="D240" s="17">
        <f>CHOOSE(CONTROL!$C$42, 10.6572, 10.6572) * CHOOSE(CONTROL!$C$21, $C$9, 100%, $E$9)</f>
        <v>10.6572</v>
      </c>
      <c r="E240" s="17">
        <f>CHOOSE(CONTROL!$C$42, 10.691, 10.691) * CHOOSE(CONTROL!$C$21, $C$9, 100%, $E$9)</f>
        <v>10.691000000000001</v>
      </c>
      <c r="F240" s="17">
        <f>CHOOSE(CONTROL!$C$42, 10.5272, 10.5272)*CHOOSE(CONTROL!$C$21, $C$9, 100%, $E$9)</f>
        <v>10.527200000000001</v>
      </c>
      <c r="G240" s="17">
        <f>CHOOSE(CONTROL!$C$42, 10.5447, 10.5447)*CHOOSE(CONTROL!$C$21, $C$9, 100%, $E$9)</f>
        <v>10.544700000000001</v>
      </c>
      <c r="H240" s="17">
        <f>CHOOSE(CONTROL!$C$42, 10.6799, 10.6799) * CHOOSE(CONTROL!$C$21, $C$9, 100%, $E$9)</f>
        <v>10.6799</v>
      </c>
      <c r="I240" s="17">
        <f>CHOOSE(CONTROL!$C$42, 10.5665, 10.5665)* CHOOSE(CONTROL!$C$21, $C$9, 100%, $E$9)</f>
        <v>10.5665</v>
      </c>
      <c r="J240" s="17">
        <f>CHOOSE(CONTROL!$C$42, 10.5198, 10.5198)* CHOOSE(CONTROL!$C$21, $C$9, 100%, $E$9)</f>
        <v>10.5198</v>
      </c>
      <c r="K240" s="52">
        <f>CHOOSE(CONTROL!$C$42, 10.5604, 10.5604) * CHOOSE(CONTROL!$C$21, $C$9, 100%, $E$9)</f>
        <v>10.5604</v>
      </c>
      <c r="L240" s="17">
        <f>CHOOSE(CONTROL!$C$42, 11.2669, 11.2669) * CHOOSE(CONTROL!$C$21, $C$9, 100%, $E$9)</f>
        <v>11.2669</v>
      </c>
      <c r="M240" s="17">
        <f>CHOOSE(CONTROL!$C$42, 10.4322, 10.4322) * CHOOSE(CONTROL!$C$21, $C$9, 100%, $E$9)</f>
        <v>10.4322</v>
      </c>
      <c r="N240" s="17">
        <f>CHOOSE(CONTROL!$C$42, 10.4495, 10.4495) * CHOOSE(CONTROL!$C$21, $C$9, 100%, $E$9)</f>
        <v>10.4495</v>
      </c>
      <c r="O240" s="17">
        <f>CHOOSE(CONTROL!$C$42, 10.5908, 10.5908) * CHOOSE(CONTROL!$C$21, $C$9, 100%, $E$9)</f>
        <v>10.5908</v>
      </c>
      <c r="P240" s="17">
        <f>CHOOSE(CONTROL!$C$42, 10.4782, 10.4782) * CHOOSE(CONTROL!$C$21, $C$9, 100%, $E$9)</f>
        <v>10.478199999999999</v>
      </c>
      <c r="Q240" s="17">
        <f>CHOOSE(CONTROL!$C$42, 11.1855, 11.1855) * CHOOSE(CONTROL!$C$21, $C$9, 100%, $E$9)</f>
        <v>11.185499999999999</v>
      </c>
      <c r="R240" s="17">
        <f>CHOOSE(CONTROL!$C$42, 11.8005, 11.8005) * CHOOSE(CONTROL!$C$21, $C$9, 100%, $E$9)</f>
        <v>11.8005</v>
      </c>
      <c r="S240" s="17">
        <f>CHOOSE(CONTROL!$C$42, 10.1835, 10.1835) * CHOOSE(CONTROL!$C$21, $C$9, 100%, $E$9)</f>
        <v>10.1835</v>
      </c>
      <c r="T240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240" s="56">
        <f>(1000*CHOOSE(CONTROL!$C$42, 695, 695)*CHOOSE(CONTROL!$C$42, 0.5599, 0.5599)*CHOOSE(CONTROL!$C$42, 31, 31))/1000000</f>
        <v>12.063045499999998</v>
      </c>
      <c r="V240" s="56">
        <f>(1000*CHOOSE(CONTROL!$C$42, 500, 500)*CHOOSE(CONTROL!$C$42, 0.275, 0.275)*CHOOSE(CONTROL!$C$42, 31, 31))/1000000</f>
        <v>4.2625000000000002</v>
      </c>
      <c r="W240" s="56">
        <f>(1000*CHOOSE(CONTROL!$C$42, 0.0916, 0.0916)*CHOOSE(CONTROL!$C$42, 121.5, 121.5)*CHOOSE(CONTROL!$C$42, 31, 31))/1000000</f>
        <v>0.34501139999999997</v>
      </c>
      <c r="X240" s="56">
        <f>(31*0.2374*100000/1000000)</f>
        <v>0.73594000000000004</v>
      </c>
      <c r="Y240" s="56"/>
      <c r="Z240" s="17"/>
      <c r="AA240" s="55"/>
      <c r="AB240" s="48">
        <f>(B240*122.58+C240*297.941+D240*89.177+E240*140.302+F240*40+G240*60+H240*0+I240*100+J240*300)/(122.58+297.941+89.177+140.302+0+40+60+100+300)</f>
        <v>10.555245040869565</v>
      </c>
      <c r="AC240" s="45">
        <f>(M240*'RAP TEMPLATE-GAS AVAILABILITY'!O239+N240*'RAP TEMPLATE-GAS AVAILABILITY'!P239+O240*'RAP TEMPLATE-GAS AVAILABILITY'!Q239+P240*'RAP TEMPLATE-GAS AVAILABILITY'!R239)/('RAP TEMPLATE-GAS AVAILABILITY'!O239+'RAP TEMPLATE-GAS AVAILABILITY'!P239+'RAP TEMPLATE-GAS AVAILABILITY'!Q239+'RAP TEMPLATE-GAS AVAILABILITY'!R239)</f>
        <v>10.511697841726617</v>
      </c>
    </row>
    <row r="241" spans="1:29" ht="15.75" x14ac:dyDescent="0.25">
      <c r="A241" s="16">
        <v>47849</v>
      </c>
      <c r="B241" s="17">
        <f>CHOOSE(CONTROL!$C$42, 11.3185, 11.3185) * CHOOSE(CONTROL!$C$21, $C$9, 100%, $E$9)</f>
        <v>11.3185</v>
      </c>
      <c r="C241" s="17">
        <f>CHOOSE(CONTROL!$C$42, 11.3236, 11.3236) * CHOOSE(CONTROL!$C$21, $C$9, 100%, $E$9)</f>
        <v>11.323600000000001</v>
      </c>
      <c r="D241" s="17">
        <f>CHOOSE(CONTROL!$C$42, 11.4576, 11.4576) * CHOOSE(CONTROL!$C$21, $C$9, 100%, $E$9)</f>
        <v>11.457599999999999</v>
      </c>
      <c r="E241" s="17">
        <f>CHOOSE(CONTROL!$C$42, 11.4913, 11.4913) * CHOOSE(CONTROL!$C$21, $C$9, 100%, $E$9)</f>
        <v>11.491300000000001</v>
      </c>
      <c r="F241" s="17">
        <f>CHOOSE(CONTROL!$C$42, 11.332, 11.332)*CHOOSE(CONTROL!$C$21, $C$9, 100%, $E$9)</f>
        <v>11.332000000000001</v>
      </c>
      <c r="G241" s="17">
        <f>CHOOSE(CONTROL!$C$42, 11.3489, 11.3489)*CHOOSE(CONTROL!$C$21, $C$9, 100%, $E$9)</f>
        <v>11.3489</v>
      </c>
      <c r="H241" s="17">
        <f>CHOOSE(CONTROL!$C$42, 11.4802, 11.4802) * CHOOSE(CONTROL!$C$21, $C$9, 100%, $E$9)</f>
        <v>11.4802</v>
      </c>
      <c r="I241" s="17">
        <f>CHOOSE(CONTROL!$C$42, 11.3802, 11.3802)* CHOOSE(CONTROL!$C$21, $C$9, 100%, $E$9)</f>
        <v>11.3802</v>
      </c>
      <c r="J241" s="17">
        <f>CHOOSE(CONTROL!$C$42, 11.3246, 11.3246)* CHOOSE(CONTROL!$C$21, $C$9, 100%, $E$9)</f>
        <v>11.3246</v>
      </c>
      <c r="K241" s="52">
        <f>CHOOSE(CONTROL!$C$42, 11.3741, 11.3741) * CHOOSE(CONTROL!$C$21, $C$9, 100%, $E$9)</f>
        <v>11.3741</v>
      </c>
      <c r="L241" s="17">
        <f>CHOOSE(CONTROL!$C$42, 12.0672, 12.0672) * CHOOSE(CONTROL!$C$21, $C$9, 100%, $E$9)</f>
        <v>12.0672</v>
      </c>
      <c r="M241" s="17">
        <f>CHOOSE(CONTROL!$C$42, 11.2297, 11.2297) * CHOOSE(CONTROL!$C$21, $C$9, 100%, $E$9)</f>
        <v>11.229699999999999</v>
      </c>
      <c r="N241" s="17">
        <f>CHOOSE(CONTROL!$C$42, 11.2465, 11.2465) * CHOOSE(CONTROL!$C$21, $C$9, 100%, $E$9)</f>
        <v>11.246499999999999</v>
      </c>
      <c r="O241" s="17">
        <f>CHOOSE(CONTROL!$C$42, 11.384, 11.384) * CHOOSE(CONTROL!$C$21, $C$9, 100%, $E$9)</f>
        <v>11.384</v>
      </c>
      <c r="P241" s="17">
        <f>CHOOSE(CONTROL!$C$42, 11.2846, 11.2846) * CHOOSE(CONTROL!$C$21, $C$9, 100%, $E$9)</f>
        <v>11.284599999999999</v>
      </c>
      <c r="Q241" s="17">
        <f>CHOOSE(CONTROL!$C$42, 11.9787, 11.9787) * CHOOSE(CONTROL!$C$21, $C$9, 100%, $E$9)</f>
        <v>11.9787</v>
      </c>
      <c r="R241" s="17">
        <f>CHOOSE(CONTROL!$C$42, 12.5956, 12.5956) * CHOOSE(CONTROL!$C$21, $C$9, 100%, $E$9)</f>
        <v>12.595599999999999</v>
      </c>
      <c r="S241" s="17">
        <f>CHOOSE(CONTROL!$C$42, 10.9661, 10.9661) * CHOOSE(CONTROL!$C$21, $C$9, 100%, $E$9)</f>
        <v>10.966100000000001</v>
      </c>
      <c r="T241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241" s="56">
        <f>(1000*CHOOSE(CONTROL!$C$42, 695, 695)*CHOOSE(CONTROL!$C$42, 0.5599, 0.5599)*CHOOSE(CONTROL!$C$42, 31, 31))/1000000</f>
        <v>12.063045499999998</v>
      </c>
      <c r="V241" s="56">
        <f>(1000*CHOOSE(CONTROL!$C$42, 500, 500)*CHOOSE(CONTROL!$C$42, 0.275, 0.275)*CHOOSE(CONTROL!$C$42, 31, 31))/1000000</f>
        <v>4.2625000000000002</v>
      </c>
      <c r="W241" s="56">
        <f>(1000*CHOOSE(CONTROL!$C$42, 0.0916, 0.0916)*CHOOSE(CONTROL!$C$42, 121.5, 121.5)*CHOOSE(CONTROL!$C$42, 31, 31))/1000000</f>
        <v>0.34501139999999997</v>
      </c>
      <c r="X241" s="56">
        <f>(31*0.2374*100000/1000000)</f>
        <v>0.73594000000000004</v>
      </c>
      <c r="Y241" s="56"/>
      <c r="Z241" s="17"/>
      <c r="AA241" s="55"/>
      <c r="AB241" s="48">
        <f>(B241*122.58+C241*297.941+D241*89.177+E241*140.302+F241*40+G241*60+H241*0+I241*100+J241*300)/(122.58+297.941+89.177+140.302+0+40+60+100+300)</f>
        <v>11.360701917739132</v>
      </c>
      <c r="AC241" s="45">
        <f>(M241*'RAP TEMPLATE-GAS AVAILABILITY'!O240+N241*'RAP TEMPLATE-GAS AVAILABILITY'!P240+O241*'RAP TEMPLATE-GAS AVAILABILITY'!Q240+P241*'RAP TEMPLATE-GAS AVAILABILITY'!R240)/('RAP TEMPLATE-GAS AVAILABILITY'!O240+'RAP TEMPLATE-GAS AVAILABILITY'!P240+'RAP TEMPLATE-GAS AVAILABILITY'!Q240+'RAP TEMPLATE-GAS AVAILABILITY'!R240)</f>
        <v>11.308500719424462</v>
      </c>
    </row>
    <row r="242" spans="1:29" ht="15.75" x14ac:dyDescent="0.25">
      <c r="A242" s="16">
        <v>47880</v>
      </c>
      <c r="B242" s="17">
        <f>CHOOSE(CONTROL!$C$42, 11.5198, 11.5198) * CHOOSE(CONTROL!$C$21, $C$9, 100%, $E$9)</f>
        <v>11.5198</v>
      </c>
      <c r="C242" s="17">
        <f>CHOOSE(CONTROL!$C$42, 11.5249, 11.5249) * CHOOSE(CONTROL!$C$21, $C$9, 100%, $E$9)</f>
        <v>11.524900000000001</v>
      </c>
      <c r="D242" s="17">
        <f>CHOOSE(CONTROL!$C$42, 11.6589, 11.6589) * CHOOSE(CONTROL!$C$21, $C$9, 100%, $E$9)</f>
        <v>11.658899999999999</v>
      </c>
      <c r="E242" s="17">
        <f>CHOOSE(CONTROL!$C$42, 11.6926, 11.6926) * CHOOSE(CONTROL!$C$21, $C$9, 100%, $E$9)</f>
        <v>11.692600000000001</v>
      </c>
      <c r="F242" s="17">
        <f>CHOOSE(CONTROL!$C$42, 11.5332, 11.5332)*CHOOSE(CONTROL!$C$21, $C$9, 100%, $E$9)</f>
        <v>11.533200000000001</v>
      </c>
      <c r="G242" s="17">
        <f>CHOOSE(CONTROL!$C$42, 11.5501, 11.5501)*CHOOSE(CONTROL!$C$21, $C$9, 100%, $E$9)</f>
        <v>11.5501</v>
      </c>
      <c r="H242" s="17">
        <f>CHOOSE(CONTROL!$C$42, 11.6815, 11.6815) * CHOOSE(CONTROL!$C$21, $C$9, 100%, $E$9)</f>
        <v>11.6815</v>
      </c>
      <c r="I242" s="17">
        <f>CHOOSE(CONTROL!$C$42, 11.5821, 11.5821)* CHOOSE(CONTROL!$C$21, $C$9, 100%, $E$9)</f>
        <v>11.582100000000001</v>
      </c>
      <c r="J242" s="17">
        <f>CHOOSE(CONTROL!$C$42, 11.5258, 11.5258)* CHOOSE(CONTROL!$C$21, $C$9, 100%, $E$9)</f>
        <v>11.5258</v>
      </c>
      <c r="K242" s="52">
        <f>CHOOSE(CONTROL!$C$42, 11.576, 11.576) * CHOOSE(CONTROL!$C$21, $C$9, 100%, $E$9)</f>
        <v>11.576000000000001</v>
      </c>
      <c r="L242" s="17">
        <f>CHOOSE(CONTROL!$C$42, 12.2685, 12.2685) * CHOOSE(CONTROL!$C$21, $C$9, 100%, $E$9)</f>
        <v>12.2685</v>
      </c>
      <c r="M242" s="17">
        <f>CHOOSE(CONTROL!$C$42, 11.4292, 11.4292) * CHOOSE(CONTROL!$C$21, $C$9, 100%, $E$9)</f>
        <v>11.4292</v>
      </c>
      <c r="N242" s="17">
        <f>CHOOSE(CONTROL!$C$42, 11.4459, 11.4459) * CHOOSE(CONTROL!$C$21, $C$9, 100%, $E$9)</f>
        <v>11.4459</v>
      </c>
      <c r="O242" s="17">
        <f>CHOOSE(CONTROL!$C$42, 11.5835, 11.5835) * CHOOSE(CONTROL!$C$21, $C$9, 100%, $E$9)</f>
        <v>11.583500000000001</v>
      </c>
      <c r="P242" s="17">
        <f>CHOOSE(CONTROL!$C$42, 11.4847, 11.4847) * CHOOSE(CONTROL!$C$21, $C$9, 100%, $E$9)</f>
        <v>11.4847</v>
      </c>
      <c r="Q242" s="17">
        <f>CHOOSE(CONTROL!$C$42, 12.1782, 12.1782) * CHOOSE(CONTROL!$C$21, $C$9, 100%, $E$9)</f>
        <v>12.1782</v>
      </c>
      <c r="R242" s="17">
        <f>CHOOSE(CONTROL!$C$42, 12.7956, 12.7956) * CHOOSE(CONTROL!$C$21, $C$9, 100%, $E$9)</f>
        <v>12.7956</v>
      </c>
      <c r="S242" s="17">
        <f>CHOOSE(CONTROL!$C$42, 11.1613, 11.1613) * CHOOSE(CONTROL!$C$21, $C$9, 100%, $E$9)</f>
        <v>11.161300000000001</v>
      </c>
      <c r="T242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242" s="56">
        <f>(1000*CHOOSE(CONTROL!$C$42, 695, 695)*CHOOSE(CONTROL!$C$42, 0.5599, 0.5599)*CHOOSE(CONTROL!$C$42, 28, 28))/1000000</f>
        <v>10.895653999999999</v>
      </c>
      <c r="V242" s="56">
        <f>(1000*CHOOSE(CONTROL!$C$42, 500, 500)*CHOOSE(CONTROL!$C$42, 0.275, 0.275)*CHOOSE(CONTROL!$C$42, 28, 28))/1000000</f>
        <v>3.85</v>
      </c>
      <c r="W242" s="56">
        <f>(1000*CHOOSE(CONTROL!$C$42, 0.0916, 0.0916)*CHOOSE(CONTROL!$C$42, 121.5, 121.5)*CHOOSE(CONTROL!$C$42, 28, 28))/1000000</f>
        <v>0.31162319999999999</v>
      </c>
      <c r="X242" s="56">
        <f>(28*0.2374*100000/1000000)</f>
        <v>0.66471999999999998</v>
      </c>
      <c r="Y242" s="56"/>
      <c r="Z242" s="17"/>
      <c r="AA242" s="55"/>
      <c r="AB242" s="48">
        <f>(B242*122.58+C242*297.941+D242*89.177+E242*140.302+F242*40+G242*60+H242*0+I242*100+J242*300)/(122.58+297.941+89.177+140.302+0+40+60+100+300)</f>
        <v>11.56201930904348</v>
      </c>
      <c r="AC242" s="45">
        <f>(M242*'RAP TEMPLATE-GAS AVAILABILITY'!O241+N242*'RAP TEMPLATE-GAS AVAILABILITY'!P241+O242*'RAP TEMPLATE-GAS AVAILABILITY'!Q241+P242*'RAP TEMPLATE-GAS AVAILABILITY'!R241)/('RAP TEMPLATE-GAS AVAILABILITY'!O241+'RAP TEMPLATE-GAS AVAILABILITY'!P241+'RAP TEMPLATE-GAS AVAILABILITY'!Q241+'RAP TEMPLATE-GAS AVAILABILITY'!R241)</f>
        <v>11.508081294964031</v>
      </c>
    </row>
    <row r="243" spans="1:29" ht="15.75" x14ac:dyDescent="0.25">
      <c r="A243" s="16">
        <v>47908</v>
      </c>
      <c r="B243" s="17">
        <f>CHOOSE(CONTROL!$C$42, 11.1931, 11.1931) * CHOOSE(CONTROL!$C$21, $C$9, 100%, $E$9)</f>
        <v>11.193099999999999</v>
      </c>
      <c r="C243" s="17">
        <f>CHOOSE(CONTROL!$C$42, 11.1982, 11.1982) * CHOOSE(CONTROL!$C$21, $C$9, 100%, $E$9)</f>
        <v>11.1982</v>
      </c>
      <c r="D243" s="17">
        <f>CHOOSE(CONTROL!$C$42, 11.3321, 11.3321) * CHOOSE(CONTROL!$C$21, $C$9, 100%, $E$9)</f>
        <v>11.332100000000001</v>
      </c>
      <c r="E243" s="17">
        <f>CHOOSE(CONTROL!$C$42, 11.3659, 11.3659) * CHOOSE(CONTROL!$C$21, $C$9, 100%, $E$9)</f>
        <v>11.3659</v>
      </c>
      <c r="F243" s="17">
        <f>CHOOSE(CONTROL!$C$42, 11.2057, 11.2057)*CHOOSE(CONTROL!$C$21, $C$9, 100%, $E$9)</f>
        <v>11.2057</v>
      </c>
      <c r="G243" s="17">
        <f>CHOOSE(CONTROL!$C$42, 11.2224, 11.2224)*CHOOSE(CONTROL!$C$21, $C$9, 100%, $E$9)</f>
        <v>11.2224</v>
      </c>
      <c r="H243" s="17">
        <f>CHOOSE(CONTROL!$C$42, 11.3548, 11.3548) * CHOOSE(CONTROL!$C$21, $C$9, 100%, $E$9)</f>
        <v>11.354799999999999</v>
      </c>
      <c r="I243" s="17">
        <f>CHOOSE(CONTROL!$C$42, 11.2543, 11.2543)* CHOOSE(CONTROL!$C$21, $C$9, 100%, $E$9)</f>
        <v>11.254300000000001</v>
      </c>
      <c r="J243" s="17">
        <f>CHOOSE(CONTROL!$C$42, 11.1983, 11.1983)* CHOOSE(CONTROL!$C$21, $C$9, 100%, $E$9)</f>
        <v>11.1983</v>
      </c>
      <c r="K243" s="52">
        <f>CHOOSE(CONTROL!$C$42, 11.2483, 11.2483) * CHOOSE(CONTROL!$C$21, $C$9, 100%, $E$9)</f>
        <v>11.2483</v>
      </c>
      <c r="L243" s="17">
        <f>CHOOSE(CONTROL!$C$42, 11.9418, 11.9418) * CHOOSE(CONTROL!$C$21, $C$9, 100%, $E$9)</f>
        <v>11.941800000000001</v>
      </c>
      <c r="M243" s="17">
        <f>CHOOSE(CONTROL!$C$42, 11.1046, 11.1046) * CHOOSE(CONTROL!$C$21, $C$9, 100%, $E$9)</f>
        <v>11.1046</v>
      </c>
      <c r="N243" s="17">
        <f>CHOOSE(CONTROL!$C$42, 11.1211, 11.1211) * CHOOSE(CONTROL!$C$21, $C$9, 100%, $E$9)</f>
        <v>11.1211</v>
      </c>
      <c r="O243" s="17">
        <f>CHOOSE(CONTROL!$C$42, 11.2596, 11.2596) * CHOOSE(CONTROL!$C$21, $C$9, 100%, $E$9)</f>
        <v>11.259600000000001</v>
      </c>
      <c r="P243" s="17">
        <f>CHOOSE(CONTROL!$C$42, 11.1598, 11.1598) * CHOOSE(CONTROL!$C$21, $C$9, 100%, $E$9)</f>
        <v>11.159800000000001</v>
      </c>
      <c r="Q243" s="17">
        <f>CHOOSE(CONTROL!$C$42, 11.8543, 11.8543) * CHOOSE(CONTROL!$C$21, $C$9, 100%, $E$9)</f>
        <v>11.8543</v>
      </c>
      <c r="R243" s="17">
        <f>CHOOSE(CONTROL!$C$42, 12.471, 12.471) * CHOOSE(CONTROL!$C$21, $C$9, 100%, $E$9)</f>
        <v>12.471</v>
      </c>
      <c r="S243" s="17">
        <f>CHOOSE(CONTROL!$C$42, 10.8444, 10.8444) * CHOOSE(CONTROL!$C$21, $C$9, 100%, $E$9)</f>
        <v>10.8444</v>
      </c>
      <c r="T243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243" s="56">
        <f>(1000*CHOOSE(CONTROL!$C$42, 695, 695)*CHOOSE(CONTROL!$C$42, 0.5599, 0.5599)*CHOOSE(CONTROL!$C$42, 31, 31))/1000000</f>
        <v>12.063045499999998</v>
      </c>
      <c r="V243" s="56">
        <f>(1000*CHOOSE(CONTROL!$C$42, 500, 500)*CHOOSE(CONTROL!$C$42, 0.275, 0.275)*CHOOSE(CONTROL!$C$42, 31, 31))/1000000</f>
        <v>4.2625000000000002</v>
      </c>
      <c r="W243" s="56">
        <f>(1000*CHOOSE(CONTROL!$C$42, 0.0916, 0.0916)*CHOOSE(CONTROL!$C$42, 121.5, 121.5)*CHOOSE(CONTROL!$C$42, 31, 31))/1000000</f>
        <v>0.34501139999999997</v>
      </c>
      <c r="X243" s="56">
        <f>(31*0.2374*100000/1000000)</f>
        <v>0.73594000000000004</v>
      </c>
      <c r="Y243" s="56"/>
      <c r="Z243" s="17"/>
      <c r="AA243" s="55"/>
      <c r="AB243" s="48">
        <f>(B243*122.58+C243*297.941+D243*89.177+E243*140.302+F243*40+G243*60+H243*0+I243*100+J243*300)/(122.58+297.941+89.177+140.302+0+40+60+100+300)</f>
        <v>11.234927206695652</v>
      </c>
      <c r="AC243" s="45">
        <f>(M243*'RAP TEMPLATE-GAS AVAILABILITY'!O242+N243*'RAP TEMPLATE-GAS AVAILABILITY'!P242+O243*'RAP TEMPLATE-GAS AVAILABILITY'!Q242+P243*'RAP TEMPLATE-GAS AVAILABILITY'!R242)/('RAP TEMPLATE-GAS AVAILABILITY'!O242+'RAP TEMPLATE-GAS AVAILABILITY'!P242+'RAP TEMPLATE-GAS AVAILABILITY'!Q242+'RAP TEMPLATE-GAS AVAILABILITY'!R242)</f>
        <v>11.183743884892085</v>
      </c>
    </row>
    <row r="244" spans="1:29" ht="15.75" x14ac:dyDescent="0.25">
      <c r="A244" s="16">
        <v>47939</v>
      </c>
      <c r="B244" s="17">
        <f>CHOOSE(CONTROL!$C$42, 11.1606, 11.1606) * CHOOSE(CONTROL!$C$21, $C$9, 100%, $E$9)</f>
        <v>11.160600000000001</v>
      </c>
      <c r="C244" s="17">
        <f>CHOOSE(CONTROL!$C$42, 11.1651, 11.1651) * CHOOSE(CONTROL!$C$21, $C$9, 100%, $E$9)</f>
        <v>11.165100000000001</v>
      </c>
      <c r="D244" s="17">
        <f>CHOOSE(CONTROL!$C$42, 11.4282, 11.4282) * CHOOSE(CONTROL!$C$21, $C$9, 100%, $E$9)</f>
        <v>11.4282</v>
      </c>
      <c r="E244" s="17">
        <f>CHOOSE(CONTROL!$C$42, 11.46, 11.46) * CHOOSE(CONTROL!$C$21, $C$9, 100%, $E$9)</f>
        <v>11.46</v>
      </c>
      <c r="F244" s="17">
        <f>CHOOSE(CONTROL!$C$42, 11.1716, 11.1716)*CHOOSE(CONTROL!$C$21, $C$9, 100%, $E$9)</f>
        <v>11.1716</v>
      </c>
      <c r="G244" s="17">
        <f>CHOOSE(CONTROL!$C$42, 11.1877, 11.1877)*CHOOSE(CONTROL!$C$21, $C$9, 100%, $E$9)</f>
        <v>11.1877</v>
      </c>
      <c r="H244" s="17">
        <f>CHOOSE(CONTROL!$C$42, 11.4494, 11.4494) * CHOOSE(CONTROL!$C$21, $C$9, 100%, $E$9)</f>
        <v>11.449400000000001</v>
      </c>
      <c r="I244" s="17">
        <f>CHOOSE(CONTROL!$C$42, 11.2205, 11.2205)* CHOOSE(CONTROL!$C$21, $C$9, 100%, $E$9)</f>
        <v>11.220499999999999</v>
      </c>
      <c r="J244" s="17">
        <f>CHOOSE(CONTROL!$C$42, 11.1642, 11.1642)* CHOOSE(CONTROL!$C$21, $C$9, 100%, $E$9)</f>
        <v>11.164199999999999</v>
      </c>
      <c r="K244" s="52">
        <f>CHOOSE(CONTROL!$C$42, 11.2144, 11.2144) * CHOOSE(CONTROL!$C$21, $C$9, 100%, $E$9)</f>
        <v>11.214399999999999</v>
      </c>
      <c r="L244" s="17">
        <f>CHOOSE(CONTROL!$C$42, 12.0364, 12.0364) * CHOOSE(CONTROL!$C$21, $C$9, 100%, $E$9)</f>
        <v>12.0364</v>
      </c>
      <c r="M244" s="17">
        <f>CHOOSE(CONTROL!$C$42, 11.0708, 11.0708) * CHOOSE(CONTROL!$C$21, $C$9, 100%, $E$9)</f>
        <v>11.0708</v>
      </c>
      <c r="N244" s="17">
        <f>CHOOSE(CONTROL!$C$42, 11.0868, 11.0868) * CHOOSE(CONTROL!$C$21, $C$9, 100%, $E$9)</f>
        <v>11.0868</v>
      </c>
      <c r="O244" s="17">
        <f>CHOOSE(CONTROL!$C$42, 11.3535, 11.3535) * CHOOSE(CONTROL!$C$21, $C$9, 100%, $E$9)</f>
        <v>11.3535</v>
      </c>
      <c r="P244" s="17">
        <f>CHOOSE(CONTROL!$C$42, 11.1263, 11.1263) * CHOOSE(CONTROL!$C$21, $C$9, 100%, $E$9)</f>
        <v>11.126300000000001</v>
      </c>
      <c r="Q244" s="17">
        <f>CHOOSE(CONTROL!$C$42, 11.9482, 11.9482) * CHOOSE(CONTROL!$C$21, $C$9, 100%, $E$9)</f>
        <v>11.9482</v>
      </c>
      <c r="R244" s="17">
        <f>CHOOSE(CONTROL!$C$42, 12.565, 12.565) * CHOOSE(CONTROL!$C$21, $C$9, 100%, $E$9)</f>
        <v>12.565</v>
      </c>
      <c r="S244" s="17">
        <f>CHOOSE(CONTROL!$C$42, 10.8122, 10.8122) * CHOOSE(CONTROL!$C$21, $C$9, 100%, $E$9)</f>
        <v>10.812200000000001</v>
      </c>
      <c r="T244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244" s="56">
        <f>(1000*CHOOSE(CONTROL!$C$42, 695, 695)*CHOOSE(CONTROL!$C$42, 0.5599, 0.5599)*CHOOSE(CONTROL!$C$42, 30, 30))/1000000</f>
        <v>11.673914999999997</v>
      </c>
      <c r="V244" s="56">
        <f>(1000*CHOOSE(CONTROL!$C$42, 500, 500)*CHOOSE(CONTROL!$C$42, 0.275, 0.275)*CHOOSE(CONTROL!$C$42, 30, 30))/1000000</f>
        <v>4.125</v>
      </c>
      <c r="W244" s="56">
        <f>(1000*CHOOSE(CONTROL!$C$42, 0.0916, 0.0916)*CHOOSE(CONTROL!$C$42, 121.5, 121.5)*CHOOSE(CONTROL!$C$42, 30, 30))/1000000</f>
        <v>0.33388200000000001</v>
      </c>
      <c r="X244" s="56">
        <f>(30*0.1790888*145000/1000000)+(30*0.2374*100000/1000000)</f>
        <v>1.4912362799999999</v>
      </c>
      <c r="Y244" s="56"/>
      <c r="Z244" s="17"/>
      <c r="AA244" s="55"/>
      <c r="AB244" s="48">
        <f>(B244*141.293+C244*267.993+D244*115.016+E244*189.698+F244*40+G244*85+H244*0+I244*100+J244*300)/(141.293+267.993+115.016+189.698+0+40+85+100+300)</f>
        <v>11.240174924374495</v>
      </c>
      <c r="AC244" s="45">
        <f>(M244*'RAP TEMPLATE-GAS AVAILABILITY'!O243+N244*'RAP TEMPLATE-GAS AVAILABILITY'!P243+O244*'RAP TEMPLATE-GAS AVAILABILITY'!Q243+P244*'RAP TEMPLATE-GAS AVAILABILITY'!R243)/('RAP TEMPLATE-GAS AVAILABILITY'!O243+'RAP TEMPLATE-GAS AVAILABILITY'!P243+'RAP TEMPLATE-GAS AVAILABILITY'!Q243+'RAP TEMPLATE-GAS AVAILABILITY'!R243)</f>
        <v>11.161787769784173</v>
      </c>
    </row>
    <row r="245" spans="1:29" ht="15.75" x14ac:dyDescent="0.25">
      <c r="A245" s="16">
        <v>47969</v>
      </c>
      <c r="B245" s="17">
        <f>CHOOSE(CONTROL!$C$42, 11.2604, 11.2604) * CHOOSE(CONTROL!$C$21, $C$9, 100%, $E$9)</f>
        <v>11.260400000000001</v>
      </c>
      <c r="C245" s="17">
        <f>CHOOSE(CONTROL!$C$42, 11.2684, 11.2684) * CHOOSE(CONTROL!$C$21, $C$9, 100%, $E$9)</f>
        <v>11.2684</v>
      </c>
      <c r="D245" s="17">
        <f>CHOOSE(CONTROL!$C$42, 11.5283, 11.5283) * CHOOSE(CONTROL!$C$21, $C$9, 100%, $E$9)</f>
        <v>11.5283</v>
      </c>
      <c r="E245" s="17">
        <f>CHOOSE(CONTROL!$C$42, 11.5595, 11.5595) * CHOOSE(CONTROL!$C$21, $C$9, 100%, $E$9)</f>
        <v>11.5595</v>
      </c>
      <c r="F245" s="17">
        <f>CHOOSE(CONTROL!$C$42, 11.2701, 11.2701)*CHOOSE(CONTROL!$C$21, $C$9, 100%, $E$9)</f>
        <v>11.270099999999999</v>
      </c>
      <c r="G245" s="17">
        <f>CHOOSE(CONTROL!$C$42, 11.2865, 11.2865)*CHOOSE(CONTROL!$C$21, $C$9, 100%, $E$9)</f>
        <v>11.2865</v>
      </c>
      <c r="H245" s="17">
        <f>CHOOSE(CONTROL!$C$42, 11.5478, 11.5478) * CHOOSE(CONTROL!$C$21, $C$9, 100%, $E$9)</f>
        <v>11.547800000000001</v>
      </c>
      <c r="I245" s="17">
        <f>CHOOSE(CONTROL!$C$42, 11.3192, 11.3192)* CHOOSE(CONTROL!$C$21, $C$9, 100%, $E$9)</f>
        <v>11.3192</v>
      </c>
      <c r="J245" s="17">
        <f>CHOOSE(CONTROL!$C$42, 11.2627, 11.2627)* CHOOSE(CONTROL!$C$21, $C$9, 100%, $E$9)</f>
        <v>11.262700000000001</v>
      </c>
      <c r="K245" s="52">
        <f>CHOOSE(CONTROL!$C$42, 11.3131, 11.3131) * CHOOSE(CONTROL!$C$21, $C$9, 100%, $E$9)</f>
        <v>11.3131</v>
      </c>
      <c r="L245" s="17">
        <f>CHOOSE(CONTROL!$C$42, 12.1348, 12.1348) * CHOOSE(CONTROL!$C$21, $C$9, 100%, $E$9)</f>
        <v>12.1348</v>
      </c>
      <c r="M245" s="17">
        <f>CHOOSE(CONTROL!$C$42, 11.1684, 11.1684) * CHOOSE(CONTROL!$C$21, $C$9, 100%, $E$9)</f>
        <v>11.1684</v>
      </c>
      <c r="N245" s="17">
        <f>CHOOSE(CONTROL!$C$42, 11.1847, 11.1847) * CHOOSE(CONTROL!$C$21, $C$9, 100%, $E$9)</f>
        <v>11.184699999999999</v>
      </c>
      <c r="O245" s="17">
        <f>CHOOSE(CONTROL!$C$42, 11.451, 11.451) * CHOOSE(CONTROL!$C$21, $C$9, 100%, $E$9)</f>
        <v>11.451000000000001</v>
      </c>
      <c r="P245" s="17">
        <f>CHOOSE(CONTROL!$C$42, 11.2241, 11.2241) * CHOOSE(CONTROL!$C$21, $C$9, 100%, $E$9)</f>
        <v>11.2241</v>
      </c>
      <c r="Q245" s="17">
        <f>CHOOSE(CONTROL!$C$42, 12.0457, 12.0457) * CHOOSE(CONTROL!$C$21, $C$9, 100%, $E$9)</f>
        <v>12.0457</v>
      </c>
      <c r="R245" s="17">
        <f>CHOOSE(CONTROL!$C$42, 12.6628, 12.6628) * CHOOSE(CONTROL!$C$21, $C$9, 100%, $E$9)</f>
        <v>12.662800000000001</v>
      </c>
      <c r="S245" s="17">
        <f>CHOOSE(CONTROL!$C$42, 10.9076, 10.9076) * CHOOSE(CONTROL!$C$21, $C$9, 100%, $E$9)</f>
        <v>10.9076</v>
      </c>
      <c r="T245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245" s="56">
        <f>(1000*CHOOSE(CONTROL!$C$42, 695, 695)*CHOOSE(CONTROL!$C$42, 0.5599, 0.5599)*CHOOSE(CONTROL!$C$42, 31, 31))/1000000</f>
        <v>12.063045499999998</v>
      </c>
      <c r="V245" s="56">
        <f>(1000*CHOOSE(CONTROL!$C$42, 500, 500)*CHOOSE(CONTROL!$C$42, 0.275, 0.275)*CHOOSE(CONTROL!$C$42, 31, 31))/1000000</f>
        <v>4.2625000000000002</v>
      </c>
      <c r="W245" s="56">
        <f>(1000*CHOOSE(CONTROL!$C$42, 0.0916, 0.0916)*CHOOSE(CONTROL!$C$42, 121.5, 121.5)*CHOOSE(CONTROL!$C$42, 31, 31))/1000000</f>
        <v>0.34501139999999997</v>
      </c>
      <c r="X245" s="56">
        <f>(31*0.1790888*145000/1000000)+(31*0.2374*100000/1000000)</f>
        <v>1.5409441560000001</v>
      </c>
      <c r="Y245" s="56"/>
      <c r="Z245" s="17"/>
      <c r="AA245" s="55"/>
      <c r="AB245" s="48">
        <f>(B245*194.205+C245*267.466+D245*133.845+E245*153.484+F245*40+G245*85+H245*0+I245*100+J245*300)/(194.205+267.466+133.845+153.484+0+40+85+100+300)</f>
        <v>11.333461513265307</v>
      </c>
      <c r="AC245" s="45">
        <f>(M245*'RAP TEMPLATE-GAS AVAILABILITY'!O244+N245*'RAP TEMPLATE-GAS AVAILABILITY'!P244+O245*'RAP TEMPLATE-GAS AVAILABILITY'!Q244+P245*'RAP TEMPLATE-GAS AVAILABILITY'!R244)/('RAP TEMPLATE-GAS AVAILABILITY'!O244+'RAP TEMPLATE-GAS AVAILABILITY'!P244+'RAP TEMPLATE-GAS AVAILABILITY'!Q244+'RAP TEMPLATE-GAS AVAILABILITY'!R244)</f>
        <v>11.259457553956835</v>
      </c>
    </row>
    <row r="246" spans="1:29" ht="15.75" x14ac:dyDescent="0.25">
      <c r="A246" s="16">
        <v>48000</v>
      </c>
      <c r="B246" s="17">
        <f>CHOOSE(CONTROL!$C$42, 11.5795, 11.5795) * CHOOSE(CONTROL!$C$21, $C$9, 100%, $E$9)</f>
        <v>11.579499999999999</v>
      </c>
      <c r="C246" s="17">
        <f>CHOOSE(CONTROL!$C$42, 11.5874, 11.5874) * CHOOSE(CONTROL!$C$21, $C$9, 100%, $E$9)</f>
        <v>11.587400000000001</v>
      </c>
      <c r="D246" s="17">
        <f>CHOOSE(CONTROL!$C$42, 11.8474, 11.8474) * CHOOSE(CONTROL!$C$21, $C$9, 100%, $E$9)</f>
        <v>11.8474</v>
      </c>
      <c r="E246" s="17">
        <f>CHOOSE(CONTROL!$C$42, 11.8785, 11.8785) * CHOOSE(CONTROL!$C$21, $C$9, 100%, $E$9)</f>
        <v>11.878500000000001</v>
      </c>
      <c r="F246" s="17">
        <f>CHOOSE(CONTROL!$C$42, 11.5894, 11.5894)*CHOOSE(CONTROL!$C$21, $C$9, 100%, $E$9)</f>
        <v>11.589399999999999</v>
      </c>
      <c r="G246" s="17">
        <f>CHOOSE(CONTROL!$C$42, 11.606, 11.606)*CHOOSE(CONTROL!$C$21, $C$9, 100%, $E$9)</f>
        <v>11.606</v>
      </c>
      <c r="H246" s="17">
        <f>CHOOSE(CONTROL!$C$42, 11.8669, 11.8669) * CHOOSE(CONTROL!$C$21, $C$9, 100%, $E$9)</f>
        <v>11.866899999999999</v>
      </c>
      <c r="I246" s="17">
        <f>CHOOSE(CONTROL!$C$42, 11.6392, 11.6392)* CHOOSE(CONTROL!$C$21, $C$9, 100%, $E$9)</f>
        <v>11.639200000000001</v>
      </c>
      <c r="J246" s="17">
        <f>CHOOSE(CONTROL!$C$42, 11.582, 11.582)* CHOOSE(CONTROL!$C$21, $C$9, 100%, $E$9)</f>
        <v>11.582000000000001</v>
      </c>
      <c r="K246" s="52">
        <f>CHOOSE(CONTROL!$C$42, 11.6332, 11.6332) * CHOOSE(CONTROL!$C$21, $C$9, 100%, $E$9)</f>
        <v>11.6332</v>
      </c>
      <c r="L246" s="17">
        <f>CHOOSE(CONTROL!$C$42, 12.4539, 12.4539) * CHOOSE(CONTROL!$C$21, $C$9, 100%, $E$9)</f>
        <v>12.453900000000001</v>
      </c>
      <c r="M246" s="17">
        <f>CHOOSE(CONTROL!$C$42, 11.4849, 11.4849) * CHOOSE(CONTROL!$C$21, $C$9, 100%, $E$9)</f>
        <v>11.4849</v>
      </c>
      <c r="N246" s="17">
        <f>CHOOSE(CONTROL!$C$42, 11.5012, 11.5012) * CHOOSE(CONTROL!$C$21, $C$9, 100%, $E$9)</f>
        <v>11.501200000000001</v>
      </c>
      <c r="O246" s="17">
        <f>CHOOSE(CONTROL!$C$42, 11.7672, 11.7672) * CHOOSE(CONTROL!$C$21, $C$9, 100%, $E$9)</f>
        <v>11.767200000000001</v>
      </c>
      <c r="P246" s="17">
        <f>CHOOSE(CONTROL!$C$42, 11.5413, 11.5413) * CHOOSE(CONTROL!$C$21, $C$9, 100%, $E$9)</f>
        <v>11.5413</v>
      </c>
      <c r="Q246" s="17">
        <f>CHOOSE(CONTROL!$C$42, 12.3619, 12.3619) * CHOOSE(CONTROL!$C$21, $C$9, 100%, $E$9)</f>
        <v>12.3619</v>
      </c>
      <c r="R246" s="17">
        <f>CHOOSE(CONTROL!$C$42, 12.9798, 12.9798) * CHOOSE(CONTROL!$C$21, $C$9, 100%, $E$9)</f>
        <v>12.979799999999999</v>
      </c>
      <c r="S246" s="17">
        <f>CHOOSE(CONTROL!$C$42, 11.217, 11.217) * CHOOSE(CONTROL!$C$21, $C$9, 100%, $E$9)</f>
        <v>11.217000000000001</v>
      </c>
      <c r="T246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246" s="56">
        <f>(1000*CHOOSE(CONTROL!$C$42, 695, 695)*CHOOSE(CONTROL!$C$42, 0.5599, 0.5599)*CHOOSE(CONTROL!$C$42, 30, 30))/1000000</f>
        <v>11.673914999999997</v>
      </c>
      <c r="V246" s="56">
        <f>(1000*CHOOSE(CONTROL!$C$42, 500, 500)*CHOOSE(CONTROL!$C$42, 0.275, 0.275)*CHOOSE(CONTROL!$C$42, 30, 30))/1000000</f>
        <v>4.125</v>
      </c>
      <c r="W246" s="56">
        <f>(1000*CHOOSE(CONTROL!$C$42, 0.0916, 0.0916)*CHOOSE(CONTROL!$C$42, 121.5, 121.5)*CHOOSE(CONTROL!$C$42, 30, 30))/1000000</f>
        <v>0.33388200000000001</v>
      </c>
      <c r="X246" s="56">
        <f>(30*0.1790888*145000/1000000)+(30*0.2374*100000/1000000)</f>
        <v>1.4912362799999999</v>
      </c>
      <c r="Y246" s="56"/>
      <c r="Z246" s="17"/>
      <c r="AA246" s="55"/>
      <c r="AB246" s="48">
        <f>(B246*194.205+C246*267.466+D246*133.845+E246*153.484+F246*40+G246*85+H246*0+I246*100+J246*300)/(194.205+267.466+133.845+153.484+0+40+85+100+300)</f>
        <v>11.652679178100472</v>
      </c>
      <c r="AC246" s="45">
        <f>(M246*'RAP TEMPLATE-GAS AVAILABILITY'!O245+N246*'RAP TEMPLATE-GAS AVAILABILITY'!P245+O246*'RAP TEMPLATE-GAS AVAILABILITY'!Q245+P246*'RAP TEMPLATE-GAS AVAILABILITY'!R245)/('RAP TEMPLATE-GAS AVAILABILITY'!O245+'RAP TEMPLATE-GAS AVAILABILITY'!P245+'RAP TEMPLATE-GAS AVAILABILITY'!Q245+'RAP TEMPLATE-GAS AVAILABILITY'!R245)</f>
        <v>11.575974100719424</v>
      </c>
    </row>
    <row r="247" spans="1:29" ht="15.75" x14ac:dyDescent="0.25">
      <c r="A247" s="16">
        <v>48030</v>
      </c>
      <c r="B247" s="17">
        <f>CHOOSE(CONTROL!$C$42, 11.3575, 11.3575) * CHOOSE(CONTROL!$C$21, $C$9, 100%, $E$9)</f>
        <v>11.3575</v>
      </c>
      <c r="C247" s="17">
        <f>CHOOSE(CONTROL!$C$42, 11.3655, 11.3655) * CHOOSE(CONTROL!$C$21, $C$9, 100%, $E$9)</f>
        <v>11.365500000000001</v>
      </c>
      <c r="D247" s="17">
        <f>CHOOSE(CONTROL!$C$42, 11.6255, 11.6255) * CHOOSE(CONTROL!$C$21, $C$9, 100%, $E$9)</f>
        <v>11.625500000000001</v>
      </c>
      <c r="E247" s="17">
        <f>CHOOSE(CONTROL!$C$42, 11.6566, 11.6566) * CHOOSE(CONTROL!$C$21, $C$9, 100%, $E$9)</f>
        <v>11.656599999999999</v>
      </c>
      <c r="F247" s="17">
        <f>CHOOSE(CONTROL!$C$42, 11.3679, 11.3679)*CHOOSE(CONTROL!$C$21, $C$9, 100%, $E$9)</f>
        <v>11.367900000000001</v>
      </c>
      <c r="G247" s="17">
        <f>CHOOSE(CONTROL!$C$42, 11.3846, 11.3846)*CHOOSE(CONTROL!$C$21, $C$9, 100%, $E$9)</f>
        <v>11.384600000000001</v>
      </c>
      <c r="H247" s="17">
        <f>CHOOSE(CONTROL!$C$42, 11.645, 11.645) * CHOOSE(CONTROL!$C$21, $C$9, 100%, $E$9)</f>
        <v>11.645</v>
      </c>
      <c r="I247" s="17">
        <f>CHOOSE(CONTROL!$C$42, 11.4166, 11.4166)* CHOOSE(CONTROL!$C$21, $C$9, 100%, $E$9)</f>
        <v>11.416600000000001</v>
      </c>
      <c r="J247" s="17">
        <f>CHOOSE(CONTROL!$C$42, 11.3605, 11.3605)* CHOOSE(CONTROL!$C$21, $C$9, 100%, $E$9)</f>
        <v>11.3605</v>
      </c>
      <c r="K247" s="52">
        <f>CHOOSE(CONTROL!$C$42, 11.4106, 11.4106) * CHOOSE(CONTROL!$C$21, $C$9, 100%, $E$9)</f>
        <v>11.410600000000001</v>
      </c>
      <c r="L247" s="17">
        <f>CHOOSE(CONTROL!$C$42, 12.232, 12.232) * CHOOSE(CONTROL!$C$21, $C$9, 100%, $E$9)</f>
        <v>12.231999999999999</v>
      </c>
      <c r="M247" s="17">
        <f>CHOOSE(CONTROL!$C$42, 11.2654, 11.2654) * CHOOSE(CONTROL!$C$21, $C$9, 100%, $E$9)</f>
        <v>11.2654</v>
      </c>
      <c r="N247" s="17">
        <f>CHOOSE(CONTROL!$C$42, 11.2819, 11.2819) * CHOOSE(CONTROL!$C$21, $C$9, 100%, $E$9)</f>
        <v>11.2819</v>
      </c>
      <c r="O247" s="17">
        <f>CHOOSE(CONTROL!$C$42, 11.5472, 11.5472) * CHOOSE(CONTROL!$C$21, $C$9, 100%, $E$9)</f>
        <v>11.5472</v>
      </c>
      <c r="P247" s="17">
        <f>CHOOSE(CONTROL!$C$42, 11.3207, 11.3207) * CHOOSE(CONTROL!$C$21, $C$9, 100%, $E$9)</f>
        <v>11.3207</v>
      </c>
      <c r="Q247" s="17">
        <f>CHOOSE(CONTROL!$C$42, 12.1419, 12.1419) * CHOOSE(CONTROL!$C$21, $C$9, 100%, $E$9)</f>
        <v>12.1419</v>
      </c>
      <c r="R247" s="17">
        <f>CHOOSE(CONTROL!$C$42, 12.7593, 12.7593) * CHOOSE(CONTROL!$C$21, $C$9, 100%, $E$9)</f>
        <v>12.7593</v>
      </c>
      <c r="S247" s="17">
        <f>CHOOSE(CONTROL!$C$42, 11.0018, 11.0018) * CHOOSE(CONTROL!$C$21, $C$9, 100%, $E$9)</f>
        <v>11.001799999999999</v>
      </c>
      <c r="T247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247" s="56">
        <f>(1000*CHOOSE(CONTROL!$C$42, 695, 695)*CHOOSE(CONTROL!$C$42, 0.5599, 0.5599)*CHOOSE(CONTROL!$C$42, 31, 31))/1000000</f>
        <v>12.063045499999998</v>
      </c>
      <c r="V247" s="56">
        <f>(1000*CHOOSE(CONTROL!$C$42, 500, 500)*CHOOSE(CONTROL!$C$42, 0.275, 0.275)*CHOOSE(CONTROL!$C$42, 31, 31))/1000000</f>
        <v>4.2625000000000002</v>
      </c>
      <c r="W247" s="56">
        <f>(1000*CHOOSE(CONTROL!$C$42, 0.0916, 0.0916)*CHOOSE(CONTROL!$C$42, 121.5, 121.5)*CHOOSE(CONTROL!$C$42, 31, 31))/1000000</f>
        <v>0.34501139999999997</v>
      </c>
      <c r="X247" s="56">
        <f>(31*0.1790888*145000/1000000)+(31*0.2374*100000/1000000)</f>
        <v>1.5409441560000001</v>
      </c>
      <c r="Y247" s="56"/>
      <c r="Z247" s="17"/>
      <c r="AA247" s="55"/>
      <c r="AB247" s="48">
        <f>(B247*194.205+C247*267.466+D247*133.845+E247*153.484+F247*40+G247*85+H247*0+I247*100+J247*300)/(194.205+267.466+133.845+153.484+0+40+85+100+300)</f>
        <v>11.430849099215072</v>
      </c>
      <c r="AC247" s="45">
        <f>(M247*'RAP TEMPLATE-GAS AVAILABILITY'!O246+N247*'RAP TEMPLATE-GAS AVAILABILITY'!P246+O247*'RAP TEMPLATE-GAS AVAILABILITY'!Q246+P247*'RAP TEMPLATE-GAS AVAILABILITY'!R246)/('RAP TEMPLATE-GAS AVAILABILITY'!O246+'RAP TEMPLATE-GAS AVAILABILITY'!P246+'RAP TEMPLATE-GAS AVAILABILITY'!Q246+'RAP TEMPLATE-GAS AVAILABILITY'!R246)</f>
        <v>11.356221582733813</v>
      </c>
    </row>
    <row r="248" spans="1:29" ht="15.75" x14ac:dyDescent="0.25">
      <c r="A248" s="16">
        <v>48061</v>
      </c>
      <c r="B248" s="17">
        <f>CHOOSE(CONTROL!$C$42, 10.7972, 10.7972) * CHOOSE(CONTROL!$C$21, $C$9, 100%, $E$9)</f>
        <v>10.7972</v>
      </c>
      <c r="C248" s="17">
        <f>CHOOSE(CONTROL!$C$42, 10.8052, 10.8052) * CHOOSE(CONTROL!$C$21, $C$9, 100%, $E$9)</f>
        <v>10.805199999999999</v>
      </c>
      <c r="D248" s="17">
        <f>CHOOSE(CONTROL!$C$42, 11.0651, 11.0651) * CHOOSE(CONTROL!$C$21, $C$9, 100%, $E$9)</f>
        <v>11.065099999999999</v>
      </c>
      <c r="E248" s="17">
        <f>CHOOSE(CONTROL!$C$42, 11.0963, 11.0963) * CHOOSE(CONTROL!$C$21, $C$9, 100%, $E$9)</f>
        <v>11.096299999999999</v>
      </c>
      <c r="F248" s="17">
        <f>CHOOSE(CONTROL!$C$42, 10.8078, 10.8078)*CHOOSE(CONTROL!$C$21, $C$9, 100%, $E$9)</f>
        <v>10.8078</v>
      </c>
      <c r="G248" s="17">
        <f>CHOOSE(CONTROL!$C$42, 10.8245, 10.8245)*CHOOSE(CONTROL!$C$21, $C$9, 100%, $E$9)</f>
        <v>10.8245</v>
      </c>
      <c r="H248" s="17">
        <f>CHOOSE(CONTROL!$C$42, 11.0846, 11.0846) * CHOOSE(CONTROL!$C$21, $C$9, 100%, $E$9)</f>
        <v>11.0846</v>
      </c>
      <c r="I248" s="17">
        <f>CHOOSE(CONTROL!$C$42, 10.8545, 10.8545)* CHOOSE(CONTROL!$C$21, $C$9, 100%, $E$9)</f>
        <v>10.8545</v>
      </c>
      <c r="J248" s="17">
        <f>CHOOSE(CONTROL!$C$42, 10.8004, 10.8004)* CHOOSE(CONTROL!$C$21, $C$9, 100%, $E$9)</f>
        <v>10.8004</v>
      </c>
      <c r="K248" s="52">
        <f>CHOOSE(CONTROL!$C$42, 10.8485, 10.8485) * CHOOSE(CONTROL!$C$21, $C$9, 100%, $E$9)</f>
        <v>10.8485</v>
      </c>
      <c r="L248" s="17">
        <f>CHOOSE(CONTROL!$C$42, 11.6716, 11.6716) * CHOOSE(CONTROL!$C$21, $C$9, 100%, $E$9)</f>
        <v>11.6716</v>
      </c>
      <c r="M248" s="17">
        <f>CHOOSE(CONTROL!$C$42, 10.7103, 10.7103) * CHOOSE(CONTROL!$C$21, $C$9, 100%, $E$9)</f>
        <v>10.7103</v>
      </c>
      <c r="N248" s="17">
        <f>CHOOSE(CONTROL!$C$42, 10.7268, 10.7268) * CHOOSE(CONTROL!$C$21, $C$9, 100%, $E$9)</f>
        <v>10.726800000000001</v>
      </c>
      <c r="O248" s="17">
        <f>CHOOSE(CONTROL!$C$42, 10.9919, 10.9919) * CHOOSE(CONTROL!$C$21, $C$9, 100%, $E$9)</f>
        <v>10.991899999999999</v>
      </c>
      <c r="P248" s="17">
        <f>CHOOSE(CONTROL!$C$42, 10.7637, 10.7637) * CHOOSE(CONTROL!$C$21, $C$9, 100%, $E$9)</f>
        <v>10.7637</v>
      </c>
      <c r="Q248" s="17">
        <f>CHOOSE(CONTROL!$C$42, 11.5866, 11.5866) * CHOOSE(CONTROL!$C$21, $C$9, 100%, $E$9)</f>
        <v>11.586600000000001</v>
      </c>
      <c r="R248" s="17">
        <f>CHOOSE(CONTROL!$C$42, 12.2026, 12.2026) * CHOOSE(CONTROL!$C$21, $C$9, 100%, $E$9)</f>
        <v>12.2026</v>
      </c>
      <c r="S248" s="17">
        <f>CHOOSE(CONTROL!$C$42, 10.4584, 10.4584) * CHOOSE(CONTROL!$C$21, $C$9, 100%, $E$9)</f>
        <v>10.458399999999999</v>
      </c>
      <c r="T248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248" s="56">
        <f>(1000*CHOOSE(CONTROL!$C$42, 695, 695)*CHOOSE(CONTROL!$C$42, 0.5599, 0.5599)*CHOOSE(CONTROL!$C$42, 31, 31))/1000000</f>
        <v>12.063045499999998</v>
      </c>
      <c r="V248" s="56">
        <f>(1000*CHOOSE(CONTROL!$C$42, 500, 500)*CHOOSE(CONTROL!$C$42, 0.275, 0.275)*CHOOSE(CONTROL!$C$42, 31, 31))/1000000</f>
        <v>4.2625000000000002</v>
      </c>
      <c r="W248" s="56">
        <f>(1000*CHOOSE(CONTROL!$C$42, 0.0916, 0.0916)*CHOOSE(CONTROL!$C$42, 121.5, 121.5)*CHOOSE(CONTROL!$C$42, 31, 31))/1000000</f>
        <v>0.34501139999999997</v>
      </c>
      <c r="X248" s="56">
        <f>(31*0.1790888*145000/1000000)+(31*0.2374*100000/1000000)</f>
        <v>1.5409441560000001</v>
      </c>
      <c r="Y248" s="56"/>
      <c r="Z248" s="17"/>
      <c r="AA248" s="55"/>
      <c r="AB248" s="48">
        <f>(B248*194.205+C248*267.466+D248*133.845+E248*153.484+F248*40+G248*85+H248*0+I248*100+J248*300)/(194.205+267.466+133.845+153.484+0+40+85+100+300)</f>
        <v>10.870464025039245</v>
      </c>
      <c r="AC248" s="45">
        <f>(M248*'RAP TEMPLATE-GAS AVAILABILITY'!O247+N248*'RAP TEMPLATE-GAS AVAILABILITY'!P247+O248*'RAP TEMPLATE-GAS AVAILABILITY'!Q247+P248*'RAP TEMPLATE-GAS AVAILABILITY'!R247)/('RAP TEMPLATE-GAS AVAILABILITY'!O247+'RAP TEMPLATE-GAS AVAILABILITY'!P247+'RAP TEMPLATE-GAS AVAILABILITY'!Q247+'RAP TEMPLATE-GAS AVAILABILITY'!R247)</f>
        <v>10.800792086330935</v>
      </c>
    </row>
    <row r="249" spans="1:29" ht="15.75" x14ac:dyDescent="0.25">
      <c r="A249" s="16">
        <v>48092</v>
      </c>
      <c r="B249" s="17">
        <f>CHOOSE(CONTROL!$C$42, 10.1122, 10.1122) * CHOOSE(CONTROL!$C$21, $C$9, 100%, $E$9)</f>
        <v>10.1122</v>
      </c>
      <c r="C249" s="17">
        <f>CHOOSE(CONTROL!$C$42, 10.1202, 10.1202) * CHOOSE(CONTROL!$C$21, $C$9, 100%, $E$9)</f>
        <v>10.120200000000001</v>
      </c>
      <c r="D249" s="17">
        <f>CHOOSE(CONTROL!$C$42, 10.3802, 10.3802) * CHOOSE(CONTROL!$C$21, $C$9, 100%, $E$9)</f>
        <v>10.3802</v>
      </c>
      <c r="E249" s="17">
        <f>CHOOSE(CONTROL!$C$42, 10.4113, 10.4113) * CHOOSE(CONTROL!$C$21, $C$9, 100%, $E$9)</f>
        <v>10.411300000000001</v>
      </c>
      <c r="F249" s="17">
        <f>CHOOSE(CONTROL!$C$42, 10.1229, 10.1229)*CHOOSE(CONTROL!$C$21, $C$9, 100%, $E$9)</f>
        <v>10.1229</v>
      </c>
      <c r="G249" s="17">
        <f>CHOOSE(CONTROL!$C$42, 10.1396, 10.1396)*CHOOSE(CONTROL!$C$21, $C$9, 100%, $E$9)</f>
        <v>10.1396</v>
      </c>
      <c r="H249" s="17">
        <f>CHOOSE(CONTROL!$C$42, 10.3997, 10.3997) * CHOOSE(CONTROL!$C$21, $C$9, 100%, $E$9)</f>
        <v>10.399699999999999</v>
      </c>
      <c r="I249" s="17">
        <f>CHOOSE(CONTROL!$C$42, 10.1675, 10.1675)* CHOOSE(CONTROL!$C$21, $C$9, 100%, $E$9)</f>
        <v>10.1675</v>
      </c>
      <c r="J249" s="17">
        <f>CHOOSE(CONTROL!$C$42, 10.1155, 10.1155)* CHOOSE(CONTROL!$C$21, $C$9, 100%, $E$9)</f>
        <v>10.115500000000001</v>
      </c>
      <c r="K249" s="52">
        <f>CHOOSE(CONTROL!$C$42, 10.1614, 10.1614) * CHOOSE(CONTROL!$C$21, $C$9, 100%, $E$9)</f>
        <v>10.1614</v>
      </c>
      <c r="L249" s="17">
        <f>CHOOSE(CONTROL!$C$42, 10.9867, 10.9867) * CHOOSE(CONTROL!$C$21, $C$9, 100%, $E$9)</f>
        <v>10.986700000000001</v>
      </c>
      <c r="M249" s="17">
        <f>CHOOSE(CONTROL!$C$42, 10.0315, 10.0315) * CHOOSE(CONTROL!$C$21, $C$9, 100%, $E$9)</f>
        <v>10.031499999999999</v>
      </c>
      <c r="N249" s="17">
        <f>CHOOSE(CONTROL!$C$42, 10.0481, 10.0481) * CHOOSE(CONTROL!$C$21, $C$9, 100%, $E$9)</f>
        <v>10.0481</v>
      </c>
      <c r="O249" s="17">
        <f>CHOOSE(CONTROL!$C$42, 10.3131, 10.3131) * CHOOSE(CONTROL!$C$21, $C$9, 100%, $E$9)</f>
        <v>10.3131</v>
      </c>
      <c r="P249" s="17">
        <f>CHOOSE(CONTROL!$C$42, 10.0828, 10.0828) * CHOOSE(CONTROL!$C$21, $C$9, 100%, $E$9)</f>
        <v>10.082800000000001</v>
      </c>
      <c r="Q249" s="17">
        <f>CHOOSE(CONTROL!$C$42, 10.9078, 10.9078) * CHOOSE(CONTROL!$C$21, $C$9, 100%, $E$9)</f>
        <v>10.9078</v>
      </c>
      <c r="R249" s="17">
        <f>CHOOSE(CONTROL!$C$42, 11.5221, 11.5221) * CHOOSE(CONTROL!$C$21, $C$9, 100%, $E$9)</f>
        <v>11.5221</v>
      </c>
      <c r="S249" s="17">
        <f>CHOOSE(CONTROL!$C$42, 9.7943, 9.7943) * CHOOSE(CONTROL!$C$21, $C$9, 100%, $E$9)</f>
        <v>9.7942999999999998</v>
      </c>
      <c r="T249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249" s="56">
        <f>(1000*CHOOSE(CONTROL!$C$42, 695, 695)*CHOOSE(CONTROL!$C$42, 0.5599, 0.5599)*CHOOSE(CONTROL!$C$42, 30, 30))/1000000</f>
        <v>11.673914999999997</v>
      </c>
      <c r="V249" s="56">
        <f>(1000*CHOOSE(CONTROL!$C$42, 500, 500)*CHOOSE(CONTROL!$C$42, 0.275, 0.275)*CHOOSE(CONTROL!$C$42, 30, 30))/1000000</f>
        <v>4.125</v>
      </c>
      <c r="W249" s="56">
        <f>(1000*CHOOSE(CONTROL!$C$42, 0.0916, 0.0916)*CHOOSE(CONTROL!$C$42, 121.5, 121.5)*CHOOSE(CONTROL!$C$42, 30, 30))/1000000</f>
        <v>0.33388200000000001</v>
      </c>
      <c r="X249" s="56">
        <f>(30*0.1790888*145000/1000000)+(30*0.2374*100000/1000000)</f>
        <v>1.4912362799999999</v>
      </c>
      <c r="Y249" s="56"/>
      <c r="Z249" s="17"/>
      <c r="AA249" s="55"/>
      <c r="AB249" s="48">
        <f>(B249*194.205+C249*267.466+D249*133.845+E249*153.484+F249*40+G249*85+H249*0+I249*100+J249*300)/(194.205+267.466+133.845+153.484+0+40+85+100+300)</f>
        <v>10.185350904552589</v>
      </c>
      <c r="AC249" s="45">
        <f>(M249*'RAP TEMPLATE-GAS AVAILABILITY'!O248+N249*'RAP TEMPLATE-GAS AVAILABILITY'!P248+O249*'RAP TEMPLATE-GAS AVAILABILITY'!Q248+P249*'RAP TEMPLATE-GAS AVAILABILITY'!R248)/('RAP TEMPLATE-GAS AVAILABILITY'!O248+'RAP TEMPLATE-GAS AVAILABILITY'!P248+'RAP TEMPLATE-GAS AVAILABILITY'!Q248+'RAP TEMPLATE-GAS AVAILABILITY'!R248)</f>
        <v>10.121712949640287</v>
      </c>
    </row>
    <row r="250" spans="1:29" ht="15.75" x14ac:dyDescent="0.25">
      <c r="A250" s="16">
        <v>48122</v>
      </c>
      <c r="B250" s="17">
        <f>CHOOSE(CONTROL!$C$42, 9.9054, 9.9054) * CHOOSE(CONTROL!$C$21, $C$9, 100%, $E$9)</f>
        <v>9.9054000000000002</v>
      </c>
      <c r="C250" s="17">
        <f>CHOOSE(CONTROL!$C$42, 9.9108, 9.9108) * CHOOSE(CONTROL!$C$21, $C$9, 100%, $E$9)</f>
        <v>9.9108000000000001</v>
      </c>
      <c r="D250" s="17">
        <f>CHOOSE(CONTROL!$C$42, 10.1756, 10.1756) * CHOOSE(CONTROL!$C$21, $C$9, 100%, $E$9)</f>
        <v>10.175599999999999</v>
      </c>
      <c r="E250" s="17">
        <f>CHOOSE(CONTROL!$C$42, 10.2045, 10.2045) * CHOOSE(CONTROL!$C$21, $C$9, 100%, $E$9)</f>
        <v>10.204499999999999</v>
      </c>
      <c r="F250" s="17">
        <f>CHOOSE(CONTROL!$C$42, 9.9183, 9.9183)*CHOOSE(CONTROL!$C$21, $C$9, 100%, $E$9)</f>
        <v>9.9183000000000003</v>
      </c>
      <c r="G250" s="17">
        <f>CHOOSE(CONTROL!$C$42, 9.9349, 9.9349)*CHOOSE(CONTROL!$C$21, $C$9, 100%, $E$9)</f>
        <v>9.9349000000000007</v>
      </c>
      <c r="H250" s="17">
        <f>CHOOSE(CONTROL!$C$42, 10.1946, 10.1946) * CHOOSE(CONTROL!$C$21, $C$9, 100%, $E$9)</f>
        <v>10.194599999999999</v>
      </c>
      <c r="I250" s="17">
        <f>CHOOSE(CONTROL!$C$42, 9.9618, 9.9618)* CHOOSE(CONTROL!$C$21, $C$9, 100%, $E$9)</f>
        <v>9.9618000000000002</v>
      </c>
      <c r="J250" s="17">
        <f>CHOOSE(CONTROL!$C$42, 9.9109, 9.9109)* CHOOSE(CONTROL!$C$21, $C$9, 100%, $E$9)</f>
        <v>9.9108999999999998</v>
      </c>
      <c r="K250" s="52">
        <f>CHOOSE(CONTROL!$C$42, 9.9557, 9.9557) * CHOOSE(CONTROL!$C$21, $C$9, 100%, $E$9)</f>
        <v>9.9557000000000002</v>
      </c>
      <c r="L250" s="17">
        <f>CHOOSE(CONTROL!$C$42, 10.7816, 10.7816) * CHOOSE(CONTROL!$C$21, $C$9, 100%, $E$9)</f>
        <v>10.781599999999999</v>
      </c>
      <c r="M250" s="17">
        <f>CHOOSE(CONTROL!$C$42, 9.8288, 9.8288) * CHOOSE(CONTROL!$C$21, $C$9, 100%, $E$9)</f>
        <v>9.8287999999999993</v>
      </c>
      <c r="N250" s="17">
        <f>CHOOSE(CONTROL!$C$42, 9.8452, 9.8452) * CHOOSE(CONTROL!$C$21, $C$9, 100%, $E$9)</f>
        <v>9.8452000000000002</v>
      </c>
      <c r="O250" s="17">
        <f>CHOOSE(CONTROL!$C$42, 10.1099, 10.1099) * CHOOSE(CONTROL!$C$21, $C$9, 100%, $E$9)</f>
        <v>10.1099</v>
      </c>
      <c r="P250" s="17">
        <f>CHOOSE(CONTROL!$C$42, 9.879, 9.879) * CHOOSE(CONTROL!$C$21, $C$9, 100%, $E$9)</f>
        <v>9.8789999999999996</v>
      </c>
      <c r="Q250" s="17">
        <f>CHOOSE(CONTROL!$C$42, 10.7046, 10.7046) * CHOOSE(CONTROL!$C$21, $C$9, 100%, $E$9)</f>
        <v>10.704599999999999</v>
      </c>
      <c r="R250" s="17">
        <f>CHOOSE(CONTROL!$C$42, 11.3184, 11.3184) * CHOOSE(CONTROL!$C$21, $C$9, 100%, $E$9)</f>
        <v>11.3184</v>
      </c>
      <c r="S250" s="17">
        <f>CHOOSE(CONTROL!$C$42, 9.5954, 9.5954) * CHOOSE(CONTROL!$C$21, $C$9, 100%, $E$9)</f>
        <v>9.5953999999999997</v>
      </c>
      <c r="T250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250" s="56">
        <f>(1000*CHOOSE(CONTROL!$C$42, 695, 695)*CHOOSE(CONTROL!$C$42, 0.5599, 0.5599)*CHOOSE(CONTROL!$C$42, 31, 31))/1000000</f>
        <v>12.063045499999998</v>
      </c>
      <c r="V250" s="56">
        <f>(1000*CHOOSE(CONTROL!$C$42, 500, 500)*CHOOSE(CONTROL!$C$42, 0.275, 0.275)*CHOOSE(CONTROL!$C$42, 31, 31))/1000000</f>
        <v>4.2625000000000002</v>
      </c>
      <c r="W250" s="56">
        <f>(1000*CHOOSE(CONTROL!$C$42, 0.0916, 0.0916)*CHOOSE(CONTROL!$C$42, 121.5, 121.5)*CHOOSE(CONTROL!$C$42, 31, 31))/1000000</f>
        <v>0.34501139999999997</v>
      </c>
      <c r="X250" s="56">
        <f>(31*0.1790888*145000/1000000)+(31*0.2374*100000/1000000)</f>
        <v>1.5409441560000001</v>
      </c>
      <c r="Y250" s="56"/>
      <c r="Z250" s="17"/>
      <c r="AA250" s="55"/>
      <c r="AB250" s="48">
        <f>(B250*131.881+C250*277.167+D250*79.08+E250*225.872+F250*40+G250*85+H250*0+I250*100+J250*300)/(131.881+277.167+79.08+225.872+0+40+85+100+300)</f>
        <v>9.9867042235673953</v>
      </c>
      <c r="AC250" s="45">
        <f>(M250*'RAP TEMPLATE-GAS AVAILABILITY'!O249+N250*'RAP TEMPLATE-GAS AVAILABILITY'!P249+O250*'RAP TEMPLATE-GAS AVAILABILITY'!Q249+P250*'RAP TEMPLATE-GAS AVAILABILITY'!R249)/('RAP TEMPLATE-GAS AVAILABILITY'!O249+'RAP TEMPLATE-GAS AVAILABILITY'!P249+'RAP TEMPLATE-GAS AVAILABILITY'!Q249+'RAP TEMPLATE-GAS AVAILABILITY'!R249)</f>
        <v>9.9186683453237396</v>
      </c>
    </row>
    <row r="251" spans="1:29" ht="15.75" x14ac:dyDescent="0.25">
      <c r="A251" s="16">
        <v>48153</v>
      </c>
      <c r="B251" s="17">
        <f>CHOOSE(CONTROL!$C$42, 10.1657, 10.1657) * CHOOSE(CONTROL!$C$21, $C$9, 100%, $E$9)</f>
        <v>10.165699999999999</v>
      </c>
      <c r="C251" s="17">
        <f>CHOOSE(CONTROL!$C$42, 10.1708, 10.1708) * CHOOSE(CONTROL!$C$21, $C$9, 100%, $E$9)</f>
        <v>10.1708</v>
      </c>
      <c r="D251" s="17">
        <f>CHOOSE(CONTROL!$C$42, 10.3115, 10.3115) * CHOOSE(CONTROL!$C$21, $C$9, 100%, $E$9)</f>
        <v>10.311500000000001</v>
      </c>
      <c r="E251" s="17">
        <f>CHOOSE(CONTROL!$C$42, 10.3452, 10.3452) * CHOOSE(CONTROL!$C$21, $C$9, 100%, $E$9)</f>
        <v>10.3452</v>
      </c>
      <c r="F251" s="17">
        <f>CHOOSE(CONTROL!$C$42, 10.179, 10.179)*CHOOSE(CONTROL!$C$21, $C$9, 100%, $E$9)</f>
        <v>10.179</v>
      </c>
      <c r="G251" s="17">
        <f>CHOOSE(CONTROL!$C$42, 10.1959, 10.1959)*CHOOSE(CONTROL!$C$21, $C$9, 100%, $E$9)</f>
        <v>10.1959</v>
      </c>
      <c r="H251" s="17">
        <f>CHOOSE(CONTROL!$C$42, 10.3341, 10.3341) * CHOOSE(CONTROL!$C$21, $C$9, 100%, $E$9)</f>
        <v>10.334099999999999</v>
      </c>
      <c r="I251" s="17">
        <f>CHOOSE(CONTROL!$C$42, 10.2196, 10.2196)* CHOOSE(CONTROL!$C$21, $C$9, 100%, $E$9)</f>
        <v>10.2196</v>
      </c>
      <c r="J251" s="17">
        <f>CHOOSE(CONTROL!$C$42, 10.1716, 10.1716)* CHOOSE(CONTROL!$C$21, $C$9, 100%, $E$9)</f>
        <v>10.1716</v>
      </c>
      <c r="K251" s="52">
        <f>CHOOSE(CONTROL!$C$42, 10.2136, 10.2136) * CHOOSE(CONTROL!$C$21, $C$9, 100%, $E$9)</f>
        <v>10.2136</v>
      </c>
      <c r="L251" s="17">
        <f>CHOOSE(CONTROL!$C$42, 10.9211, 10.9211) * CHOOSE(CONTROL!$C$21, $C$9, 100%, $E$9)</f>
        <v>10.921099999999999</v>
      </c>
      <c r="M251" s="17">
        <f>CHOOSE(CONTROL!$C$42, 10.0871, 10.0871) * CHOOSE(CONTROL!$C$21, $C$9, 100%, $E$9)</f>
        <v>10.0871</v>
      </c>
      <c r="N251" s="17">
        <f>CHOOSE(CONTROL!$C$42, 10.1038, 10.1038) * CHOOSE(CONTROL!$C$21, $C$9, 100%, $E$9)</f>
        <v>10.1038</v>
      </c>
      <c r="O251" s="17">
        <f>CHOOSE(CONTROL!$C$42, 10.2482, 10.2482) * CHOOSE(CONTROL!$C$21, $C$9, 100%, $E$9)</f>
        <v>10.248200000000001</v>
      </c>
      <c r="P251" s="17">
        <f>CHOOSE(CONTROL!$C$42, 10.1345, 10.1345) * CHOOSE(CONTROL!$C$21, $C$9, 100%, $E$9)</f>
        <v>10.134499999999999</v>
      </c>
      <c r="Q251" s="17">
        <f>CHOOSE(CONTROL!$C$42, 10.8429, 10.8429) * CHOOSE(CONTROL!$C$21, $C$9, 100%, $E$9)</f>
        <v>10.8429</v>
      </c>
      <c r="R251" s="17">
        <f>CHOOSE(CONTROL!$C$42, 11.457, 11.457) * CHOOSE(CONTROL!$C$21, $C$9, 100%, $E$9)</f>
        <v>11.457000000000001</v>
      </c>
      <c r="S251" s="17">
        <f>CHOOSE(CONTROL!$C$42, 9.8482, 9.8482) * CHOOSE(CONTROL!$C$21, $C$9, 100%, $E$9)</f>
        <v>9.8482000000000003</v>
      </c>
      <c r="T251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251" s="56">
        <f>(1000*CHOOSE(CONTROL!$C$42, 695, 695)*CHOOSE(CONTROL!$C$42, 0.5599, 0.5599)*CHOOSE(CONTROL!$C$42, 30, 30))/1000000</f>
        <v>11.673914999999997</v>
      </c>
      <c r="V251" s="56">
        <f>(1000*CHOOSE(CONTROL!$C$42, 500, 500)*CHOOSE(CONTROL!$C$42, 0.275, 0.275)*CHOOSE(CONTROL!$C$42, 30, 30))/1000000</f>
        <v>4.125</v>
      </c>
      <c r="W251" s="56">
        <f>(1000*CHOOSE(CONTROL!$C$42, 0.0916, 0.0916)*CHOOSE(CONTROL!$C$42, 121.5, 121.5)*CHOOSE(CONTROL!$C$42, 30, 30))/1000000</f>
        <v>0.33388200000000001</v>
      </c>
      <c r="X251" s="56">
        <f>(30*0.2374*100000/1000000)</f>
        <v>0.71220000000000006</v>
      </c>
      <c r="Y251" s="56"/>
      <c r="Z251" s="17"/>
      <c r="AA251" s="55"/>
      <c r="AB251" s="48">
        <f>(B251*122.58+C251*297.941+D251*89.177+E251*140.302+F251*40+G251*60+H251*0+I251*100+J251*300)/(122.58+297.941+89.177+140.302+0+40+60+100+300)</f>
        <v>10.208491056260868</v>
      </c>
      <c r="AC251" s="45">
        <f>(M251*'RAP TEMPLATE-GAS AVAILABILITY'!O250+N251*'RAP TEMPLATE-GAS AVAILABILITY'!P250+O251*'RAP TEMPLATE-GAS AVAILABILITY'!Q250+P251*'RAP TEMPLATE-GAS AVAILABILITY'!R250)/('RAP TEMPLATE-GAS AVAILABILITY'!O250+'RAP TEMPLATE-GAS AVAILABILITY'!P250+'RAP TEMPLATE-GAS AVAILABILITY'!Q250+'RAP TEMPLATE-GAS AVAILABILITY'!R250)</f>
        <v>10.167897841726617</v>
      </c>
    </row>
    <row r="252" spans="1:29" ht="15.75" x14ac:dyDescent="0.25">
      <c r="A252" s="16">
        <v>48183</v>
      </c>
      <c r="B252" s="17">
        <f>CHOOSE(CONTROL!$C$42, 10.8581, 10.8581) * CHOOSE(CONTROL!$C$21, $C$9, 100%, $E$9)</f>
        <v>10.8581</v>
      </c>
      <c r="C252" s="17">
        <f>CHOOSE(CONTROL!$C$42, 10.8632, 10.8632) * CHOOSE(CONTROL!$C$21, $C$9, 100%, $E$9)</f>
        <v>10.863200000000001</v>
      </c>
      <c r="D252" s="17">
        <f>CHOOSE(CONTROL!$C$42, 11.0038, 11.0038) * CHOOSE(CONTROL!$C$21, $C$9, 100%, $E$9)</f>
        <v>11.0038</v>
      </c>
      <c r="E252" s="17">
        <f>CHOOSE(CONTROL!$C$42, 11.0376, 11.0376) * CHOOSE(CONTROL!$C$21, $C$9, 100%, $E$9)</f>
        <v>11.037599999999999</v>
      </c>
      <c r="F252" s="17">
        <f>CHOOSE(CONTROL!$C$42, 10.8738, 10.8738)*CHOOSE(CONTROL!$C$21, $C$9, 100%, $E$9)</f>
        <v>10.873799999999999</v>
      </c>
      <c r="G252" s="17">
        <f>CHOOSE(CONTROL!$C$42, 10.8913, 10.8913)*CHOOSE(CONTROL!$C$21, $C$9, 100%, $E$9)</f>
        <v>10.891299999999999</v>
      </c>
      <c r="H252" s="17">
        <f>CHOOSE(CONTROL!$C$42, 11.0265, 11.0265) * CHOOSE(CONTROL!$C$21, $C$9, 100%, $E$9)</f>
        <v>11.0265</v>
      </c>
      <c r="I252" s="17">
        <f>CHOOSE(CONTROL!$C$42, 10.9141, 10.9141)* CHOOSE(CONTROL!$C$21, $C$9, 100%, $E$9)</f>
        <v>10.914099999999999</v>
      </c>
      <c r="J252" s="17">
        <f>CHOOSE(CONTROL!$C$42, 10.8664, 10.8664)* CHOOSE(CONTROL!$C$21, $C$9, 100%, $E$9)</f>
        <v>10.866400000000001</v>
      </c>
      <c r="K252" s="52">
        <f>CHOOSE(CONTROL!$C$42, 10.9081, 10.9081) * CHOOSE(CONTROL!$C$21, $C$9, 100%, $E$9)</f>
        <v>10.908099999999999</v>
      </c>
      <c r="L252" s="17">
        <f>CHOOSE(CONTROL!$C$42, 11.6135, 11.6135) * CHOOSE(CONTROL!$C$21, $C$9, 100%, $E$9)</f>
        <v>11.6135</v>
      </c>
      <c r="M252" s="17">
        <f>CHOOSE(CONTROL!$C$42, 10.7757, 10.7757) * CHOOSE(CONTROL!$C$21, $C$9, 100%, $E$9)</f>
        <v>10.775700000000001</v>
      </c>
      <c r="N252" s="17">
        <f>CHOOSE(CONTROL!$C$42, 10.793, 10.793) * CHOOSE(CONTROL!$C$21, $C$9, 100%, $E$9)</f>
        <v>10.792999999999999</v>
      </c>
      <c r="O252" s="17">
        <f>CHOOSE(CONTROL!$C$42, 10.9343, 10.9343) * CHOOSE(CONTROL!$C$21, $C$9, 100%, $E$9)</f>
        <v>10.9343</v>
      </c>
      <c r="P252" s="17">
        <f>CHOOSE(CONTROL!$C$42, 10.8227, 10.8227) * CHOOSE(CONTROL!$C$21, $C$9, 100%, $E$9)</f>
        <v>10.822699999999999</v>
      </c>
      <c r="Q252" s="17">
        <f>CHOOSE(CONTROL!$C$42, 11.529, 11.529) * CHOOSE(CONTROL!$C$21, $C$9, 100%, $E$9)</f>
        <v>11.529</v>
      </c>
      <c r="R252" s="17">
        <f>CHOOSE(CONTROL!$C$42, 12.1448, 12.1448) * CHOOSE(CONTROL!$C$21, $C$9, 100%, $E$9)</f>
        <v>12.1448</v>
      </c>
      <c r="S252" s="17">
        <f>CHOOSE(CONTROL!$C$42, 10.5196, 10.5196) * CHOOSE(CONTROL!$C$21, $C$9, 100%, $E$9)</f>
        <v>10.519600000000001</v>
      </c>
      <c r="T252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252" s="56">
        <f>(1000*CHOOSE(CONTROL!$C$42, 695, 695)*CHOOSE(CONTROL!$C$42, 0.5599, 0.5599)*CHOOSE(CONTROL!$C$42, 31, 31))/1000000</f>
        <v>12.063045499999998</v>
      </c>
      <c r="V252" s="56">
        <f>(1000*CHOOSE(CONTROL!$C$42, 500, 500)*CHOOSE(CONTROL!$C$42, 0.275, 0.275)*CHOOSE(CONTROL!$C$42, 31, 31))/1000000</f>
        <v>4.2625000000000002</v>
      </c>
      <c r="W252" s="56">
        <f>(1000*CHOOSE(CONTROL!$C$42, 0.0916, 0.0916)*CHOOSE(CONTROL!$C$42, 121.5, 121.5)*CHOOSE(CONTROL!$C$42, 31, 31))/1000000</f>
        <v>0.34501139999999997</v>
      </c>
      <c r="X252" s="56">
        <f>(31*0.2374*100000/1000000)</f>
        <v>0.73594000000000004</v>
      </c>
      <c r="Y252" s="56"/>
      <c r="Z252" s="17"/>
      <c r="AA252" s="55"/>
      <c r="AB252" s="48">
        <f>(B252*122.58+C252*297.941+D252*89.177+E252*140.302+F252*40+G252*60+H252*0+I252*100+J252*300)/(122.58+297.941+89.177+140.302+0+40+60+100+300)</f>
        <v>10.901931997391305</v>
      </c>
      <c r="AC252" s="45">
        <f>(M252*'RAP TEMPLATE-GAS AVAILABILITY'!O251+N252*'RAP TEMPLATE-GAS AVAILABILITY'!P251+O252*'RAP TEMPLATE-GAS AVAILABILITY'!Q251+P252*'RAP TEMPLATE-GAS AVAILABILITY'!R251)/('RAP TEMPLATE-GAS AVAILABILITY'!O251+'RAP TEMPLATE-GAS AVAILABILITY'!P251+'RAP TEMPLATE-GAS AVAILABILITY'!Q251+'RAP TEMPLATE-GAS AVAILABILITY'!R251)</f>
        <v>10.855341726618704</v>
      </c>
    </row>
    <row r="253" spans="1:29" ht="15.75" x14ac:dyDescent="0.25">
      <c r="A253" s="16">
        <v>48214</v>
      </c>
      <c r="B253" s="17">
        <f>CHOOSE(CONTROL!$C$42, 11.6918, 11.6918) * CHOOSE(CONTROL!$C$21, $C$9, 100%, $E$9)</f>
        <v>11.691800000000001</v>
      </c>
      <c r="C253" s="17">
        <f>CHOOSE(CONTROL!$C$42, 11.6968, 11.6968) * CHOOSE(CONTROL!$C$21, $C$9, 100%, $E$9)</f>
        <v>11.6968</v>
      </c>
      <c r="D253" s="17">
        <f>CHOOSE(CONTROL!$C$42, 11.8308, 11.8308) * CHOOSE(CONTROL!$C$21, $C$9, 100%, $E$9)</f>
        <v>11.8308</v>
      </c>
      <c r="E253" s="17">
        <f>CHOOSE(CONTROL!$C$42, 11.8646, 11.8646) * CHOOSE(CONTROL!$C$21, $C$9, 100%, $E$9)</f>
        <v>11.864599999999999</v>
      </c>
      <c r="F253" s="17">
        <f>CHOOSE(CONTROL!$C$42, 11.7052, 11.7052)*CHOOSE(CONTROL!$C$21, $C$9, 100%, $E$9)</f>
        <v>11.7052</v>
      </c>
      <c r="G253" s="17">
        <f>CHOOSE(CONTROL!$C$42, 11.7221, 11.7221)*CHOOSE(CONTROL!$C$21, $C$9, 100%, $E$9)</f>
        <v>11.722099999999999</v>
      </c>
      <c r="H253" s="17">
        <f>CHOOSE(CONTROL!$C$42, 11.8534, 11.8534) * CHOOSE(CONTROL!$C$21, $C$9, 100%, $E$9)</f>
        <v>11.853400000000001</v>
      </c>
      <c r="I253" s="17">
        <f>CHOOSE(CONTROL!$C$42, 11.7545, 11.7545)* CHOOSE(CONTROL!$C$21, $C$9, 100%, $E$9)</f>
        <v>11.7545</v>
      </c>
      <c r="J253" s="17">
        <f>CHOOSE(CONTROL!$C$42, 11.6978, 11.6978)* CHOOSE(CONTROL!$C$21, $C$9, 100%, $E$9)</f>
        <v>11.697800000000001</v>
      </c>
      <c r="K253" s="52">
        <f>CHOOSE(CONTROL!$C$42, 11.7485, 11.7485) * CHOOSE(CONTROL!$C$21, $C$9, 100%, $E$9)</f>
        <v>11.7485</v>
      </c>
      <c r="L253" s="17">
        <f>CHOOSE(CONTROL!$C$42, 12.4404, 12.4404) * CHOOSE(CONTROL!$C$21, $C$9, 100%, $E$9)</f>
        <v>12.4404</v>
      </c>
      <c r="M253" s="17">
        <f>CHOOSE(CONTROL!$C$42, 11.5996, 11.5996) * CHOOSE(CONTROL!$C$21, $C$9, 100%, $E$9)</f>
        <v>11.599600000000001</v>
      </c>
      <c r="N253" s="17">
        <f>CHOOSE(CONTROL!$C$42, 11.6163, 11.6163) * CHOOSE(CONTROL!$C$21, $C$9, 100%, $E$9)</f>
        <v>11.616300000000001</v>
      </c>
      <c r="O253" s="17">
        <f>CHOOSE(CONTROL!$C$42, 11.7538, 11.7538) * CHOOSE(CONTROL!$C$21, $C$9, 100%, $E$9)</f>
        <v>11.7538</v>
      </c>
      <c r="P253" s="17">
        <f>CHOOSE(CONTROL!$C$42, 11.6556, 11.6556) * CHOOSE(CONTROL!$C$21, $C$9, 100%, $E$9)</f>
        <v>11.6556</v>
      </c>
      <c r="Q253" s="17">
        <f>CHOOSE(CONTROL!$C$42, 12.3485, 12.3485) * CHOOSE(CONTROL!$C$21, $C$9, 100%, $E$9)</f>
        <v>12.3485</v>
      </c>
      <c r="R253" s="17">
        <f>CHOOSE(CONTROL!$C$42, 12.9664, 12.9664) * CHOOSE(CONTROL!$C$21, $C$9, 100%, $E$9)</f>
        <v>12.9664</v>
      </c>
      <c r="S253" s="17">
        <f>CHOOSE(CONTROL!$C$42, 11.328, 11.328) * CHOOSE(CONTROL!$C$21, $C$9, 100%, $E$9)</f>
        <v>11.327999999999999</v>
      </c>
      <c r="T253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253" s="56">
        <f>(1000*CHOOSE(CONTROL!$C$42, 695, 695)*CHOOSE(CONTROL!$C$42, 0.5599, 0.5599)*CHOOSE(CONTROL!$C$42, 31, 31))/1000000</f>
        <v>12.063045499999998</v>
      </c>
      <c r="V253" s="56">
        <f>(1000*CHOOSE(CONTROL!$C$42, 500, 500)*CHOOSE(CONTROL!$C$42, 0.275, 0.275)*CHOOSE(CONTROL!$C$42, 31, 31))/1000000</f>
        <v>4.2625000000000002</v>
      </c>
      <c r="W253" s="56">
        <f>(1000*CHOOSE(CONTROL!$C$42, 0.0916, 0.0916)*CHOOSE(CONTROL!$C$42, 121.5, 121.5)*CHOOSE(CONTROL!$C$42, 31, 31))/1000000</f>
        <v>0.34501139999999997</v>
      </c>
      <c r="X253" s="56">
        <f>(31*0.2374*100000/1000000)</f>
        <v>0.73594000000000004</v>
      </c>
      <c r="Y253" s="56"/>
      <c r="Z253" s="17"/>
      <c r="AA253" s="55"/>
      <c r="AB253" s="48">
        <f>(B253*122.58+C253*297.941+D253*89.177+E253*140.302+F253*40+G253*60+H253*0+I253*100+J253*300)/(122.58+297.941+89.177+140.302+0+40+60+100+300)</f>
        <v>11.734020429217392</v>
      </c>
      <c r="AC253" s="45">
        <f>(M253*'RAP TEMPLATE-GAS AVAILABILITY'!O252+N253*'RAP TEMPLATE-GAS AVAILABILITY'!P252+O253*'RAP TEMPLATE-GAS AVAILABILITY'!Q252+P253*'RAP TEMPLATE-GAS AVAILABILITY'!R252)/('RAP TEMPLATE-GAS AVAILABILITY'!O252+'RAP TEMPLATE-GAS AVAILABILITY'!P252+'RAP TEMPLATE-GAS AVAILABILITY'!Q252+'RAP TEMPLATE-GAS AVAILABILITY'!R252)</f>
        <v>11.678507913669065</v>
      </c>
    </row>
    <row r="254" spans="1:29" ht="15.75" x14ac:dyDescent="0.25">
      <c r="A254" s="16">
        <v>48245</v>
      </c>
      <c r="B254" s="17">
        <f>CHOOSE(CONTROL!$C$42, 11.8997, 11.8997) * CHOOSE(CONTROL!$C$21, $C$9, 100%, $E$9)</f>
        <v>11.899699999999999</v>
      </c>
      <c r="C254" s="17">
        <f>CHOOSE(CONTROL!$C$42, 11.9048, 11.9048) * CHOOSE(CONTROL!$C$21, $C$9, 100%, $E$9)</f>
        <v>11.9048</v>
      </c>
      <c r="D254" s="17">
        <f>CHOOSE(CONTROL!$C$42, 12.0387, 12.0387) * CHOOSE(CONTROL!$C$21, $C$9, 100%, $E$9)</f>
        <v>12.0387</v>
      </c>
      <c r="E254" s="17">
        <f>CHOOSE(CONTROL!$C$42, 12.0725, 12.0725) * CHOOSE(CONTROL!$C$21, $C$9, 100%, $E$9)</f>
        <v>12.0725</v>
      </c>
      <c r="F254" s="17">
        <f>CHOOSE(CONTROL!$C$42, 11.9131, 11.9131)*CHOOSE(CONTROL!$C$21, $C$9, 100%, $E$9)</f>
        <v>11.9131</v>
      </c>
      <c r="G254" s="17">
        <f>CHOOSE(CONTROL!$C$42, 11.93, 11.93)*CHOOSE(CONTROL!$C$21, $C$9, 100%, $E$9)</f>
        <v>11.93</v>
      </c>
      <c r="H254" s="17">
        <f>CHOOSE(CONTROL!$C$42, 12.0614, 12.0614) * CHOOSE(CONTROL!$C$21, $C$9, 100%, $E$9)</f>
        <v>12.061400000000001</v>
      </c>
      <c r="I254" s="17">
        <f>CHOOSE(CONTROL!$C$42, 11.9631, 11.9631)* CHOOSE(CONTROL!$C$21, $C$9, 100%, $E$9)</f>
        <v>11.963100000000001</v>
      </c>
      <c r="J254" s="17">
        <f>CHOOSE(CONTROL!$C$42, 11.9057, 11.9057)* CHOOSE(CONTROL!$C$21, $C$9, 100%, $E$9)</f>
        <v>11.9057</v>
      </c>
      <c r="K254" s="52">
        <f>CHOOSE(CONTROL!$C$42, 11.9571, 11.9571) * CHOOSE(CONTROL!$C$21, $C$9, 100%, $E$9)</f>
        <v>11.957100000000001</v>
      </c>
      <c r="L254" s="17">
        <f>CHOOSE(CONTROL!$C$42, 12.6484, 12.6484) * CHOOSE(CONTROL!$C$21, $C$9, 100%, $E$9)</f>
        <v>12.648400000000001</v>
      </c>
      <c r="M254" s="17">
        <f>CHOOSE(CONTROL!$C$42, 11.8056, 11.8056) * CHOOSE(CONTROL!$C$21, $C$9, 100%, $E$9)</f>
        <v>11.8056</v>
      </c>
      <c r="N254" s="17">
        <f>CHOOSE(CONTROL!$C$42, 11.8224, 11.8224) * CHOOSE(CONTROL!$C$21, $C$9, 100%, $E$9)</f>
        <v>11.8224</v>
      </c>
      <c r="O254" s="17">
        <f>CHOOSE(CONTROL!$C$42, 11.9599, 11.9599) * CHOOSE(CONTROL!$C$21, $C$9, 100%, $E$9)</f>
        <v>11.959899999999999</v>
      </c>
      <c r="P254" s="17">
        <f>CHOOSE(CONTROL!$C$42, 11.8623, 11.8623) * CHOOSE(CONTROL!$C$21, $C$9, 100%, $E$9)</f>
        <v>11.862299999999999</v>
      </c>
      <c r="Q254" s="17">
        <f>CHOOSE(CONTROL!$C$42, 12.5546, 12.5546) * CHOOSE(CONTROL!$C$21, $C$9, 100%, $E$9)</f>
        <v>12.554600000000001</v>
      </c>
      <c r="R254" s="17">
        <f>CHOOSE(CONTROL!$C$42, 13.173, 13.173) * CHOOSE(CONTROL!$C$21, $C$9, 100%, $E$9)</f>
        <v>13.173</v>
      </c>
      <c r="S254" s="17">
        <f>CHOOSE(CONTROL!$C$42, 11.5296, 11.5296) * CHOOSE(CONTROL!$C$21, $C$9, 100%, $E$9)</f>
        <v>11.5296</v>
      </c>
      <c r="T254" s="56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254" s="56">
        <f>(1000*CHOOSE(CONTROL!$C$42, 695, 695)*CHOOSE(CONTROL!$C$42, 0.5599, 0.5599)*CHOOSE(CONTROL!$C$42, 29, 29))/1000000</f>
        <v>11.284784499999999</v>
      </c>
      <c r="V254" s="56">
        <f>(1000*CHOOSE(CONTROL!$C$42, 500, 500)*CHOOSE(CONTROL!$C$42, 0.275, 0.275)*CHOOSE(CONTROL!$C$42, 29, 29))/1000000</f>
        <v>3.9874999999999998</v>
      </c>
      <c r="W254" s="56">
        <f>(1000*CHOOSE(CONTROL!$C$42, 0.0916, 0.0916)*CHOOSE(CONTROL!$C$42, 121.5, 121.5)*CHOOSE(CONTROL!$C$42, 29, 29))/1000000</f>
        <v>0.3227526</v>
      </c>
      <c r="X254" s="56">
        <f>(29*0.2374*100000/1000000)</f>
        <v>0.68845999999999996</v>
      </c>
      <c r="Y254" s="56"/>
      <c r="Z254" s="17"/>
      <c r="AA254" s="55"/>
      <c r="AB254" s="48">
        <f>(B254*122.58+C254*297.941+D254*89.177+E254*140.302+F254*40+G254*60+H254*0+I254*100+J254*300)/(122.58+297.941+89.177+140.302+0+40+60+100+300)</f>
        <v>11.942007206695651</v>
      </c>
      <c r="AC254" s="45">
        <f>(M254*'RAP TEMPLATE-GAS AVAILABILITY'!O253+N254*'RAP TEMPLATE-GAS AVAILABILITY'!P253+O254*'RAP TEMPLATE-GAS AVAILABILITY'!Q253+P254*'RAP TEMPLATE-GAS AVAILABILITY'!R253)/('RAP TEMPLATE-GAS AVAILABILITY'!O253+'RAP TEMPLATE-GAS AVAILABILITY'!P253+'RAP TEMPLATE-GAS AVAILABILITY'!Q253+'RAP TEMPLATE-GAS AVAILABILITY'!R253)</f>
        <v>11.884659712230215</v>
      </c>
    </row>
    <row r="255" spans="1:29" ht="15.75" x14ac:dyDescent="0.25">
      <c r="A255" s="16">
        <v>48274</v>
      </c>
      <c r="B255" s="17">
        <f>CHOOSE(CONTROL!$C$42, 11.5622, 11.5622) * CHOOSE(CONTROL!$C$21, $C$9, 100%, $E$9)</f>
        <v>11.562200000000001</v>
      </c>
      <c r="C255" s="17">
        <f>CHOOSE(CONTROL!$C$42, 11.5672, 11.5672) * CHOOSE(CONTROL!$C$21, $C$9, 100%, $E$9)</f>
        <v>11.5672</v>
      </c>
      <c r="D255" s="17">
        <f>CHOOSE(CONTROL!$C$42, 11.7012, 11.7012) * CHOOSE(CONTROL!$C$21, $C$9, 100%, $E$9)</f>
        <v>11.7012</v>
      </c>
      <c r="E255" s="17">
        <f>CHOOSE(CONTROL!$C$42, 11.735, 11.735) * CHOOSE(CONTROL!$C$21, $C$9, 100%, $E$9)</f>
        <v>11.734999999999999</v>
      </c>
      <c r="F255" s="17">
        <f>CHOOSE(CONTROL!$C$42, 11.5748, 11.5748)*CHOOSE(CONTROL!$C$21, $C$9, 100%, $E$9)</f>
        <v>11.5748</v>
      </c>
      <c r="G255" s="17">
        <f>CHOOSE(CONTROL!$C$42, 11.5915, 11.5915)*CHOOSE(CONTROL!$C$21, $C$9, 100%, $E$9)</f>
        <v>11.5915</v>
      </c>
      <c r="H255" s="17">
        <f>CHOOSE(CONTROL!$C$42, 11.7238, 11.7238) * CHOOSE(CONTROL!$C$21, $C$9, 100%, $E$9)</f>
        <v>11.723800000000001</v>
      </c>
      <c r="I255" s="17">
        <f>CHOOSE(CONTROL!$C$42, 11.6245, 11.6245)* CHOOSE(CONTROL!$C$21, $C$9, 100%, $E$9)</f>
        <v>11.624499999999999</v>
      </c>
      <c r="J255" s="17">
        <f>CHOOSE(CONTROL!$C$42, 11.5674, 11.5674)* CHOOSE(CONTROL!$C$21, $C$9, 100%, $E$9)</f>
        <v>11.567399999999999</v>
      </c>
      <c r="K255" s="52">
        <f>CHOOSE(CONTROL!$C$42, 11.6185, 11.6185) * CHOOSE(CONTROL!$C$21, $C$9, 100%, $E$9)</f>
        <v>11.618499999999999</v>
      </c>
      <c r="L255" s="17">
        <f>CHOOSE(CONTROL!$C$42, 12.3108, 12.3108) * CHOOSE(CONTROL!$C$21, $C$9, 100%, $E$9)</f>
        <v>12.3108</v>
      </c>
      <c r="M255" s="17">
        <f>CHOOSE(CONTROL!$C$42, 11.4704, 11.4704) * CHOOSE(CONTROL!$C$21, $C$9, 100%, $E$9)</f>
        <v>11.4704</v>
      </c>
      <c r="N255" s="17">
        <f>CHOOSE(CONTROL!$C$42, 11.4869, 11.4869) * CHOOSE(CONTROL!$C$21, $C$9, 100%, $E$9)</f>
        <v>11.4869</v>
      </c>
      <c r="O255" s="17">
        <f>CHOOSE(CONTROL!$C$42, 11.6254, 11.6254) * CHOOSE(CONTROL!$C$21, $C$9, 100%, $E$9)</f>
        <v>11.625400000000001</v>
      </c>
      <c r="P255" s="17">
        <f>CHOOSE(CONTROL!$C$42, 11.5267, 11.5267) * CHOOSE(CONTROL!$C$21, $C$9, 100%, $E$9)</f>
        <v>11.5267</v>
      </c>
      <c r="Q255" s="17">
        <f>CHOOSE(CONTROL!$C$42, 12.2201, 12.2201) * CHOOSE(CONTROL!$C$21, $C$9, 100%, $E$9)</f>
        <v>12.2201</v>
      </c>
      <c r="R255" s="17">
        <f>CHOOSE(CONTROL!$C$42, 12.8376, 12.8376) * CHOOSE(CONTROL!$C$21, $C$9, 100%, $E$9)</f>
        <v>12.8376</v>
      </c>
      <c r="S255" s="17">
        <f>CHOOSE(CONTROL!$C$42, 11.2023, 11.2023) * CHOOSE(CONTROL!$C$21, $C$9, 100%, $E$9)</f>
        <v>11.202299999999999</v>
      </c>
      <c r="T255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255" s="56">
        <f>(1000*CHOOSE(CONTROL!$C$42, 695, 695)*CHOOSE(CONTROL!$C$42, 0.5599, 0.5599)*CHOOSE(CONTROL!$C$42, 31, 31))/1000000</f>
        <v>12.063045499999998</v>
      </c>
      <c r="V255" s="56">
        <f>(1000*CHOOSE(CONTROL!$C$42, 500, 500)*CHOOSE(CONTROL!$C$42, 0.275, 0.275)*CHOOSE(CONTROL!$C$42, 31, 31))/1000000</f>
        <v>4.2625000000000002</v>
      </c>
      <c r="W255" s="56">
        <f>(1000*CHOOSE(CONTROL!$C$42, 0.0916, 0.0916)*CHOOSE(CONTROL!$C$42, 121.5, 121.5)*CHOOSE(CONTROL!$C$42, 31, 31))/1000000</f>
        <v>0.34501139999999997</v>
      </c>
      <c r="X255" s="56">
        <f>(31*0.2374*100000/1000000)</f>
        <v>0.73594000000000004</v>
      </c>
      <c r="Y255" s="56"/>
      <c r="Z255" s="17"/>
      <c r="AA255" s="55"/>
      <c r="AB255" s="48">
        <f>(B255*122.58+C255*297.941+D255*89.177+E255*140.302+F255*40+G255*60+H255*0+I255*100+J255*300)/(122.58+297.941+89.177+140.302+0+40+60+100+300)</f>
        <v>11.604096950956521</v>
      </c>
      <c r="AC255" s="45">
        <f>(M255*'RAP TEMPLATE-GAS AVAILABILITY'!O254+N255*'RAP TEMPLATE-GAS AVAILABILITY'!P254+O255*'RAP TEMPLATE-GAS AVAILABILITY'!Q254+P255*'RAP TEMPLATE-GAS AVAILABILITY'!R254)/('RAP TEMPLATE-GAS AVAILABILITY'!O254+'RAP TEMPLATE-GAS AVAILABILITY'!P254+'RAP TEMPLATE-GAS AVAILABILITY'!Q254+'RAP TEMPLATE-GAS AVAILABILITY'!R254)</f>
        <v>11.54970215827338</v>
      </c>
    </row>
    <row r="256" spans="1:29" ht="15.75" x14ac:dyDescent="0.25">
      <c r="A256" s="16">
        <v>48305</v>
      </c>
      <c r="B256" s="17">
        <f>CHOOSE(CONTROL!$C$42, 11.5286, 11.5286) * CHOOSE(CONTROL!$C$21, $C$9, 100%, $E$9)</f>
        <v>11.528600000000001</v>
      </c>
      <c r="C256" s="17">
        <f>CHOOSE(CONTROL!$C$42, 11.5331, 11.5331) * CHOOSE(CONTROL!$C$21, $C$9, 100%, $E$9)</f>
        <v>11.533099999999999</v>
      </c>
      <c r="D256" s="17">
        <f>CHOOSE(CONTROL!$C$42, 11.7961, 11.7961) * CHOOSE(CONTROL!$C$21, $C$9, 100%, $E$9)</f>
        <v>11.796099999999999</v>
      </c>
      <c r="E256" s="17">
        <f>CHOOSE(CONTROL!$C$42, 11.8279, 11.8279) * CHOOSE(CONTROL!$C$21, $C$9, 100%, $E$9)</f>
        <v>11.8279</v>
      </c>
      <c r="F256" s="17">
        <f>CHOOSE(CONTROL!$C$42, 11.5395, 11.5395)*CHOOSE(CONTROL!$C$21, $C$9, 100%, $E$9)</f>
        <v>11.5395</v>
      </c>
      <c r="G256" s="17">
        <f>CHOOSE(CONTROL!$C$42, 11.5557, 11.5557)*CHOOSE(CONTROL!$C$21, $C$9, 100%, $E$9)</f>
        <v>11.5557</v>
      </c>
      <c r="H256" s="17">
        <f>CHOOSE(CONTROL!$C$42, 11.8174, 11.8174) * CHOOSE(CONTROL!$C$21, $C$9, 100%, $E$9)</f>
        <v>11.817399999999999</v>
      </c>
      <c r="I256" s="17">
        <f>CHOOSE(CONTROL!$C$42, 11.5896, 11.5896)* CHOOSE(CONTROL!$C$21, $C$9, 100%, $E$9)</f>
        <v>11.589600000000001</v>
      </c>
      <c r="J256" s="17">
        <f>CHOOSE(CONTROL!$C$42, 11.5321, 11.5321)* CHOOSE(CONTROL!$C$21, $C$9, 100%, $E$9)</f>
        <v>11.5321</v>
      </c>
      <c r="K256" s="52">
        <f>CHOOSE(CONTROL!$C$42, 11.5836, 11.5836) * CHOOSE(CONTROL!$C$21, $C$9, 100%, $E$9)</f>
        <v>11.583600000000001</v>
      </c>
      <c r="L256" s="17">
        <f>CHOOSE(CONTROL!$C$42, 12.4044, 12.4044) * CHOOSE(CONTROL!$C$21, $C$9, 100%, $E$9)</f>
        <v>12.404400000000001</v>
      </c>
      <c r="M256" s="17">
        <f>CHOOSE(CONTROL!$C$42, 11.4354, 11.4354) * CHOOSE(CONTROL!$C$21, $C$9, 100%, $E$9)</f>
        <v>11.4354</v>
      </c>
      <c r="N256" s="17">
        <f>CHOOSE(CONTROL!$C$42, 11.4514, 11.4514) * CHOOSE(CONTROL!$C$21, $C$9, 100%, $E$9)</f>
        <v>11.4514</v>
      </c>
      <c r="O256" s="17">
        <f>CHOOSE(CONTROL!$C$42, 11.7181, 11.7181) * CHOOSE(CONTROL!$C$21, $C$9, 100%, $E$9)</f>
        <v>11.7181</v>
      </c>
      <c r="P256" s="17">
        <f>CHOOSE(CONTROL!$C$42, 11.4921, 11.4921) * CHOOSE(CONTROL!$C$21, $C$9, 100%, $E$9)</f>
        <v>11.492100000000001</v>
      </c>
      <c r="Q256" s="17">
        <f>CHOOSE(CONTROL!$C$42, 12.3128, 12.3128) * CHOOSE(CONTROL!$C$21, $C$9, 100%, $E$9)</f>
        <v>12.312799999999999</v>
      </c>
      <c r="R256" s="17">
        <f>CHOOSE(CONTROL!$C$42, 12.9306, 12.9306) * CHOOSE(CONTROL!$C$21, $C$9, 100%, $E$9)</f>
        <v>12.9306</v>
      </c>
      <c r="S256" s="17">
        <f>CHOOSE(CONTROL!$C$42, 11.169, 11.169) * CHOOSE(CONTROL!$C$21, $C$9, 100%, $E$9)</f>
        <v>11.169</v>
      </c>
      <c r="T256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256" s="56">
        <f>(1000*CHOOSE(CONTROL!$C$42, 695, 695)*CHOOSE(CONTROL!$C$42, 0.5599, 0.5599)*CHOOSE(CONTROL!$C$42, 30, 30))/1000000</f>
        <v>11.673914999999997</v>
      </c>
      <c r="V256" s="56">
        <f>(1000*CHOOSE(CONTROL!$C$42, 500, 500)*CHOOSE(CONTROL!$C$42, 0.275, 0.275)*CHOOSE(CONTROL!$C$42, 30, 30))/1000000</f>
        <v>4.125</v>
      </c>
      <c r="W256" s="56">
        <f>(1000*CHOOSE(CONTROL!$C$42, 0.0916, 0.0916)*CHOOSE(CONTROL!$C$42, 121.5, 121.5)*CHOOSE(CONTROL!$C$42, 30, 30))/1000000</f>
        <v>0.33388200000000001</v>
      </c>
      <c r="X256" s="56">
        <f>(30*0.1790888*145000/1000000)+(30*0.2374*100000/1000000)</f>
        <v>1.4912362799999999</v>
      </c>
      <c r="Y256" s="56"/>
      <c r="Z256" s="17"/>
      <c r="AA256" s="55"/>
      <c r="AB256" s="48">
        <f>(B256*141.293+C256*267.993+D256*115.016+E256*189.698+F256*40+G256*85+H256*0+I256*100+J256*300)/(141.293+267.993+115.016+189.698+0+40+85+100+300)</f>
        <v>11.60821167062147</v>
      </c>
      <c r="AC256" s="45">
        <f>(M256*'RAP TEMPLATE-GAS AVAILABILITY'!O255+N256*'RAP TEMPLATE-GAS AVAILABILITY'!P255+O256*'RAP TEMPLATE-GAS AVAILABILITY'!Q255+P256*'RAP TEMPLATE-GAS AVAILABILITY'!R255)/('RAP TEMPLATE-GAS AVAILABILITY'!O255+'RAP TEMPLATE-GAS AVAILABILITY'!P255+'RAP TEMPLATE-GAS AVAILABILITY'!Q255+'RAP TEMPLATE-GAS AVAILABILITY'!R255)</f>
        <v>11.526560431654676</v>
      </c>
    </row>
    <row r="257" spans="1:29" ht="15.75" x14ac:dyDescent="0.25">
      <c r="A257" s="16">
        <v>48335</v>
      </c>
      <c r="B257" s="17">
        <f>CHOOSE(CONTROL!$C$42, 11.6316, 11.6316) * CHOOSE(CONTROL!$C$21, $C$9, 100%, $E$9)</f>
        <v>11.631600000000001</v>
      </c>
      <c r="C257" s="17">
        <f>CHOOSE(CONTROL!$C$42, 11.6396, 11.6396) * CHOOSE(CONTROL!$C$21, $C$9, 100%, $E$9)</f>
        <v>11.6396</v>
      </c>
      <c r="D257" s="17">
        <f>CHOOSE(CONTROL!$C$42, 11.8995, 11.8995) * CHOOSE(CONTROL!$C$21, $C$9, 100%, $E$9)</f>
        <v>11.8995</v>
      </c>
      <c r="E257" s="17">
        <f>CHOOSE(CONTROL!$C$42, 11.9307, 11.9307) * CHOOSE(CONTROL!$C$21, $C$9, 100%, $E$9)</f>
        <v>11.9307</v>
      </c>
      <c r="F257" s="17">
        <f>CHOOSE(CONTROL!$C$42, 11.6413, 11.6413)*CHOOSE(CONTROL!$C$21, $C$9, 100%, $E$9)</f>
        <v>11.641299999999999</v>
      </c>
      <c r="G257" s="17">
        <f>CHOOSE(CONTROL!$C$42, 11.6578, 11.6578)*CHOOSE(CONTROL!$C$21, $C$9, 100%, $E$9)</f>
        <v>11.6578</v>
      </c>
      <c r="H257" s="17">
        <f>CHOOSE(CONTROL!$C$42, 11.919, 11.919) * CHOOSE(CONTROL!$C$21, $C$9, 100%, $E$9)</f>
        <v>11.919</v>
      </c>
      <c r="I257" s="17">
        <f>CHOOSE(CONTROL!$C$42, 11.6916, 11.6916)* CHOOSE(CONTROL!$C$21, $C$9, 100%, $E$9)</f>
        <v>11.691599999999999</v>
      </c>
      <c r="J257" s="17">
        <f>CHOOSE(CONTROL!$C$42, 11.6339, 11.6339)* CHOOSE(CONTROL!$C$21, $C$9, 100%, $E$9)</f>
        <v>11.633900000000001</v>
      </c>
      <c r="K257" s="52">
        <f>CHOOSE(CONTROL!$C$42, 11.6855, 11.6855) * CHOOSE(CONTROL!$C$21, $C$9, 100%, $E$9)</f>
        <v>11.685499999999999</v>
      </c>
      <c r="L257" s="17">
        <f>CHOOSE(CONTROL!$C$42, 12.506, 12.506) * CHOOSE(CONTROL!$C$21, $C$9, 100%, $E$9)</f>
        <v>12.506</v>
      </c>
      <c r="M257" s="17">
        <f>CHOOSE(CONTROL!$C$42, 11.5363, 11.5363) * CHOOSE(CONTROL!$C$21, $C$9, 100%, $E$9)</f>
        <v>11.536300000000001</v>
      </c>
      <c r="N257" s="17">
        <f>CHOOSE(CONTROL!$C$42, 11.5526, 11.5526) * CHOOSE(CONTROL!$C$21, $C$9, 100%, $E$9)</f>
        <v>11.5526</v>
      </c>
      <c r="O257" s="17">
        <f>CHOOSE(CONTROL!$C$42, 11.8189, 11.8189) * CHOOSE(CONTROL!$C$21, $C$9, 100%, $E$9)</f>
        <v>11.818899999999999</v>
      </c>
      <c r="P257" s="17">
        <f>CHOOSE(CONTROL!$C$42, 11.5931, 11.5931) * CHOOSE(CONTROL!$C$21, $C$9, 100%, $E$9)</f>
        <v>11.5931</v>
      </c>
      <c r="Q257" s="17">
        <f>CHOOSE(CONTROL!$C$42, 12.4136, 12.4136) * CHOOSE(CONTROL!$C$21, $C$9, 100%, $E$9)</f>
        <v>12.413600000000001</v>
      </c>
      <c r="R257" s="17">
        <f>CHOOSE(CONTROL!$C$42, 13.0316, 13.0316) * CHOOSE(CONTROL!$C$21, $C$9, 100%, $E$9)</f>
        <v>13.031599999999999</v>
      </c>
      <c r="S257" s="17">
        <f>CHOOSE(CONTROL!$C$42, 11.2676, 11.2676) * CHOOSE(CONTROL!$C$21, $C$9, 100%, $E$9)</f>
        <v>11.2676</v>
      </c>
      <c r="T257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257" s="56">
        <f>(1000*CHOOSE(CONTROL!$C$42, 695, 695)*CHOOSE(CONTROL!$C$42, 0.5599, 0.5599)*CHOOSE(CONTROL!$C$42, 31, 31))/1000000</f>
        <v>12.063045499999998</v>
      </c>
      <c r="V257" s="56">
        <f>(1000*CHOOSE(CONTROL!$C$42, 500, 500)*CHOOSE(CONTROL!$C$42, 0.275, 0.275)*CHOOSE(CONTROL!$C$42, 31, 31))/1000000</f>
        <v>4.2625000000000002</v>
      </c>
      <c r="W257" s="56">
        <f>(1000*CHOOSE(CONTROL!$C$42, 0.0916, 0.0916)*CHOOSE(CONTROL!$C$42, 121.5, 121.5)*CHOOSE(CONTROL!$C$42, 31, 31))/1000000</f>
        <v>0.34501139999999997</v>
      </c>
      <c r="X257" s="56">
        <f>(31*0.1790888*145000/1000000)+(31*0.2374*100000/1000000)</f>
        <v>1.5409441560000001</v>
      </c>
      <c r="Y257" s="56"/>
      <c r="Z257" s="17"/>
      <c r="AA257" s="55"/>
      <c r="AB257" s="48">
        <f>(B257*194.205+C257*267.466+D257*133.845+E257*153.484+F257*40+G257*85+H257*0+I257*100+J257*300)/(194.205+267.466+133.845+153.484+0+40+85+100+300)</f>
        <v>11.704762376687599</v>
      </c>
      <c r="AC257" s="45">
        <f>(M257*'RAP TEMPLATE-GAS AVAILABILITY'!O256+N257*'RAP TEMPLATE-GAS AVAILABILITY'!P256+O257*'RAP TEMPLATE-GAS AVAILABILITY'!Q256+P257*'RAP TEMPLATE-GAS AVAILABILITY'!R256)/('RAP TEMPLATE-GAS AVAILABILITY'!O256+'RAP TEMPLATE-GAS AVAILABILITY'!P256+'RAP TEMPLATE-GAS AVAILABILITY'!Q256+'RAP TEMPLATE-GAS AVAILABILITY'!R256)</f>
        <v>11.627515827338129</v>
      </c>
    </row>
    <row r="258" spans="1:29" ht="15.75" x14ac:dyDescent="0.25">
      <c r="A258" s="16">
        <v>48366</v>
      </c>
      <c r="B258" s="17">
        <f>CHOOSE(CONTROL!$C$42, 11.9612, 11.9612) * CHOOSE(CONTROL!$C$21, $C$9, 100%, $E$9)</f>
        <v>11.9612</v>
      </c>
      <c r="C258" s="17">
        <f>CHOOSE(CONTROL!$C$42, 11.9692, 11.9692) * CHOOSE(CONTROL!$C$21, $C$9, 100%, $E$9)</f>
        <v>11.969200000000001</v>
      </c>
      <c r="D258" s="17">
        <f>CHOOSE(CONTROL!$C$42, 12.2291, 12.2291) * CHOOSE(CONTROL!$C$21, $C$9, 100%, $E$9)</f>
        <v>12.229100000000001</v>
      </c>
      <c r="E258" s="17">
        <f>CHOOSE(CONTROL!$C$42, 12.2603, 12.2603) * CHOOSE(CONTROL!$C$21, $C$9, 100%, $E$9)</f>
        <v>12.260300000000001</v>
      </c>
      <c r="F258" s="17">
        <f>CHOOSE(CONTROL!$C$42, 11.9712, 11.9712)*CHOOSE(CONTROL!$C$21, $C$9, 100%, $E$9)</f>
        <v>11.9712</v>
      </c>
      <c r="G258" s="17">
        <f>CHOOSE(CONTROL!$C$42, 11.9877, 11.9877)*CHOOSE(CONTROL!$C$21, $C$9, 100%, $E$9)</f>
        <v>11.9877</v>
      </c>
      <c r="H258" s="17">
        <f>CHOOSE(CONTROL!$C$42, 12.2486, 12.2486) * CHOOSE(CONTROL!$C$21, $C$9, 100%, $E$9)</f>
        <v>12.2486</v>
      </c>
      <c r="I258" s="17">
        <f>CHOOSE(CONTROL!$C$42, 12.0222, 12.0222)* CHOOSE(CONTROL!$C$21, $C$9, 100%, $E$9)</f>
        <v>12.0222</v>
      </c>
      <c r="J258" s="17">
        <f>CHOOSE(CONTROL!$C$42, 11.9638, 11.9638)* CHOOSE(CONTROL!$C$21, $C$9, 100%, $E$9)</f>
        <v>11.963800000000001</v>
      </c>
      <c r="K258" s="52">
        <f>CHOOSE(CONTROL!$C$42, 12.0161, 12.0161) * CHOOSE(CONTROL!$C$21, $C$9, 100%, $E$9)</f>
        <v>12.0161</v>
      </c>
      <c r="L258" s="17">
        <f>CHOOSE(CONTROL!$C$42, 12.8356, 12.8356) * CHOOSE(CONTROL!$C$21, $C$9, 100%, $E$9)</f>
        <v>12.835599999999999</v>
      </c>
      <c r="M258" s="17">
        <f>CHOOSE(CONTROL!$C$42, 11.8632, 11.8632) * CHOOSE(CONTROL!$C$21, $C$9, 100%, $E$9)</f>
        <v>11.863200000000001</v>
      </c>
      <c r="N258" s="17">
        <f>CHOOSE(CONTROL!$C$42, 11.8796, 11.8796) * CHOOSE(CONTROL!$C$21, $C$9, 100%, $E$9)</f>
        <v>11.8796</v>
      </c>
      <c r="O258" s="17">
        <f>CHOOSE(CONTROL!$C$42, 12.1455, 12.1455) * CHOOSE(CONTROL!$C$21, $C$9, 100%, $E$9)</f>
        <v>12.1455</v>
      </c>
      <c r="P258" s="17">
        <f>CHOOSE(CONTROL!$C$42, 11.9208, 11.9208) * CHOOSE(CONTROL!$C$21, $C$9, 100%, $E$9)</f>
        <v>11.9208</v>
      </c>
      <c r="Q258" s="17">
        <f>CHOOSE(CONTROL!$C$42, 12.7402, 12.7402) * CHOOSE(CONTROL!$C$21, $C$9, 100%, $E$9)</f>
        <v>12.7402</v>
      </c>
      <c r="R258" s="17">
        <f>CHOOSE(CONTROL!$C$42, 13.359, 13.359) * CHOOSE(CONTROL!$C$21, $C$9, 100%, $E$9)</f>
        <v>13.359</v>
      </c>
      <c r="S258" s="17">
        <f>CHOOSE(CONTROL!$C$42, 11.5872, 11.5872) * CHOOSE(CONTROL!$C$21, $C$9, 100%, $E$9)</f>
        <v>11.587199999999999</v>
      </c>
      <c r="T258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258" s="56">
        <f>(1000*CHOOSE(CONTROL!$C$42, 695, 695)*CHOOSE(CONTROL!$C$42, 0.5599, 0.5599)*CHOOSE(CONTROL!$C$42, 30, 30))/1000000</f>
        <v>11.673914999999997</v>
      </c>
      <c r="V258" s="56">
        <f>(1000*CHOOSE(CONTROL!$C$42, 500, 500)*CHOOSE(CONTROL!$C$42, 0.275, 0.275)*CHOOSE(CONTROL!$C$42, 30, 30))/1000000</f>
        <v>4.125</v>
      </c>
      <c r="W258" s="56">
        <f>(1000*CHOOSE(CONTROL!$C$42, 0.0916, 0.0916)*CHOOSE(CONTROL!$C$42, 121.5, 121.5)*CHOOSE(CONTROL!$C$42, 30, 30))/1000000</f>
        <v>0.33388200000000001</v>
      </c>
      <c r="X258" s="56">
        <f>(30*0.1790888*145000/1000000)+(30*0.2374*100000/1000000)</f>
        <v>1.4912362799999999</v>
      </c>
      <c r="Y258" s="56"/>
      <c r="Z258" s="17"/>
      <c r="AA258" s="55"/>
      <c r="AB258" s="48">
        <f>(B258*194.205+C258*267.466+D258*133.845+E258*153.484+F258*40+G258*85+H258*0+I258*100+J258*300)/(194.205+267.466+133.845+153.484+0+40+85+100+300)</f>
        <v>12.034540948116168</v>
      </c>
      <c r="AC258" s="45">
        <f>(M258*'RAP TEMPLATE-GAS AVAILABILITY'!O257+N258*'RAP TEMPLATE-GAS AVAILABILITY'!P257+O258*'RAP TEMPLATE-GAS AVAILABILITY'!Q257+P258*'RAP TEMPLATE-GAS AVAILABILITY'!R257)/('RAP TEMPLATE-GAS AVAILABILITY'!O257+'RAP TEMPLATE-GAS AVAILABILITY'!P257+'RAP TEMPLATE-GAS AVAILABILITY'!Q257+'RAP TEMPLATE-GAS AVAILABILITY'!R257)</f>
        <v>11.954469784172662</v>
      </c>
    </row>
    <row r="259" spans="1:29" ht="15.75" x14ac:dyDescent="0.25">
      <c r="A259" s="16">
        <v>48396</v>
      </c>
      <c r="B259" s="17">
        <f>CHOOSE(CONTROL!$C$42, 11.732, 11.732) * CHOOSE(CONTROL!$C$21, $C$9, 100%, $E$9)</f>
        <v>11.731999999999999</v>
      </c>
      <c r="C259" s="17">
        <f>CHOOSE(CONTROL!$C$42, 11.74, 11.74) * CHOOSE(CONTROL!$C$21, $C$9, 100%, $E$9)</f>
        <v>11.74</v>
      </c>
      <c r="D259" s="17">
        <f>CHOOSE(CONTROL!$C$42, 11.9999, 11.9999) * CHOOSE(CONTROL!$C$21, $C$9, 100%, $E$9)</f>
        <v>11.9999</v>
      </c>
      <c r="E259" s="17">
        <f>CHOOSE(CONTROL!$C$42, 12.0311, 12.0311) * CHOOSE(CONTROL!$C$21, $C$9, 100%, $E$9)</f>
        <v>12.0311</v>
      </c>
      <c r="F259" s="17">
        <f>CHOOSE(CONTROL!$C$42, 11.7424, 11.7424)*CHOOSE(CONTROL!$C$21, $C$9, 100%, $E$9)</f>
        <v>11.7424</v>
      </c>
      <c r="G259" s="17">
        <f>CHOOSE(CONTROL!$C$42, 11.759, 11.759)*CHOOSE(CONTROL!$C$21, $C$9, 100%, $E$9)</f>
        <v>11.759</v>
      </c>
      <c r="H259" s="17">
        <f>CHOOSE(CONTROL!$C$42, 12.0194, 12.0194) * CHOOSE(CONTROL!$C$21, $C$9, 100%, $E$9)</f>
        <v>12.019399999999999</v>
      </c>
      <c r="I259" s="17">
        <f>CHOOSE(CONTROL!$C$42, 11.7922, 11.7922)* CHOOSE(CONTROL!$C$21, $C$9, 100%, $E$9)</f>
        <v>11.792199999999999</v>
      </c>
      <c r="J259" s="17">
        <f>CHOOSE(CONTROL!$C$42, 11.735, 11.735)* CHOOSE(CONTROL!$C$21, $C$9, 100%, $E$9)</f>
        <v>11.734999999999999</v>
      </c>
      <c r="K259" s="52">
        <f>CHOOSE(CONTROL!$C$42, 11.7862, 11.7862) * CHOOSE(CONTROL!$C$21, $C$9, 100%, $E$9)</f>
        <v>11.786199999999999</v>
      </c>
      <c r="L259" s="17">
        <f>CHOOSE(CONTROL!$C$42, 12.6064, 12.6064) * CHOOSE(CONTROL!$C$21, $C$9, 100%, $E$9)</f>
        <v>12.606400000000001</v>
      </c>
      <c r="M259" s="17">
        <f>CHOOSE(CONTROL!$C$42, 11.6364, 11.6364) * CHOOSE(CONTROL!$C$21, $C$9, 100%, $E$9)</f>
        <v>11.6364</v>
      </c>
      <c r="N259" s="17">
        <f>CHOOSE(CONTROL!$C$42, 11.6529, 11.6529) * CHOOSE(CONTROL!$C$21, $C$9, 100%, $E$9)</f>
        <v>11.652900000000001</v>
      </c>
      <c r="O259" s="17">
        <f>CHOOSE(CONTROL!$C$42, 11.9183, 11.9183) * CHOOSE(CONTROL!$C$21, $C$9, 100%, $E$9)</f>
        <v>11.9183</v>
      </c>
      <c r="P259" s="17">
        <f>CHOOSE(CONTROL!$C$42, 11.6929, 11.6929) * CHOOSE(CONTROL!$C$21, $C$9, 100%, $E$9)</f>
        <v>11.6929</v>
      </c>
      <c r="Q259" s="17">
        <f>CHOOSE(CONTROL!$C$42, 12.513, 12.513) * CHOOSE(CONTROL!$C$21, $C$9, 100%, $E$9)</f>
        <v>12.513</v>
      </c>
      <c r="R259" s="17">
        <f>CHOOSE(CONTROL!$C$42, 13.1313, 13.1313) * CHOOSE(CONTROL!$C$21, $C$9, 100%, $E$9)</f>
        <v>13.1313</v>
      </c>
      <c r="S259" s="17">
        <f>CHOOSE(CONTROL!$C$42, 11.3649, 11.3649) * CHOOSE(CONTROL!$C$21, $C$9, 100%, $E$9)</f>
        <v>11.3649</v>
      </c>
      <c r="T259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259" s="56">
        <f>(1000*CHOOSE(CONTROL!$C$42, 695, 695)*CHOOSE(CONTROL!$C$42, 0.5599, 0.5599)*CHOOSE(CONTROL!$C$42, 31, 31))/1000000</f>
        <v>12.063045499999998</v>
      </c>
      <c r="V259" s="56">
        <f>(1000*CHOOSE(CONTROL!$C$42, 500, 500)*CHOOSE(CONTROL!$C$42, 0.275, 0.275)*CHOOSE(CONTROL!$C$42, 31, 31))/1000000</f>
        <v>4.2625000000000002</v>
      </c>
      <c r="W259" s="56">
        <f>(1000*CHOOSE(CONTROL!$C$42, 0.0916, 0.0916)*CHOOSE(CONTROL!$C$42, 121.5, 121.5)*CHOOSE(CONTROL!$C$42, 31, 31))/1000000</f>
        <v>0.34501139999999997</v>
      </c>
      <c r="X259" s="56">
        <f>(31*0.1790888*145000/1000000)+(31*0.2374*100000/1000000)</f>
        <v>1.5409441560000001</v>
      </c>
      <c r="Y259" s="56"/>
      <c r="Z259" s="17"/>
      <c r="AA259" s="55"/>
      <c r="AB259" s="48">
        <f>(B259*194.205+C259*267.466+D259*133.845+E259*153.484+F259*40+G259*85+H259*0+I259*100+J259*300)/(194.205+267.466+133.845+153.484+0+40+85+100+300)</f>
        <v>11.805418263657771</v>
      </c>
      <c r="AC259" s="45">
        <f>(M259*'RAP TEMPLATE-GAS AVAILABILITY'!O258+N259*'RAP TEMPLATE-GAS AVAILABILITY'!P258+O259*'RAP TEMPLATE-GAS AVAILABILITY'!Q258+P259*'RAP TEMPLATE-GAS AVAILABILITY'!R258)/('RAP TEMPLATE-GAS AVAILABILITY'!O258+'RAP TEMPLATE-GAS AVAILABILITY'!P258+'RAP TEMPLATE-GAS AVAILABILITY'!Q258+'RAP TEMPLATE-GAS AVAILABILITY'!R258)</f>
        <v>11.727422302158274</v>
      </c>
    </row>
    <row r="260" spans="1:29" ht="15.75" x14ac:dyDescent="0.25">
      <c r="A260" s="16">
        <v>48427</v>
      </c>
      <c r="B260" s="17">
        <f>CHOOSE(CONTROL!$C$42, 11.1531, 11.1531) * CHOOSE(CONTROL!$C$21, $C$9, 100%, $E$9)</f>
        <v>11.1531</v>
      </c>
      <c r="C260" s="17">
        <f>CHOOSE(CONTROL!$C$42, 11.1611, 11.1611) * CHOOSE(CONTROL!$C$21, $C$9, 100%, $E$9)</f>
        <v>11.161099999999999</v>
      </c>
      <c r="D260" s="17">
        <f>CHOOSE(CONTROL!$C$42, 11.421, 11.421) * CHOOSE(CONTROL!$C$21, $C$9, 100%, $E$9)</f>
        <v>11.420999999999999</v>
      </c>
      <c r="E260" s="17">
        <f>CHOOSE(CONTROL!$C$42, 11.4522, 11.4522) * CHOOSE(CONTROL!$C$21, $C$9, 100%, $E$9)</f>
        <v>11.452199999999999</v>
      </c>
      <c r="F260" s="17">
        <f>CHOOSE(CONTROL!$C$42, 11.1637, 11.1637)*CHOOSE(CONTROL!$C$21, $C$9, 100%, $E$9)</f>
        <v>11.1637</v>
      </c>
      <c r="G260" s="17">
        <f>CHOOSE(CONTROL!$C$42, 11.1805, 11.1805)*CHOOSE(CONTROL!$C$21, $C$9, 100%, $E$9)</f>
        <v>11.1805</v>
      </c>
      <c r="H260" s="17">
        <f>CHOOSE(CONTROL!$C$42, 11.4405, 11.4405) * CHOOSE(CONTROL!$C$21, $C$9, 100%, $E$9)</f>
        <v>11.4405</v>
      </c>
      <c r="I260" s="17">
        <f>CHOOSE(CONTROL!$C$42, 11.2116, 11.2116)* CHOOSE(CONTROL!$C$21, $C$9, 100%, $E$9)</f>
        <v>11.211600000000001</v>
      </c>
      <c r="J260" s="17">
        <f>CHOOSE(CONTROL!$C$42, 11.1563, 11.1563)* CHOOSE(CONTROL!$C$21, $C$9, 100%, $E$9)</f>
        <v>11.1563</v>
      </c>
      <c r="K260" s="52">
        <f>CHOOSE(CONTROL!$C$42, 11.2055, 11.2055) * CHOOSE(CONTROL!$C$21, $C$9, 100%, $E$9)</f>
        <v>11.205500000000001</v>
      </c>
      <c r="L260" s="17">
        <f>CHOOSE(CONTROL!$C$42, 12.0275, 12.0275) * CHOOSE(CONTROL!$C$21, $C$9, 100%, $E$9)</f>
        <v>12.0275</v>
      </c>
      <c r="M260" s="17">
        <f>CHOOSE(CONTROL!$C$42, 11.063, 11.063) * CHOOSE(CONTROL!$C$21, $C$9, 100%, $E$9)</f>
        <v>11.063000000000001</v>
      </c>
      <c r="N260" s="17">
        <f>CHOOSE(CONTROL!$C$42, 11.0796, 11.0796) * CHOOSE(CONTROL!$C$21, $C$9, 100%, $E$9)</f>
        <v>11.079599999999999</v>
      </c>
      <c r="O260" s="17">
        <f>CHOOSE(CONTROL!$C$42, 11.3446, 11.3446) * CHOOSE(CONTROL!$C$21, $C$9, 100%, $E$9)</f>
        <v>11.3446</v>
      </c>
      <c r="P260" s="17">
        <f>CHOOSE(CONTROL!$C$42, 11.1175, 11.1175) * CHOOSE(CONTROL!$C$21, $C$9, 100%, $E$9)</f>
        <v>11.1175</v>
      </c>
      <c r="Q260" s="17">
        <f>CHOOSE(CONTROL!$C$42, 11.9393, 11.9393) * CHOOSE(CONTROL!$C$21, $C$9, 100%, $E$9)</f>
        <v>11.939299999999999</v>
      </c>
      <c r="R260" s="17">
        <f>CHOOSE(CONTROL!$C$42, 12.5562, 12.5562) * CHOOSE(CONTROL!$C$21, $C$9, 100%, $E$9)</f>
        <v>12.5562</v>
      </c>
      <c r="S260" s="17">
        <f>CHOOSE(CONTROL!$C$42, 10.8036, 10.8036) * CHOOSE(CONTROL!$C$21, $C$9, 100%, $E$9)</f>
        <v>10.803599999999999</v>
      </c>
      <c r="T260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260" s="56">
        <f>(1000*CHOOSE(CONTROL!$C$42, 695, 695)*CHOOSE(CONTROL!$C$42, 0.5599, 0.5599)*CHOOSE(CONTROL!$C$42, 31, 31))/1000000</f>
        <v>12.063045499999998</v>
      </c>
      <c r="V260" s="56">
        <f>(1000*CHOOSE(CONTROL!$C$42, 500, 500)*CHOOSE(CONTROL!$C$42, 0.275, 0.275)*CHOOSE(CONTROL!$C$42, 31, 31))/1000000</f>
        <v>4.2625000000000002</v>
      </c>
      <c r="W260" s="56">
        <f>(1000*CHOOSE(CONTROL!$C$42, 0.0916, 0.0916)*CHOOSE(CONTROL!$C$42, 121.5, 121.5)*CHOOSE(CONTROL!$C$42, 31, 31))/1000000</f>
        <v>0.34501139999999997</v>
      </c>
      <c r="X260" s="56">
        <f>(31*0.1790888*145000/1000000)+(31*0.2374*100000/1000000)</f>
        <v>1.5409441560000001</v>
      </c>
      <c r="Y260" s="56"/>
      <c r="Z260" s="17"/>
      <c r="AA260" s="55"/>
      <c r="AB260" s="48">
        <f>(B260*194.205+C260*267.466+D260*133.845+E260*153.484+F260*40+G260*85+H260*0+I260*100+J260*300)/(194.205+267.466+133.845+153.484+0+40+85+100+300)</f>
        <v>11.226464888461539</v>
      </c>
      <c r="AC260" s="45">
        <f>(M260*'RAP TEMPLATE-GAS AVAILABILITY'!O259+N260*'RAP TEMPLATE-GAS AVAILABILITY'!P259+O260*'RAP TEMPLATE-GAS AVAILABILITY'!Q259+P260*'RAP TEMPLATE-GAS AVAILABILITY'!R259)/('RAP TEMPLATE-GAS AVAILABILITY'!O259+'RAP TEMPLATE-GAS AVAILABILITY'!P259+'RAP TEMPLATE-GAS AVAILABILITY'!Q259+'RAP TEMPLATE-GAS AVAILABILITY'!R259)</f>
        <v>11.153673381294963</v>
      </c>
    </row>
    <row r="261" spans="1:29" ht="15.75" x14ac:dyDescent="0.25">
      <c r="A261" s="16">
        <v>48458</v>
      </c>
      <c r="B261" s="17">
        <f>CHOOSE(CONTROL!$C$42, 10.4456, 10.4456) * CHOOSE(CONTROL!$C$21, $C$9, 100%, $E$9)</f>
        <v>10.445600000000001</v>
      </c>
      <c r="C261" s="17">
        <f>CHOOSE(CONTROL!$C$42, 10.4536, 10.4536) * CHOOSE(CONTROL!$C$21, $C$9, 100%, $E$9)</f>
        <v>10.4536</v>
      </c>
      <c r="D261" s="17">
        <f>CHOOSE(CONTROL!$C$42, 10.7135, 10.7135) * CHOOSE(CONTROL!$C$21, $C$9, 100%, $E$9)</f>
        <v>10.7135</v>
      </c>
      <c r="E261" s="17">
        <f>CHOOSE(CONTROL!$C$42, 10.7447, 10.7447) * CHOOSE(CONTROL!$C$21, $C$9, 100%, $E$9)</f>
        <v>10.7447</v>
      </c>
      <c r="F261" s="17">
        <f>CHOOSE(CONTROL!$C$42, 10.4562, 10.4562)*CHOOSE(CONTROL!$C$21, $C$9, 100%, $E$9)</f>
        <v>10.456200000000001</v>
      </c>
      <c r="G261" s="17">
        <f>CHOOSE(CONTROL!$C$42, 10.4729, 10.4729)*CHOOSE(CONTROL!$C$21, $C$9, 100%, $E$9)</f>
        <v>10.472899999999999</v>
      </c>
      <c r="H261" s="17">
        <f>CHOOSE(CONTROL!$C$42, 10.733, 10.733) * CHOOSE(CONTROL!$C$21, $C$9, 100%, $E$9)</f>
        <v>10.733000000000001</v>
      </c>
      <c r="I261" s="17">
        <f>CHOOSE(CONTROL!$C$42, 10.5018, 10.5018)* CHOOSE(CONTROL!$C$21, $C$9, 100%, $E$9)</f>
        <v>10.501799999999999</v>
      </c>
      <c r="J261" s="17">
        <f>CHOOSE(CONTROL!$C$42, 10.4488, 10.4488)* CHOOSE(CONTROL!$C$21, $C$9, 100%, $E$9)</f>
        <v>10.4488</v>
      </c>
      <c r="K261" s="52">
        <f>CHOOSE(CONTROL!$C$42, 10.4958, 10.4958) * CHOOSE(CONTROL!$C$21, $C$9, 100%, $E$9)</f>
        <v>10.495799999999999</v>
      </c>
      <c r="L261" s="17">
        <f>CHOOSE(CONTROL!$C$42, 11.32, 11.32) * CHOOSE(CONTROL!$C$21, $C$9, 100%, $E$9)</f>
        <v>11.32</v>
      </c>
      <c r="M261" s="17">
        <f>CHOOSE(CONTROL!$C$42, 10.3618, 10.3618) * CHOOSE(CONTROL!$C$21, $C$9, 100%, $E$9)</f>
        <v>10.361800000000001</v>
      </c>
      <c r="N261" s="17">
        <f>CHOOSE(CONTROL!$C$42, 10.3784, 10.3784) * CHOOSE(CONTROL!$C$21, $C$9, 100%, $E$9)</f>
        <v>10.378399999999999</v>
      </c>
      <c r="O261" s="17">
        <f>CHOOSE(CONTROL!$C$42, 10.6435, 10.6435) * CHOOSE(CONTROL!$C$21, $C$9, 100%, $E$9)</f>
        <v>10.6435</v>
      </c>
      <c r="P261" s="17">
        <f>CHOOSE(CONTROL!$C$42, 10.4142, 10.4142) * CHOOSE(CONTROL!$C$21, $C$9, 100%, $E$9)</f>
        <v>10.414199999999999</v>
      </c>
      <c r="Q261" s="17">
        <f>CHOOSE(CONTROL!$C$42, 11.2382, 11.2382) * CHOOSE(CONTROL!$C$21, $C$9, 100%, $E$9)</f>
        <v>11.238200000000001</v>
      </c>
      <c r="R261" s="17">
        <f>CHOOSE(CONTROL!$C$42, 11.8533, 11.8533) * CHOOSE(CONTROL!$C$21, $C$9, 100%, $E$9)</f>
        <v>11.853300000000001</v>
      </c>
      <c r="S261" s="17">
        <f>CHOOSE(CONTROL!$C$42, 10.1175, 10.1175) * CHOOSE(CONTROL!$C$21, $C$9, 100%, $E$9)</f>
        <v>10.1175</v>
      </c>
      <c r="T261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261" s="56">
        <f>(1000*CHOOSE(CONTROL!$C$42, 695, 695)*CHOOSE(CONTROL!$C$42, 0.5599, 0.5599)*CHOOSE(CONTROL!$C$42, 30, 30))/1000000</f>
        <v>11.673914999999997</v>
      </c>
      <c r="V261" s="56">
        <f>(1000*CHOOSE(CONTROL!$C$42, 500, 500)*CHOOSE(CONTROL!$C$42, 0.275, 0.275)*CHOOSE(CONTROL!$C$42, 30, 30))/1000000</f>
        <v>4.125</v>
      </c>
      <c r="W261" s="56">
        <f>(1000*CHOOSE(CONTROL!$C$42, 0.0916, 0.0916)*CHOOSE(CONTROL!$C$42, 121.5, 121.5)*CHOOSE(CONTROL!$C$42, 30, 30))/1000000</f>
        <v>0.33388200000000001</v>
      </c>
      <c r="X261" s="56">
        <f>(30*0.1790888*145000/1000000)+(30*0.2374*100000/1000000)</f>
        <v>1.4912362799999999</v>
      </c>
      <c r="Y261" s="56"/>
      <c r="Z261" s="17"/>
      <c r="AA261" s="55"/>
      <c r="AB261" s="48">
        <f>(B261*194.205+C261*267.466+D261*133.845+E261*153.484+F261*40+G261*85+H261*0+I261*100+J261*300)/(194.205+267.466+133.845+153.484+0+40+85+100+300)</f>
        <v>10.518777682810047</v>
      </c>
      <c r="AC261" s="45">
        <f>(M261*'RAP TEMPLATE-GAS AVAILABILITY'!O260+N261*'RAP TEMPLATE-GAS AVAILABILITY'!P260+O261*'RAP TEMPLATE-GAS AVAILABILITY'!Q260+P261*'RAP TEMPLATE-GAS AVAILABILITY'!R260)/('RAP TEMPLATE-GAS AVAILABILITY'!O260+'RAP TEMPLATE-GAS AVAILABILITY'!P260+'RAP TEMPLATE-GAS AVAILABILITY'!Q260+'RAP TEMPLATE-GAS AVAILABILITY'!R260)</f>
        <v>10.45219928057554</v>
      </c>
    </row>
    <row r="262" spans="1:29" ht="15.75" x14ac:dyDescent="0.25">
      <c r="A262" s="16">
        <v>48488</v>
      </c>
      <c r="B262" s="17">
        <f>CHOOSE(CONTROL!$C$42, 10.232, 10.232) * CHOOSE(CONTROL!$C$21, $C$9, 100%, $E$9)</f>
        <v>10.231999999999999</v>
      </c>
      <c r="C262" s="17">
        <f>CHOOSE(CONTROL!$C$42, 10.2374, 10.2374) * CHOOSE(CONTROL!$C$21, $C$9, 100%, $E$9)</f>
        <v>10.237399999999999</v>
      </c>
      <c r="D262" s="17">
        <f>CHOOSE(CONTROL!$C$42, 10.5022, 10.5022) * CHOOSE(CONTROL!$C$21, $C$9, 100%, $E$9)</f>
        <v>10.5022</v>
      </c>
      <c r="E262" s="17">
        <f>CHOOSE(CONTROL!$C$42, 10.531, 10.531) * CHOOSE(CONTROL!$C$21, $C$9, 100%, $E$9)</f>
        <v>10.531000000000001</v>
      </c>
      <c r="F262" s="17">
        <f>CHOOSE(CONTROL!$C$42, 10.2449, 10.2449)*CHOOSE(CONTROL!$C$21, $C$9, 100%, $E$9)</f>
        <v>10.244899999999999</v>
      </c>
      <c r="G262" s="17">
        <f>CHOOSE(CONTROL!$C$42, 10.2614, 10.2614)*CHOOSE(CONTROL!$C$21, $C$9, 100%, $E$9)</f>
        <v>10.2614</v>
      </c>
      <c r="H262" s="17">
        <f>CHOOSE(CONTROL!$C$42, 10.5212, 10.5212) * CHOOSE(CONTROL!$C$21, $C$9, 100%, $E$9)</f>
        <v>10.5212</v>
      </c>
      <c r="I262" s="17">
        <f>CHOOSE(CONTROL!$C$42, 10.2893, 10.2893)* CHOOSE(CONTROL!$C$21, $C$9, 100%, $E$9)</f>
        <v>10.289300000000001</v>
      </c>
      <c r="J262" s="17">
        <f>CHOOSE(CONTROL!$C$42, 10.2375, 10.2375)* CHOOSE(CONTROL!$C$21, $C$9, 100%, $E$9)</f>
        <v>10.237500000000001</v>
      </c>
      <c r="K262" s="52">
        <f>CHOOSE(CONTROL!$C$42, 10.2833, 10.2833) * CHOOSE(CONTROL!$C$21, $C$9, 100%, $E$9)</f>
        <v>10.283300000000001</v>
      </c>
      <c r="L262" s="17">
        <f>CHOOSE(CONTROL!$C$42, 11.1082, 11.1082) * CHOOSE(CONTROL!$C$21, $C$9, 100%, $E$9)</f>
        <v>11.1082</v>
      </c>
      <c r="M262" s="17">
        <f>CHOOSE(CONTROL!$C$42, 10.1524, 10.1524) * CHOOSE(CONTROL!$C$21, $C$9, 100%, $E$9)</f>
        <v>10.1524</v>
      </c>
      <c r="N262" s="17">
        <f>CHOOSE(CONTROL!$C$42, 10.1688, 10.1688) * CHOOSE(CONTROL!$C$21, $C$9, 100%, $E$9)</f>
        <v>10.168799999999999</v>
      </c>
      <c r="O262" s="17">
        <f>CHOOSE(CONTROL!$C$42, 10.4335, 10.4335) * CHOOSE(CONTROL!$C$21, $C$9, 100%, $E$9)</f>
        <v>10.4335</v>
      </c>
      <c r="P262" s="17">
        <f>CHOOSE(CONTROL!$C$42, 10.2036, 10.2036) * CHOOSE(CONTROL!$C$21, $C$9, 100%, $E$9)</f>
        <v>10.2036</v>
      </c>
      <c r="Q262" s="17">
        <f>CHOOSE(CONTROL!$C$42, 11.0282, 11.0282) * CHOOSE(CONTROL!$C$21, $C$9, 100%, $E$9)</f>
        <v>11.0282</v>
      </c>
      <c r="R262" s="17">
        <f>CHOOSE(CONTROL!$C$42, 11.6428, 11.6428) * CHOOSE(CONTROL!$C$21, $C$9, 100%, $E$9)</f>
        <v>11.642799999999999</v>
      </c>
      <c r="S262" s="17">
        <f>CHOOSE(CONTROL!$C$42, 9.9121, 9.9121) * CHOOSE(CONTROL!$C$21, $C$9, 100%, $E$9)</f>
        <v>9.9121000000000006</v>
      </c>
      <c r="T262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262" s="56">
        <f>(1000*CHOOSE(CONTROL!$C$42, 695, 695)*CHOOSE(CONTROL!$C$42, 0.5599, 0.5599)*CHOOSE(CONTROL!$C$42, 31, 31))/1000000</f>
        <v>12.063045499999998</v>
      </c>
      <c r="V262" s="56">
        <f>(1000*CHOOSE(CONTROL!$C$42, 500, 500)*CHOOSE(CONTROL!$C$42, 0.275, 0.275)*CHOOSE(CONTROL!$C$42, 31, 31))/1000000</f>
        <v>4.2625000000000002</v>
      </c>
      <c r="W262" s="56">
        <f>(1000*CHOOSE(CONTROL!$C$42, 0.0916, 0.0916)*CHOOSE(CONTROL!$C$42, 121.5, 121.5)*CHOOSE(CONTROL!$C$42, 31, 31))/1000000</f>
        <v>0.34501139999999997</v>
      </c>
      <c r="X262" s="56">
        <f>(31*0.1790888*145000/1000000)+(31*0.2374*100000/1000000)</f>
        <v>1.5409441560000001</v>
      </c>
      <c r="Y262" s="56"/>
      <c r="Z262" s="17"/>
      <c r="AA262" s="55"/>
      <c r="AB262" s="48">
        <f>(B262*131.881+C262*277.167+D262*79.08+E262*225.872+F262*40+G262*85+H262*0+I262*100+J262*300)/(131.881+277.167+79.08+225.872+0+40+85+100+300)</f>
        <v>10.313351772235674</v>
      </c>
      <c r="AC262" s="45">
        <f>(M262*'RAP TEMPLATE-GAS AVAILABILITY'!O261+N262*'RAP TEMPLATE-GAS AVAILABILITY'!P261+O262*'RAP TEMPLATE-GAS AVAILABILITY'!Q261+P262*'RAP TEMPLATE-GAS AVAILABILITY'!R261)/('RAP TEMPLATE-GAS AVAILABILITY'!O261+'RAP TEMPLATE-GAS AVAILABILITY'!P261+'RAP TEMPLATE-GAS AVAILABILITY'!Q261+'RAP TEMPLATE-GAS AVAILABILITY'!R261)</f>
        <v>10.242412230215827</v>
      </c>
    </row>
    <row r="263" spans="1:29" ht="15.75" x14ac:dyDescent="0.25">
      <c r="A263" s="16">
        <v>48519</v>
      </c>
      <c r="B263" s="17">
        <f>CHOOSE(CONTROL!$C$42, 10.5009, 10.5009) * CHOOSE(CONTROL!$C$21, $C$9, 100%, $E$9)</f>
        <v>10.5009</v>
      </c>
      <c r="C263" s="17">
        <f>CHOOSE(CONTROL!$C$42, 10.506, 10.506) * CHOOSE(CONTROL!$C$21, $C$9, 100%, $E$9)</f>
        <v>10.506</v>
      </c>
      <c r="D263" s="17">
        <f>CHOOSE(CONTROL!$C$42, 10.6466, 10.6466) * CHOOSE(CONTROL!$C$21, $C$9, 100%, $E$9)</f>
        <v>10.646599999999999</v>
      </c>
      <c r="E263" s="17">
        <f>CHOOSE(CONTROL!$C$42, 10.6804, 10.6804) * CHOOSE(CONTROL!$C$21, $C$9, 100%, $E$9)</f>
        <v>10.680400000000001</v>
      </c>
      <c r="F263" s="17">
        <f>CHOOSE(CONTROL!$C$42, 10.5142, 10.5142)*CHOOSE(CONTROL!$C$21, $C$9, 100%, $E$9)</f>
        <v>10.514200000000001</v>
      </c>
      <c r="G263" s="17">
        <f>CHOOSE(CONTROL!$C$42, 10.531, 10.531)*CHOOSE(CONTROL!$C$21, $C$9, 100%, $E$9)</f>
        <v>10.531000000000001</v>
      </c>
      <c r="H263" s="17">
        <f>CHOOSE(CONTROL!$C$42, 10.6693, 10.6693) * CHOOSE(CONTROL!$C$21, $C$9, 100%, $E$9)</f>
        <v>10.6693</v>
      </c>
      <c r="I263" s="17">
        <f>CHOOSE(CONTROL!$C$42, 10.5558, 10.5558)* CHOOSE(CONTROL!$C$21, $C$9, 100%, $E$9)</f>
        <v>10.5558</v>
      </c>
      <c r="J263" s="17">
        <f>CHOOSE(CONTROL!$C$42, 10.5068, 10.5068)* CHOOSE(CONTROL!$C$21, $C$9, 100%, $E$9)</f>
        <v>10.5068</v>
      </c>
      <c r="K263" s="52">
        <f>CHOOSE(CONTROL!$C$42, 10.5498, 10.5498) * CHOOSE(CONTROL!$C$21, $C$9, 100%, $E$9)</f>
        <v>10.549799999999999</v>
      </c>
      <c r="L263" s="17">
        <f>CHOOSE(CONTROL!$C$42, 11.2563, 11.2563) * CHOOSE(CONTROL!$C$21, $C$9, 100%, $E$9)</f>
        <v>11.2563</v>
      </c>
      <c r="M263" s="17">
        <f>CHOOSE(CONTROL!$C$42, 10.4193, 10.4193) * CHOOSE(CONTROL!$C$21, $C$9, 100%, $E$9)</f>
        <v>10.4193</v>
      </c>
      <c r="N263" s="17">
        <f>CHOOSE(CONTROL!$C$42, 10.436, 10.436) * CHOOSE(CONTROL!$C$21, $C$9, 100%, $E$9)</f>
        <v>10.436</v>
      </c>
      <c r="O263" s="17">
        <f>CHOOSE(CONTROL!$C$42, 10.5803, 10.5803) * CHOOSE(CONTROL!$C$21, $C$9, 100%, $E$9)</f>
        <v>10.580299999999999</v>
      </c>
      <c r="P263" s="17">
        <f>CHOOSE(CONTROL!$C$42, 10.4677, 10.4677) * CHOOSE(CONTROL!$C$21, $C$9, 100%, $E$9)</f>
        <v>10.467700000000001</v>
      </c>
      <c r="Q263" s="17">
        <f>CHOOSE(CONTROL!$C$42, 11.175, 11.175) * CHOOSE(CONTROL!$C$21, $C$9, 100%, $E$9)</f>
        <v>11.175000000000001</v>
      </c>
      <c r="R263" s="17">
        <f>CHOOSE(CONTROL!$C$42, 11.7899, 11.7899) * CHOOSE(CONTROL!$C$21, $C$9, 100%, $E$9)</f>
        <v>11.789899999999999</v>
      </c>
      <c r="S263" s="17">
        <f>CHOOSE(CONTROL!$C$42, 10.1732, 10.1732) * CHOOSE(CONTROL!$C$21, $C$9, 100%, $E$9)</f>
        <v>10.1732</v>
      </c>
      <c r="T263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263" s="56">
        <f>(1000*CHOOSE(CONTROL!$C$42, 695, 695)*CHOOSE(CONTROL!$C$42, 0.5599, 0.5599)*CHOOSE(CONTROL!$C$42, 30, 30))/1000000</f>
        <v>11.673914999999997</v>
      </c>
      <c r="V263" s="56">
        <f>(1000*CHOOSE(CONTROL!$C$42, 500, 500)*CHOOSE(CONTROL!$C$42, 0.275, 0.275)*CHOOSE(CONTROL!$C$42, 30, 30))/1000000</f>
        <v>4.125</v>
      </c>
      <c r="W263" s="56">
        <f>(1000*CHOOSE(CONTROL!$C$42, 0.0916, 0.0916)*CHOOSE(CONTROL!$C$42, 121.5, 121.5)*CHOOSE(CONTROL!$C$42, 30, 30))/1000000</f>
        <v>0.33388200000000001</v>
      </c>
      <c r="X263" s="56">
        <f>(30*0.2374*100000/1000000)</f>
        <v>0.71220000000000006</v>
      </c>
      <c r="Y263" s="56"/>
      <c r="Z263" s="17"/>
      <c r="AA263" s="55"/>
      <c r="AB263" s="48">
        <f>(B263*122.58+C263*297.941+D263*89.177+E263*140.302+F263*40+G263*60+H263*0+I263*100+J263*300)/(122.58+297.941+89.177+140.302+0+40+60+100+300)</f>
        <v>10.543765040869564</v>
      </c>
      <c r="AC263" s="45">
        <f>(M263*'RAP TEMPLATE-GAS AVAILABILITY'!O262+N263*'RAP TEMPLATE-GAS AVAILABILITY'!P262+O263*'RAP TEMPLATE-GAS AVAILABILITY'!Q262+P263*'RAP TEMPLATE-GAS AVAILABILITY'!R262)/('RAP TEMPLATE-GAS AVAILABILITY'!O262+'RAP TEMPLATE-GAS AVAILABILITY'!P262+'RAP TEMPLATE-GAS AVAILABILITY'!Q262+'RAP TEMPLATE-GAS AVAILABILITY'!R262)</f>
        <v>10.500196402877698</v>
      </c>
    </row>
    <row r="264" spans="1:29" ht="15.75" x14ac:dyDescent="0.25">
      <c r="A264" s="16">
        <v>48549</v>
      </c>
      <c r="B264" s="17">
        <f>CHOOSE(CONTROL!$C$42, 11.2161, 11.2161) * CHOOSE(CONTROL!$C$21, $C$9, 100%, $E$9)</f>
        <v>11.216100000000001</v>
      </c>
      <c r="C264" s="17">
        <f>CHOOSE(CONTROL!$C$42, 11.2212, 11.2212) * CHOOSE(CONTROL!$C$21, $C$9, 100%, $E$9)</f>
        <v>11.2212</v>
      </c>
      <c r="D264" s="17">
        <f>CHOOSE(CONTROL!$C$42, 11.3619, 11.3619) * CHOOSE(CONTROL!$C$21, $C$9, 100%, $E$9)</f>
        <v>11.3619</v>
      </c>
      <c r="E264" s="17">
        <f>CHOOSE(CONTROL!$C$42, 11.3956, 11.3956) * CHOOSE(CONTROL!$C$21, $C$9, 100%, $E$9)</f>
        <v>11.3956</v>
      </c>
      <c r="F264" s="17">
        <f>CHOOSE(CONTROL!$C$42, 11.2318, 11.2318)*CHOOSE(CONTROL!$C$21, $C$9, 100%, $E$9)</f>
        <v>11.2318</v>
      </c>
      <c r="G264" s="17">
        <f>CHOOSE(CONTROL!$C$42, 11.2493, 11.2493)*CHOOSE(CONTROL!$C$21, $C$9, 100%, $E$9)</f>
        <v>11.2493</v>
      </c>
      <c r="H264" s="17">
        <f>CHOOSE(CONTROL!$C$42, 11.3845, 11.3845) * CHOOSE(CONTROL!$C$21, $C$9, 100%, $E$9)</f>
        <v>11.384499999999999</v>
      </c>
      <c r="I264" s="17">
        <f>CHOOSE(CONTROL!$C$42, 11.2733, 11.2733)* CHOOSE(CONTROL!$C$21, $C$9, 100%, $E$9)</f>
        <v>11.273300000000001</v>
      </c>
      <c r="J264" s="17">
        <f>CHOOSE(CONTROL!$C$42, 11.2244, 11.2244)* CHOOSE(CONTROL!$C$21, $C$9, 100%, $E$9)</f>
        <v>11.224399999999999</v>
      </c>
      <c r="K264" s="52">
        <f>CHOOSE(CONTROL!$C$42, 11.2672, 11.2672) * CHOOSE(CONTROL!$C$21, $C$9, 100%, $E$9)</f>
        <v>11.267200000000001</v>
      </c>
      <c r="L264" s="17">
        <f>CHOOSE(CONTROL!$C$42, 11.9715, 11.9715) * CHOOSE(CONTROL!$C$21, $C$9, 100%, $E$9)</f>
        <v>11.971500000000001</v>
      </c>
      <c r="M264" s="17">
        <f>CHOOSE(CONTROL!$C$42, 11.1305, 11.1305) * CHOOSE(CONTROL!$C$21, $C$9, 100%, $E$9)</f>
        <v>11.1305</v>
      </c>
      <c r="N264" s="17">
        <f>CHOOSE(CONTROL!$C$42, 11.1478, 11.1478) * CHOOSE(CONTROL!$C$21, $C$9, 100%, $E$9)</f>
        <v>11.1478</v>
      </c>
      <c r="O264" s="17">
        <f>CHOOSE(CONTROL!$C$42, 11.2891, 11.2891) * CHOOSE(CONTROL!$C$21, $C$9, 100%, $E$9)</f>
        <v>11.289099999999999</v>
      </c>
      <c r="P264" s="17">
        <f>CHOOSE(CONTROL!$C$42, 11.1786, 11.1786) * CHOOSE(CONTROL!$C$21, $C$9, 100%, $E$9)</f>
        <v>11.178599999999999</v>
      </c>
      <c r="Q264" s="17">
        <f>CHOOSE(CONTROL!$C$42, 11.8838, 11.8838) * CHOOSE(CONTROL!$C$21, $C$9, 100%, $E$9)</f>
        <v>11.883800000000001</v>
      </c>
      <c r="R264" s="17">
        <f>CHOOSE(CONTROL!$C$42, 12.5005, 12.5005) * CHOOSE(CONTROL!$C$21, $C$9, 100%, $E$9)</f>
        <v>12.500500000000001</v>
      </c>
      <c r="S264" s="17">
        <f>CHOOSE(CONTROL!$C$42, 10.8667, 10.8667) * CHOOSE(CONTROL!$C$21, $C$9, 100%, $E$9)</f>
        <v>10.8667</v>
      </c>
      <c r="T264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264" s="56">
        <f>(1000*CHOOSE(CONTROL!$C$42, 695, 695)*CHOOSE(CONTROL!$C$42, 0.5599, 0.5599)*CHOOSE(CONTROL!$C$42, 31, 31))/1000000</f>
        <v>12.063045499999998</v>
      </c>
      <c r="V264" s="56">
        <f>(1000*CHOOSE(CONTROL!$C$42, 500, 500)*CHOOSE(CONTROL!$C$42, 0.275, 0.275)*CHOOSE(CONTROL!$C$42, 31, 31))/1000000</f>
        <v>4.2625000000000002</v>
      </c>
      <c r="W264" s="56">
        <f>(1000*CHOOSE(CONTROL!$C$42, 0.0916, 0.0916)*CHOOSE(CONTROL!$C$42, 121.5, 121.5)*CHOOSE(CONTROL!$C$42, 31, 31))/1000000</f>
        <v>0.34501139999999997</v>
      </c>
      <c r="X264" s="56">
        <f>(31*0.2374*100000/1000000)</f>
        <v>0.73594000000000004</v>
      </c>
      <c r="Y264" s="56"/>
      <c r="Z264" s="17"/>
      <c r="AA264" s="55"/>
      <c r="AB264" s="48">
        <f>(B264*122.58+C264*297.941+D264*89.177+E264*140.302+F264*40+G264*60+H264*0+I264*100+J264*300)/(122.58+297.941+89.177+140.302+0+40+60+100+300)</f>
        <v>11.26004409973913</v>
      </c>
      <c r="AC264" s="45">
        <f>(M264*'RAP TEMPLATE-GAS AVAILABILITY'!O263+N264*'RAP TEMPLATE-GAS AVAILABILITY'!P263+O264*'RAP TEMPLATE-GAS AVAILABILITY'!Q263+P264*'RAP TEMPLATE-GAS AVAILABILITY'!R263)/('RAP TEMPLATE-GAS AVAILABILITY'!O263+'RAP TEMPLATE-GAS AVAILABILITY'!P263+'RAP TEMPLATE-GAS AVAILABILITY'!Q263+'RAP TEMPLATE-GAS AVAILABILITY'!R263)</f>
        <v>11.2103</v>
      </c>
    </row>
    <row r="265" spans="1:29" ht="15.75" x14ac:dyDescent="0.25">
      <c r="A265" s="16">
        <v>48580</v>
      </c>
      <c r="B265" s="17">
        <f>CHOOSE(CONTROL!$C$42, 12.0773, 12.0773) * CHOOSE(CONTROL!$C$21, $C$9, 100%, $E$9)</f>
        <v>12.077299999999999</v>
      </c>
      <c r="C265" s="17">
        <f>CHOOSE(CONTROL!$C$42, 12.0824, 12.0824) * CHOOSE(CONTROL!$C$21, $C$9, 100%, $E$9)</f>
        <v>12.0824</v>
      </c>
      <c r="D265" s="17">
        <f>CHOOSE(CONTROL!$C$42, 12.2163, 12.2163) * CHOOSE(CONTROL!$C$21, $C$9, 100%, $E$9)</f>
        <v>12.2163</v>
      </c>
      <c r="E265" s="17">
        <f>CHOOSE(CONTROL!$C$42, 12.2501, 12.2501) * CHOOSE(CONTROL!$C$21, $C$9, 100%, $E$9)</f>
        <v>12.2501</v>
      </c>
      <c r="F265" s="17">
        <f>CHOOSE(CONTROL!$C$42, 12.0907, 12.0907)*CHOOSE(CONTROL!$C$21, $C$9, 100%, $E$9)</f>
        <v>12.0907</v>
      </c>
      <c r="G265" s="17">
        <f>CHOOSE(CONTROL!$C$42, 12.1076, 12.1076)*CHOOSE(CONTROL!$C$21, $C$9, 100%, $E$9)</f>
        <v>12.1076</v>
      </c>
      <c r="H265" s="17">
        <f>CHOOSE(CONTROL!$C$42, 12.239, 12.239) * CHOOSE(CONTROL!$C$21, $C$9, 100%, $E$9)</f>
        <v>12.239000000000001</v>
      </c>
      <c r="I265" s="17">
        <f>CHOOSE(CONTROL!$C$42, 12.1413, 12.1413)* CHOOSE(CONTROL!$C$21, $C$9, 100%, $E$9)</f>
        <v>12.141299999999999</v>
      </c>
      <c r="J265" s="17">
        <f>CHOOSE(CONTROL!$C$42, 12.0833, 12.0833)* CHOOSE(CONTROL!$C$21, $C$9, 100%, $E$9)</f>
        <v>12.083299999999999</v>
      </c>
      <c r="K265" s="52">
        <f>CHOOSE(CONTROL!$C$42, 12.1352, 12.1352) * CHOOSE(CONTROL!$C$21, $C$9, 100%, $E$9)</f>
        <v>12.135199999999999</v>
      </c>
      <c r="L265" s="17">
        <f>CHOOSE(CONTROL!$C$42, 12.826, 12.826) * CHOOSE(CONTROL!$C$21, $C$9, 100%, $E$9)</f>
        <v>12.826000000000001</v>
      </c>
      <c r="M265" s="17">
        <f>CHOOSE(CONTROL!$C$42, 11.9817, 11.9817) * CHOOSE(CONTROL!$C$21, $C$9, 100%, $E$9)</f>
        <v>11.9817</v>
      </c>
      <c r="N265" s="17">
        <f>CHOOSE(CONTROL!$C$42, 11.9984, 11.9984) * CHOOSE(CONTROL!$C$21, $C$9, 100%, $E$9)</f>
        <v>11.9984</v>
      </c>
      <c r="O265" s="17">
        <f>CHOOSE(CONTROL!$C$42, 12.1359, 12.1359) * CHOOSE(CONTROL!$C$21, $C$9, 100%, $E$9)</f>
        <v>12.135899999999999</v>
      </c>
      <c r="P265" s="17">
        <f>CHOOSE(CONTROL!$C$42, 12.0388, 12.0388) * CHOOSE(CONTROL!$C$21, $C$9, 100%, $E$9)</f>
        <v>12.0388</v>
      </c>
      <c r="Q265" s="17">
        <f>CHOOSE(CONTROL!$C$42, 12.7306, 12.7306) * CHOOSE(CONTROL!$C$21, $C$9, 100%, $E$9)</f>
        <v>12.730600000000001</v>
      </c>
      <c r="R265" s="17">
        <f>CHOOSE(CONTROL!$C$42, 13.3494, 13.3494) * CHOOSE(CONTROL!$C$21, $C$9, 100%, $E$9)</f>
        <v>13.349399999999999</v>
      </c>
      <c r="S265" s="17">
        <f>CHOOSE(CONTROL!$C$42, 11.7018, 11.7018) * CHOOSE(CONTROL!$C$21, $C$9, 100%, $E$9)</f>
        <v>11.7018</v>
      </c>
      <c r="T265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265" s="56">
        <f>(1000*CHOOSE(CONTROL!$C$42, 695, 695)*CHOOSE(CONTROL!$C$42, 0.5599, 0.5599)*CHOOSE(CONTROL!$C$42, 31, 31))/1000000</f>
        <v>12.063045499999998</v>
      </c>
      <c r="V265" s="56">
        <f>(1000*CHOOSE(CONTROL!$C$42, 500, 500)*CHOOSE(CONTROL!$C$42, 0.275, 0.275)*CHOOSE(CONTROL!$C$42, 31, 31))/1000000</f>
        <v>4.2625000000000002</v>
      </c>
      <c r="W265" s="56">
        <f>(1000*CHOOSE(CONTROL!$C$42, 0.0916, 0.0916)*CHOOSE(CONTROL!$C$42, 121.5, 121.5)*CHOOSE(CONTROL!$C$42, 31, 31))/1000000</f>
        <v>0.34501139999999997</v>
      </c>
      <c r="X265" s="56">
        <f>(31*0.2374*100000/1000000)</f>
        <v>0.73594000000000004</v>
      </c>
      <c r="Y265" s="56"/>
      <c r="Z265" s="17"/>
      <c r="AA265" s="55"/>
      <c r="AB265" s="48">
        <f>(B265*122.58+C265*297.941+D265*89.177+E265*140.302+F265*40+G265*60+H265*0+I265*100+J265*300)/(122.58+297.941+89.177+140.302+0+40+60+100+300)</f>
        <v>12.119659380608695</v>
      </c>
      <c r="AC265" s="45">
        <f>(M265*'RAP TEMPLATE-GAS AVAILABILITY'!O264+N265*'RAP TEMPLATE-GAS AVAILABILITY'!P264+O265*'RAP TEMPLATE-GAS AVAILABILITY'!Q264+P265*'RAP TEMPLATE-GAS AVAILABILITY'!R264)/('RAP TEMPLATE-GAS AVAILABILITY'!O264+'RAP TEMPLATE-GAS AVAILABILITY'!P264+'RAP TEMPLATE-GAS AVAILABILITY'!Q264+'RAP TEMPLATE-GAS AVAILABILITY'!R264)</f>
        <v>12.06076618705036</v>
      </c>
    </row>
    <row r="266" spans="1:29" ht="15.75" x14ac:dyDescent="0.25">
      <c r="A266" s="16">
        <v>48611</v>
      </c>
      <c r="B266" s="17">
        <f>CHOOSE(CONTROL!$C$42, 12.2921, 12.2921) * CHOOSE(CONTROL!$C$21, $C$9, 100%, $E$9)</f>
        <v>12.2921</v>
      </c>
      <c r="C266" s="17">
        <f>CHOOSE(CONTROL!$C$42, 12.2972, 12.2972) * CHOOSE(CONTROL!$C$21, $C$9, 100%, $E$9)</f>
        <v>12.2972</v>
      </c>
      <c r="D266" s="17">
        <f>CHOOSE(CONTROL!$C$42, 12.4311, 12.4311) * CHOOSE(CONTROL!$C$21, $C$9, 100%, $E$9)</f>
        <v>12.431100000000001</v>
      </c>
      <c r="E266" s="17">
        <f>CHOOSE(CONTROL!$C$42, 12.4649, 12.4649) * CHOOSE(CONTROL!$C$21, $C$9, 100%, $E$9)</f>
        <v>12.4649</v>
      </c>
      <c r="F266" s="17">
        <f>CHOOSE(CONTROL!$C$42, 12.3055, 12.3055)*CHOOSE(CONTROL!$C$21, $C$9, 100%, $E$9)</f>
        <v>12.3055</v>
      </c>
      <c r="G266" s="17">
        <f>CHOOSE(CONTROL!$C$42, 12.3224, 12.3224)*CHOOSE(CONTROL!$C$21, $C$9, 100%, $E$9)</f>
        <v>12.3224</v>
      </c>
      <c r="H266" s="17">
        <f>CHOOSE(CONTROL!$C$42, 12.4538, 12.4538) * CHOOSE(CONTROL!$C$21, $C$9, 100%, $E$9)</f>
        <v>12.453799999999999</v>
      </c>
      <c r="I266" s="17">
        <f>CHOOSE(CONTROL!$C$42, 12.3567, 12.3567)* CHOOSE(CONTROL!$C$21, $C$9, 100%, $E$9)</f>
        <v>12.3567</v>
      </c>
      <c r="J266" s="17">
        <f>CHOOSE(CONTROL!$C$42, 12.2981, 12.2981)* CHOOSE(CONTROL!$C$21, $C$9, 100%, $E$9)</f>
        <v>12.2981</v>
      </c>
      <c r="K266" s="52">
        <f>CHOOSE(CONTROL!$C$42, 12.3507, 12.3507) * CHOOSE(CONTROL!$C$21, $C$9, 100%, $E$9)</f>
        <v>12.3507</v>
      </c>
      <c r="L266" s="17">
        <f>CHOOSE(CONTROL!$C$42, 13.0408, 13.0408) * CHOOSE(CONTROL!$C$21, $C$9, 100%, $E$9)</f>
        <v>13.040800000000001</v>
      </c>
      <c r="M266" s="17">
        <f>CHOOSE(CONTROL!$C$42, 12.1945, 12.1945) * CHOOSE(CONTROL!$C$21, $C$9, 100%, $E$9)</f>
        <v>12.1945</v>
      </c>
      <c r="N266" s="17">
        <f>CHOOSE(CONTROL!$C$42, 12.2112, 12.2112) * CHOOSE(CONTROL!$C$21, $C$9, 100%, $E$9)</f>
        <v>12.2112</v>
      </c>
      <c r="O266" s="17">
        <f>CHOOSE(CONTROL!$C$42, 12.3488, 12.3488) * CHOOSE(CONTROL!$C$21, $C$9, 100%, $E$9)</f>
        <v>12.348800000000001</v>
      </c>
      <c r="P266" s="17">
        <f>CHOOSE(CONTROL!$C$42, 12.2523, 12.2523) * CHOOSE(CONTROL!$C$21, $C$9, 100%, $E$9)</f>
        <v>12.2523</v>
      </c>
      <c r="Q266" s="17">
        <f>CHOOSE(CONTROL!$C$42, 12.9435, 12.9435) * CHOOSE(CONTROL!$C$21, $C$9, 100%, $E$9)</f>
        <v>12.9435</v>
      </c>
      <c r="R266" s="17">
        <f>CHOOSE(CONTROL!$C$42, 13.5628, 13.5628) * CHOOSE(CONTROL!$C$21, $C$9, 100%, $E$9)</f>
        <v>13.562799999999999</v>
      </c>
      <c r="S266" s="17">
        <f>CHOOSE(CONTROL!$C$42, 11.9101, 11.9101) * CHOOSE(CONTROL!$C$21, $C$9, 100%, $E$9)</f>
        <v>11.9101</v>
      </c>
      <c r="T266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266" s="56">
        <f>(1000*CHOOSE(CONTROL!$C$42, 695, 695)*CHOOSE(CONTROL!$C$42, 0.5599, 0.5599)*CHOOSE(CONTROL!$C$42, 28, 28))/1000000</f>
        <v>10.895653999999999</v>
      </c>
      <c r="V266" s="56">
        <f>(1000*CHOOSE(CONTROL!$C$42, 500, 500)*CHOOSE(CONTROL!$C$42, 0.275, 0.275)*CHOOSE(CONTROL!$C$42, 28, 28))/1000000</f>
        <v>3.85</v>
      </c>
      <c r="W266" s="56">
        <f>(1000*CHOOSE(CONTROL!$C$42, 0.0916, 0.0916)*CHOOSE(CONTROL!$C$42, 121.5, 121.5)*CHOOSE(CONTROL!$C$42, 28, 28))/1000000</f>
        <v>0.31162319999999999</v>
      </c>
      <c r="X266" s="56">
        <f>(28*0.2374*100000/1000000)</f>
        <v>0.66471999999999998</v>
      </c>
      <c r="Y266" s="56"/>
      <c r="Z266" s="17"/>
      <c r="AA266" s="55"/>
      <c r="AB266" s="48">
        <f>(B266*122.58+C266*297.941+D266*89.177+E266*140.302+F266*40+G266*60+H266*0+I266*100+J266*300)/(122.58+297.941+89.177+140.302+0+40+60+100+300)</f>
        <v>12.33451155452174</v>
      </c>
      <c r="AC266" s="45">
        <f>(M266*'RAP TEMPLATE-GAS AVAILABILITY'!O265+N266*'RAP TEMPLATE-GAS AVAILABILITY'!P265+O266*'RAP TEMPLATE-GAS AVAILABILITY'!Q265+P266*'RAP TEMPLATE-GAS AVAILABILITY'!R265)/('RAP TEMPLATE-GAS AVAILABILITY'!O265+'RAP TEMPLATE-GAS AVAILABILITY'!P265+'RAP TEMPLATE-GAS AVAILABILITY'!Q265+'RAP TEMPLATE-GAS AVAILABILITY'!R265)</f>
        <v>12.273712230215827</v>
      </c>
    </row>
    <row r="267" spans="1:29" ht="15.75" x14ac:dyDescent="0.25">
      <c r="A267" s="16">
        <v>48639</v>
      </c>
      <c r="B267" s="17">
        <f>CHOOSE(CONTROL!$C$42, 11.9434, 11.9434) * CHOOSE(CONTROL!$C$21, $C$9, 100%, $E$9)</f>
        <v>11.9434</v>
      </c>
      <c r="C267" s="17">
        <f>CHOOSE(CONTROL!$C$42, 11.9485, 11.9485) * CHOOSE(CONTROL!$C$21, $C$9, 100%, $E$9)</f>
        <v>11.948499999999999</v>
      </c>
      <c r="D267" s="17">
        <f>CHOOSE(CONTROL!$C$42, 12.0825, 12.0825) * CHOOSE(CONTROL!$C$21, $C$9, 100%, $E$9)</f>
        <v>12.0825</v>
      </c>
      <c r="E267" s="17">
        <f>CHOOSE(CONTROL!$C$42, 12.1162, 12.1162) * CHOOSE(CONTROL!$C$21, $C$9, 100%, $E$9)</f>
        <v>12.116199999999999</v>
      </c>
      <c r="F267" s="17">
        <f>CHOOSE(CONTROL!$C$42, 11.9561, 11.9561)*CHOOSE(CONTROL!$C$21, $C$9, 100%, $E$9)</f>
        <v>11.956099999999999</v>
      </c>
      <c r="G267" s="17">
        <f>CHOOSE(CONTROL!$C$42, 11.9727, 11.9727)*CHOOSE(CONTROL!$C$21, $C$9, 100%, $E$9)</f>
        <v>11.9727</v>
      </c>
      <c r="H267" s="17">
        <f>CHOOSE(CONTROL!$C$42, 12.1051, 12.1051) * CHOOSE(CONTROL!$C$21, $C$9, 100%, $E$9)</f>
        <v>12.1051</v>
      </c>
      <c r="I267" s="17">
        <f>CHOOSE(CONTROL!$C$42, 12.007, 12.007)* CHOOSE(CONTROL!$C$21, $C$9, 100%, $E$9)</f>
        <v>12.007</v>
      </c>
      <c r="J267" s="17">
        <f>CHOOSE(CONTROL!$C$42, 11.9487, 11.9487)* CHOOSE(CONTROL!$C$21, $C$9, 100%, $E$9)</f>
        <v>11.948700000000001</v>
      </c>
      <c r="K267" s="52">
        <f>CHOOSE(CONTROL!$C$42, 12.0009, 12.0009) * CHOOSE(CONTROL!$C$21, $C$9, 100%, $E$9)</f>
        <v>12.0009</v>
      </c>
      <c r="L267" s="17">
        <f>CHOOSE(CONTROL!$C$42, 12.6921, 12.6921) * CHOOSE(CONTROL!$C$21, $C$9, 100%, $E$9)</f>
        <v>12.6921</v>
      </c>
      <c r="M267" s="17">
        <f>CHOOSE(CONTROL!$C$42, 11.8482, 11.8482) * CHOOSE(CONTROL!$C$21, $C$9, 100%, $E$9)</f>
        <v>11.8482</v>
      </c>
      <c r="N267" s="17">
        <f>CHOOSE(CONTROL!$C$42, 11.8647, 11.8647) * CHOOSE(CONTROL!$C$21, $C$9, 100%, $E$9)</f>
        <v>11.864699999999999</v>
      </c>
      <c r="O267" s="17">
        <f>CHOOSE(CONTROL!$C$42, 12.0032, 12.0032) * CHOOSE(CONTROL!$C$21, $C$9, 100%, $E$9)</f>
        <v>12.0032</v>
      </c>
      <c r="P267" s="17">
        <f>CHOOSE(CONTROL!$C$42, 11.9057, 11.9057) * CHOOSE(CONTROL!$C$21, $C$9, 100%, $E$9)</f>
        <v>11.9057</v>
      </c>
      <c r="Q267" s="17">
        <f>CHOOSE(CONTROL!$C$42, 12.5979, 12.5979) * CHOOSE(CONTROL!$C$21, $C$9, 100%, $E$9)</f>
        <v>12.597899999999999</v>
      </c>
      <c r="R267" s="17">
        <f>CHOOSE(CONTROL!$C$42, 13.2164, 13.2164) * CHOOSE(CONTROL!$C$21, $C$9, 100%, $E$9)</f>
        <v>13.2164</v>
      </c>
      <c r="S267" s="17">
        <f>CHOOSE(CONTROL!$C$42, 11.572, 11.572) * CHOOSE(CONTROL!$C$21, $C$9, 100%, $E$9)</f>
        <v>11.571999999999999</v>
      </c>
      <c r="T267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267" s="56">
        <f>(1000*CHOOSE(CONTROL!$C$42, 695, 695)*CHOOSE(CONTROL!$C$42, 0.5599, 0.5599)*CHOOSE(CONTROL!$C$42, 31, 31))/1000000</f>
        <v>12.063045499999998</v>
      </c>
      <c r="V267" s="56">
        <f>(1000*CHOOSE(CONTROL!$C$42, 500, 500)*CHOOSE(CONTROL!$C$42, 0.275, 0.275)*CHOOSE(CONTROL!$C$42, 31, 31))/1000000</f>
        <v>4.2625000000000002</v>
      </c>
      <c r="W267" s="56">
        <f>(1000*CHOOSE(CONTROL!$C$42, 0.0916, 0.0916)*CHOOSE(CONTROL!$C$42, 121.5, 121.5)*CHOOSE(CONTROL!$C$42, 31, 31))/1000000</f>
        <v>0.34501139999999997</v>
      </c>
      <c r="X267" s="56">
        <f>(31*0.2374*100000/1000000)</f>
        <v>0.73594000000000004</v>
      </c>
      <c r="Y267" s="56"/>
      <c r="Z267" s="17"/>
      <c r="AA267" s="55"/>
      <c r="AB267" s="48">
        <f>(B267*122.58+C267*297.941+D267*89.177+E267*140.302+F267*40+G267*60+H267*0+I267*100+J267*300)/(122.58+297.941+89.177+140.302+0+40+60+100+300)</f>
        <v>11.985473222086956</v>
      </c>
      <c r="AC267" s="45">
        <f>(M267*'RAP TEMPLATE-GAS AVAILABILITY'!O266+N267*'RAP TEMPLATE-GAS AVAILABILITY'!P266+O267*'RAP TEMPLATE-GAS AVAILABILITY'!Q266+P267*'RAP TEMPLATE-GAS AVAILABILITY'!R266)/('RAP TEMPLATE-GAS AVAILABILITY'!O266+'RAP TEMPLATE-GAS AVAILABILITY'!P266+'RAP TEMPLATE-GAS AVAILABILITY'!Q266+'RAP TEMPLATE-GAS AVAILABILITY'!R266)</f>
        <v>11.927674820143885</v>
      </c>
    </row>
    <row r="268" spans="1:29" ht="15.75" x14ac:dyDescent="0.25">
      <c r="A268" s="16">
        <v>48670</v>
      </c>
      <c r="B268" s="17">
        <f>CHOOSE(CONTROL!$C$42, 11.9087, 11.9087) * CHOOSE(CONTROL!$C$21, $C$9, 100%, $E$9)</f>
        <v>11.9087</v>
      </c>
      <c r="C268" s="17">
        <f>CHOOSE(CONTROL!$C$42, 11.9132, 11.9132) * CHOOSE(CONTROL!$C$21, $C$9, 100%, $E$9)</f>
        <v>11.9132</v>
      </c>
      <c r="D268" s="17">
        <f>CHOOSE(CONTROL!$C$42, 12.1763, 12.1763) * CHOOSE(CONTROL!$C$21, $C$9, 100%, $E$9)</f>
        <v>12.176299999999999</v>
      </c>
      <c r="E268" s="17">
        <f>CHOOSE(CONTROL!$C$42, 12.2081, 12.2081) * CHOOSE(CONTROL!$C$21, $C$9, 100%, $E$9)</f>
        <v>12.2081</v>
      </c>
      <c r="F268" s="17">
        <f>CHOOSE(CONTROL!$C$42, 11.9196, 11.9196)*CHOOSE(CONTROL!$C$21, $C$9, 100%, $E$9)</f>
        <v>11.919600000000001</v>
      </c>
      <c r="G268" s="17">
        <f>CHOOSE(CONTROL!$C$42, 11.9358, 11.9358)*CHOOSE(CONTROL!$C$21, $C$9, 100%, $E$9)</f>
        <v>11.9358</v>
      </c>
      <c r="H268" s="17">
        <f>CHOOSE(CONTROL!$C$42, 12.1975, 12.1975) * CHOOSE(CONTROL!$C$21, $C$9, 100%, $E$9)</f>
        <v>12.1975</v>
      </c>
      <c r="I268" s="17">
        <f>CHOOSE(CONTROL!$C$42, 11.9709, 11.9709)* CHOOSE(CONTROL!$C$21, $C$9, 100%, $E$9)</f>
        <v>11.9709</v>
      </c>
      <c r="J268" s="17">
        <f>CHOOSE(CONTROL!$C$42, 11.9122, 11.9122)* CHOOSE(CONTROL!$C$21, $C$9, 100%, $E$9)</f>
        <v>11.9122</v>
      </c>
      <c r="K268" s="52">
        <f>CHOOSE(CONTROL!$C$42, 11.9649, 11.9649) * CHOOSE(CONTROL!$C$21, $C$9, 100%, $E$9)</f>
        <v>11.9649</v>
      </c>
      <c r="L268" s="17">
        <f>CHOOSE(CONTROL!$C$42, 12.7845, 12.7845) * CHOOSE(CONTROL!$C$21, $C$9, 100%, $E$9)</f>
        <v>12.7845</v>
      </c>
      <c r="M268" s="17">
        <f>CHOOSE(CONTROL!$C$42, 11.8121, 11.8121) * CHOOSE(CONTROL!$C$21, $C$9, 100%, $E$9)</f>
        <v>11.812099999999999</v>
      </c>
      <c r="N268" s="17">
        <f>CHOOSE(CONTROL!$C$42, 11.8281, 11.8281) * CHOOSE(CONTROL!$C$21, $C$9, 100%, $E$9)</f>
        <v>11.828099999999999</v>
      </c>
      <c r="O268" s="17">
        <f>CHOOSE(CONTROL!$C$42, 12.0948, 12.0948) * CHOOSE(CONTROL!$C$21, $C$9, 100%, $E$9)</f>
        <v>12.094799999999999</v>
      </c>
      <c r="P268" s="17">
        <f>CHOOSE(CONTROL!$C$42, 11.87, 11.87) * CHOOSE(CONTROL!$C$21, $C$9, 100%, $E$9)</f>
        <v>11.87</v>
      </c>
      <c r="Q268" s="17">
        <f>CHOOSE(CONTROL!$C$42, 12.6895, 12.6895) * CHOOSE(CONTROL!$C$21, $C$9, 100%, $E$9)</f>
        <v>12.689500000000001</v>
      </c>
      <c r="R268" s="17">
        <f>CHOOSE(CONTROL!$C$42, 13.3082, 13.3082) * CHOOSE(CONTROL!$C$21, $C$9, 100%, $E$9)</f>
        <v>13.308199999999999</v>
      </c>
      <c r="S268" s="17">
        <f>CHOOSE(CONTROL!$C$42, 11.5376, 11.5376) * CHOOSE(CONTROL!$C$21, $C$9, 100%, $E$9)</f>
        <v>11.537599999999999</v>
      </c>
      <c r="T268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268" s="56">
        <f>(1000*CHOOSE(CONTROL!$C$42, 695, 695)*CHOOSE(CONTROL!$C$42, 0.5599, 0.5599)*CHOOSE(CONTROL!$C$42, 30, 30))/1000000</f>
        <v>11.673914999999997</v>
      </c>
      <c r="V268" s="56">
        <f>(1000*CHOOSE(CONTROL!$C$42, 500, 500)*CHOOSE(CONTROL!$C$42, 0.275, 0.275)*CHOOSE(CONTROL!$C$42, 30, 30))/1000000</f>
        <v>4.125</v>
      </c>
      <c r="W268" s="56">
        <f>(1000*CHOOSE(CONTROL!$C$42, 0.0916, 0.0916)*CHOOSE(CONTROL!$C$42, 121.5, 121.5)*CHOOSE(CONTROL!$C$42, 30, 30))/1000000</f>
        <v>0.33388200000000001</v>
      </c>
      <c r="X268" s="56">
        <f>(30*0.1790888*145000/1000000)+(30*0.2374*100000/1000000)</f>
        <v>1.4912362799999999</v>
      </c>
      <c r="Y268" s="56"/>
      <c r="Z268" s="17"/>
      <c r="AA268" s="55"/>
      <c r="AB268" s="48">
        <f>(B268*141.293+C268*267.993+D268*115.016+E268*189.698+F268*40+G268*85+H268*0+I268*100+J268*300)/(141.293+267.993+115.016+189.698+0+40+85+100+300)</f>
        <v>11.98843311646489</v>
      </c>
      <c r="AC268" s="45">
        <f>(M268*'RAP TEMPLATE-GAS AVAILABILITY'!O267+N268*'RAP TEMPLATE-GAS AVAILABILITY'!P267+O268*'RAP TEMPLATE-GAS AVAILABILITY'!Q267+P268*'RAP TEMPLATE-GAS AVAILABILITY'!R267)/('RAP TEMPLATE-GAS AVAILABILITY'!O267+'RAP TEMPLATE-GAS AVAILABILITY'!P267+'RAP TEMPLATE-GAS AVAILABILITY'!Q267+'RAP TEMPLATE-GAS AVAILABILITY'!R267)</f>
        <v>11.903433093525178</v>
      </c>
    </row>
    <row r="269" spans="1:29" ht="15.75" x14ac:dyDescent="0.25">
      <c r="A269" s="16">
        <v>48700</v>
      </c>
      <c r="B269" s="17">
        <f>CHOOSE(CONTROL!$C$42, 12.0151, 12.0151) * CHOOSE(CONTROL!$C$21, $C$9, 100%, $E$9)</f>
        <v>12.0151</v>
      </c>
      <c r="C269" s="17">
        <f>CHOOSE(CONTROL!$C$42, 12.0231, 12.0231) * CHOOSE(CONTROL!$C$21, $C$9, 100%, $E$9)</f>
        <v>12.023099999999999</v>
      </c>
      <c r="D269" s="17">
        <f>CHOOSE(CONTROL!$C$42, 12.283, 12.283) * CHOOSE(CONTROL!$C$21, $C$9, 100%, $E$9)</f>
        <v>12.282999999999999</v>
      </c>
      <c r="E269" s="17">
        <f>CHOOSE(CONTROL!$C$42, 12.3142, 12.3142) * CHOOSE(CONTROL!$C$21, $C$9, 100%, $E$9)</f>
        <v>12.3142</v>
      </c>
      <c r="F269" s="17">
        <f>CHOOSE(CONTROL!$C$42, 12.0248, 12.0248)*CHOOSE(CONTROL!$C$21, $C$9, 100%, $E$9)</f>
        <v>12.024800000000001</v>
      </c>
      <c r="G269" s="17">
        <f>CHOOSE(CONTROL!$C$42, 12.0412, 12.0412)*CHOOSE(CONTROL!$C$21, $C$9, 100%, $E$9)</f>
        <v>12.0412</v>
      </c>
      <c r="H269" s="17">
        <f>CHOOSE(CONTROL!$C$42, 12.3025, 12.3025) * CHOOSE(CONTROL!$C$21, $C$9, 100%, $E$9)</f>
        <v>12.3025</v>
      </c>
      <c r="I269" s="17">
        <f>CHOOSE(CONTROL!$C$42, 12.0762, 12.0762)* CHOOSE(CONTROL!$C$21, $C$9, 100%, $E$9)</f>
        <v>12.0762</v>
      </c>
      <c r="J269" s="17">
        <f>CHOOSE(CONTROL!$C$42, 12.0174, 12.0174)* CHOOSE(CONTROL!$C$21, $C$9, 100%, $E$9)</f>
        <v>12.0174</v>
      </c>
      <c r="K269" s="52">
        <f>CHOOSE(CONTROL!$C$42, 12.0702, 12.0702) * CHOOSE(CONTROL!$C$21, $C$9, 100%, $E$9)</f>
        <v>12.0702</v>
      </c>
      <c r="L269" s="17">
        <f>CHOOSE(CONTROL!$C$42, 12.8895, 12.8895) * CHOOSE(CONTROL!$C$21, $C$9, 100%, $E$9)</f>
        <v>12.8895</v>
      </c>
      <c r="M269" s="17">
        <f>CHOOSE(CONTROL!$C$42, 11.9163, 11.9163) * CHOOSE(CONTROL!$C$21, $C$9, 100%, $E$9)</f>
        <v>11.9163</v>
      </c>
      <c r="N269" s="17">
        <f>CHOOSE(CONTROL!$C$42, 11.9326, 11.9326) * CHOOSE(CONTROL!$C$21, $C$9, 100%, $E$9)</f>
        <v>11.932600000000001</v>
      </c>
      <c r="O269" s="17">
        <f>CHOOSE(CONTROL!$C$42, 12.1989, 12.1989) * CHOOSE(CONTROL!$C$21, $C$9, 100%, $E$9)</f>
        <v>12.1989</v>
      </c>
      <c r="P269" s="17">
        <f>CHOOSE(CONTROL!$C$42, 11.9743, 11.9743) * CHOOSE(CONTROL!$C$21, $C$9, 100%, $E$9)</f>
        <v>11.974299999999999</v>
      </c>
      <c r="Q269" s="17">
        <f>CHOOSE(CONTROL!$C$42, 12.7936, 12.7936) * CHOOSE(CONTROL!$C$21, $C$9, 100%, $E$9)</f>
        <v>12.7936</v>
      </c>
      <c r="R269" s="17">
        <f>CHOOSE(CONTROL!$C$42, 13.4126, 13.4126) * CHOOSE(CONTROL!$C$21, $C$9, 100%, $E$9)</f>
        <v>13.412599999999999</v>
      </c>
      <c r="S269" s="17">
        <f>CHOOSE(CONTROL!$C$42, 11.6395, 11.6395) * CHOOSE(CONTROL!$C$21, $C$9, 100%, $E$9)</f>
        <v>11.6395</v>
      </c>
      <c r="T269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269" s="56">
        <f>(1000*CHOOSE(CONTROL!$C$42, 695, 695)*CHOOSE(CONTROL!$C$42, 0.5599, 0.5599)*CHOOSE(CONTROL!$C$42, 31, 31))/1000000</f>
        <v>12.063045499999998</v>
      </c>
      <c r="V269" s="56">
        <f>(1000*CHOOSE(CONTROL!$C$42, 500, 500)*CHOOSE(CONTROL!$C$42, 0.275, 0.275)*CHOOSE(CONTROL!$C$42, 31, 31))/1000000</f>
        <v>4.2625000000000002</v>
      </c>
      <c r="W269" s="56">
        <f>(1000*CHOOSE(CONTROL!$C$42, 0.0916, 0.0916)*CHOOSE(CONTROL!$C$42, 121.5, 121.5)*CHOOSE(CONTROL!$C$42, 31, 31))/1000000</f>
        <v>0.34501139999999997</v>
      </c>
      <c r="X269" s="56">
        <f>(31*0.1790888*145000/1000000)+(31*0.2374*100000/1000000)</f>
        <v>1.5409441560000001</v>
      </c>
      <c r="Y269" s="56"/>
      <c r="Z269" s="17"/>
      <c r="AA269" s="55"/>
      <c r="AB269" s="48">
        <f>(B269*194.205+C269*267.466+D269*133.845+E269*153.484+F269*40+G269*85+H269*0+I269*100+J269*300)/(194.205+267.466+133.845+153.484+0+40+85+100+300)</f>
        <v>12.088342047017271</v>
      </c>
      <c r="AC269" s="45">
        <f>(M269*'RAP TEMPLATE-GAS AVAILABILITY'!O268+N269*'RAP TEMPLATE-GAS AVAILABILITY'!P268+O269*'RAP TEMPLATE-GAS AVAILABILITY'!Q268+P269*'RAP TEMPLATE-GAS AVAILABILITY'!R268)/('RAP TEMPLATE-GAS AVAILABILITY'!O268+'RAP TEMPLATE-GAS AVAILABILITY'!P268+'RAP TEMPLATE-GAS AVAILABILITY'!Q268+'RAP TEMPLATE-GAS AVAILABILITY'!R268)</f>
        <v>12.007688489208631</v>
      </c>
    </row>
    <row r="270" spans="1:29" ht="15.75" x14ac:dyDescent="0.25">
      <c r="A270" s="16">
        <v>48731</v>
      </c>
      <c r="B270" s="17">
        <f>CHOOSE(CONTROL!$C$42, 12.3556, 12.3556) * CHOOSE(CONTROL!$C$21, $C$9, 100%, $E$9)</f>
        <v>12.355600000000001</v>
      </c>
      <c r="C270" s="17">
        <f>CHOOSE(CONTROL!$C$42, 12.3635, 12.3635) * CHOOSE(CONTROL!$C$21, $C$9, 100%, $E$9)</f>
        <v>12.3635</v>
      </c>
      <c r="D270" s="17">
        <f>CHOOSE(CONTROL!$C$42, 12.6235, 12.6235) * CHOOSE(CONTROL!$C$21, $C$9, 100%, $E$9)</f>
        <v>12.6235</v>
      </c>
      <c r="E270" s="17">
        <f>CHOOSE(CONTROL!$C$42, 12.6546, 12.6546) * CHOOSE(CONTROL!$C$21, $C$9, 100%, $E$9)</f>
        <v>12.6546</v>
      </c>
      <c r="F270" s="17">
        <f>CHOOSE(CONTROL!$C$42, 12.3655, 12.3655)*CHOOSE(CONTROL!$C$21, $C$9, 100%, $E$9)</f>
        <v>12.365500000000001</v>
      </c>
      <c r="G270" s="17">
        <f>CHOOSE(CONTROL!$C$42, 12.3821, 12.3821)*CHOOSE(CONTROL!$C$21, $C$9, 100%, $E$9)</f>
        <v>12.382099999999999</v>
      </c>
      <c r="H270" s="17">
        <f>CHOOSE(CONTROL!$C$42, 12.643, 12.643) * CHOOSE(CONTROL!$C$21, $C$9, 100%, $E$9)</f>
        <v>12.643000000000001</v>
      </c>
      <c r="I270" s="17">
        <f>CHOOSE(CONTROL!$C$42, 12.4177, 12.4177)* CHOOSE(CONTROL!$C$21, $C$9, 100%, $E$9)</f>
        <v>12.4177</v>
      </c>
      <c r="J270" s="17">
        <f>CHOOSE(CONTROL!$C$42, 12.3581, 12.3581)* CHOOSE(CONTROL!$C$21, $C$9, 100%, $E$9)</f>
        <v>12.3581</v>
      </c>
      <c r="K270" s="52">
        <f>CHOOSE(CONTROL!$C$42, 12.4117, 12.4117) * CHOOSE(CONTROL!$C$21, $C$9, 100%, $E$9)</f>
        <v>12.4117</v>
      </c>
      <c r="L270" s="17">
        <f>CHOOSE(CONTROL!$C$42, 13.23, 13.23) * CHOOSE(CONTROL!$C$21, $C$9, 100%, $E$9)</f>
        <v>13.23</v>
      </c>
      <c r="M270" s="17">
        <f>CHOOSE(CONTROL!$C$42, 12.254, 12.254) * CHOOSE(CONTROL!$C$21, $C$9, 100%, $E$9)</f>
        <v>12.254</v>
      </c>
      <c r="N270" s="17">
        <f>CHOOSE(CONTROL!$C$42, 12.2704, 12.2704) * CHOOSE(CONTROL!$C$21, $C$9, 100%, $E$9)</f>
        <v>12.2704</v>
      </c>
      <c r="O270" s="17">
        <f>CHOOSE(CONTROL!$C$42, 12.5363, 12.5363) * CHOOSE(CONTROL!$C$21, $C$9, 100%, $E$9)</f>
        <v>12.536300000000001</v>
      </c>
      <c r="P270" s="17">
        <f>CHOOSE(CONTROL!$C$42, 12.3128, 12.3128) * CHOOSE(CONTROL!$C$21, $C$9, 100%, $E$9)</f>
        <v>12.312799999999999</v>
      </c>
      <c r="Q270" s="17">
        <f>CHOOSE(CONTROL!$C$42, 13.131, 13.131) * CHOOSE(CONTROL!$C$21, $C$9, 100%, $E$9)</f>
        <v>13.131</v>
      </c>
      <c r="R270" s="17">
        <f>CHOOSE(CONTROL!$C$42, 13.7508, 13.7508) * CHOOSE(CONTROL!$C$21, $C$9, 100%, $E$9)</f>
        <v>13.7508</v>
      </c>
      <c r="S270" s="17">
        <f>CHOOSE(CONTROL!$C$42, 11.9696, 11.9696) * CHOOSE(CONTROL!$C$21, $C$9, 100%, $E$9)</f>
        <v>11.9696</v>
      </c>
      <c r="T270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270" s="56">
        <f>(1000*CHOOSE(CONTROL!$C$42, 695, 695)*CHOOSE(CONTROL!$C$42, 0.5599, 0.5599)*CHOOSE(CONTROL!$C$42, 30, 30))/1000000</f>
        <v>11.673914999999997</v>
      </c>
      <c r="V270" s="56">
        <f>(1000*CHOOSE(CONTROL!$C$42, 500, 500)*CHOOSE(CONTROL!$C$42, 0.275, 0.275)*CHOOSE(CONTROL!$C$42, 30, 30))/1000000</f>
        <v>4.125</v>
      </c>
      <c r="W270" s="56">
        <f>(1000*CHOOSE(CONTROL!$C$42, 0.0916, 0.0916)*CHOOSE(CONTROL!$C$42, 121.5, 121.5)*CHOOSE(CONTROL!$C$42, 30, 30))/1000000</f>
        <v>0.33388200000000001</v>
      </c>
      <c r="X270" s="56">
        <f>(30*0.1790888*145000/1000000)+(30*0.2374*100000/1000000)</f>
        <v>1.4912362799999999</v>
      </c>
      <c r="Y270" s="56"/>
      <c r="Z270" s="17"/>
      <c r="AA270" s="55"/>
      <c r="AB270" s="48">
        <f>(B270*194.205+C270*267.466+D270*133.845+E270*153.484+F270*40+G270*85+H270*0+I270*100+J270*300)/(194.205+267.466+133.845+153.484+0+40+85+100+300)</f>
        <v>12.428967561145997</v>
      </c>
      <c r="AC270" s="45">
        <f>(M270*'RAP TEMPLATE-GAS AVAILABILITY'!O269+N270*'RAP TEMPLATE-GAS AVAILABILITY'!P269+O270*'RAP TEMPLATE-GAS AVAILABILITY'!Q269+P270*'RAP TEMPLATE-GAS AVAILABILITY'!R269)/('RAP TEMPLATE-GAS AVAILABILITY'!O269+'RAP TEMPLATE-GAS AVAILABILITY'!P269+'RAP TEMPLATE-GAS AVAILABILITY'!Q269+'RAP TEMPLATE-GAS AVAILABILITY'!R269)</f>
        <v>12.345442446043165</v>
      </c>
    </row>
    <row r="271" spans="1:29" ht="15.75" x14ac:dyDescent="0.25">
      <c r="A271" s="16">
        <v>48761</v>
      </c>
      <c r="B271" s="17">
        <f>CHOOSE(CONTROL!$C$42, 12.1188, 12.1188) * CHOOSE(CONTROL!$C$21, $C$9, 100%, $E$9)</f>
        <v>12.1188</v>
      </c>
      <c r="C271" s="17">
        <f>CHOOSE(CONTROL!$C$42, 12.1267, 12.1267) * CHOOSE(CONTROL!$C$21, $C$9, 100%, $E$9)</f>
        <v>12.1267</v>
      </c>
      <c r="D271" s="17">
        <f>CHOOSE(CONTROL!$C$42, 12.3867, 12.3867) * CHOOSE(CONTROL!$C$21, $C$9, 100%, $E$9)</f>
        <v>12.386699999999999</v>
      </c>
      <c r="E271" s="17">
        <f>CHOOSE(CONTROL!$C$42, 12.4179, 12.4179) * CHOOSE(CONTROL!$C$21, $C$9, 100%, $E$9)</f>
        <v>12.417899999999999</v>
      </c>
      <c r="F271" s="17">
        <f>CHOOSE(CONTROL!$C$42, 12.1292, 12.1292)*CHOOSE(CONTROL!$C$21, $C$9, 100%, $E$9)</f>
        <v>12.129200000000001</v>
      </c>
      <c r="G271" s="17">
        <f>CHOOSE(CONTROL!$C$42, 12.1458, 12.1458)*CHOOSE(CONTROL!$C$21, $C$9, 100%, $E$9)</f>
        <v>12.145799999999999</v>
      </c>
      <c r="H271" s="17">
        <f>CHOOSE(CONTROL!$C$42, 12.4062, 12.4062) * CHOOSE(CONTROL!$C$21, $C$9, 100%, $E$9)</f>
        <v>12.4062</v>
      </c>
      <c r="I271" s="17">
        <f>CHOOSE(CONTROL!$C$42, 12.1802, 12.1802)* CHOOSE(CONTROL!$C$21, $C$9, 100%, $E$9)</f>
        <v>12.180199999999999</v>
      </c>
      <c r="J271" s="17">
        <f>CHOOSE(CONTROL!$C$42, 12.1218, 12.1218)* CHOOSE(CONTROL!$C$21, $C$9, 100%, $E$9)</f>
        <v>12.1218</v>
      </c>
      <c r="K271" s="52">
        <f>CHOOSE(CONTROL!$C$42, 12.1742, 12.1742) * CHOOSE(CONTROL!$C$21, $C$9, 100%, $E$9)</f>
        <v>12.174200000000001</v>
      </c>
      <c r="L271" s="17">
        <f>CHOOSE(CONTROL!$C$42, 12.9932, 12.9932) * CHOOSE(CONTROL!$C$21, $C$9, 100%, $E$9)</f>
        <v>12.9932</v>
      </c>
      <c r="M271" s="17">
        <f>CHOOSE(CONTROL!$C$42, 12.0197, 12.0197) * CHOOSE(CONTROL!$C$21, $C$9, 100%, $E$9)</f>
        <v>12.0197</v>
      </c>
      <c r="N271" s="17">
        <f>CHOOSE(CONTROL!$C$42, 12.0362, 12.0362) * CHOOSE(CONTROL!$C$21, $C$9, 100%, $E$9)</f>
        <v>12.036199999999999</v>
      </c>
      <c r="O271" s="17">
        <f>CHOOSE(CONTROL!$C$42, 12.3016, 12.3016) * CHOOSE(CONTROL!$C$21, $C$9, 100%, $E$9)</f>
        <v>12.301600000000001</v>
      </c>
      <c r="P271" s="17">
        <f>CHOOSE(CONTROL!$C$42, 12.0774, 12.0774) * CHOOSE(CONTROL!$C$21, $C$9, 100%, $E$9)</f>
        <v>12.077400000000001</v>
      </c>
      <c r="Q271" s="17">
        <f>CHOOSE(CONTROL!$C$42, 12.8963, 12.8963) * CHOOSE(CONTROL!$C$21, $C$9, 100%, $E$9)</f>
        <v>12.8963</v>
      </c>
      <c r="R271" s="17">
        <f>CHOOSE(CONTROL!$C$42, 13.5156, 13.5156) * CHOOSE(CONTROL!$C$21, $C$9, 100%, $E$9)</f>
        <v>13.515599999999999</v>
      </c>
      <c r="S271" s="17">
        <f>CHOOSE(CONTROL!$C$42, 11.74, 11.74) * CHOOSE(CONTROL!$C$21, $C$9, 100%, $E$9)</f>
        <v>11.74</v>
      </c>
      <c r="T271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271" s="56">
        <f>(1000*CHOOSE(CONTROL!$C$42, 695, 695)*CHOOSE(CONTROL!$C$42, 0.5599, 0.5599)*CHOOSE(CONTROL!$C$42, 31, 31))/1000000</f>
        <v>12.063045499999998</v>
      </c>
      <c r="V271" s="56">
        <f>(1000*CHOOSE(CONTROL!$C$42, 500, 500)*CHOOSE(CONTROL!$C$42, 0.275, 0.275)*CHOOSE(CONTROL!$C$42, 31, 31))/1000000</f>
        <v>4.2625000000000002</v>
      </c>
      <c r="W271" s="56">
        <f>(1000*CHOOSE(CONTROL!$C$42, 0.0916, 0.0916)*CHOOSE(CONTROL!$C$42, 121.5, 121.5)*CHOOSE(CONTROL!$C$42, 31, 31))/1000000</f>
        <v>0.34501139999999997</v>
      </c>
      <c r="X271" s="56">
        <f>(31*0.1790888*145000/1000000)+(31*0.2374*100000/1000000)</f>
        <v>1.5409441560000001</v>
      </c>
      <c r="Y271" s="56"/>
      <c r="Z271" s="17"/>
      <c r="AA271" s="55"/>
      <c r="AB271" s="48">
        <f>(B271*194.205+C271*267.466+D271*133.845+E271*153.484+F271*40+G271*85+H271*0+I271*100+J271*300)/(194.205+267.466+133.845+153.484+0+40+85+100+300)</f>
        <v>12.192291460989011</v>
      </c>
      <c r="AC271" s="45">
        <f>(M271*'RAP TEMPLATE-GAS AVAILABILITY'!O270+N271*'RAP TEMPLATE-GAS AVAILABILITY'!P270+O271*'RAP TEMPLATE-GAS AVAILABILITY'!Q270+P271*'RAP TEMPLATE-GAS AVAILABILITY'!R270)/('RAP TEMPLATE-GAS AVAILABILITY'!O270+'RAP TEMPLATE-GAS AVAILABILITY'!P270+'RAP TEMPLATE-GAS AVAILABILITY'!Q270+'RAP TEMPLATE-GAS AVAILABILITY'!R270)</f>
        <v>12.110894964028777</v>
      </c>
    </row>
    <row r="272" spans="1:29" ht="15.75" x14ac:dyDescent="0.25">
      <c r="A272" s="16">
        <v>48792</v>
      </c>
      <c r="B272" s="17">
        <f>CHOOSE(CONTROL!$C$42, 11.5208, 11.5208) * CHOOSE(CONTROL!$C$21, $C$9, 100%, $E$9)</f>
        <v>11.520799999999999</v>
      </c>
      <c r="C272" s="17">
        <f>CHOOSE(CONTROL!$C$42, 11.5288, 11.5288) * CHOOSE(CONTROL!$C$21, $C$9, 100%, $E$9)</f>
        <v>11.5288</v>
      </c>
      <c r="D272" s="17">
        <f>CHOOSE(CONTROL!$C$42, 11.7887, 11.7887) * CHOOSE(CONTROL!$C$21, $C$9, 100%, $E$9)</f>
        <v>11.7887</v>
      </c>
      <c r="E272" s="17">
        <f>CHOOSE(CONTROL!$C$42, 11.8199, 11.8199) * CHOOSE(CONTROL!$C$21, $C$9, 100%, $E$9)</f>
        <v>11.819900000000001</v>
      </c>
      <c r="F272" s="17">
        <f>CHOOSE(CONTROL!$C$42, 11.5314, 11.5314)*CHOOSE(CONTROL!$C$21, $C$9, 100%, $E$9)</f>
        <v>11.5314</v>
      </c>
      <c r="G272" s="17">
        <f>CHOOSE(CONTROL!$C$42, 11.5481, 11.5481)*CHOOSE(CONTROL!$C$21, $C$9, 100%, $E$9)</f>
        <v>11.5481</v>
      </c>
      <c r="H272" s="17">
        <f>CHOOSE(CONTROL!$C$42, 11.8082, 11.8082) * CHOOSE(CONTROL!$C$21, $C$9, 100%, $E$9)</f>
        <v>11.808199999999999</v>
      </c>
      <c r="I272" s="17">
        <f>CHOOSE(CONTROL!$C$42, 11.5804, 11.5804)* CHOOSE(CONTROL!$C$21, $C$9, 100%, $E$9)</f>
        <v>11.580399999999999</v>
      </c>
      <c r="J272" s="17">
        <f>CHOOSE(CONTROL!$C$42, 11.524, 11.524)* CHOOSE(CONTROL!$C$21, $C$9, 100%, $E$9)</f>
        <v>11.523999999999999</v>
      </c>
      <c r="K272" s="52">
        <f>CHOOSE(CONTROL!$C$42, 11.5743, 11.5743) * CHOOSE(CONTROL!$C$21, $C$9, 100%, $E$9)</f>
        <v>11.574299999999999</v>
      </c>
      <c r="L272" s="17">
        <f>CHOOSE(CONTROL!$C$42, 12.3952, 12.3952) * CHOOSE(CONTROL!$C$21, $C$9, 100%, $E$9)</f>
        <v>12.395200000000001</v>
      </c>
      <c r="M272" s="17">
        <f>CHOOSE(CONTROL!$C$42, 11.4274, 11.4274) * CHOOSE(CONTROL!$C$21, $C$9, 100%, $E$9)</f>
        <v>11.4274</v>
      </c>
      <c r="N272" s="17">
        <f>CHOOSE(CONTROL!$C$42, 11.4439, 11.4439) * CHOOSE(CONTROL!$C$21, $C$9, 100%, $E$9)</f>
        <v>11.443899999999999</v>
      </c>
      <c r="O272" s="17">
        <f>CHOOSE(CONTROL!$C$42, 11.709, 11.709) * CHOOSE(CONTROL!$C$21, $C$9, 100%, $E$9)</f>
        <v>11.709</v>
      </c>
      <c r="P272" s="17">
        <f>CHOOSE(CONTROL!$C$42, 11.483, 11.483) * CHOOSE(CONTROL!$C$21, $C$9, 100%, $E$9)</f>
        <v>11.483000000000001</v>
      </c>
      <c r="Q272" s="17">
        <f>CHOOSE(CONTROL!$C$42, 12.3037, 12.3037) * CHOOSE(CONTROL!$C$21, $C$9, 100%, $E$9)</f>
        <v>12.303699999999999</v>
      </c>
      <c r="R272" s="17">
        <f>CHOOSE(CONTROL!$C$42, 12.9215, 12.9215) * CHOOSE(CONTROL!$C$21, $C$9, 100%, $E$9)</f>
        <v>12.9215</v>
      </c>
      <c r="S272" s="17">
        <f>CHOOSE(CONTROL!$C$42, 11.1601, 11.1601) * CHOOSE(CONTROL!$C$21, $C$9, 100%, $E$9)</f>
        <v>11.1601</v>
      </c>
      <c r="T272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272" s="56">
        <f>(1000*CHOOSE(CONTROL!$C$42, 695, 695)*CHOOSE(CONTROL!$C$42, 0.5599, 0.5599)*CHOOSE(CONTROL!$C$42, 31, 31))/1000000</f>
        <v>12.063045499999998</v>
      </c>
      <c r="V272" s="56">
        <f>(1000*CHOOSE(CONTROL!$C$42, 500, 500)*CHOOSE(CONTROL!$C$42, 0.275, 0.275)*CHOOSE(CONTROL!$C$42, 31, 31))/1000000</f>
        <v>4.2625000000000002</v>
      </c>
      <c r="W272" s="56">
        <f>(1000*CHOOSE(CONTROL!$C$42, 0.0916, 0.0916)*CHOOSE(CONTROL!$C$42, 121.5, 121.5)*CHOOSE(CONTROL!$C$42, 31, 31))/1000000</f>
        <v>0.34501139999999997</v>
      </c>
      <c r="X272" s="56">
        <f>(31*0.1790888*145000/1000000)+(31*0.2374*100000/1000000)</f>
        <v>1.5409441560000001</v>
      </c>
      <c r="Y272" s="56"/>
      <c r="Z272" s="17"/>
      <c r="AA272" s="55"/>
      <c r="AB272" s="48">
        <f>(B272*194.205+C272*267.466+D272*133.845+E272*153.484+F272*40+G272*85+H272*0+I272*100+J272*300)/(194.205+267.466+133.845+153.484+0+40+85+100+300)</f>
        <v>11.594244558791207</v>
      </c>
      <c r="AC272" s="45">
        <f>(M272*'RAP TEMPLATE-GAS AVAILABILITY'!O271+N272*'RAP TEMPLATE-GAS AVAILABILITY'!P271+O272*'RAP TEMPLATE-GAS AVAILABILITY'!Q271+P272*'RAP TEMPLATE-GAS AVAILABILITY'!R271)/('RAP TEMPLATE-GAS AVAILABILITY'!O271+'RAP TEMPLATE-GAS AVAILABILITY'!P271+'RAP TEMPLATE-GAS AVAILABILITY'!Q271+'RAP TEMPLATE-GAS AVAILABILITY'!R271)</f>
        <v>11.518208633093526</v>
      </c>
    </row>
    <row r="273" spans="1:29" ht="15.75" x14ac:dyDescent="0.25">
      <c r="A273" s="16">
        <v>48823</v>
      </c>
      <c r="B273" s="17">
        <f>CHOOSE(CONTROL!$C$42, 10.7899, 10.7899) * CHOOSE(CONTROL!$C$21, $C$9, 100%, $E$9)</f>
        <v>10.789899999999999</v>
      </c>
      <c r="C273" s="17">
        <f>CHOOSE(CONTROL!$C$42, 10.7979, 10.7979) * CHOOSE(CONTROL!$C$21, $C$9, 100%, $E$9)</f>
        <v>10.7979</v>
      </c>
      <c r="D273" s="17">
        <f>CHOOSE(CONTROL!$C$42, 11.0578, 11.0578) * CHOOSE(CONTROL!$C$21, $C$9, 100%, $E$9)</f>
        <v>11.0578</v>
      </c>
      <c r="E273" s="17">
        <f>CHOOSE(CONTROL!$C$42, 11.089, 11.089) * CHOOSE(CONTROL!$C$21, $C$9, 100%, $E$9)</f>
        <v>11.089</v>
      </c>
      <c r="F273" s="17">
        <f>CHOOSE(CONTROL!$C$42, 10.8006, 10.8006)*CHOOSE(CONTROL!$C$21, $C$9, 100%, $E$9)</f>
        <v>10.800599999999999</v>
      </c>
      <c r="G273" s="17">
        <f>CHOOSE(CONTROL!$C$42, 10.8173, 10.8173)*CHOOSE(CONTROL!$C$21, $C$9, 100%, $E$9)</f>
        <v>10.817299999999999</v>
      </c>
      <c r="H273" s="17">
        <f>CHOOSE(CONTROL!$C$42, 11.0773, 11.0773) * CHOOSE(CONTROL!$C$21, $C$9, 100%, $E$9)</f>
        <v>11.077299999999999</v>
      </c>
      <c r="I273" s="17">
        <f>CHOOSE(CONTROL!$C$42, 10.8472, 10.8472)* CHOOSE(CONTROL!$C$21, $C$9, 100%, $E$9)</f>
        <v>10.847200000000001</v>
      </c>
      <c r="J273" s="17">
        <f>CHOOSE(CONTROL!$C$42, 10.7932, 10.7932)* CHOOSE(CONTROL!$C$21, $C$9, 100%, $E$9)</f>
        <v>10.793200000000001</v>
      </c>
      <c r="K273" s="52">
        <f>CHOOSE(CONTROL!$C$42, 10.8412, 10.8412) * CHOOSE(CONTROL!$C$21, $C$9, 100%, $E$9)</f>
        <v>10.841200000000001</v>
      </c>
      <c r="L273" s="17">
        <f>CHOOSE(CONTROL!$C$42, 11.6643, 11.6643) * CHOOSE(CONTROL!$C$21, $C$9, 100%, $E$9)</f>
        <v>11.664300000000001</v>
      </c>
      <c r="M273" s="17">
        <f>CHOOSE(CONTROL!$C$42, 10.7031, 10.7031) * CHOOSE(CONTROL!$C$21, $C$9, 100%, $E$9)</f>
        <v>10.703099999999999</v>
      </c>
      <c r="N273" s="17">
        <f>CHOOSE(CONTROL!$C$42, 10.7197, 10.7197) * CHOOSE(CONTROL!$C$21, $C$9, 100%, $E$9)</f>
        <v>10.7197</v>
      </c>
      <c r="O273" s="17">
        <f>CHOOSE(CONTROL!$C$42, 10.9847, 10.9847) * CHOOSE(CONTROL!$C$21, $C$9, 100%, $E$9)</f>
        <v>10.9847</v>
      </c>
      <c r="P273" s="17">
        <f>CHOOSE(CONTROL!$C$42, 10.7564, 10.7564) * CHOOSE(CONTROL!$C$21, $C$9, 100%, $E$9)</f>
        <v>10.756399999999999</v>
      </c>
      <c r="Q273" s="17">
        <f>CHOOSE(CONTROL!$C$42, 11.5794, 11.5794) * CHOOSE(CONTROL!$C$21, $C$9, 100%, $E$9)</f>
        <v>11.5794</v>
      </c>
      <c r="R273" s="17">
        <f>CHOOSE(CONTROL!$C$42, 12.1954, 12.1954) * CHOOSE(CONTROL!$C$21, $C$9, 100%, $E$9)</f>
        <v>12.195399999999999</v>
      </c>
      <c r="S273" s="17">
        <f>CHOOSE(CONTROL!$C$42, 10.4514, 10.4514) * CHOOSE(CONTROL!$C$21, $C$9, 100%, $E$9)</f>
        <v>10.4514</v>
      </c>
      <c r="T273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273" s="56">
        <f>(1000*CHOOSE(CONTROL!$C$42, 695, 695)*CHOOSE(CONTROL!$C$42, 0.5599, 0.5599)*CHOOSE(CONTROL!$C$42, 30, 30))/1000000</f>
        <v>11.673914999999997</v>
      </c>
      <c r="V273" s="56">
        <f>(1000*CHOOSE(CONTROL!$C$42, 500, 500)*CHOOSE(CONTROL!$C$42, 0.275, 0.275)*CHOOSE(CONTROL!$C$42, 30, 30))/1000000</f>
        <v>4.125</v>
      </c>
      <c r="W273" s="56">
        <f>(1000*CHOOSE(CONTROL!$C$42, 0.0916, 0.0916)*CHOOSE(CONTROL!$C$42, 121.5, 121.5)*CHOOSE(CONTROL!$C$42, 30, 30))/1000000</f>
        <v>0.33388200000000001</v>
      </c>
      <c r="X273" s="56">
        <f>(30*0.1790888*145000/1000000)+(30*0.2374*100000/1000000)</f>
        <v>1.4912362799999999</v>
      </c>
      <c r="Y273" s="56"/>
      <c r="Z273" s="17"/>
      <c r="AA273" s="55"/>
      <c r="AB273" s="48">
        <f>(B273*194.205+C273*267.466+D273*133.845+E273*153.484+F273*40+G273*85+H273*0+I273*100+J273*300)/(194.205+267.466+133.845+153.484+0+40+85+100+300)</f>
        <v>10.863197384536893</v>
      </c>
      <c r="AC273" s="45">
        <f>(M273*'RAP TEMPLATE-GAS AVAILABILITY'!O272+N273*'RAP TEMPLATE-GAS AVAILABILITY'!P272+O273*'RAP TEMPLATE-GAS AVAILABILITY'!Q272+P273*'RAP TEMPLATE-GAS AVAILABILITY'!R272)/('RAP TEMPLATE-GAS AVAILABILITY'!O272+'RAP TEMPLATE-GAS AVAILABILITY'!P272+'RAP TEMPLATE-GAS AVAILABILITY'!Q272+'RAP TEMPLATE-GAS AVAILABILITY'!R272)</f>
        <v>10.793600719424461</v>
      </c>
    </row>
    <row r="274" spans="1:29" ht="15.75" x14ac:dyDescent="0.25">
      <c r="A274" s="16">
        <v>48853</v>
      </c>
      <c r="B274" s="17">
        <f>CHOOSE(CONTROL!$C$42, 10.5694, 10.5694) * CHOOSE(CONTROL!$C$21, $C$9, 100%, $E$9)</f>
        <v>10.5694</v>
      </c>
      <c r="C274" s="17">
        <f>CHOOSE(CONTROL!$C$42, 10.5747, 10.5747) * CHOOSE(CONTROL!$C$21, $C$9, 100%, $E$9)</f>
        <v>10.5747</v>
      </c>
      <c r="D274" s="17">
        <f>CHOOSE(CONTROL!$C$42, 10.8395, 10.8395) * CHOOSE(CONTROL!$C$21, $C$9, 100%, $E$9)</f>
        <v>10.839499999999999</v>
      </c>
      <c r="E274" s="17">
        <f>CHOOSE(CONTROL!$C$42, 10.8684, 10.8684) * CHOOSE(CONTROL!$C$21, $C$9, 100%, $E$9)</f>
        <v>10.868399999999999</v>
      </c>
      <c r="F274" s="17">
        <f>CHOOSE(CONTROL!$C$42, 10.5822, 10.5822)*CHOOSE(CONTROL!$C$21, $C$9, 100%, $E$9)</f>
        <v>10.5822</v>
      </c>
      <c r="G274" s="17">
        <f>CHOOSE(CONTROL!$C$42, 10.5988, 10.5988)*CHOOSE(CONTROL!$C$21, $C$9, 100%, $E$9)</f>
        <v>10.598800000000001</v>
      </c>
      <c r="H274" s="17">
        <f>CHOOSE(CONTROL!$C$42, 10.8585, 10.8585) * CHOOSE(CONTROL!$C$21, $C$9, 100%, $E$9)</f>
        <v>10.858499999999999</v>
      </c>
      <c r="I274" s="17">
        <f>CHOOSE(CONTROL!$C$42, 10.6277, 10.6277)* CHOOSE(CONTROL!$C$21, $C$9, 100%, $E$9)</f>
        <v>10.627700000000001</v>
      </c>
      <c r="J274" s="17">
        <f>CHOOSE(CONTROL!$C$42, 10.5748, 10.5748)* CHOOSE(CONTROL!$C$21, $C$9, 100%, $E$9)</f>
        <v>10.5748</v>
      </c>
      <c r="K274" s="52">
        <f>CHOOSE(CONTROL!$C$42, 10.6217, 10.6217) * CHOOSE(CONTROL!$C$21, $C$9, 100%, $E$9)</f>
        <v>10.621700000000001</v>
      </c>
      <c r="L274" s="17">
        <f>CHOOSE(CONTROL!$C$42, 11.4455, 11.4455) * CHOOSE(CONTROL!$C$21, $C$9, 100%, $E$9)</f>
        <v>11.445499999999999</v>
      </c>
      <c r="M274" s="17">
        <f>CHOOSE(CONTROL!$C$42, 10.4867, 10.4867) * CHOOSE(CONTROL!$C$21, $C$9, 100%, $E$9)</f>
        <v>10.486700000000001</v>
      </c>
      <c r="N274" s="17">
        <f>CHOOSE(CONTROL!$C$42, 10.5031, 10.5031) * CHOOSE(CONTROL!$C$21, $C$9, 100%, $E$9)</f>
        <v>10.5031</v>
      </c>
      <c r="O274" s="17">
        <f>CHOOSE(CONTROL!$C$42, 10.7679, 10.7679) * CHOOSE(CONTROL!$C$21, $C$9, 100%, $E$9)</f>
        <v>10.767899999999999</v>
      </c>
      <c r="P274" s="17">
        <f>CHOOSE(CONTROL!$C$42, 10.5389, 10.5389) * CHOOSE(CONTROL!$C$21, $C$9, 100%, $E$9)</f>
        <v>10.5389</v>
      </c>
      <c r="Q274" s="17">
        <f>CHOOSE(CONTROL!$C$42, 11.3626, 11.3626) * CHOOSE(CONTROL!$C$21, $C$9, 100%, $E$9)</f>
        <v>11.3626</v>
      </c>
      <c r="R274" s="17">
        <f>CHOOSE(CONTROL!$C$42, 11.978, 11.978) * CHOOSE(CONTROL!$C$21, $C$9, 100%, $E$9)</f>
        <v>11.978</v>
      </c>
      <c r="S274" s="17">
        <f>CHOOSE(CONTROL!$C$42, 10.2392, 10.2392) * CHOOSE(CONTROL!$C$21, $C$9, 100%, $E$9)</f>
        <v>10.2392</v>
      </c>
      <c r="T274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274" s="56">
        <f>(1000*CHOOSE(CONTROL!$C$42, 695, 695)*CHOOSE(CONTROL!$C$42, 0.5599, 0.5599)*CHOOSE(CONTROL!$C$42, 31, 31))/1000000</f>
        <v>12.063045499999998</v>
      </c>
      <c r="V274" s="56">
        <f>(1000*CHOOSE(CONTROL!$C$42, 500, 500)*CHOOSE(CONTROL!$C$42, 0.275, 0.275)*CHOOSE(CONTROL!$C$42, 31, 31))/1000000</f>
        <v>4.2625000000000002</v>
      </c>
      <c r="W274" s="56">
        <f>(1000*CHOOSE(CONTROL!$C$42, 0.0916, 0.0916)*CHOOSE(CONTROL!$C$42, 121.5, 121.5)*CHOOSE(CONTROL!$C$42, 31, 31))/1000000</f>
        <v>0.34501139999999997</v>
      </c>
      <c r="X274" s="56">
        <f>(31*0.1790888*145000/1000000)+(31*0.2374*100000/1000000)</f>
        <v>1.5409441560000001</v>
      </c>
      <c r="Y274" s="56"/>
      <c r="Z274" s="17"/>
      <c r="AA274" s="55"/>
      <c r="AB274" s="48">
        <f>(B274*131.881+C274*277.167+D274*79.08+E274*225.872+F274*40+G274*85+H274*0+I274*100+J274*300)/(131.881+277.167+79.08+225.872+0+40+85+100+300)</f>
        <v>10.650776288216303</v>
      </c>
      <c r="AC274" s="45">
        <f>(M274*'RAP TEMPLATE-GAS AVAILABILITY'!O273+N274*'RAP TEMPLATE-GAS AVAILABILITY'!P273+O274*'RAP TEMPLATE-GAS AVAILABILITY'!Q273+P274*'RAP TEMPLATE-GAS AVAILABILITY'!R273)/('RAP TEMPLATE-GAS AVAILABILITY'!O273+'RAP TEMPLATE-GAS AVAILABILITY'!P273+'RAP TEMPLATE-GAS AVAILABILITY'!Q273+'RAP TEMPLATE-GAS AVAILABILITY'!R273)</f>
        <v>10.57688417266187</v>
      </c>
    </row>
    <row r="275" spans="1:29" ht="15.75" x14ac:dyDescent="0.25">
      <c r="A275" s="16">
        <v>48884</v>
      </c>
      <c r="B275" s="17">
        <f>CHOOSE(CONTROL!$C$42, 10.8471, 10.8471) * CHOOSE(CONTROL!$C$21, $C$9, 100%, $E$9)</f>
        <v>10.847099999999999</v>
      </c>
      <c r="C275" s="17">
        <f>CHOOSE(CONTROL!$C$42, 10.8522, 10.8522) * CHOOSE(CONTROL!$C$21, $C$9, 100%, $E$9)</f>
        <v>10.8522</v>
      </c>
      <c r="D275" s="17">
        <f>CHOOSE(CONTROL!$C$42, 10.9929, 10.9929) * CHOOSE(CONTROL!$C$21, $C$9, 100%, $E$9)</f>
        <v>10.992900000000001</v>
      </c>
      <c r="E275" s="17">
        <f>CHOOSE(CONTROL!$C$42, 11.0266, 11.0266) * CHOOSE(CONTROL!$C$21, $C$9, 100%, $E$9)</f>
        <v>11.0266</v>
      </c>
      <c r="F275" s="17">
        <f>CHOOSE(CONTROL!$C$42, 10.8604, 10.8604)*CHOOSE(CONTROL!$C$21, $C$9, 100%, $E$9)</f>
        <v>10.8604</v>
      </c>
      <c r="G275" s="17">
        <f>CHOOSE(CONTROL!$C$42, 10.8773, 10.8773)*CHOOSE(CONTROL!$C$21, $C$9, 100%, $E$9)</f>
        <v>10.8773</v>
      </c>
      <c r="H275" s="17">
        <f>CHOOSE(CONTROL!$C$42, 11.0155, 11.0155) * CHOOSE(CONTROL!$C$21, $C$9, 100%, $E$9)</f>
        <v>11.015499999999999</v>
      </c>
      <c r="I275" s="17">
        <f>CHOOSE(CONTROL!$C$42, 10.9031, 10.9031)* CHOOSE(CONTROL!$C$21, $C$9, 100%, $E$9)</f>
        <v>10.9031</v>
      </c>
      <c r="J275" s="17">
        <f>CHOOSE(CONTROL!$C$42, 10.853, 10.853)* CHOOSE(CONTROL!$C$21, $C$9, 100%, $E$9)</f>
        <v>10.853</v>
      </c>
      <c r="K275" s="52">
        <f>CHOOSE(CONTROL!$C$42, 10.8971, 10.8971) * CHOOSE(CONTROL!$C$21, $C$9, 100%, $E$9)</f>
        <v>10.8971</v>
      </c>
      <c r="L275" s="17">
        <f>CHOOSE(CONTROL!$C$42, 11.6025, 11.6025) * CHOOSE(CONTROL!$C$21, $C$9, 100%, $E$9)</f>
        <v>11.602499999999999</v>
      </c>
      <c r="M275" s="17">
        <f>CHOOSE(CONTROL!$C$42, 10.7624, 10.7624) * CHOOSE(CONTROL!$C$21, $C$9, 100%, $E$9)</f>
        <v>10.7624</v>
      </c>
      <c r="N275" s="17">
        <f>CHOOSE(CONTROL!$C$42, 10.7791, 10.7791) * CHOOSE(CONTROL!$C$21, $C$9, 100%, $E$9)</f>
        <v>10.7791</v>
      </c>
      <c r="O275" s="17">
        <f>CHOOSE(CONTROL!$C$42, 10.9234, 10.9234) * CHOOSE(CONTROL!$C$21, $C$9, 100%, $E$9)</f>
        <v>10.923400000000001</v>
      </c>
      <c r="P275" s="17">
        <f>CHOOSE(CONTROL!$C$42, 10.8118, 10.8118) * CHOOSE(CONTROL!$C$21, $C$9, 100%, $E$9)</f>
        <v>10.8118</v>
      </c>
      <c r="Q275" s="17">
        <f>CHOOSE(CONTROL!$C$42, 11.5181, 11.5181) * CHOOSE(CONTROL!$C$21, $C$9, 100%, $E$9)</f>
        <v>11.5181</v>
      </c>
      <c r="R275" s="17">
        <f>CHOOSE(CONTROL!$C$42, 12.1339, 12.1339) * CHOOSE(CONTROL!$C$21, $C$9, 100%, $E$9)</f>
        <v>12.133900000000001</v>
      </c>
      <c r="S275" s="17">
        <f>CHOOSE(CONTROL!$C$42, 10.5089, 10.5089) * CHOOSE(CONTROL!$C$21, $C$9, 100%, $E$9)</f>
        <v>10.508900000000001</v>
      </c>
      <c r="T275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275" s="56">
        <f>(1000*CHOOSE(CONTROL!$C$42, 695, 695)*CHOOSE(CONTROL!$C$42, 0.5599, 0.5599)*CHOOSE(CONTROL!$C$42, 30, 30))/1000000</f>
        <v>11.673914999999997</v>
      </c>
      <c r="V275" s="56">
        <f>(1000*CHOOSE(CONTROL!$C$42, 500, 500)*CHOOSE(CONTROL!$C$42, 0.275, 0.275)*CHOOSE(CONTROL!$C$42, 30, 30))/1000000</f>
        <v>4.125</v>
      </c>
      <c r="W275" s="56">
        <f>(1000*CHOOSE(CONTROL!$C$42, 0.0916, 0.0916)*CHOOSE(CONTROL!$C$42, 121.5, 121.5)*CHOOSE(CONTROL!$C$42, 30, 30))/1000000</f>
        <v>0.33388200000000001</v>
      </c>
      <c r="X275" s="56">
        <f>(30*0.2374*100000/1000000)</f>
        <v>0.71220000000000006</v>
      </c>
      <c r="Y275" s="56"/>
      <c r="Z275" s="17"/>
      <c r="AA275" s="55"/>
      <c r="AB275" s="48">
        <f>(B275*122.58+C275*297.941+D275*89.177+E275*140.302+F275*40+G275*60+H275*0+I275*100+J275*300)/(122.58+297.941+89.177+140.302+0+40+60+100+300)</f>
        <v>10.890073664956523</v>
      </c>
      <c r="AC275" s="45">
        <f>(M275*'RAP TEMPLATE-GAS AVAILABILITY'!O274+N275*'RAP TEMPLATE-GAS AVAILABILITY'!P274+O275*'RAP TEMPLATE-GAS AVAILABILITY'!Q274+P275*'RAP TEMPLATE-GAS AVAILABILITY'!R274)/('RAP TEMPLATE-GAS AVAILABILITY'!O274+'RAP TEMPLATE-GAS AVAILABILITY'!P274+'RAP TEMPLATE-GAS AVAILABILITY'!Q274+'RAP TEMPLATE-GAS AVAILABILITY'!R274)</f>
        <v>10.843440287769784</v>
      </c>
    </row>
    <row r="276" spans="1:29" ht="15.75" x14ac:dyDescent="0.25">
      <c r="A276" s="16">
        <v>48914</v>
      </c>
      <c r="B276" s="17">
        <f>CHOOSE(CONTROL!$C$42, 11.5859, 11.5859) * CHOOSE(CONTROL!$C$21, $C$9, 100%, $E$9)</f>
        <v>11.585900000000001</v>
      </c>
      <c r="C276" s="17">
        <f>CHOOSE(CONTROL!$C$42, 11.591, 11.591) * CHOOSE(CONTROL!$C$21, $C$9, 100%, $E$9)</f>
        <v>11.590999999999999</v>
      </c>
      <c r="D276" s="17">
        <f>CHOOSE(CONTROL!$C$42, 11.7317, 11.7317) * CHOOSE(CONTROL!$C$21, $C$9, 100%, $E$9)</f>
        <v>11.7317</v>
      </c>
      <c r="E276" s="17">
        <f>CHOOSE(CONTROL!$C$42, 11.7655, 11.7655) * CHOOSE(CONTROL!$C$21, $C$9, 100%, $E$9)</f>
        <v>11.765499999999999</v>
      </c>
      <c r="F276" s="17">
        <f>CHOOSE(CONTROL!$C$42, 11.6017, 11.6017)*CHOOSE(CONTROL!$C$21, $C$9, 100%, $E$9)</f>
        <v>11.601699999999999</v>
      </c>
      <c r="G276" s="17">
        <f>CHOOSE(CONTROL!$C$42, 11.6191, 11.6191)*CHOOSE(CONTROL!$C$21, $C$9, 100%, $E$9)</f>
        <v>11.6191</v>
      </c>
      <c r="H276" s="17">
        <f>CHOOSE(CONTROL!$C$42, 11.7543, 11.7543) * CHOOSE(CONTROL!$C$21, $C$9, 100%, $E$9)</f>
        <v>11.754300000000001</v>
      </c>
      <c r="I276" s="17">
        <f>CHOOSE(CONTROL!$C$42, 11.6443, 11.6443)* CHOOSE(CONTROL!$C$21, $C$9, 100%, $E$9)</f>
        <v>11.644299999999999</v>
      </c>
      <c r="J276" s="17">
        <f>CHOOSE(CONTROL!$C$42, 11.5943, 11.5943)* CHOOSE(CONTROL!$C$21, $C$9, 100%, $E$9)</f>
        <v>11.5943</v>
      </c>
      <c r="K276" s="52">
        <f>CHOOSE(CONTROL!$C$42, 11.6382, 11.6382) * CHOOSE(CONTROL!$C$21, $C$9, 100%, $E$9)</f>
        <v>11.638199999999999</v>
      </c>
      <c r="L276" s="17">
        <f>CHOOSE(CONTROL!$C$42, 12.3413, 12.3413) * CHOOSE(CONTROL!$C$21, $C$9, 100%, $E$9)</f>
        <v>12.3413</v>
      </c>
      <c r="M276" s="17">
        <f>CHOOSE(CONTROL!$C$42, 11.497, 11.497) * CHOOSE(CONTROL!$C$21, $C$9, 100%, $E$9)</f>
        <v>11.497</v>
      </c>
      <c r="N276" s="17">
        <f>CHOOSE(CONTROL!$C$42, 11.5143, 11.5143) * CHOOSE(CONTROL!$C$21, $C$9, 100%, $E$9)</f>
        <v>11.5143</v>
      </c>
      <c r="O276" s="17">
        <f>CHOOSE(CONTROL!$C$42, 11.6556, 11.6556) * CHOOSE(CONTROL!$C$21, $C$9, 100%, $E$9)</f>
        <v>11.6556</v>
      </c>
      <c r="P276" s="17">
        <f>CHOOSE(CONTROL!$C$42, 11.5463, 11.5463) * CHOOSE(CONTROL!$C$21, $C$9, 100%, $E$9)</f>
        <v>11.5463</v>
      </c>
      <c r="Q276" s="17">
        <f>CHOOSE(CONTROL!$C$42, 12.2503, 12.2503) * CHOOSE(CONTROL!$C$21, $C$9, 100%, $E$9)</f>
        <v>12.250299999999999</v>
      </c>
      <c r="R276" s="17">
        <f>CHOOSE(CONTROL!$C$42, 12.8679, 12.8679) * CHOOSE(CONTROL!$C$21, $C$9, 100%, $E$9)</f>
        <v>12.867900000000001</v>
      </c>
      <c r="S276" s="17">
        <f>CHOOSE(CONTROL!$C$42, 11.2254, 11.2254) * CHOOSE(CONTROL!$C$21, $C$9, 100%, $E$9)</f>
        <v>11.2254</v>
      </c>
      <c r="T276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276" s="56">
        <f>(1000*CHOOSE(CONTROL!$C$42, 695, 695)*CHOOSE(CONTROL!$C$42, 0.5599, 0.5599)*CHOOSE(CONTROL!$C$42, 31, 31))/1000000</f>
        <v>12.063045499999998</v>
      </c>
      <c r="V276" s="56">
        <f>(1000*CHOOSE(CONTROL!$C$42, 500, 500)*CHOOSE(CONTROL!$C$42, 0.275, 0.275)*CHOOSE(CONTROL!$C$42, 31, 31))/1000000</f>
        <v>4.2625000000000002</v>
      </c>
      <c r="W276" s="56">
        <f>(1000*CHOOSE(CONTROL!$C$42, 0.0916, 0.0916)*CHOOSE(CONTROL!$C$42, 121.5, 121.5)*CHOOSE(CONTROL!$C$42, 31, 31))/1000000</f>
        <v>0.34501139999999997</v>
      </c>
      <c r="X276" s="56">
        <f>(31*0.2374*100000/1000000)</f>
        <v>0.73594000000000004</v>
      </c>
      <c r="Y276" s="56"/>
      <c r="Z276" s="17"/>
      <c r="AA276" s="55"/>
      <c r="AB276" s="48">
        <f>(B276*122.58+C276*297.941+D276*89.177+E276*140.302+F276*40+G276*60+H276*0+I276*100+J276*300)/(122.58+297.941+89.177+140.302+0+40+60+100+300)</f>
        <v>11.629990212956523</v>
      </c>
      <c r="AC276" s="45">
        <f>(M276*'RAP TEMPLATE-GAS AVAILABILITY'!O275+N276*'RAP TEMPLATE-GAS AVAILABILITY'!P275+O276*'RAP TEMPLATE-GAS AVAILABILITY'!Q275+P276*'RAP TEMPLATE-GAS AVAILABILITY'!R275)/('RAP TEMPLATE-GAS AVAILABILITY'!O275+'RAP TEMPLATE-GAS AVAILABILITY'!P275+'RAP TEMPLATE-GAS AVAILABILITY'!Q275+'RAP TEMPLATE-GAS AVAILABILITY'!R275)</f>
        <v>11.576972661870503</v>
      </c>
    </row>
    <row r="277" spans="1:29" ht="15.75" x14ac:dyDescent="0.25">
      <c r="A277" s="16">
        <v>48945</v>
      </c>
      <c r="B277" s="17">
        <f>CHOOSE(CONTROL!$C$42, 12.4756, 12.4756) * CHOOSE(CONTROL!$C$21, $C$9, 100%, $E$9)</f>
        <v>12.4756</v>
      </c>
      <c r="C277" s="17">
        <f>CHOOSE(CONTROL!$C$42, 12.4806, 12.4806) * CHOOSE(CONTROL!$C$21, $C$9, 100%, $E$9)</f>
        <v>12.480600000000001</v>
      </c>
      <c r="D277" s="17">
        <f>CHOOSE(CONTROL!$C$42, 12.6146, 12.6146) * CHOOSE(CONTROL!$C$21, $C$9, 100%, $E$9)</f>
        <v>12.614599999999999</v>
      </c>
      <c r="E277" s="17">
        <f>CHOOSE(CONTROL!$C$42, 12.6484, 12.6484) * CHOOSE(CONTROL!$C$21, $C$9, 100%, $E$9)</f>
        <v>12.648400000000001</v>
      </c>
      <c r="F277" s="17">
        <f>CHOOSE(CONTROL!$C$42, 12.489, 12.489)*CHOOSE(CONTROL!$C$21, $C$9, 100%, $E$9)</f>
        <v>12.489000000000001</v>
      </c>
      <c r="G277" s="17">
        <f>CHOOSE(CONTROL!$C$42, 12.5059, 12.5059)*CHOOSE(CONTROL!$C$21, $C$9, 100%, $E$9)</f>
        <v>12.5059</v>
      </c>
      <c r="H277" s="17">
        <f>CHOOSE(CONTROL!$C$42, 12.6372, 12.6372) * CHOOSE(CONTROL!$C$21, $C$9, 100%, $E$9)</f>
        <v>12.6372</v>
      </c>
      <c r="I277" s="17">
        <f>CHOOSE(CONTROL!$C$42, 12.5408, 12.5408)* CHOOSE(CONTROL!$C$21, $C$9, 100%, $E$9)</f>
        <v>12.540800000000001</v>
      </c>
      <c r="J277" s="17">
        <f>CHOOSE(CONTROL!$C$42, 12.4816, 12.4816)* CHOOSE(CONTROL!$C$21, $C$9, 100%, $E$9)</f>
        <v>12.4816</v>
      </c>
      <c r="K277" s="52">
        <f>CHOOSE(CONTROL!$C$42, 12.5347, 12.5347) * CHOOSE(CONTROL!$C$21, $C$9, 100%, $E$9)</f>
        <v>12.534700000000001</v>
      </c>
      <c r="L277" s="17">
        <f>CHOOSE(CONTROL!$C$42, 13.2242, 13.2242) * CHOOSE(CONTROL!$C$21, $C$9, 100%, $E$9)</f>
        <v>13.2242</v>
      </c>
      <c r="M277" s="17">
        <f>CHOOSE(CONTROL!$C$42, 12.3764, 12.3764) * CHOOSE(CONTROL!$C$21, $C$9, 100%, $E$9)</f>
        <v>12.3764</v>
      </c>
      <c r="N277" s="17">
        <f>CHOOSE(CONTROL!$C$42, 12.3931, 12.3931) * CHOOSE(CONTROL!$C$21, $C$9, 100%, $E$9)</f>
        <v>12.3931</v>
      </c>
      <c r="O277" s="17">
        <f>CHOOSE(CONTROL!$C$42, 12.5306, 12.5306) * CHOOSE(CONTROL!$C$21, $C$9, 100%, $E$9)</f>
        <v>12.5306</v>
      </c>
      <c r="P277" s="17">
        <f>CHOOSE(CONTROL!$C$42, 12.4347, 12.4347) * CHOOSE(CONTROL!$C$21, $C$9, 100%, $E$9)</f>
        <v>12.434699999999999</v>
      </c>
      <c r="Q277" s="17">
        <f>CHOOSE(CONTROL!$C$42, 13.1253, 13.1253) * CHOOSE(CONTROL!$C$21, $C$9, 100%, $E$9)</f>
        <v>13.125299999999999</v>
      </c>
      <c r="R277" s="17">
        <f>CHOOSE(CONTROL!$C$42, 13.7451, 13.7451) * CHOOSE(CONTROL!$C$21, $C$9, 100%, $E$9)</f>
        <v>13.745100000000001</v>
      </c>
      <c r="S277" s="17">
        <f>CHOOSE(CONTROL!$C$42, 12.088, 12.088) * CHOOSE(CONTROL!$C$21, $C$9, 100%, $E$9)</f>
        <v>12.087999999999999</v>
      </c>
      <c r="T277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277" s="56">
        <f>(1000*CHOOSE(CONTROL!$C$42, 695, 695)*CHOOSE(CONTROL!$C$42, 0.5599, 0.5599)*CHOOSE(CONTROL!$C$42, 31, 31))/1000000</f>
        <v>12.063045499999998</v>
      </c>
      <c r="V277" s="56">
        <f>(1000*CHOOSE(CONTROL!$C$42, 500, 500)*CHOOSE(CONTROL!$C$42, 0.275, 0.275)*CHOOSE(CONTROL!$C$42, 31, 31))/1000000</f>
        <v>4.2625000000000002</v>
      </c>
      <c r="W277" s="56">
        <f>(1000*CHOOSE(CONTROL!$C$42, 0.0916, 0.0916)*CHOOSE(CONTROL!$C$42, 121.5, 121.5)*CHOOSE(CONTROL!$C$42, 31, 31))/1000000</f>
        <v>0.34501139999999997</v>
      </c>
      <c r="X277" s="56">
        <f>(31*0.2374*100000/1000000)</f>
        <v>0.73594000000000004</v>
      </c>
      <c r="Y277" s="56"/>
      <c r="Z277" s="17"/>
      <c r="AA277" s="55"/>
      <c r="AB277" s="48">
        <f>(B277*122.58+C277*297.941+D277*89.177+E277*140.302+F277*40+G277*60+H277*0+I277*100+J277*300)/(122.58+297.941+89.177+140.302+0+40+60+100+300)</f>
        <v>12.518037820521739</v>
      </c>
      <c r="AC277" s="45">
        <f>(M277*'RAP TEMPLATE-GAS AVAILABILITY'!O276+N277*'RAP TEMPLATE-GAS AVAILABILITY'!P276+O277*'RAP TEMPLATE-GAS AVAILABILITY'!Q276+P277*'RAP TEMPLATE-GAS AVAILABILITY'!R276)/('RAP TEMPLATE-GAS AVAILABILITY'!O276+'RAP TEMPLATE-GAS AVAILABILITY'!P276+'RAP TEMPLATE-GAS AVAILABILITY'!Q276+'RAP TEMPLATE-GAS AVAILABILITY'!R276)</f>
        <v>12.455638848920863</v>
      </c>
    </row>
    <row r="278" spans="1:29" ht="15.75" x14ac:dyDescent="0.25">
      <c r="A278" s="16">
        <v>48976</v>
      </c>
      <c r="B278" s="17">
        <f>CHOOSE(CONTROL!$C$42, 12.6975, 12.6975) * CHOOSE(CONTROL!$C$21, $C$9, 100%, $E$9)</f>
        <v>12.6975</v>
      </c>
      <c r="C278" s="17">
        <f>CHOOSE(CONTROL!$C$42, 12.7025, 12.7025) * CHOOSE(CONTROL!$C$21, $C$9, 100%, $E$9)</f>
        <v>12.702500000000001</v>
      </c>
      <c r="D278" s="17">
        <f>CHOOSE(CONTROL!$C$42, 12.8365, 12.8365) * CHOOSE(CONTROL!$C$21, $C$9, 100%, $E$9)</f>
        <v>12.836499999999999</v>
      </c>
      <c r="E278" s="17">
        <f>CHOOSE(CONTROL!$C$42, 12.8702, 12.8702) * CHOOSE(CONTROL!$C$21, $C$9, 100%, $E$9)</f>
        <v>12.870200000000001</v>
      </c>
      <c r="F278" s="17">
        <f>CHOOSE(CONTROL!$C$42, 12.7109, 12.7109)*CHOOSE(CONTROL!$C$21, $C$9, 100%, $E$9)</f>
        <v>12.710900000000001</v>
      </c>
      <c r="G278" s="17">
        <f>CHOOSE(CONTROL!$C$42, 12.7277, 12.7277)*CHOOSE(CONTROL!$C$21, $C$9, 100%, $E$9)</f>
        <v>12.7277</v>
      </c>
      <c r="H278" s="17">
        <f>CHOOSE(CONTROL!$C$42, 12.8591, 12.8591) * CHOOSE(CONTROL!$C$21, $C$9, 100%, $E$9)</f>
        <v>12.8591</v>
      </c>
      <c r="I278" s="17">
        <f>CHOOSE(CONTROL!$C$42, 12.7634, 12.7634)* CHOOSE(CONTROL!$C$21, $C$9, 100%, $E$9)</f>
        <v>12.763400000000001</v>
      </c>
      <c r="J278" s="17">
        <f>CHOOSE(CONTROL!$C$42, 12.7035, 12.7035)* CHOOSE(CONTROL!$C$21, $C$9, 100%, $E$9)</f>
        <v>12.7035</v>
      </c>
      <c r="K278" s="52">
        <f>CHOOSE(CONTROL!$C$42, 12.7573, 12.7573) * CHOOSE(CONTROL!$C$21, $C$9, 100%, $E$9)</f>
        <v>12.757300000000001</v>
      </c>
      <c r="L278" s="17">
        <f>CHOOSE(CONTROL!$C$42, 13.4461, 13.4461) * CHOOSE(CONTROL!$C$21, $C$9, 100%, $E$9)</f>
        <v>13.446099999999999</v>
      </c>
      <c r="M278" s="17">
        <f>CHOOSE(CONTROL!$C$42, 12.5962, 12.5962) * CHOOSE(CONTROL!$C$21, $C$9, 100%, $E$9)</f>
        <v>12.5962</v>
      </c>
      <c r="N278" s="17">
        <f>CHOOSE(CONTROL!$C$42, 12.6129, 12.6129) * CHOOSE(CONTROL!$C$21, $C$9, 100%, $E$9)</f>
        <v>12.6129</v>
      </c>
      <c r="O278" s="17">
        <f>CHOOSE(CONTROL!$C$42, 12.7505, 12.7505) * CHOOSE(CONTROL!$C$21, $C$9, 100%, $E$9)</f>
        <v>12.750500000000001</v>
      </c>
      <c r="P278" s="17">
        <f>CHOOSE(CONTROL!$C$42, 12.6553, 12.6553) * CHOOSE(CONTROL!$C$21, $C$9, 100%, $E$9)</f>
        <v>12.6553</v>
      </c>
      <c r="Q278" s="17">
        <f>CHOOSE(CONTROL!$C$42, 13.3452, 13.3452) * CHOOSE(CONTROL!$C$21, $C$9, 100%, $E$9)</f>
        <v>13.3452</v>
      </c>
      <c r="R278" s="17">
        <f>CHOOSE(CONTROL!$C$42, 13.9655, 13.9655) * CHOOSE(CONTROL!$C$21, $C$9, 100%, $E$9)</f>
        <v>13.9655</v>
      </c>
      <c r="S278" s="17">
        <f>CHOOSE(CONTROL!$C$42, 12.3032, 12.3032) * CHOOSE(CONTROL!$C$21, $C$9, 100%, $E$9)</f>
        <v>12.3032</v>
      </c>
      <c r="T278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278" s="56">
        <f>(1000*CHOOSE(CONTROL!$C$42, 695, 695)*CHOOSE(CONTROL!$C$42, 0.5599, 0.5599)*CHOOSE(CONTROL!$C$42, 28, 28))/1000000</f>
        <v>10.895653999999999</v>
      </c>
      <c r="V278" s="56">
        <f>(1000*CHOOSE(CONTROL!$C$42, 500, 500)*CHOOSE(CONTROL!$C$42, 0.275, 0.275)*CHOOSE(CONTROL!$C$42, 28, 28))/1000000</f>
        <v>3.85</v>
      </c>
      <c r="W278" s="56">
        <f>(1000*CHOOSE(CONTROL!$C$42, 0.0916, 0.0916)*CHOOSE(CONTROL!$C$42, 121.5, 121.5)*CHOOSE(CONTROL!$C$42, 28, 28))/1000000</f>
        <v>0.31162319999999999</v>
      </c>
      <c r="X278" s="56">
        <f>(28*0.2374*100000/1000000)</f>
        <v>0.66471999999999998</v>
      </c>
      <c r="Y278" s="56"/>
      <c r="Z278" s="17"/>
      <c r="AA278" s="55"/>
      <c r="AB278" s="48">
        <f>(B278*122.58+C278*297.941+D278*89.177+E278*140.302+F278*40+G278*60+H278*0+I278*100+J278*300)/(122.58+297.941+89.177+140.302+0+40+60+100+300)</f>
        <v>12.739981272521741</v>
      </c>
      <c r="AC278" s="45">
        <f>(M278*'RAP TEMPLATE-GAS AVAILABILITY'!O277+N278*'RAP TEMPLATE-GAS AVAILABILITY'!P277+O278*'RAP TEMPLATE-GAS AVAILABILITY'!Q277+P278*'RAP TEMPLATE-GAS AVAILABILITY'!R277)/('RAP TEMPLATE-GAS AVAILABILITY'!O277+'RAP TEMPLATE-GAS AVAILABILITY'!P277+'RAP TEMPLATE-GAS AVAILABILITY'!Q277+'RAP TEMPLATE-GAS AVAILABILITY'!R277)</f>
        <v>12.675599280575542</v>
      </c>
    </row>
    <row r="279" spans="1:29" ht="15.75" x14ac:dyDescent="0.25">
      <c r="A279" s="16">
        <v>49004</v>
      </c>
      <c r="B279" s="17">
        <f>CHOOSE(CONTROL!$C$42, 12.3373, 12.3373) * CHOOSE(CONTROL!$C$21, $C$9, 100%, $E$9)</f>
        <v>12.337300000000001</v>
      </c>
      <c r="C279" s="17">
        <f>CHOOSE(CONTROL!$C$42, 12.3423, 12.3423) * CHOOSE(CONTROL!$C$21, $C$9, 100%, $E$9)</f>
        <v>12.3423</v>
      </c>
      <c r="D279" s="17">
        <f>CHOOSE(CONTROL!$C$42, 12.4763, 12.4763) * CHOOSE(CONTROL!$C$21, $C$9, 100%, $E$9)</f>
        <v>12.4763</v>
      </c>
      <c r="E279" s="17">
        <f>CHOOSE(CONTROL!$C$42, 12.5101, 12.5101) * CHOOSE(CONTROL!$C$21, $C$9, 100%, $E$9)</f>
        <v>12.5101</v>
      </c>
      <c r="F279" s="17">
        <f>CHOOSE(CONTROL!$C$42, 12.3499, 12.3499)*CHOOSE(CONTROL!$C$21, $C$9, 100%, $E$9)</f>
        <v>12.3499</v>
      </c>
      <c r="G279" s="17">
        <f>CHOOSE(CONTROL!$C$42, 12.3666, 12.3666)*CHOOSE(CONTROL!$C$21, $C$9, 100%, $E$9)</f>
        <v>12.3666</v>
      </c>
      <c r="H279" s="17">
        <f>CHOOSE(CONTROL!$C$42, 12.4989, 12.4989) * CHOOSE(CONTROL!$C$21, $C$9, 100%, $E$9)</f>
        <v>12.498900000000001</v>
      </c>
      <c r="I279" s="17">
        <f>CHOOSE(CONTROL!$C$42, 12.402, 12.402)* CHOOSE(CONTROL!$C$21, $C$9, 100%, $E$9)</f>
        <v>12.401999999999999</v>
      </c>
      <c r="J279" s="17">
        <f>CHOOSE(CONTROL!$C$42, 12.3425, 12.3425)* CHOOSE(CONTROL!$C$21, $C$9, 100%, $E$9)</f>
        <v>12.342499999999999</v>
      </c>
      <c r="K279" s="52">
        <f>CHOOSE(CONTROL!$C$42, 12.396, 12.396) * CHOOSE(CONTROL!$C$21, $C$9, 100%, $E$9)</f>
        <v>12.396000000000001</v>
      </c>
      <c r="L279" s="17">
        <f>CHOOSE(CONTROL!$C$42, 13.0859, 13.0859) * CHOOSE(CONTROL!$C$21, $C$9, 100%, $E$9)</f>
        <v>13.085900000000001</v>
      </c>
      <c r="M279" s="17">
        <f>CHOOSE(CONTROL!$C$42, 12.2385, 12.2385) * CHOOSE(CONTROL!$C$21, $C$9, 100%, $E$9)</f>
        <v>12.2385</v>
      </c>
      <c r="N279" s="17">
        <f>CHOOSE(CONTROL!$C$42, 12.255, 12.255) * CHOOSE(CONTROL!$C$21, $C$9, 100%, $E$9)</f>
        <v>12.255000000000001</v>
      </c>
      <c r="O279" s="17">
        <f>CHOOSE(CONTROL!$C$42, 12.3935, 12.3935) * CHOOSE(CONTROL!$C$21, $C$9, 100%, $E$9)</f>
        <v>12.3935</v>
      </c>
      <c r="P279" s="17">
        <f>CHOOSE(CONTROL!$C$42, 12.2972, 12.2972) * CHOOSE(CONTROL!$C$21, $C$9, 100%, $E$9)</f>
        <v>12.2972</v>
      </c>
      <c r="Q279" s="17">
        <f>CHOOSE(CONTROL!$C$42, 12.9882, 12.9882) * CHOOSE(CONTROL!$C$21, $C$9, 100%, $E$9)</f>
        <v>12.988200000000001</v>
      </c>
      <c r="R279" s="17">
        <f>CHOOSE(CONTROL!$C$42, 13.6077, 13.6077) * CHOOSE(CONTROL!$C$21, $C$9, 100%, $E$9)</f>
        <v>13.607699999999999</v>
      </c>
      <c r="S279" s="17">
        <f>CHOOSE(CONTROL!$C$42, 11.9539, 11.9539) * CHOOSE(CONTROL!$C$21, $C$9, 100%, $E$9)</f>
        <v>11.953900000000001</v>
      </c>
      <c r="T279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279" s="56">
        <f>(1000*CHOOSE(CONTROL!$C$42, 695, 695)*CHOOSE(CONTROL!$C$42, 0.5599, 0.5599)*CHOOSE(CONTROL!$C$42, 31, 31))/1000000</f>
        <v>12.063045499999998</v>
      </c>
      <c r="V279" s="56">
        <f>(1000*CHOOSE(CONTROL!$C$42, 500, 500)*CHOOSE(CONTROL!$C$42, 0.275, 0.275)*CHOOSE(CONTROL!$C$42, 31, 31))/1000000</f>
        <v>4.2625000000000002</v>
      </c>
      <c r="W279" s="56">
        <f>(1000*CHOOSE(CONTROL!$C$42, 0.0916, 0.0916)*CHOOSE(CONTROL!$C$42, 121.5, 121.5)*CHOOSE(CONTROL!$C$42, 31, 31))/1000000</f>
        <v>0.34501139999999997</v>
      </c>
      <c r="X279" s="56">
        <f>(31*0.2374*100000/1000000)</f>
        <v>0.73594000000000004</v>
      </c>
      <c r="Y279" s="56"/>
      <c r="Z279" s="17"/>
      <c r="AA279" s="55"/>
      <c r="AB279" s="48">
        <f>(B279*122.58+C279*297.941+D279*89.177+E279*140.302+F279*40+G279*60+H279*0+I279*100+J279*300)/(122.58+297.941+89.177+140.302+0+40+60+100+300)</f>
        <v>12.379405646608696</v>
      </c>
      <c r="AC279" s="45">
        <f>(M279*'RAP TEMPLATE-GAS AVAILABILITY'!O278+N279*'RAP TEMPLATE-GAS AVAILABILITY'!P278+O279*'RAP TEMPLATE-GAS AVAILABILITY'!Q278+P279*'RAP TEMPLATE-GAS AVAILABILITY'!R278)/('RAP TEMPLATE-GAS AVAILABILITY'!O278+'RAP TEMPLATE-GAS AVAILABILITY'!P278+'RAP TEMPLATE-GAS AVAILABILITY'!Q278+'RAP TEMPLATE-GAS AVAILABILITY'!R278)</f>
        <v>12.318147482014387</v>
      </c>
    </row>
    <row r="280" spans="1:29" ht="15.75" x14ac:dyDescent="0.25">
      <c r="A280" s="16">
        <v>49035</v>
      </c>
      <c r="B280" s="17">
        <f>CHOOSE(CONTROL!$C$42, 12.3014, 12.3014) * CHOOSE(CONTROL!$C$21, $C$9, 100%, $E$9)</f>
        <v>12.301399999999999</v>
      </c>
      <c r="C280" s="17">
        <f>CHOOSE(CONTROL!$C$42, 12.3059, 12.3059) * CHOOSE(CONTROL!$C$21, $C$9, 100%, $E$9)</f>
        <v>12.305899999999999</v>
      </c>
      <c r="D280" s="17">
        <f>CHOOSE(CONTROL!$C$42, 12.5689, 12.5689) * CHOOSE(CONTROL!$C$21, $C$9, 100%, $E$9)</f>
        <v>12.568899999999999</v>
      </c>
      <c r="E280" s="17">
        <f>CHOOSE(CONTROL!$C$42, 12.6007, 12.6007) * CHOOSE(CONTROL!$C$21, $C$9, 100%, $E$9)</f>
        <v>12.6007</v>
      </c>
      <c r="F280" s="17">
        <f>CHOOSE(CONTROL!$C$42, 12.3123, 12.3123)*CHOOSE(CONTROL!$C$21, $C$9, 100%, $E$9)</f>
        <v>12.3123</v>
      </c>
      <c r="G280" s="17">
        <f>CHOOSE(CONTROL!$C$42, 12.3285, 12.3285)*CHOOSE(CONTROL!$C$21, $C$9, 100%, $E$9)</f>
        <v>12.3285</v>
      </c>
      <c r="H280" s="17">
        <f>CHOOSE(CONTROL!$C$42, 12.5902, 12.5902) * CHOOSE(CONTROL!$C$21, $C$9, 100%, $E$9)</f>
        <v>12.590199999999999</v>
      </c>
      <c r="I280" s="17">
        <f>CHOOSE(CONTROL!$C$42, 12.3648, 12.3648)* CHOOSE(CONTROL!$C$21, $C$9, 100%, $E$9)</f>
        <v>12.364800000000001</v>
      </c>
      <c r="J280" s="17">
        <f>CHOOSE(CONTROL!$C$42, 12.3049, 12.3049)* CHOOSE(CONTROL!$C$21, $C$9, 100%, $E$9)</f>
        <v>12.3049</v>
      </c>
      <c r="K280" s="52">
        <f>CHOOSE(CONTROL!$C$42, 12.3587, 12.3587) * CHOOSE(CONTROL!$C$21, $C$9, 100%, $E$9)</f>
        <v>12.358700000000001</v>
      </c>
      <c r="L280" s="17">
        <f>CHOOSE(CONTROL!$C$42, 13.1772, 13.1772) * CHOOSE(CONTROL!$C$21, $C$9, 100%, $E$9)</f>
        <v>13.177199999999999</v>
      </c>
      <c r="M280" s="17">
        <f>CHOOSE(CONTROL!$C$42, 12.2013, 12.2013) * CHOOSE(CONTROL!$C$21, $C$9, 100%, $E$9)</f>
        <v>12.2013</v>
      </c>
      <c r="N280" s="17">
        <f>CHOOSE(CONTROL!$C$42, 12.2173, 12.2173) * CHOOSE(CONTROL!$C$21, $C$9, 100%, $E$9)</f>
        <v>12.2173</v>
      </c>
      <c r="O280" s="17">
        <f>CHOOSE(CONTROL!$C$42, 12.484, 12.484) * CHOOSE(CONTROL!$C$21, $C$9, 100%, $E$9)</f>
        <v>12.484</v>
      </c>
      <c r="P280" s="17">
        <f>CHOOSE(CONTROL!$C$42, 12.2603, 12.2603) * CHOOSE(CONTROL!$C$21, $C$9, 100%, $E$9)</f>
        <v>12.260300000000001</v>
      </c>
      <c r="Q280" s="17">
        <f>CHOOSE(CONTROL!$C$42, 13.0787, 13.0787) * CHOOSE(CONTROL!$C$21, $C$9, 100%, $E$9)</f>
        <v>13.0787</v>
      </c>
      <c r="R280" s="17">
        <f>CHOOSE(CONTROL!$C$42, 13.6983, 13.6983) * CHOOSE(CONTROL!$C$21, $C$9, 100%, $E$9)</f>
        <v>13.6983</v>
      </c>
      <c r="S280" s="17">
        <f>CHOOSE(CONTROL!$C$42, 11.9184, 11.9184) * CHOOSE(CONTROL!$C$21, $C$9, 100%, $E$9)</f>
        <v>11.9184</v>
      </c>
      <c r="T280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280" s="56">
        <f>(1000*CHOOSE(CONTROL!$C$42, 695, 695)*CHOOSE(CONTROL!$C$42, 0.5599, 0.5599)*CHOOSE(CONTROL!$C$42, 30, 30))/1000000</f>
        <v>11.673914999999997</v>
      </c>
      <c r="V280" s="56">
        <f>(1000*CHOOSE(CONTROL!$C$42, 500, 500)*CHOOSE(CONTROL!$C$42, 0.275, 0.275)*CHOOSE(CONTROL!$C$42, 30, 30))/1000000</f>
        <v>4.125</v>
      </c>
      <c r="W280" s="56">
        <f>(1000*CHOOSE(CONTROL!$C$42, 0.0916, 0.0916)*CHOOSE(CONTROL!$C$42, 121.5, 121.5)*CHOOSE(CONTROL!$C$42, 30, 30))/1000000</f>
        <v>0.33388200000000001</v>
      </c>
      <c r="X280" s="56">
        <f>(30*0.1790888*145000/1000000)+(30*0.2374*100000/1000000)</f>
        <v>1.4912362799999999</v>
      </c>
      <c r="Y280" s="56"/>
      <c r="Z280" s="17"/>
      <c r="AA280" s="55"/>
      <c r="AB280" s="48">
        <f>(B280*141.293+C280*267.993+D280*115.016+E280*189.698+F280*40+G280*85+H280*0+I280*100+J280*300)/(141.293+267.993+115.016+189.698+0+40+85+100+300)</f>
        <v>12.381205375221954</v>
      </c>
      <c r="AC280" s="45">
        <f>(M280*'RAP TEMPLATE-GAS AVAILABILITY'!O279+N280*'RAP TEMPLATE-GAS AVAILABILITY'!P279+O280*'RAP TEMPLATE-GAS AVAILABILITY'!Q279+P280*'RAP TEMPLATE-GAS AVAILABILITY'!R279)/('RAP TEMPLATE-GAS AVAILABILITY'!O279+'RAP TEMPLATE-GAS AVAILABILITY'!P279+'RAP TEMPLATE-GAS AVAILABILITY'!Q279+'RAP TEMPLATE-GAS AVAILABILITY'!R279)</f>
        <v>12.292791366906474</v>
      </c>
    </row>
    <row r="281" spans="1:29" ht="15.75" x14ac:dyDescent="0.25">
      <c r="A281" s="16">
        <v>49065</v>
      </c>
      <c r="B281" s="17">
        <f>CHOOSE(CONTROL!$C$42, 12.4112, 12.4112) * CHOOSE(CONTROL!$C$21, $C$9, 100%, $E$9)</f>
        <v>12.411199999999999</v>
      </c>
      <c r="C281" s="17">
        <f>CHOOSE(CONTROL!$C$42, 12.4192, 12.4192) * CHOOSE(CONTROL!$C$21, $C$9, 100%, $E$9)</f>
        <v>12.4192</v>
      </c>
      <c r="D281" s="17">
        <f>CHOOSE(CONTROL!$C$42, 12.6791, 12.6791) * CHOOSE(CONTROL!$C$21, $C$9, 100%, $E$9)</f>
        <v>12.6791</v>
      </c>
      <c r="E281" s="17">
        <f>CHOOSE(CONTROL!$C$42, 12.7103, 12.7103) * CHOOSE(CONTROL!$C$21, $C$9, 100%, $E$9)</f>
        <v>12.7103</v>
      </c>
      <c r="F281" s="17">
        <f>CHOOSE(CONTROL!$C$42, 12.4209, 12.4209)*CHOOSE(CONTROL!$C$21, $C$9, 100%, $E$9)</f>
        <v>12.4209</v>
      </c>
      <c r="G281" s="17">
        <f>CHOOSE(CONTROL!$C$42, 12.4374, 12.4374)*CHOOSE(CONTROL!$C$21, $C$9, 100%, $E$9)</f>
        <v>12.4374</v>
      </c>
      <c r="H281" s="17">
        <f>CHOOSE(CONTROL!$C$42, 12.6986, 12.6986) * CHOOSE(CONTROL!$C$21, $C$9, 100%, $E$9)</f>
        <v>12.698600000000001</v>
      </c>
      <c r="I281" s="17">
        <f>CHOOSE(CONTROL!$C$42, 12.4736, 12.4736)* CHOOSE(CONTROL!$C$21, $C$9, 100%, $E$9)</f>
        <v>12.473599999999999</v>
      </c>
      <c r="J281" s="17">
        <f>CHOOSE(CONTROL!$C$42, 12.4135, 12.4135)* CHOOSE(CONTROL!$C$21, $C$9, 100%, $E$9)</f>
        <v>12.413500000000001</v>
      </c>
      <c r="K281" s="52">
        <f>CHOOSE(CONTROL!$C$42, 12.4675, 12.4675) * CHOOSE(CONTROL!$C$21, $C$9, 100%, $E$9)</f>
        <v>12.467499999999999</v>
      </c>
      <c r="L281" s="17">
        <f>CHOOSE(CONTROL!$C$42, 13.2856, 13.2856) * CHOOSE(CONTROL!$C$21, $C$9, 100%, $E$9)</f>
        <v>13.285600000000001</v>
      </c>
      <c r="M281" s="17">
        <f>CHOOSE(CONTROL!$C$42, 12.3089, 12.3089) * CHOOSE(CONTROL!$C$21, $C$9, 100%, $E$9)</f>
        <v>12.3089</v>
      </c>
      <c r="N281" s="17">
        <f>CHOOSE(CONTROL!$C$42, 12.3252, 12.3252) * CHOOSE(CONTROL!$C$21, $C$9, 100%, $E$9)</f>
        <v>12.325200000000001</v>
      </c>
      <c r="O281" s="17">
        <f>CHOOSE(CONTROL!$C$42, 12.5914, 12.5914) * CHOOSE(CONTROL!$C$21, $C$9, 100%, $E$9)</f>
        <v>12.5914</v>
      </c>
      <c r="P281" s="17">
        <f>CHOOSE(CONTROL!$C$42, 12.3681, 12.3681) * CHOOSE(CONTROL!$C$21, $C$9, 100%, $E$9)</f>
        <v>12.3681</v>
      </c>
      <c r="Q281" s="17">
        <f>CHOOSE(CONTROL!$C$42, 13.1861, 13.1861) * CHOOSE(CONTROL!$C$21, $C$9, 100%, $E$9)</f>
        <v>13.1861</v>
      </c>
      <c r="R281" s="17">
        <f>CHOOSE(CONTROL!$C$42, 13.8061, 13.8061) * CHOOSE(CONTROL!$C$21, $C$9, 100%, $E$9)</f>
        <v>13.806100000000001</v>
      </c>
      <c r="S281" s="17">
        <f>CHOOSE(CONTROL!$C$42, 12.0236, 12.0236) * CHOOSE(CONTROL!$C$21, $C$9, 100%, $E$9)</f>
        <v>12.0236</v>
      </c>
      <c r="T281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281" s="56">
        <f>(1000*CHOOSE(CONTROL!$C$42, 695, 695)*CHOOSE(CONTROL!$C$42, 0.5599, 0.5599)*CHOOSE(CONTROL!$C$42, 31, 31))/1000000</f>
        <v>12.063045499999998</v>
      </c>
      <c r="V281" s="56">
        <f>(1000*CHOOSE(CONTROL!$C$42, 500, 500)*CHOOSE(CONTROL!$C$42, 0.275, 0.275)*CHOOSE(CONTROL!$C$42, 31, 31))/1000000</f>
        <v>4.2625000000000002</v>
      </c>
      <c r="W281" s="56">
        <f>(1000*CHOOSE(CONTROL!$C$42, 0.0916, 0.0916)*CHOOSE(CONTROL!$C$42, 121.5, 121.5)*CHOOSE(CONTROL!$C$42, 31, 31))/1000000</f>
        <v>0.34501139999999997</v>
      </c>
      <c r="X281" s="56">
        <f>(31*0.1790888*145000/1000000)+(31*0.2374*100000/1000000)</f>
        <v>1.5409441560000001</v>
      </c>
      <c r="Y281" s="56"/>
      <c r="Z281" s="17"/>
      <c r="AA281" s="55"/>
      <c r="AB281" s="48">
        <f>(B281*194.205+C281*267.466+D281*133.845+E281*153.484+F281*40+G281*85+H281*0+I281*100+J281*300)/(194.205+267.466+133.845+153.484+0+40+85+100+300)</f>
        <v>12.484550759733123</v>
      </c>
      <c r="AC281" s="45">
        <f>(M281*'RAP TEMPLATE-GAS AVAILABILITY'!O280+N281*'RAP TEMPLATE-GAS AVAILABILITY'!P280+O281*'RAP TEMPLATE-GAS AVAILABILITY'!Q280+P281*'RAP TEMPLATE-GAS AVAILABILITY'!R280)/('RAP TEMPLATE-GAS AVAILABILITY'!O280+'RAP TEMPLATE-GAS AVAILABILITY'!P280+'RAP TEMPLATE-GAS AVAILABILITY'!Q280+'RAP TEMPLATE-GAS AVAILABILITY'!R280)</f>
        <v>12.400433093525178</v>
      </c>
    </row>
    <row r="282" spans="1:29" ht="15.75" x14ac:dyDescent="0.25">
      <c r="A282" s="16">
        <v>49096</v>
      </c>
      <c r="B282" s="17">
        <f>CHOOSE(CONTROL!$C$42, 12.7629, 12.7629) * CHOOSE(CONTROL!$C$21, $C$9, 100%, $E$9)</f>
        <v>12.7629</v>
      </c>
      <c r="C282" s="17">
        <f>CHOOSE(CONTROL!$C$42, 12.7709, 12.7709) * CHOOSE(CONTROL!$C$21, $C$9, 100%, $E$9)</f>
        <v>12.770899999999999</v>
      </c>
      <c r="D282" s="17">
        <f>CHOOSE(CONTROL!$C$42, 13.0308, 13.0308) * CHOOSE(CONTROL!$C$21, $C$9, 100%, $E$9)</f>
        <v>13.030799999999999</v>
      </c>
      <c r="E282" s="17">
        <f>CHOOSE(CONTROL!$C$42, 13.062, 13.062) * CHOOSE(CONTROL!$C$21, $C$9, 100%, $E$9)</f>
        <v>13.061999999999999</v>
      </c>
      <c r="F282" s="17">
        <f>CHOOSE(CONTROL!$C$42, 12.7729, 12.7729)*CHOOSE(CONTROL!$C$21, $C$9, 100%, $E$9)</f>
        <v>12.7729</v>
      </c>
      <c r="G282" s="17">
        <f>CHOOSE(CONTROL!$C$42, 12.7894, 12.7894)*CHOOSE(CONTROL!$C$21, $C$9, 100%, $E$9)</f>
        <v>12.789400000000001</v>
      </c>
      <c r="H282" s="17">
        <f>CHOOSE(CONTROL!$C$42, 13.0503, 13.0503) * CHOOSE(CONTROL!$C$21, $C$9, 100%, $E$9)</f>
        <v>13.0503</v>
      </c>
      <c r="I282" s="17">
        <f>CHOOSE(CONTROL!$C$42, 12.8264, 12.8264)* CHOOSE(CONTROL!$C$21, $C$9, 100%, $E$9)</f>
        <v>12.8264</v>
      </c>
      <c r="J282" s="17">
        <f>CHOOSE(CONTROL!$C$42, 12.7655, 12.7655)* CHOOSE(CONTROL!$C$21, $C$9, 100%, $E$9)</f>
        <v>12.765499999999999</v>
      </c>
      <c r="K282" s="52">
        <f>CHOOSE(CONTROL!$C$42, 12.8203, 12.8203) * CHOOSE(CONTROL!$C$21, $C$9, 100%, $E$9)</f>
        <v>12.8203</v>
      </c>
      <c r="L282" s="17">
        <f>CHOOSE(CONTROL!$C$42, 13.6373, 13.6373) * CHOOSE(CONTROL!$C$21, $C$9, 100%, $E$9)</f>
        <v>13.6373</v>
      </c>
      <c r="M282" s="17">
        <f>CHOOSE(CONTROL!$C$42, 12.6577, 12.6577) * CHOOSE(CONTROL!$C$21, $C$9, 100%, $E$9)</f>
        <v>12.6577</v>
      </c>
      <c r="N282" s="17">
        <f>CHOOSE(CONTROL!$C$42, 12.6741, 12.6741) * CHOOSE(CONTROL!$C$21, $C$9, 100%, $E$9)</f>
        <v>12.674099999999999</v>
      </c>
      <c r="O282" s="17">
        <f>CHOOSE(CONTROL!$C$42, 12.94, 12.94) * CHOOSE(CONTROL!$C$21, $C$9, 100%, $E$9)</f>
        <v>12.94</v>
      </c>
      <c r="P282" s="17">
        <f>CHOOSE(CONTROL!$C$42, 12.7177, 12.7177) * CHOOSE(CONTROL!$C$21, $C$9, 100%, $E$9)</f>
        <v>12.717700000000001</v>
      </c>
      <c r="Q282" s="17">
        <f>CHOOSE(CONTROL!$C$42, 13.5347, 13.5347) * CHOOSE(CONTROL!$C$21, $C$9, 100%, $E$9)</f>
        <v>13.534700000000001</v>
      </c>
      <c r="R282" s="17">
        <f>CHOOSE(CONTROL!$C$42, 14.1555, 14.1555) * CHOOSE(CONTROL!$C$21, $C$9, 100%, $E$9)</f>
        <v>14.1555</v>
      </c>
      <c r="S282" s="17">
        <f>CHOOSE(CONTROL!$C$42, 12.3646, 12.3646) * CHOOSE(CONTROL!$C$21, $C$9, 100%, $E$9)</f>
        <v>12.364599999999999</v>
      </c>
      <c r="T282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282" s="56">
        <f>(1000*CHOOSE(CONTROL!$C$42, 695, 695)*CHOOSE(CONTROL!$C$42, 0.5599, 0.5599)*CHOOSE(CONTROL!$C$42, 30, 30))/1000000</f>
        <v>11.673914999999997</v>
      </c>
      <c r="V282" s="56">
        <f>(1000*CHOOSE(CONTROL!$C$42, 500, 500)*CHOOSE(CONTROL!$C$42, 0.275, 0.275)*CHOOSE(CONTROL!$C$42, 30, 30))/1000000</f>
        <v>4.125</v>
      </c>
      <c r="W282" s="56">
        <f>(1000*CHOOSE(CONTROL!$C$42, 0.0916, 0.0916)*CHOOSE(CONTROL!$C$42, 121.5, 121.5)*CHOOSE(CONTROL!$C$42, 30, 30))/1000000</f>
        <v>0.33388200000000001</v>
      </c>
      <c r="X282" s="56">
        <f>(30*0.1790888*145000/1000000)+(30*0.2374*100000/1000000)</f>
        <v>1.4912362799999999</v>
      </c>
      <c r="Y282" s="56"/>
      <c r="Z282" s="17"/>
      <c r="AA282" s="55"/>
      <c r="AB282" s="48">
        <f>(B282*194.205+C282*267.466+D282*133.845+E282*153.484+F282*40+G282*85+H282*0+I282*100+J282*300)/(194.205+267.466+133.845+153.484+0+40+85+100+300)</f>
        <v>12.836437180455256</v>
      </c>
      <c r="AC282" s="45">
        <f>(M282*'RAP TEMPLATE-GAS AVAILABILITY'!O281+N282*'RAP TEMPLATE-GAS AVAILABILITY'!P281+O282*'RAP TEMPLATE-GAS AVAILABILITY'!Q281+P282*'RAP TEMPLATE-GAS AVAILABILITY'!R281)/('RAP TEMPLATE-GAS AVAILABILITY'!O281+'RAP TEMPLATE-GAS AVAILABILITY'!P281+'RAP TEMPLATE-GAS AVAILABILITY'!Q281+'RAP TEMPLATE-GAS AVAILABILITY'!R281)</f>
        <v>12.749315107913668</v>
      </c>
    </row>
    <row r="283" spans="1:29" ht="15.75" x14ac:dyDescent="0.25">
      <c r="A283" s="16">
        <v>49126</v>
      </c>
      <c r="B283" s="17">
        <f>CHOOSE(CONTROL!$C$42, 12.5183, 12.5183) * CHOOSE(CONTROL!$C$21, $C$9, 100%, $E$9)</f>
        <v>12.5183</v>
      </c>
      <c r="C283" s="17">
        <f>CHOOSE(CONTROL!$C$42, 12.5263, 12.5263) * CHOOSE(CONTROL!$C$21, $C$9, 100%, $E$9)</f>
        <v>12.526300000000001</v>
      </c>
      <c r="D283" s="17">
        <f>CHOOSE(CONTROL!$C$42, 12.7862, 12.7862) * CHOOSE(CONTROL!$C$21, $C$9, 100%, $E$9)</f>
        <v>12.786199999999999</v>
      </c>
      <c r="E283" s="17">
        <f>CHOOSE(CONTROL!$C$42, 12.8174, 12.8174) * CHOOSE(CONTROL!$C$21, $C$9, 100%, $E$9)</f>
        <v>12.817399999999999</v>
      </c>
      <c r="F283" s="17">
        <f>CHOOSE(CONTROL!$C$42, 12.5287, 12.5287)*CHOOSE(CONTROL!$C$21, $C$9, 100%, $E$9)</f>
        <v>12.528700000000001</v>
      </c>
      <c r="G283" s="17">
        <f>CHOOSE(CONTROL!$C$42, 12.5454, 12.5454)*CHOOSE(CONTROL!$C$21, $C$9, 100%, $E$9)</f>
        <v>12.545400000000001</v>
      </c>
      <c r="H283" s="17">
        <f>CHOOSE(CONTROL!$C$42, 12.8057, 12.8057) * CHOOSE(CONTROL!$C$21, $C$9, 100%, $E$9)</f>
        <v>12.8057</v>
      </c>
      <c r="I283" s="17">
        <f>CHOOSE(CONTROL!$C$42, 12.581, 12.581)* CHOOSE(CONTROL!$C$21, $C$9, 100%, $E$9)</f>
        <v>12.581</v>
      </c>
      <c r="J283" s="17">
        <f>CHOOSE(CONTROL!$C$42, 12.5213, 12.5213)* CHOOSE(CONTROL!$C$21, $C$9, 100%, $E$9)</f>
        <v>12.5213</v>
      </c>
      <c r="K283" s="52">
        <f>CHOOSE(CONTROL!$C$42, 12.575, 12.575) * CHOOSE(CONTROL!$C$21, $C$9, 100%, $E$9)</f>
        <v>12.574999999999999</v>
      </c>
      <c r="L283" s="17">
        <f>CHOOSE(CONTROL!$C$42, 13.3927, 13.3927) * CHOOSE(CONTROL!$C$21, $C$9, 100%, $E$9)</f>
        <v>13.3927</v>
      </c>
      <c r="M283" s="17">
        <f>CHOOSE(CONTROL!$C$42, 12.4157, 12.4157) * CHOOSE(CONTROL!$C$21, $C$9, 100%, $E$9)</f>
        <v>12.415699999999999</v>
      </c>
      <c r="N283" s="17">
        <f>CHOOSE(CONTROL!$C$42, 12.4322, 12.4322) * CHOOSE(CONTROL!$C$21, $C$9, 100%, $E$9)</f>
        <v>12.4322</v>
      </c>
      <c r="O283" s="17">
        <f>CHOOSE(CONTROL!$C$42, 12.6976, 12.6976) * CHOOSE(CONTROL!$C$21, $C$9, 100%, $E$9)</f>
        <v>12.6976</v>
      </c>
      <c r="P283" s="17">
        <f>CHOOSE(CONTROL!$C$42, 12.4746, 12.4746) * CHOOSE(CONTROL!$C$21, $C$9, 100%, $E$9)</f>
        <v>12.474600000000001</v>
      </c>
      <c r="Q283" s="17">
        <f>CHOOSE(CONTROL!$C$42, 13.2923, 13.2923) * CHOOSE(CONTROL!$C$21, $C$9, 100%, $E$9)</f>
        <v>13.292299999999999</v>
      </c>
      <c r="R283" s="17">
        <f>CHOOSE(CONTROL!$C$42, 13.9125, 13.9125) * CHOOSE(CONTROL!$C$21, $C$9, 100%, $E$9)</f>
        <v>13.9125</v>
      </c>
      <c r="S283" s="17">
        <f>CHOOSE(CONTROL!$C$42, 12.1274, 12.1274) * CHOOSE(CONTROL!$C$21, $C$9, 100%, $E$9)</f>
        <v>12.1274</v>
      </c>
      <c r="T283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283" s="56">
        <f>(1000*CHOOSE(CONTROL!$C$42, 695, 695)*CHOOSE(CONTROL!$C$42, 0.5599, 0.5599)*CHOOSE(CONTROL!$C$42, 31, 31))/1000000</f>
        <v>12.063045499999998</v>
      </c>
      <c r="V283" s="56">
        <f>(1000*CHOOSE(CONTROL!$C$42, 500, 500)*CHOOSE(CONTROL!$C$42, 0.275, 0.275)*CHOOSE(CONTROL!$C$42, 31, 31))/1000000</f>
        <v>4.2625000000000002</v>
      </c>
      <c r="W283" s="56">
        <f>(1000*CHOOSE(CONTROL!$C$42, 0.0916, 0.0916)*CHOOSE(CONTROL!$C$42, 121.5, 121.5)*CHOOSE(CONTROL!$C$42, 31, 31))/1000000</f>
        <v>0.34501139999999997</v>
      </c>
      <c r="X283" s="56">
        <f>(31*0.1790888*145000/1000000)+(31*0.2374*100000/1000000)</f>
        <v>1.5409441560000001</v>
      </c>
      <c r="Y283" s="56"/>
      <c r="Z283" s="17"/>
      <c r="AA283" s="55"/>
      <c r="AB283" s="48">
        <f>(B283*194.205+C283*267.466+D283*133.845+E283*153.484+F283*40+G283*85+H283*0+I283*100+J283*300)/(194.205+267.466+133.845+153.484+0+40+85+100+300)</f>
        <v>12.591921167896388</v>
      </c>
      <c r="AC283" s="45">
        <f>(M283*'RAP TEMPLATE-GAS AVAILABILITY'!O282+N283*'RAP TEMPLATE-GAS AVAILABILITY'!P282+O283*'RAP TEMPLATE-GAS AVAILABILITY'!Q282+P283*'RAP TEMPLATE-GAS AVAILABILITY'!R282)/('RAP TEMPLATE-GAS AVAILABILITY'!O282+'RAP TEMPLATE-GAS AVAILABILITY'!P282+'RAP TEMPLATE-GAS AVAILABILITY'!Q282+'RAP TEMPLATE-GAS AVAILABILITY'!R282)</f>
        <v>12.50706762589928</v>
      </c>
    </row>
    <row r="284" spans="1:29" ht="15.75" x14ac:dyDescent="0.25">
      <c r="A284" s="16">
        <v>49157</v>
      </c>
      <c r="B284" s="17">
        <f>CHOOSE(CONTROL!$C$42, 11.9006, 11.9006) * CHOOSE(CONTROL!$C$21, $C$9, 100%, $E$9)</f>
        <v>11.900600000000001</v>
      </c>
      <c r="C284" s="17">
        <f>CHOOSE(CONTROL!$C$42, 11.9086, 11.9086) * CHOOSE(CONTROL!$C$21, $C$9, 100%, $E$9)</f>
        <v>11.9086</v>
      </c>
      <c r="D284" s="17">
        <f>CHOOSE(CONTROL!$C$42, 12.1685, 12.1685) * CHOOSE(CONTROL!$C$21, $C$9, 100%, $E$9)</f>
        <v>12.1685</v>
      </c>
      <c r="E284" s="17">
        <f>CHOOSE(CONTROL!$C$42, 12.1997, 12.1997) * CHOOSE(CONTROL!$C$21, $C$9, 100%, $E$9)</f>
        <v>12.1997</v>
      </c>
      <c r="F284" s="17">
        <f>CHOOSE(CONTROL!$C$42, 11.9112, 11.9112)*CHOOSE(CONTROL!$C$21, $C$9, 100%, $E$9)</f>
        <v>11.911199999999999</v>
      </c>
      <c r="G284" s="17">
        <f>CHOOSE(CONTROL!$C$42, 11.9279, 11.9279)*CHOOSE(CONTROL!$C$21, $C$9, 100%, $E$9)</f>
        <v>11.927899999999999</v>
      </c>
      <c r="H284" s="17">
        <f>CHOOSE(CONTROL!$C$42, 12.188, 12.188) * CHOOSE(CONTROL!$C$21, $C$9, 100%, $E$9)</f>
        <v>12.188000000000001</v>
      </c>
      <c r="I284" s="17">
        <f>CHOOSE(CONTROL!$C$42, 11.9614, 11.9614)* CHOOSE(CONTROL!$C$21, $C$9, 100%, $E$9)</f>
        <v>11.961399999999999</v>
      </c>
      <c r="J284" s="17">
        <f>CHOOSE(CONTROL!$C$42, 11.9038, 11.9038)* CHOOSE(CONTROL!$C$21, $C$9, 100%, $E$9)</f>
        <v>11.9038</v>
      </c>
      <c r="K284" s="52">
        <f>CHOOSE(CONTROL!$C$42, 11.9553, 11.9553) * CHOOSE(CONTROL!$C$21, $C$9, 100%, $E$9)</f>
        <v>11.955299999999999</v>
      </c>
      <c r="L284" s="17">
        <f>CHOOSE(CONTROL!$C$42, 12.775, 12.775) * CHOOSE(CONTROL!$C$21, $C$9, 100%, $E$9)</f>
        <v>12.775</v>
      </c>
      <c r="M284" s="17">
        <f>CHOOSE(CONTROL!$C$42, 11.8038, 11.8038) * CHOOSE(CONTROL!$C$21, $C$9, 100%, $E$9)</f>
        <v>11.803800000000001</v>
      </c>
      <c r="N284" s="17">
        <f>CHOOSE(CONTROL!$C$42, 11.8203, 11.8203) * CHOOSE(CONTROL!$C$21, $C$9, 100%, $E$9)</f>
        <v>11.8203</v>
      </c>
      <c r="O284" s="17">
        <f>CHOOSE(CONTROL!$C$42, 12.0854, 12.0854) * CHOOSE(CONTROL!$C$21, $C$9, 100%, $E$9)</f>
        <v>12.0854</v>
      </c>
      <c r="P284" s="17">
        <f>CHOOSE(CONTROL!$C$42, 11.8605, 11.8605) * CHOOSE(CONTROL!$C$21, $C$9, 100%, $E$9)</f>
        <v>11.8605</v>
      </c>
      <c r="Q284" s="17">
        <f>CHOOSE(CONTROL!$C$42, 12.6801, 12.6801) * CHOOSE(CONTROL!$C$21, $C$9, 100%, $E$9)</f>
        <v>12.680099999999999</v>
      </c>
      <c r="R284" s="17">
        <f>CHOOSE(CONTROL!$C$42, 13.2988, 13.2988) * CHOOSE(CONTROL!$C$21, $C$9, 100%, $E$9)</f>
        <v>13.2988</v>
      </c>
      <c r="S284" s="17">
        <f>CHOOSE(CONTROL!$C$42, 11.5284, 11.5284) * CHOOSE(CONTROL!$C$21, $C$9, 100%, $E$9)</f>
        <v>11.5284</v>
      </c>
      <c r="T284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284" s="56">
        <f>(1000*CHOOSE(CONTROL!$C$42, 695, 695)*CHOOSE(CONTROL!$C$42, 0.5599, 0.5599)*CHOOSE(CONTROL!$C$42, 31, 31))/1000000</f>
        <v>12.063045499999998</v>
      </c>
      <c r="V284" s="56">
        <f>(1000*CHOOSE(CONTROL!$C$42, 500, 500)*CHOOSE(CONTROL!$C$42, 0.275, 0.275)*CHOOSE(CONTROL!$C$42, 31, 31))/1000000</f>
        <v>4.2625000000000002</v>
      </c>
      <c r="W284" s="56">
        <f>(1000*CHOOSE(CONTROL!$C$42, 0.0916, 0.0916)*CHOOSE(CONTROL!$C$42, 121.5, 121.5)*CHOOSE(CONTROL!$C$42, 31, 31))/1000000</f>
        <v>0.34501139999999997</v>
      </c>
      <c r="X284" s="56">
        <f>(31*0.1790888*145000/1000000)+(31*0.2374*100000/1000000)</f>
        <v>1.5409441560000001</v>
      </c>
      <c r="Y284" s="56"/>
      <c r="Z284" s="17"/>
      <c r="AA284" s="55"/>
      <c r="AB284" s="48">
        <f>(B284*194.205+C284*267.466+D284*133.845+E284*153.484+F284*40+G284*85+H284*0+I284*100+J284*300)/(194.205+267.466+133.845+153.484+0+40+85+100+300)</f>
        <v>11.974138750313973</v>
      </c>
      <c r="AC284" s="45">
        <f>(M284*'RAP TEMPLATE-GAS AVAILABILITY'!O283+N284*'RAP TEMPLATE-GAS AVAILABILITY'!P283+O284*'RAP TEMPLATE-GAS AVAILABILITY'!Q283+P284*'RAP TEMPLATE-GAS AVAILABILITY'!R283)/('RAP TEMPLATE-GAS AVAILABILITY'!O283+'RAP TEMPLATE-GAS AVAILABILITY'!P283+'RAP TEMPLATE-GAS AVAILABILITY'!Q283+'RAP TEMPLATE-GAS AVAILABILITY'!R283)</f>
        <v>11.894766906474819</v>
      </c>
    </row>
    <row r="285" spans="1:29" ht="15.75" x14ac:dyDescent="0.25">
      <c r="A285" s="16">
        <v>49188</v>
      </c>
      <c r="B285" s="17">
        <f>CHOOSE(CONTROL!$C$42, 11.1456, 11.1456) * CHOOSE(CONTROL!$C$21, $C$9, 100%, $E$9)</f>
        <v>11.1456</v>
      </c>
      <c r="C285" s="17">
        <f>CHOOSE(CONTROL!$C$42, 11.1536, 11.1536) * CHOOSE(CONTROL!$C$21, $C$9, 100%, $E$9)</f>
        <v>11.153600000000001</v>
      </c>
      <c r="D285" s="17">
        <f>CHOOSE(CONTROL!$C$42, 11.4135, 11.4135) * CHOOSE(CONTROL!$C$21, $C$9, 100%, $E$9)</f>
        <v>11.413500000000001</v>
      </c>
      <c r="E285" s="17">
        <f>CHOOSE(CONTROL!$C$42, 11.4447, 11.4447) * CHOOSE(CONTROL!$C$21, $C$9, 100%, $E$9)</f>
        <v>11.444699999999999</v>
      </c>
      <c r="F285" s="17">
        <f>CHOOSE(CONTROL!$C$42, 11.1563, 11.1563)*CHOOSE(CONTROL!$C$21, $C$9, 100%, $E$9)</f>
        <v>11.1563</v>
      </c>
      <c r="G285" s="17">
        <f>CHOOSE(CONTROL!$C$42, 11.173, 11.173)*CHOOSE(CONTROL!$C$21, $C$9, 100%, $E$9)</f>
        <v>11.173</v>
      </c>
      <c r="H285" s="17">
        <f>CHOOSE(CONTROL!$C$42, 11.433, 11.433) * CHOOSE(CONTROL!$C$21, $C$9, 100%, $E$9)</f>
        <v>11.433</v>
      </c>
      <c r="I285" s="17">
        <f>CHOOSE(CONTROL!$C$42, 11.204, 11.204)* CHOOSE(CONTROL!$C$21, $C$9, 100%, $E$9)</f>
        <v>11.204000000000001</v>
      </c>
      <c r="J285" s="17">
        <f>CHOOSE(CONTROL!$C$42, 11.1489, 11.1489)* CHOOSE(CONTROL!$C$21, $C$9, 100%, $E$9)</f>
        <v>11.148899999999999</v>
      </c>
      <c r="K285" s="52">
        <f>CHOOSE(CONTROL!$C$42, 11.198, 11.198) * CHOOSE(CONTROL!$C$21, $C$9, 100%, $E$9)</f>
        <v>11.198</v>
      </c>
      <c r="L285" s="17">
        <f>CHOOSE(CONTROL!$C$42, 12.02, 12.02) * CHOOSE(CONTROL!$C$21, $C$9, 100%, $E$9)</f>
        <v>12.02</v>
      </c>
      <c r="M285" s="17">
        <f>CHOOSE(CONTROL!$C$42, 11.0556, 11.0556) * CHOOSE(CONTROL!$C$21, $C$9, 100%, $E$9)</f>
        <v>11.0556</v>
      </c>
      <c r="N285" s="17">
        <f>CHOOSE(CONTROL!$C$42, 11.0722, 11.0722) * CHOOSE(CONTROL!$C$21, $C$9, 100%, $E$9)</f>
        <v>11.0722</v>
      </c>
      <c r="O285" s="17">
        <f>CHOOSE(CONTROL!$C$42, 11.3372, 11.3372) * CHOOSE(CONTROL!$C$21, $C$9, 100%, $E$9)</f>
        <v>11.337199999999999</v>
      </c>
      <c r="P285" s="17">
        <f>CHOOSE(CONTROL!$C$42, 11.11, 11.11) * CHOOSE(CONTROL!$C$21, $C$9, 100%, $E$9)</f>
        <v>11.11</v>
      </c>
      <c r="Q285" s="17">
        <f>CHOOSE(CONTROL!$C$42, 11.9319, 11.9319) * CHOOSE(CONTROL!$C$21, $C$9, 100%, $E$9)</f>
        <v>11.931900000000001</v>
      </c>
      <c r="R285" s="17">
        <f>CHOOSE(CONTROL!$C$42, 12.5487, 12.5487) * CHOOSE(CONTROL!$C$21, $C$9, 100%, $E$9)</f>
        <v>12.5487</v>
      </c>
      <c r="S285" s="17">
        <f>CHOOSE(CONTROL!$C$42, 10.7963, 10.7963) * CHOOSE(CONTROL!$C$21, $C$9, 100%, $E$9)</f>
        <v>10.7963</v>
      </c>
      <c r="T285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285" s="56">
        <f>(1000*CHOOSE(CONTROL!$C$42, 695, 695)*CHOOSE(CONTROL!$C$42, 0.5599, 0.5599)*CHOOSE(CONTROL!$C$42, 30, 30))/1000000</f>
        <v>11.673914999999997</v>
      </c>
      <c r="V285" s="56">
        <f>(1000*CHOOSE(CONTROL!$C$42, 500, 500)*CHOOSE(CONTROL!$C$42, 0.275, 0.275)*CHOOSE(CONTROL!$C$42, 30, 30))/1000000</f>
        <v>4.125</v>
      </c>
      <c r="W285" s="56">
        <f>(1000*CHOOSE(CONTROL!$C$42, 0.0916, 0.0916)*CHOOSE(CONTROL!$C$42, 121.5, 121.5)*CHOOSE(CONTROL!$C$42, 30, 30))/1000000</f>
        <v>0.33388200000000001</v>
      </c>
      <c r="X285" s="56">
        <f>(30*0.1790888*145000/1000000)+(30*0.2374*100000/1000000)</f>
        <v>1.4912362799999999</v>
      </c>
      <c r="Y285" s="56"/>
      <c r="Z285" s="17"/>
      <c r="AA285" s="55"/>
      <c r="AB285" s="48">
        <f>(B285*194.205+C285*267.466+D285*133.845+E285*153.484+F285*40+G285*85+H285*0+I285*100+J285*300)/(194.205+267.466+133.845+153.484+0+40+85+100+300)</f>
        <v>11.218983726766091</v>
      </c>
      <c r="AC285" s="45">
        <f>(M285*'RAP TEMPLATE-GAS AVAILABILITY'!O284+N285*'RAP TEMPLATE-GAS AVAILABILITY'!P284+O285*'RAP TEMPLATE-GAS AVAILABILITY'!Q284+P285*'RAP TEMPLATE-GAS AVAILABILITY'!R284)/('RAP TEMPLATE-GAS AVAILABILITY'!O284+'RAP TEMPLATE-GAS AVAILABILITY'!P284+'RAP TEMPLATE-GAS AVAILABILITY'!Q284+'RAP TEMPLATE-GAS AVAILABILITY'!R284)</f>
        <v>11.146258992805755</v>
      </c>
    </row>
    <row r="286" spans="1:29" ht="15.75" x14ac:dyDescent="0.25">
      <c r="A286" s="16">
        <v>49218</v>
      </c>
      <c r="B286" s="17">
        <f>CHOOSE(CONTROL!$C$42, 10.9178, 10.9178) * CHOOSE(CONTROL!$C$21, $C$9, 100%, $E$9)</f>
        <v>10.9178</v>
      </c>
      <c r="C286" s="17">
        <f>CHOOSE(CONTROL!$C$42, 10.9232, 10.9232) * CHOOSE(CONTROL!$C$21, $C$9, 100%, $E$9)</f>
        <v>10.9232</v>
      </c>
      <c r="D286" s="17">
        <f>CHOOSE(CONTROL!$C$42, 11.188, 11.188) * CHOOSE(CONTROL!$C$21, $C$9, 100%, $E$9)</f>
        <v>11.188000000000001</v>
      </c>
      <c r="E286" s="17">
        <f>CHOOSE(CONTROL!$C$42, 11.2169, 11.2169) * CHOOSE(CONTROL!$C$21, $C$9, 100%, $E$9)</f>
        <v>11.216900000000001</v>
      </c>
      <c r="F286" s="17">
        <f>CHOOSE(CONTROL!$C$42, 10.9307, 10.9307)*CHOOSE(CONTROL!$C$21, $C$9, 100%, $E$9)</f>
        <v>10.9307</v>
      </c>
      <c r="G286" s="17">
        <f>CHOOSE(CONTROL!$C$42, 10.9473, 10.9473)*CHOOSE(CONTROL!$C$21, $C$9, 100%, $E$9)</f>
        <v>10.9473</v>
      </c>
      <c r="H286" s="17">
        <f>CHOOSE(CONTROL!$C$42, 11.207, 11.207) * CHOOSE(CONTROL!$C$21, $C$9, 100%, $E$9)</f>
        <v>11.207000000000001</v>
      </c>
      <c r="I286" s="17">
        <f>CHOOSE(CONTROL!$C$42, 10.9773, 10.9773)* CHOOSE(CONTROL!$C$21, $C$9, 100%, $E$9)</f>
        <v>10.9773</v>
      </c>
      <c r="J286" s="17">
        <f>CHOOSE(CONTROL!$C$42, 10.9233, 10.9233)* CHOOSE(CONTROL!$C$21, $C$9, 100%, $E$9)</f>
        <v>10.923299999999999</v>
      </c>
      <c r="K286" s="52">
        <f>CHOOSE(CONTROL!$C$42, 10.9713, 10.9713) * CHOOSE(CONTROL!$C$21, $C$9, 100%, $E$9)</f>
        <v>10.971299999999999</v>
      </c>
      <c r="L286" s="17">
        <f>CHOOSE(CONTROL!$C$42, 11.794, 11.794) * CHOOSE(CONTROL!$C$21, $C$9, 100%, $E$9)</f>
        <v>11.794</v>
      </c>
      <c r="M286" s="17">
        <f>CHOOSE(CONTROL!$C$42, 10.8321, 10.8321) * CHOOSE(CONTROL!$C$21, $C$9, 100%, $E$9)</f>
        <v>10.832100000000001</v>
      </c>
      <c r="N286" s="17">
        <f>CHOOSE(CONTROL!$C$42, 10.8485, 10.8485) * CHOOSE(CONTROL!$C$21, $C$9, 100%, $E$9)</f>
        <v>10.8485</v>
      </c>
      <c r="O286" s="17">
        <f>CHOOSE(CONTROL!$C$42, 11.1132, 11.1132) * CHOOSE(CONTROL!$C$21, $C$9, 100%, $E$9)</f>
        <v>11.113200000000001</v>
      </c>
      <c r="P286" s="17">
        <f>CHOOSE(CONTROL!$C$42, 10.8853, 10.8853) * CHOOSE(CONTROL!$C$21, $C$9, 100%, $E$9)</f>
        <v>10.885300000000001</v>
      </c>
      <c r="Q286" s="17">
        <f>CHOOSE(CONTROL!$C$42, 11.7079, 11.7079) * CHOOSE(CONTROL!$C$21, $C$9, 100%, $E$9)</f>
        <v>11.7079</v>
      </c>
      <c r="R286" s="17">
        <f>CHOOSE(CONTROL!$C$42, 12.3242, 12.3242) * CHOOSE(CONTROL!$C$21, $C$9, 100%, $E$9)</f>
        <v>12.324199999999999</v>
      </c>
      <c r="S286" s="17">
        <f>CHOOSE(CONTROL!$C$42, 10.5771, 10.5771) * CHOOSE(CONTROL!$C$21, $C$9, 100%, $E$9)</f>
        <v>10.5771</v>
      </c>
      <c r="T286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286" s="56">
        <f>(1000*CHOOSE(CONTROL!$C$42, 695, 695)*CHOOSE(CONTROL!$C$42, 0.5599, 0.5599)*CHOOSE(CONTROL!$C$42, 31, 31))/1000000</f>
        <v>12.063045499999998</v>
      </c>
      <c r="V286" s="56">
        <f>(1000*CHOOSE(CONTROL!$C$42, 500, 500)*CHOOSE(CONTROL!$C$42, 0.275, 0.275)*CHOOSE(CONTROL!$C$42, 31, 31))/1000000</f>
        <v>4.2625000000000002</v>
      </c>
      <c r="W286" s="56">
        <f>(1000*CHOOSE(CONTROL!$C$42, 0.0916, 0.0916)*CHOOSE(CONTROL!$C$42, 121.5, 121.5)*CHOOSE(CONTROL!$C$42, 31, 31))/1000000</f>
        <v>0.34501139999999997</v>
      </c>
      <c r="X286" s="56">
        <f>(31*0.1790888*145000/1000000)+(31*0.2374*100000/1000000)</f>
        <v>1.5409441560000001</v>
      </c>
      <c r="Y286" s="56"/>
      <c r="Z286" s="17"/>
      <c r="AA286" s="55"/>
      <c r="AB286" s="48">
        <f>(B286*131.881+C286*277.167+D286*79.08+E286*225.872+F286*40+G286*85+H286*0+I286*100+J286*300)/(131.881+277.167+79.08+225.872+0+40+85+100+300)</f>
        <v>10.999354425343018</v>
      </c>
      <c r="AC286" s="45">
        <f>(M286*'RAP TEMPLATE-GAS AVAILABILITY'!O285+N286*'RAP TEMPLATE-GAS AVAILABILITY'!P285+O286*'RAP TEMPLATE-GAS AVAILABILITY'!Q285+P286*'RAP TEMPLATE-GAS AVAILABILITY'!R285)/('RAP TEMPLATE-GAS AVAILABILITY'!O285+'RAP TEMPLATE-GAS AVAILABILITY'!P285+'RAP TEMPLATE-GAS AVAILABILITY'!Q285+'RAP TEMPLATE-GAS AVAILABILITY'!R285)</f>
        <v>10.922400000000001</v>
      </c>
    </row>
    <row r="287" spans="1:29" ht="15.75" x14ac:dyDescent="0.25">
      <c r="A287" s="16">
        <v>49249</v>
      </c>
      <c r="B287" s="17">
        <f>CHOOSE(CONTROL!$C$42, 11.2048, 11.2048) * CHOOSE(CONTROL!$C$21, $C$9, 100%, $E$9)</f>
        <v>11.204800000000001</v>
      </c>
      <c r="C287" s="17">
        <f>CHOOSE(CONTROL!$C$42, 11.2099, 11.2099) * CHOOSE(CONTROL!$C$21, $C$9, 100%, $E$9)</f>
        <v>11.209899999999999</v>
      </c>
      <c r="D287" s="17">
        <f>CHOOSE(CONTROL!$C$42, 11.3505, 11.3505) * CHOOSE(CONTROL!$C$21, $C$9, 100%, $E$9)</f>
        <v>11.3505</v>
      </c>
      <c r="E287" s="17">
        <f>CHOOSE(CONTROL!$C$42, 11.3843, 11.3843) * CHOOSE(CONTROL!$C$21, $C$9, 100%, $E$9)</f>
        <v>11.3843</v>
      </c>
      <c r="F287" s="17">
        <f>CHOOSE(CONTROL!$C$42, 11.2181, 11.2181)*CHOOSE(CONTROL!$C$21, $C$9, 100%, $E$9)</f>
        <v>11.2181</v>
      </c>
      <c r="G287" s="17">
        <f>CHOOSE(CONTROL!$C$42, 11.2349, 11.2349)*CHOOSE(CONTROL!$C$21, $C$9, 100%, $E$9)</f>
        <v>11.2349</v>
      </c>
      <c r="H287" s="17">
        <f>CHOOSE(CONTROL!$C$42, 11.3732, 11.3732) * CHOOSE(CONTROL!$C$21, $C$9, 100%, $E$9)</f>
        <v>11.373200000000001</v>
      </c>
      <c r="I287" s="17">
        <f>CHOOSE(CONTROL!$C$42, 11.2619, 11.2619)* CHOOSE(CONTROL!$C$21, $C$9, 100%, $E$9)</f>
        <v>11.261900000000001</v>
      </c>
      <c r="J287" s="17">
        <f>CHOOSE(CONTROL!$C$42, 11.2107, 11.2107)* CHOOSE(CONTROL!$C$21, $C$9, 100%, $E$9)</f>
        <v>11.210699999999999</v>
      </c>
      <c r="K287" s="52">
        <f>CHOOSE(CONTROL!$C$42, 11.2559, 11.2559) * CHOOSE(CONTROL!$C$21, $C$9, 100%, $E$9)</f>
        <v>11.2559</v>
      </c>
      <c r="L287" s="17">
        <f>CHOOSE(CONTROL!$C$42, 11.9602, 11.9602) * CHOOSE(CONTROL!$C$21, $C$9, 100%, $E$9)</f>
        <v>11.9602</v>
      </c>
      <c r="M287" s="17">
        <f>CHOOSE(CONTROL!$C$42, 11.1169, 11.1169) * CHOOSE(CONTROL!$C$21, $C$9, 100%, $E$9)</f>
        <v>11.116899999999999</v>
      </c>
      <c r="N287" s="17">
        <f>CHOOSE(CONTROL!$C$42, 11.1336, 11.1336) * CHOOSE(CONTROL!$C$21, $C$9, 100%, $E$9)</f>
        <v>11.133599999999999</v>
      </c>
      <c r="O287" s="17">
        <f>CHOOSE(CONTROL!$C$42, 11.2779, 11.2779) * CHOOSE(CONTROL!$C$21, $C$9, 100%, $E$9)</f>
        <v>11.277900000000001</v>
      </c>
      <c r="P287" s="17">
        <f>CHOOSE(CONTROL!$C$42, 11.1674, 11.1674) * CHOOSE(CONTROL!$C$21, $C$9, 100%, $E$9)</f>
        <v>11.167400000000001</v>
      </c>
      <c r="Q287" s="17">
        <f>CHOOSE(CONTROL!$C$42, 11.8726, 11.8726) * CHOOSE(CONTROL!$C$21, $C$9, 100%, $E$9)</f>
        <v>11.8726</v>
      </c>
      <c r="R287" s="17">
        <f>CHOOSE(CONTROL!$C$42, 12.4893, 12.4893) * CHOOSE(CONTROL!$C$21, $C$9, 100%, $E$9)</f>
        <v>12.4893</v>
      </c>
      <c r="S287" s="17">
        <f>CHOOSE(CONTROL!$C$42, 10.8558, 10.8558) * CHOOSE(CONTROL!$C$21, $C$9, 100%, $E$9)</f>
        <v>10.8558</v>
      </c>
      <c r="T287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287" s="56">
        <f>(1000*CHOOSE(CONTROL!$C$42, 695, 695)*CHOOSE(CONTROL!$C$42, 0.5599, 0.5599)*CHOOSE(CONTROL!$C$42, 30, 30))/1000000</f>
        <v>11.673914999999997</v>
      </c>
      <c r="V287" s="56">
        <f>(1000*CHOOSE(CONTROL!$C$42, 500, 500)*CHOOSE(CONTROL!$C$42, 0.275, 0.275)*CHOOSE(CONTROL!$C$42, 30, 30))/1000000</f>
        <v>4.125</v>
      </c>
      <c r="W287" s="56">
        <f>(1000*CHOOSE(CONTROL!$C$42, 0.0916, 0.0916)*CHOOSE(CONTROL!$C$42, 121.5, 121.5)*CHOOSE(CONTROL!$C$42, 30, 30))/1000000</f>
        <v>0.33388200000000001</v>
      </c>
      <c r="X287" s="56">
        <f>(30*0.2374*100000/1000000)</f>
        <v>0.71220000000000006</v>
      </c>
      <c r="Y287" s="56"/>
      <c r="Z287" s="17"/>
      <c r="AA287" s="55"/>
      <c r="AB287" s="48">
        <f>(B287*122.58+C287*297.941+D287*89.177+E287*140.302+F287*40+G287*60+H287*0+I287*100+J287*300)/(122.58+297.941+89.177+140.302+0+40+60+100+300)</f>
        <v>11.247856345217389</v>
      </c>
      <c r="AC287" s="45">
        <f>(M287*'RAP TEMPLATE-GAS AVAILABILITY'!O286+N287*'RAP TEMPLATE-GAS AVAILABILITY'!P286+O287*'RAP TEMPLATE-GAS AVAILABILITY'!Q286+P287*'RAP TEMPLATE-GAS AVAILABILITY'!R286)/('RAP TEMPLATE-GAS AVAILABILITY'!O286+'RAP TEMPLATE-GAS AVAILABILITY'!P286+'RAP TEMPLATE-GAS AVAILABILITY'!Q286+'RAP TEMPLATE-GAS AVAILABILITY'!R286)</f>
        <v>11.198098561151079</v>
      </c>
    </row>
    <row r="288" spans="1:29" ht="15.75" x14ac:dyDescent="0.25">
      <c r="A288" s="16">
        <v>49279</v>
      </c>
      <c r="B288" s="17">
        <f>CHOOSE(CONTROL!$C$42, 11.968, 11.968) * CHOOSE(CONTROL!$C$21, $C$9, 100%, $E$9)</f>
        <v>11.968</v>
      </c>
      <c r="C288" s="17">
        <f>CHOOSE(CONTROL!$C$42, 11.9731, 11.9731) * CHOOSE(CONTROL!$C$21, $C$9, 100%, $E$9)</f>
        <v>11.973100000000001</v>
      </c>
      <c r="D288" s="17">
        <f>CHOOSE(CONTROL!$C$42, 12.1137, 12.1137) * CHOOSE(CONTROL!$C$21, $C$9, 100%, $E$9)</f>
        <v>12.1137</v>
      </c>
      <c r="E288" s="17">
        <f>CHOOSE(CONTROL!$C$42, 12.1475, 12.1475) * CHOOSE(CONTROL!$C$21, $C$9, 100%, $E$9)</f>
        <v>12.147500000000001</v>
      </c>
      <c r="F288" s="17">
        <f>CHOOSE(CONTROL!$C$42, 11.9837, 11.9837)*CHOOSE(CONTROL!$C$21, $C$9, 100%, $E$9)</f>
        <v>11.983700000000001</v>
      </c>
      <c r="G288" s="17">
        <f>CHOOSE(CONTROL!$C$42, 12.0012, 12.0012)*CHOOSE(CONTROL!$C$21, $C$9, 100%, $E$9)</f>
        <v>12.001200000000001</v>
      </c>
      <c r="H288" s="17">
        <f>CHOOSE(CONTROL!$C$42, 12.1364, 12.1364) * CHOOSE(CONTROL!$C$21, $C$9, 100%, $E$9)</f>
        <v>12.1364</v>
      </c>
      <c r="I288" s="17">
        <f>CHOOSE(CONTROL!$C$42, 12.0275, 12.0275)* CHOOSE(CONTROL!$C$21, $C$9, 100%, $E$9)</f>
        <v>12.0275</v>
      </c>
      <c r="J288" s="17">
        <f>CHOOSE(CONTROL!$C$42, 11.9763, 11.9763)* CHOOSE(CONTROL!$C$21, $C$9, 100%, $E$9)</f>
        <v>11.9763</v>
      </c>
      <c r="K288" s="52">
        <f>CHOOSE(CONTROL!$C$42, 12.0215, 12.0215) * CHOOSE(CONTROL!$C$21, $C$9, 100%, $E$9)</f>
        <v>12.0215</v>
      </c>
      <c r="L288" s="17">
        <f>CHOOSE(CONTROL!$C$42, 12.7234, 12.7234) * CHOOSE(CONTROL!$C$21, $C$9, 100%, $E$9)</f>
        <v>12.7234</v>
      </c>
      <c r="M288" s="17">
        <f>CHOOSE(CONTROL!$C$42, 11.8756, 11.8756) * CHOOSE(CONTROL!$C$21, $C$9, 100%, $E$9)</f>
        <v>11.8756</v>
      </c>
      <c r="N288" s="17">
        <f>CHOOSE(CONTROL!$C$42, 11.8929, 11.8929) * CHOOSE(CONTROL!$C$21, $C$9, 100%, $E$9)</f>
        <v>11.892899999999999</v>
      </c>
      <c r="O288" s="17">
        <f>CHOOSE(CONTROL!$C$42, 12.0342, 12.0342) * CHOOSE(CONTROL!$C$21, $C$9, 100%, $E$9)</f>
        <v>12.0342</v>
      </c>
      <c r="P288" s="17">
        <f>CHOOSE(CONTROL!$C$42, 11.9261, 11.9261) * CHOOSE(CONTROL!$C$21, $C$9, 100%, $E$9)</f>
        <v>11.9261</v>
      </c>
      <c r="Q288" s="17">
        <f>CHOOSE(CONTROL!$C$42, 12.6289, 12.6289) * CHOOSE(CONTROL!$C$21, $C$9, 100%, $E$9)</f>
        <v>12.6289</v>
      </c>
      <c r="R288" s="17">
        <f>CHOOSE(CONTROL!$C$42, 13.2475, 13.2475) * CHOOSE(CONTROL!$C$21, $C$9, 100%, $E$9)</f>
        <v>13.2475</v>
      </c>
      <c r="S288" s="17">
        <f>CHOOSE(CONTROL!$C$42, 11.5959, 11.5959) * CHOOSE(CONTROL!$C$21, $C$9, 100%, $E$9)</f>
        <v>11.5959</v>
      </c>
      <c r="T288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288" s="56">
        <f>(1000*CHOOSE(CONTROL!$C$42, 695, 695)*CHOOSE(CONTROL!$C$42, 0.5599, 0.5599)*CHOOSE(CONTROL!$C$42, 31, 31))/1000000</f>
        <v>12.063045499999998</v>
      </c>
      <c r="V288" s="56">
        <f>(1000*CHOOSE(CONTROL!$C$42, 500, 500)*CHOOSE(CONTROL!$C$42, 0.275, 0.275)*CHOOSE(CONTROL!$C$42, 31, 31))/1000000</f>
        <v>4.2625000000000002</v>
      </c>
      <c r="W288" s="56">
        <f>(1000*CHOOSE(CONTROL!$C$42, 0.0916, 0.0916)*CHOOSE(CONTROL!$C$42, 121.5, 121.5)*CHOOSE(CONTROL!$C$42, 31, 31))/1000000</f>
        <v>0.34501139999999997</v>
      </c>
      <c r="X288" s="56">
        <f>(31*0.2374*100000/1000000)</f>
        <v>0.73594000000000004</v>
      </c>
      <c r="Y288" s="56"/>
      <c r="Z288" s="17"/>
      <c r="AA288" s="55"/>
      <c r="AB288" s="48">
        <f>(B288*122.58+C288*297.941+D288*89.177+E288*140.302+F288*40+G288*60+H288*0+I288*100+J288*300)/(122.58+297.941+89.177+140.302+0+40+60+100+300)</f>
        <v>12.012136345217392</v>
      </c>
      <c r="AC288" s="45">
        <f>(M288*'RAP TEMPLATE-GAS AVAILABILITY'!O287+N288*'RAP TEMPLATE-GAS AVAILABILITY'!P287+O288*'RAP TEMPLATE-GAS AVAILABILITY'!Q287+P288*'RAP TEMPLATE-GAS AVAILABILITY'!R287)/('RAP TEMPLATE-GAS AVAILABILITY'!O287+'RAP TEMPLATE-GAS AVAILABILITY'!P287+'RAP TEMPLATE-GAS AVAILABILITY'!Q287+'RAP TEMPLATE-GAS AVAILABILITY'!R287)</f>
        <v>11.955745323741008</v>
      </c>
    </row>
    <row r="289" spans="1:29" ht="15.75" x14ac:dyDescent="0.25">
      <c r="A289" s="16">
        <v>49310</v>
      </c>
      <c r="B289" s="17">
        <f>CHOOSE(CONTROL!$C$42, 12.887, 12.887) * CHOOSE(CONTROL!$C$21, $C$9, 100%, $E$9)</f>
        <v>12.887</v>
      </c>
      <c r="C289" s="17">
        <f>CHOOSE(CONTROL!$C$42, 12.892, 12.892) * CHOOSE(CONTROL!$C$21, $C$9, 100%, $E$9)</f>
        <v>12.891999999999999</v>
      </c>
      <c r="D289" s="17">
        <f>CHOOSE(CONTROL!$C$42, 13.026, 13.026) * CHOOSE(CONTROL!$C$21, $C$9, 100%, $E$9)</f>
        <v>13.026</v>
      </c>
      <c r="E289" s="17">
        <f>CHOOSE(CONTROL!$C$42, 13.0598, 13.0598) * CHOOSE(CONTROL!$C$21, $C$9, 100%, $E$9)</f>
        <v>13.059799999999999</v>
      </c>
      <c r="F289" s="17">
        <f>CHOOSE(CONTROL!$C$42, 12.9004, 12.9004)*CHOOSE(CONTROL!$C$21, $C$9, 100%, $E$9)</f>
        <v>12.900399999999999</v>
      </c>
      <c r="G289" s="17">
        <f>CHOOSE(CONTROL!$C$42, 12.9173, 12.9173)*CHOOSE(CONTROL!$C$21, $C$9, 100%, $E$9)</f>
        <v>12.917299999999999</v>
      </c>
      <c r="H289" s="17">
        <f>CHOOSE(CONTROL!$C$42, 13.0486, 13.0486) * CHOOSE(CONTROL!$C$21, $C$9, 100%, $E$9)</f>
        <v>13.0486</v>
      </c>
      <c r="I289" s="17">
        <f>CHOOSE(CONTROL!$C$42, 12.9535, 12.9535)* CHOOSE(CONTROL!$C$21, $C$9, 100%, $E$9)</f>
        <v>12.9535</v>
      </c>
      <c r="J289" s="17">
        <f>CHOOSE(CONTROL!$C$42, 12.893, 12.893)* CHOOSE(CONTROL!$C$21, $C$9, 100%, $E$9)</f>
        <v>12.893000000000001</v>
      </c>
      <c r="K289" s="52">
        <f>CHOOSE(CONTROL!$C$42, 12.9474, 12.9474) * CHOOSE(CONTROL!$C$21, $C$9, 100%, $E$9)</f>
        <v>12.9474</v>
      </c>
      <c r="L289" s="17">
        <f>CHOOSE(CONTROL!$C$42, 13.6356, 13.6356) * CHOOSE(CONTROL!$C$21, $C$9, 100%, $E$9)</f>
        <v>13.6356</v>
      </c>
      <c r="M289" s="17">
        <f>CHOOSE(CONTROL!$C$42, 12.7841, 12.7841) * CHOOSE(CONTROL!$C$21, $C$9, 100%, $E$9)</f>
        <v>12.7841</v>
      </c>
      <c r="N289" s="17">
        <f>CHOOSE(CONTROL!$C$42, 12.8008, 12.8008) * CHOOSE(CONTROL!$C$21, $C$9, 100%, $E$9)</f>
        <v>12.800800000000001</v>
      </c>
      <c r="O289" s="17">
        <f>CHOOSE(CONTROL!$C$42, 12.9383, 12.9383) * CHOOSE(CONTROL!$C$21, $C$9, 100%, $E$9)</f>
        <v>12.9383</v>
      </c>
      <c r="P289" s="17">
        <f>CHOOSE(CONTROL!$C$42, 12.8437, 12.8437) * CHOOSE(CONTROL!$C$21, $C$9, 100%, $E$9)</f>
        <v>12.8437</v>
      </c>
      <c r="Q289" s="17">
        <f>CHOOSE(CONTROL!$C$42, 13.533, 13.533) * CHOOSE(CONTROL!$C$21, $C$9, 100%, $E$9)</f>
        <v>13.532999999999999</v>
      </c>
      <c r="R289" s="17">
        <f>CHOOSE(CONTROL!$C$42, 14.1538, 14.1538) * CHOOSE(CONTROL!$C$21, $C$9, 100%, $E$9)</f>
        <v>14.1538</v>
      </c>
      <c r="S289" s="17">
        <f>CHOOSE(CONTROL!$C$42, 12.487, 12.487) * CHOOSE(CONTROL!$C$21, $C$9, 100%, $E$9)</f>
        <v>12.487</v>
      </c>
      <c r="T289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289" s="56">
        <f>(1000*CHOOSE(CONTROL!$C$42, 695, 695)*CHOOSE(CONTROL!$C$42, 0.5599, 0.5599)*CHOOSE(CONTROL!$C$42, 31, 31))/1000000</f>
        <v>12.063045499999998</v>
      </c>
      <c r="V289" s="56">
        <f>(1000*CHOOSE(CONTROL!$C$42, 500, 500)*CHOOSE(CONTROL!$C$42, 0.275, 0.275)*CHOOSE(CONTROL!$C$42, 31, 31))/1000000</f>
        <v>4.2625000000000002</v>
      </c>
      <c r="W289" s="56">
        <f>(1000*CHOOSE(CONTROL!$C$42, 0.0916, 0.0916)*CHOOSE(CONTROL!$C$42, 121.5, 121.5)*CHOOSE(CONTROL!$C$42, 31, 31))/1000000</f>
        <v>0.34501139999999997</v>
      </c>
      <c r="X289" s="56">
        <f>(31*0.2374*100000/1000000)</f>
        <v>0.73594000000000004</v>
      </c>
      <c r="Y289" s="56"/>
      <c r="Z289" s="17"/>
      <c r="AA289" s="55"/>
      <c r="AB289" s="48">
        <f>(B289*122.58+C289*297.941+D289*89.177+E289*140.302+F289*40+G289*60+H289*0+I289*100+J289*300)/(122.58+297.941+89.177+140.302+0+40+60+100+300)</f>
        <v>12.929550863999999</v>
      </c>
      <c r="AC289" s="45">
        <f>(M289*'RAP TEMPLATE-GAS AVAILABILITY'!O288+N289*'RAP TEMPLATE-GAS AVAILABILITY'!P288+O289*'RAP TEMPLATE-GAS AVAILABILITY'!Q288+P289*'RAP TEMPLATE-GAS AVAILABILITY'!R288)/('RAP TEMPLATE-GAS AVAILABILITY'!O288+'RAP TEMPLATE-GAS AVAILABILITY'!P288+'RAP TEMPLATE-GAS AVAILABILITY'!Q288+'RAP TEMPLATE-GAS AVAILABILITY'!R288)</f>
        <v>12.863525899280578</v>
      </c>
    </row>
    <row r="290" spans="1:29" ht="15.75" x14ac:dyDescent="0.25">
      <c r="A290" s="16">
        <v>49341</v>
      </c>
      <c r="B290" s="17">
        <f>CHOOSE(CONTROL!$C$42, 13.1162, 13.1162) * CHOOSE(CONTROL!$C$21, $C$9, 100%, $E$9)</f>
        <v>13.116199999999999</v>
      </c>
      <c r="C290" s="17">
        <f>CHOOSE(CONTROL!$C$42, 13.1213, 13.1213) * CHOOSE(CONTROL!$C$21, $C$9, 100%, $E$9)</f>
        <v>13.1213</v>
      </c>
      <c r="D290" s="17">
        <f>CHOOSE(CONTROL!$C$42, 13.2552, 13.2552) * CHOOSE(CONTROL!$C$21, $C$9, 100%, $E$9)</f>
        <v>13.2552</v>
      </c>
      <c r="E290" s="17">
        <f>CHOOSE(CONTROL!$C$42, 13.289, 13.289) * CHOOSE(CONTROL!$C$21, $C$9, 100%, $E$9)</f>
        <v>13.289</v>
      </c>
      <c r="F290" s="17">
        <f>CHOOSE(CONTROL!$C$42, 13.1296, 13.1296)*CHOOSE(CONTROL!$C$21, $C$9, 100%, $E$9)</f>
        <v>13.1296</v>
      </c>
      <c r="G290" s="17">
        <f>CHOOSE(CONTROL!$C$42, 13.1465, 13.1465)*CHOOSE(CONTROL!$C$21, $C$9, 100%, $E$9)</f>
        <v>13.1465</v>
      </c>
      <c r="H290" s="17">
        <f>CHOOSE(CONTROL!$C$42, 13.2779, 13.2779) * CHOOSE(CONTROL!$C$21, $C$9, 100%, $E$9)</f>
        <v>13.277900000000001</v>
      </c>
      <c r="I290" s="17">
        <f>CHOOSE(CONTROL!$C$42, 13.1834, 13.1834)* CHOOSE(CONTROL!$C$21, $C$9, 100%, $E$9)</f>
        <v>13.183400000000001</v>
      </c>
      <c r="J290" s="17">
        <f>CHOOSE(CONTROL!$C$42, 13.1222, 13.1222)* CHOOSE(CONTROL!$C$21, $C$9, 100%, $E$9)</f>
        <v>13.122199999999999</v>
      </c>
      <c r="K290" s="52">
        <f>CHOOSE(CONTROL!$C$42, 13.1773, 13.1773) * CHOOSE(CONTROL!$C$21, $C$9, 100%, $E$9)</f>
        <v>13.177300000000001</v>
      </c>
      <c r="L290" s="17">
        <f>CHOOSE(CONTROL!$C$42, 13.8649, 13.8649) * CHOOSE(CONTROL!$C$21, $C$9, 100%, $E$9)</f>
        <v>13.8649</v>
      </c>
      <c r="M290" s="17">
        <f>CHOOSE(CONTROL!$C$42, 13.0112, 13.0112) * CHOOSE(CONTROL!$C$21, $C$9, 100%, $E$9)</f>
        <v>13.011200000000001</v>
      </c>
      <c r="N290" s="17">
        <f>CHOOSE(CONTROL!$C$42, 13.0279, 13.0279) * CHOOSE(CONTROL!$C$21, $C$9, 100%, $E$9)</f>
        <v>13.027900000000001</v>
      </c>
      <c r="O290" s="17">
        <f>CHOOSE(CONTROL!$C$42, 13.1654, 13.1654) * CHOOSE(CONTROL!$C$21, $C$9, 100%, $E$9)</f>
        <v>13.1654</v>
      </c>
      <c r="P290" s="17">
        <f>CHOOSE(CONTROL!$C$42, 13.0715, 13.0715) * CHOOSE(CONTROL!$C$21, $C$9, 100%, $E$9)</f>
        <v>13.0715</v>
      </c>
      <c r="Q290" s="17">
        <f>CHOOSE(CONTROL!$C$42, 13.7601, 13.7601) * CHOOSE(CONTROL!$C$21, $C$9, 100%, $E$9)</f>
        <v>13.7601</v>
      </c>
      <c r="R290" s="17">
        <f>CHOOSE(CONTROL!$C$42, 14.3815, 14.3815) * CHOOSE(CONTROL!$C$21, $C$9, 100%, $E$9)</f>
        <v>14.381500000000001</v>
      </c>
      <c r="S290" s="17">
        <f>CHOOSE(CONTROL!$C$42, 12.7092, 12.7092) * CHOOSE(CONTROL!$C$21, $C$9, 100%, $E$9)</f>
        <v>12.709199999999999</v>
      </c>
      <c r="T290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290" s="56">
        <f>(1000*CHOOSE(CONTROL!$C$42, 695, 695)*CHOOSE(CONTROL!$C$42, 0.5599, 0.5599)*CHOOSE(CONTROL!$C$42, 28, 28))/1000000</f>
        <v>10.895653999999999</v>
      </c>
      <c r="V290" s="56">
        <f>(1000*CHOOSE(CONTROL!$C$42, 500, 500)*CHOOSE(CONTROL!$C$42, 0.275, 0.275)*CHOOSE(CONTROL!$C$42, 28, 28))/1000000</f>
        <v>3.85</v>
      </c>
      <c r="W290" s="56">
        <f>(1000*CHOOSE(CONTROL!$C$42, 0.0916, 0.0916)*CHOOSE(CONTROL!$C$42, 121.5, 121.5)*CHOOSE(CONTROL!$C$42, 28, 28))/1000000</f>
        <v>0.31162319999999999</v>
      </c>
      <c r="X290" s="56">
        <f>(28*0.2374*100000/1000000)</f>
        <v>0.66471999999999998</v>
      </c>
      <c r="Y290" s="56"/>
      <c r="Z290" s="17"/>
      <c r="AA290" s="55"/>
      <c r="AB290" s="48">
        <f>(B290*122.58+C290*297.941+D290*89.177+E290*140.302+F290*40+G290*60+H290*0+I290*100+J290*300)/(122.58+297.941+89.177+140.302+0+40+60+100+300)</f>
        <v>13.158837641478259</v>
      </c>
      <c r="AC290" s="45">
        <f>(M290*'RAP TEMPLATE-GAS AVAILABILITY'!O289+N290*'RAP TEMPLATE-GAS AVAILABILITY'!P289+O290*'RAP TEMPLATE-GAS AVAILABILITY'!Q289+P290*'RAP TEMPLATE-GAS AVAILABILITY'!R289)/('RAP TEMPLATE-GAS AVAILABILITY'!O289+'RAP TEMPLATE-GAS AVAILABILITY'!P289+'RAP TEMPLATE-GAS AVAILABILITY'!Q289+'RAP TEMPLATE-GAS AVAILABILITY'!R289)</f>
        <v>13.090726618705036</v>
      </c>
    </row>
    <row r="291" spans="1:29" ht="15.75" x14ac:dyDescent="0.25">
      <c r="A291" s="16">
        <v>49369</v>
      </c>
      <c r="B291" s="17">
        <f>CHOOSE(CONTROL!$C$42, 12.7441, 12.7441) * CHOOSE(CONTROL!$C$21, $C$9, 100%, $E$9)</f>
        <v>12.7441</v>
      </c>
      <c r="C291" s="17">
        <f>CHOOSE(CONTROL!$C$42, 12.7492, 12.7492) * CHOOSE(CONTROL!$C$21, $C$9, 100%, $E$9)</f>
        <v>12.7492</v>
      </c>
      <c r="D291" s="17">
        <f>CHOOSE(CONTROL!$C$42, 12.8831, 12.8831) * CHOOSE(CONTROL!$C$21, $C$9, 100%, $E$9)</f>
        <v>12.883100000000001</v>
      </c>
      <c r="E291" s="17">
        <f>CHOOSE(CONTROL!$C$42, 12.9169, 12.9169) * CHOOSE(CONTROL!$C$21, $C$9, 100%, $E$9)</f>
        <v>12.9169</v>
      </c>
      <c r="F291" s="17">
        <f>CHOOSE(CONTROL!$C$42, 12.7567, 12.7567)*CHOOSE(CONTROL!$C$21, $C$9, 100%, $E$9)</f>
        <v>12.7567</v>
      </c>
      <c r="G291" s="17">
        <f>CHOOSE(CONTROL!$C$42, 12.7734, 12.7734)*CHOOSE(CONTROL!$C$21, $C$9, 100%, $E$9)</f>
        <v>12.773400000000001</v>
      </c>
      <c r="H291" s="17">
        <f>CHOOSE(CONTROL!$C$42, 12.9058, 12.9058) * CHOOSE(CONTROL!$C$21, $C$9, 100%, $E$9)</f>
        <v>12.905799999999999</v>
      </c>
      <c r="I291" s="17">
        <f>CHOOSE(CONTROL!$C$42, 12.8102, 12.8102)* CHOOSE(CONTROL!$C$21, $C$9, 100%, $E$9)</f>
        <v>12.8102</v>
      </c>
      <c r="J291" s="17">
        <f>CHOOSE(CONTROL!$C$42, 12.7493, 12.7493)* CHOOSE(CONTROL!$C$21, $C$9, 100%, $E$9)</f>
        <v>12.7493</v>
      </c>
      <c r="K291" s="52">
        <f>CHOOSE(CONTROL!$C$42, 12.8041, 12.8041) * CHOOSE(CONTROL!$C$21, $C$9, 100%, $E$9)</f>
        <v>12.8041</v>
      </c>
      <c r="L291" s="17">
        <f>CHOOSE(CONTROL!$C$42, 13.4928, 13.4928) * CHOOSE(CONTROL!$C$21, $C$9, 100%, $E$9)</f>
        <v>13.492800000000001</v>
      </c>
      <c r="M291" s="17">
        <f>CHOOSE(CONTROL!$C$42, 12.6417, 12.6417) * CHOOSE(CONTROL!$C$21, $C$9, 100%, $E$9)</f>
        <v>12.6417</v>
      </c>
      <c r="N291" s="17">
        <f>CHOOSE(CONTROL!$C$42, 12.6582, 12.6582) * CHOOSE(CONTROL!$C$21, $C$9, 100%, $E$9)</f>
        <v>12.658200000000001</v>
      </c>
      <c r="O291" s="17">
        <f>CHOOSE(CONTROL!$C$42, 12.7967, 12.7967) * CHOOSE(CONTROL!$C$21, $C$9, 100%, $E$9)</f>
        <v>12.7967</v>
      </c>
      <c r="P291" s="17">
        <f>CHOOSE(CONTROL!$C$42, 12.7016, 12.7016) * CHOOSE(CONTROL!$C$21, $C$9, 100%, $E$9)</f>
        <v>12.701599999999999</v>
      </c>
      <c r="Q291" s="17">
        <f>CHOOSE(CONTROL!$C$42, 13.3914, 13.3914) * CHOOSE(CONTROL!$C$21, $C$9, 100%, $E$9)</f>
        <v>13.391400000000001</v>
      </c>
      <c r="R291" s="17">
        <f>CHOOSE(CONTROL!$C$42, 14.0119, 14.0119) * CHOOSE(CONTROL!$C$21, $C$9, 100%, $E$9)</f>
        <v>14.011900000000001</v>
      </c>
      <c r="S291" s="17">
        <f>CHOOSE(CONTROL!$C$42, 12.3484, 12.3484) * CHOOSE(CONTROL!$C$21, $C$9, 100%, $E$9)</f>
        <v>12.3484</v>
      </c>
      <c r="T291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291" s="56">
        <f>(1000*CHOOSE(CONTROL!$C$42, 695, 695)*CHOOSE(CONTROL!$C$42, 0.5599, 0.5599)*CHOOSE(CONTROL!$C$42, 31, 31))/1000000</f>
        <v>12.063045499999998</v>
      </c>
      <c r="V291" s="56">
        <f>(1000*CHOOSE(CONTROL!$C$42, 500, 500)*CHOOSE(CONTROL!$C$42, 0.275, 0.275)*CHOOSE(CONTROL!$C$42, 31, 31))/1000000</f>
        <v>4.2625000000000002</v>
      </c>
      <c r="W291" s="56">
        <f>(1000*CHOOSE(CONTROL!$C$42, 0.0916, 0.0916)*CHOOSE(CONTROL!$C$42, 121.5, 121.5)*CHOOSE(CONTROL!$C$42, 31, 31))/1000000</f>
        <v>0.34501139999999997</v>
      </c>
      <c r="X291" s="56">
        <f>(31*0.2374*100000/1000000)</f>
        <v>0.73594000000000004</v>
      </c>
      <c r="Y291" s="56"/>
      <c r="Z291" s="17"/>
      <c r="AA291" s="55"/>
      <c r="AB291" s="48">
        <f>(B291*122.58+C291*297.941+D291*89.177+E291*140.302+F291*40+G291*60+H291*0+I291*100+J291*300)/(122.58+297.941+89.177+140.302+0+40+60+100+300)</f>
        <v>12.786353293652175</v>
      </c>
      <c r="AC291" s="45">
        <f>(M291*'RAP TEMPLATE-GAS AVAILABILITY'!O290+N291*'RAP TEMPLATE-GAS AVAILABILITY'!P290+O291*'RAP TEMPLATE-GAS AVAILABILITY'!Q290+P291*'RAP TEMPLATE-GAS AVAILABILITY'!R290)/('RAP TEMPLATE-GAS AVAILABILITY'!O290+'RAP TEMPLATE-GAS AVAILABILITY'!P290+'RAP TEMPLATE-GAS AVAILABILITY'!Q290+'RAP TEMPLATE-GAS AVAILABILITY'!R290)</f>
        <v>12.721520143884893</v>
      </c>
    </row>
    <row r="292" spans="1:29" ht="15.75" x14ac:dyDescent="0.25">
      <c r="A292" s="16">
        <v>49400</v>
      </c>
      <c r="B292" s="17">
        <f>CHOOSE(CONTROL!$C$42, 12.707, 12.707) * CHOOSE(CONTROL!$C$21, $C$9, 100%, $E$9)</f>
        <v>12.707000000000001</v>
      </c>
      <c r="C292" s="17">
        <f>CHOOSE(CONTROL!$C$42, 12.7115, 12.7115) * CHOOSE(CONTROL!$C$21, $C$9, 100%, $E$9)</f>
        <v>12.711499999999999</v>
      </c>
      <c r="D292" s="17">
        <f>CHOOSE(CONTROL!$C$42, 12.9745, 12.9745) * CHOOSE(CONTROL!$C$21, $C$9, 100%, $E$9)</f>
        <v>12.974500000000001</v>
      </c>
      <c r="E292" s="17">
        <f>CHOOSE(CONTROL!$C$42, 13.0063, 13.0063) * CHOOSE(CONTROL!$C$21, $C$9, 100%, $E$9)</f>
        <v>13.0063</v>
      </c>
      <c r="F292" s="17">
        <f>CHOOSE(CONTROL!$C$42, 12.7179, 12.7179)*CHOOSE(CONTROL!$C$21, $C$9, 100%, $E$9)</f>
        <v>12.7179</v>
      </c>
      <c r="G292" s="17">
        <f>CHOOSE(CONTROL!$C$42, 12.7341, 12.7341)*CHOOSE(CONTROL!$C$21, $C$9, 100%, $E$9)</f>
        <v>12.7341</v>
      </c>
      <c r="H292" s="17">
        <f>CHOOSE(CONTROL!$C$42, 12.9958, 12.9958) * CHOOSE(CONTROL!$C$21, $C$9, 100%, $E$9)</f>
        <v>12.995799999999999</v>
      </c>
      <c r="I292" s="17">
        <f>CHOOSE(CONTROL!$C$42, 12.7717, 12.7717)* CHOOSE(CONTROL!$C$21, $C$9, 100%, $E$9)</f>
        <v>12.771699999999999</v>
      </c>
      <c r="J292" s="17">
        <f>CHOOSE(CONTROL!$C$42, 12.7105, 12.7105)* CHOOSE(CONTROL!$C$21, $C$9, 100%, $E$9)</f>
        <v>12.7105</v>
      </c>
      <c r="K292" s="52">
        <f>CHOOSE(CONTROL!$C$42, 12.7656, 12.7656) * CHOOSE(CONTROL!$C$21, $C$9, 100%, $E$9)</f>
        <v>12.765599999999999</v>
      </c>
      <c r="L292" s="17">
        <f>CHOOSE(CONTROL!$C$42, 13.5828, 13.5828) * CHOOSE(CONTROL!$C$21, $C$9, 100%, $E$9)</f>
        <v>13.582800000000001</v>
      </c>
      <c r="M292" s="17">
        <f>CHOOSE(CONTROL!$C$42, 12.6032, 12.6032) * CHOOSE(CONTROL!$C$21, $C$9, 100%, $E$9)</f>
        <v>12.603199999999999</v>
      </c>
      <c r="N292" s="17">
        <f>CHOOSE(CONTROL!$C$42, 12.6192, 12.6192) * CHOOSE(CONTROL!$C$21, $C$9, 100%, $E$9)</f>
        <v>12.619199999999999</v>
      </c>
      <c r="O292" s="17">
        <f>CHOOSE(CONTROL!$C$42, 12.8859, 12.8859) * CHOOSE(CONTROL!$C$21, $C$9, 100%, $E$9)</f>
        <v>12.885899999999999</v>
      </c>
      <c r="P292" s="17">
        <f>CHOOSE(CONTROL!$C$42, 12.6635, 12.6635) * CHOOSE(CONTROL!$C$21, $C$9, 100%, $E$9)</f>
        <v>12.663500000000001</v>
      </c>
      <c r="Q292" s="17">
        <f>CHOOSE(CONTROL!$C$42, 13.4806, 13.4806) * CHOOSE(CONTROL!$C$21, $C$9, 100%, $E$9)</f>
        <v>13.480600000000001</v>
      </c>
      <c r="R292" s="17">
        <f>CHOOSE(CONTROL!$C$42, 14.1013, 14.1013) * CHOOSE(CONTROL!$C$21, $C$9, 100%, $E$9)</f>
        <v>14.1013</v>
      </c>
      <c r="S292" s="17">
        <f>CHOOSE(CONTROL!$C$42, 12.3117, 12.3117) * CHOOSE(CONTROL!$C$21, $C$9, 100%, $E$9)</f>
        <v>12.3117</v>
      </c>
      <c r="T292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292" s="56">
        <f>(1000*CHOOSE(CONTROL!$C$42, 695, 695)*CHOOSE(CONTROL!$C$42, 0.5599, 0.5599)*CHOOSE(CONTROL!$C$42, 30, 30))/1000000</f>
        <v>11.673914999999997</v>
      </c>
      <c r="V292" s="56">
        <f>(1000*CHOOSE(CONTROL!$C$42, 500, 500)*CHOOSE(CONTROL!$C$42, 0.275, 0.275)*CHOOSE(CONTROL!$C$42, 30, 30))/1000000</f>
        <v>4.125</v>
      </c>
      <c r="W292" s="56">
        <f>(1000*CHOOSE(CONTROL!$C$42, 0.0916, 0.0916)*CHOOSE(CONTROL!$C$42, 121.5, 121.5)*CHOOSE(CONTROL!$C$42, 30, 30))/1000000</f>
        <v>0.33388200000000001</v>
      </c>
      <c r="X292" s="56">
        <f>(30*0.1790888*145000/1000000)+(30*0.2374*100000/1000000)</f>
        <v>1.4912362799999999</v>
      </c>
      <c r="Y292" s="56"/>
      <c r="Z292" s="17"/>
      <c r="AA292" s="55"/>
      <c r="AB292" s="48">
        <f>(B292*141.293+C292*267.993+D292*115.016+E292*189.698+F292*40+G292*85+H292*0+I292*100+J292*300)/(141.293+267.993+115.016+189.698+0+40+85+100+300)</f>
        <v>12.786910298547214</v>
      </c>
      <c r="AC292" s="45">
        <f>(M292*'RAP TEMPLATE-GAS AVAILABILITY'!O291+N292*'RAP TEMPLATE-GAS AVAILABILITY'!P291+O292*'RAP TEMPLATE-GAS AVAILABILITY'!Q291+P292*'RAP TEMPLATE-GAS AVAILABILITY'!R291)/('RAP TEMPLATE-GAS AVAILABILITY'!O291+'RAP TEMPLATE-GAS AVAILABILITY'!P291+'RAP TEMPLATE-GAS AVAILABILITY'!Q291+'RAP TEMPLATE-GAS AVAILABILITY'!R291)</f>
        <v>12.694878417266187</v>
      </c>
    </row>
    <row r="293" spans="1:29" ht="15.75" x14ac:dyDescent="0.25">
      <c r="A293" s="16">
        <v>49430</v>
      </c>
      <c r="B293" s="17">
        <f>CHOOSE(CONTROL!$C$42, 12.8204, 12.8204) * CHOOSE(CONTROL!$C$21, $C$9, 100%, $E$9)</f>
        <v>12.820399999999999</v>
      </c>
      <c r="C293" s="17">
        <f>CHOOSE(CONTROL!$C$42, 12.8284, 12.8284) * CHOOSE(CONTROL!$C$21, $C$9, 100%, $E$9)</f>
        <v>12.8284</v>
      </c>
      <c r="D293" s="17">
        <f>CHOOSE(CONTROL!$C$42, 13.0884, 13.0884) * CHOOSE(CONTROL!$C$21, $C$9, 100%, $E$9)</f>
        <v>13.0884</v>
      </c>
      <c r="E293" s="17">
        <f>CHOOSE(CONTROL!$C$42, 13.1195, 13.1195) * CHOOSE(CONTROL!$C$21, $C$9, 100%, $E$9)</f>
        <v>13.1195</v>
      </c>
      <c r="F293" s="17">
        <f>CHOOSE(CONTROL!$C$42, 12.8301, 12.8301)*CHOOSE(CONTROL!$C$21, $C$9, 100%, $E$9)</f>
        <v>12.8301</v>
      </c>
      <c r="G293" s="17">
        <f>CHOOSE(CONTROL!$C$42, 12.8466, 12.8466)*CHOOSE(CONTROL!$C$21, $C$9, 100%, $E$9)</f>
        <v>12.8466</v>
      </c>
      <c r="H293" s="17">
        <f>CHOOSE(CONTROL!$C$42, 13.1079, 13.1079) * CHOOSE(CONTROL!$C$21, $C$9, 100%, $E$9)</f>
        <v>13.107900000000001</v>
      </c>
      <c r="I293" s="17">
        <f>CHOOSE(CONTROL!$C$42, 12.8841, 12.8841)* CHOOSE(CONTROL!$C$21, $C$9, 100%, $E$9)</f>
        <v>12.8841</v>
      </c>
      <c r="J293" s="17">
        <f>CHOOSE(CONTROL!$C$42, 12.8227, 12.8227)* CHOOSE(CONTROL!$C$21, $C$9, 100%, $E$9)</f>
        <v>12.822699999999999</v>
      </c>
      <c r="K293" s="52">
        <f>CHOOSE(CONTROL!$C$42, 12.878, 12.878) * CHOOSE(CONTROL!$C$21, $C$9, 100%, $E$9)</f>
        <v>12.878</v>
      </c>
      <c r="L293" s="17">
        <f>CHOOSE(CONTROL!$C$42, 13.6949, 13.6949) * CHOOSE(CONTROL!$C$21, $C$9, 100%, $E$9)</f>
        <v>13.694900000000001</v>
      </c>
      <c r="M293" s="17">
        <f>CHOOSE(CONTROL!$C$42, 12.7144, 12.7144) * CHOOSE(CONTROL!$C$21, $C$9, 100%, $E$9)</f>
        <v>12.714399999999999</v>
      </c>
      <c r="N293" s="17">
        <f>CHOOSE(CONTROL!$C$42, 12.7307, 12.7307) * CHOOSE(CONTROL!$C$21, $C$9, 100%, $E$9)</f>
        <v>12.730700000000001</v>
      </c>
      <c r="O293" s="17">
        <f>CHOOSE(CONTROL!$C$42, 12.997, 12.997) * CHOOSE(CONTROL!$C$21, $C$9, 100%, $E$9)</f>
        <v>12.997</v>
      </c>
      <c r="P293" s="17">
        <f>CHOOSE(CONTROL!$C$42, 12.7749, 12.7749) * CHOOSE(CONTROL!$C$21, $C$9, 100%, $E$9)</f>
        <v>12.774900000000001</v>
      </c>
      <c r="Q293" s="17">
        <f>CHOOSE(CONTROL!$C$42, 13.5917, 13.5917) * CHOOSE(CONTROL!$C$21, $C$9, 100%, $E$9)</f>
        <v>13.591699999999999</v>
      </c>
      <c r="R293" s="17">
        <f>CHOOSE(CONTROL!$C$42, 14.2127, 14.2127) * CHOOSE(CONTROL!$C$21, $C$9, 100%, $E$9)</f>
        <v>14.2127</v>
      </c>
      <c r="S293" s="17">
        <f>CHOOSE(CONTROL!$C$42, 12.4204, 12.4204) * CHOOSE(CONTROL!$C$21, $C$9, 100%, $E$9)</f>
        <v>12.420400000000001</v>
      </c>
      <c r="T293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293" s="56">
        <f>(1000*CHOOSE(CONTROL!$C$42, 695, 695)*CHOOSE(CONTROL!$C$42, 0.5599, 0.5599)*CHOOSE(CONTROL!$C$42, 31, 31))/1000000</f>
        <v>12.063045499999998</v>
      </c>
      <c r="V293" s="56">
        <f>(1000*CHOOSE(CONTROL!$C$42, 500, 500)*CHOOSE(CONTROL!$C$42, 0.275, 0.275)*CHOOSE(CONTROL!$C$42, 31, 31))/1000000</f>
        <v>4.2625000000000002</v>
      </c>
      <c r="W293" s="56">
        <f>(1000*CHOOSE(CONTROL!$C$42, 0.0916, 0.0916)*CHOOSE(CONTROL!$C$42, 121.5, 121.5)*CHOOSE(CONTROL!$C$42, 31, 31))/1000000</f>
        <v>0.34501139999999997</v>
      </c>
      <c r="X293" s="56">
        <f>(31*0.1790888*145000/1000000)+(31*0.2374*100000/1000000)</f>
        <v>1.5409441560000001</v>
      </c>
      <c r="Y293" s="56"/>
      <c r="Z293" s="17"/>
      <c r="AA293" s="55"/>
      <c r="AB293" s="48">
        <f>(B293*194.205+C293*267.466+D293*133.845+E293*153.484+F293*40+G293*85+H293*0+I293*100+J293*300)/(194.205+267.466+133.845+153.484+0+40+85+100+300)</f>
        <v>12.893863306436421</v>
      </c>
      <c r="AC293" s="45">
        <f>(M293*'RAP TEMPLATE-GAS AVAILABILITY'!O292+N293*'RAP TEMPLATE-GAS AVAILABILITY'!P292+O293*'RAP TEMPLATE-GAS AVAILABILITY'!Q292+P293*'RAP TEMPLATE-GAS AVAILABILITY'!R292)/('RAP TEMPLATE-GAS AVAILABILITY'!O292+'RAP TEMPLATE-GAS AVAILABILITY'!P292+'RAP TEMPLATE-GAS AVAILABILITY'!Q292+'RAP TEMPLATE-GAS AVAILABILITY'!R292)</f>
        <v>12.806148201438848</v>
      </c>
    </row>
    <row r="294" spans="1:29" ht="15.75" x14ac:dyDescent="0.25">
      <c r="A294" s="15">
        <v>49461</v>
      </c>
      <c r="B294" s="17">
        <f>CHOOSE(CONTROL!$C$42, 13.1837, 13.1837) * CHOOSE(CONTROL!$C$21, $C$9, 100%, $E$9)</f>
        <v>13.1837</v>
      </c>
      <c r="C294" s="17">
        <f>CHOOSE(CONTROL!$C$42, 13.1917, 13.1917) * CHOOSE(CONTROL!$C$21, $C$9, 100%, $E$9)</f>
        <v>13.191700000000001</v>
      </c>
      <c r="D294" s="17">
        <f>CHOOSE(CONTROL!$C$42, 13.4517, 13.4517) * CHOOSE(CONTROL!$C$21, $C$9, 100%, $E$9)</f>
        <v>13.451700000000001</v>
      </c>
      <c r="E294" s="17">
        <f>CHOOSE(CONTROL!$C$42, 13.4828, 13.4828) * CHOOSE(CONTROL!$C$21, $C$9, 100%, $E$9)</f>
        <v>13.482799999999999</v>
      </c>
      <c r="F294" s="17">
        <f>CHOOSE(CONTROL!$C$42, 13.1937, 13.1937)*CHOOSE(CONTROL!$C$21, $C$9, 100%, $E$9)</f>
        <v>13.1937</v>
      </c>
      <c r="G294" s="17">
        <f>CHOOSE(CONTROL!$C$42, 13.2102, 13.2102)*CHOOSE(CONTROL!$C$21, $C$9, 100%, $E$9)</f>
        <v>13.2102</v>
      </c>
      <c r="H294" s="17">
        <f>CHOOSE(CONTROL!$C$42, 13.4712, 13.4712) * CHOOSE(CONTROL!$C$21, $C$9, 100%, $E$9)</f>
        <v>13.4712</v>
      </c>
      <c r="I294" s="17">
        <f>CHOOSE(CONTROL!$C$42, 13.2485, 13.2485)* CHOOSE(CONTROL!$C$21, $C$9, 100%, $E$9)</f>
        <v>13.2485</v>
      </c>
      <c r="J294" s="17">
        <f>CHOOSE(CONTROL!$C$42, 13.1863, 13.1863)* CHOOSE(CONTROL!$C$21, $C$9, 100%, $E$9)</f>
        <v>13.186299999999999</v>
      </c>
      <c r="K294" s="52">
        <f>CHOOSE(CONTROL!$C$42, 13.2425, 13.2425) * CHOOSE(CONTROL!$C$21, $C$9, 100%, $E$9)</f>
        <v>13.2425</v>
      </c>
      <c r="L294" s="17">
        <f>CHOOSE(CONTROL!$C$42, 14.0582, 14.0582) * CHOOSE(CONTROL!$C$21, $C$9, 100%, $E$9)</f>
        <v>14.058199999999999</v>
      </c>
      <c r="M294" s="17">
        <f>CHOOSE(CONTROL!$C$42, 13.0747, 13.0747) * CHOOSE(CONTROL!$C$21, $C$9, 100%, $E$9)</f>
        <v>13.0747</v>
      </c>
      <c r="N294" s="17">
        <f>CHOOSE(CONTROL!$C$42, 13.0911, 13.0911) * CHOOSE(CONTROL!$C$21, $C$9, 100%, $E$9)</f>
        <v>13.091100000000001</v>
      </c>
      <c r="O294" s="17">
        <f>CHOOSE(CONTROL!$C$42, 13.357, 13.357) * CHOOSE(CONTROL!$C$21, $C$9, 100%, $E$9)</f>
        <v>13.356999999999999</v>
      </c>
      <c r="P294" s="17">
        <f>CHOOSE(CONTROL!$C$42, 13.136, 13.136) * CHOOSE(CONTROL!$C$21, $C$9, 100%, $E$9)</f>
        <v>13.135999999999999</v>
      </c>
      <c r="Q294" s="17">
        <f>CHOOSE(CONTROL!$C$42, 13.9517, 13.9517) * CHOOSE(CONTROL!$C$21, $C$9, 100%, $E$9)</f>
        <v>13.951700000000001</v>
      </c>
      <c r="R294" s="17">
        <f>CHOOSE(CONTROL!$C$42, 14.5736, 14.5736) * CHOOSE(CONTROL!$C$21, $C$9, 100%, $E$9)</f>
        <v>14.573600000000001</v>
      </c>
      <c r="S294" s="17">
        <f>CHOOSE(CONTROL!$C$42, 12.7727, 12.7727) * CHOOSE(CONTROL!$C$21, $C$9, 100%, $E$9)</f>
        <v>12.7727</v>
      </c>
      <c r="T294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294" s="56">
        <f>(1000*CHOOSE(CONTROL!$C$42, 695, 695)*CHOOSE(CONTROL!$C$42, 0.5599, 0.5599)*CHOOSE(CONTROL!$C$42, 30, 30))/1000000</f>
        <v>11.673914999999997</v>
      </c>
      <c r="V294" s="56">
        <f>(1000*CHOOSE(CONTROL!$C$42, 500, 500)*CHOOSE(CONTROL!$C$42, 0.275, 0.275)*CHOOSE(CONTROL!$C$42, 30, 30))/1000000</f>
        <v>4.125</v>
      </c>
      <c r="W294" s="56">
        <f>(1000*CHOOSE(CONTROL!$C$42, 0.0916, 0.0916)*CHOOSE(CONTROL!$C$42, 121.5, 121.5)*CHOOSE(CONTROL!$C$42, 30, 30))/1000000</f>
        <v>0.33388200000000001</v>
      </c>
      <c r="X294" s="56">
        <f>(30*0.1790888*145000/1000000)+(30*0.2374*100000/1000000)</f>
        <v>1.4912362799999999</v>
      </c>
      <c r="Y294" s="56"/>
      <c r="Z294" s="17"/>
      <c r="AA294" s="55"/>
      <c r="AB294" s="48">
        <f>(B294*194.205+C294*267.466+D294*133.845+E294*153.484+F294*40+G294*85+H294*0+I294*100+J294*300)/(194.205+267.466+133.845+153.484+0+40+85+100+300)</f>
        <v>13.257349727158557</v>
      </c>
      <c r="AC294" s="45">
        <f>(M294*'RAP TEMPLATE-GAS AVAILABILITY'!O293+N294*'RAP TEMPLATE-GAS AVAILABILITY'!P293+O294*'RAP TEMPLATE-GAS AVAILABILITY'!Q293+P294*'RAP TEMPLATE-GAS AVAILABILITY'!R293)/('RAP TEMPLATE-GAS AVAILABILITY'!O293+'RAP TEMPLATE-GAS AVAILABILITY'!P293+'RAP TEMPLATE-GAS AVAILABILITY'!Q293+'RAP TEMPLATE-GAS AVAILABILITY'!R293)</f>
        <v>13.16650215827338</v>
      </c>
    </row>
    <row r="295" spans="1:29" ht="15.75" x14ac:dyDescent="0.25">
      <c r="A295" s="15">
        <v>49491</v>
      </c>
      <c r="B295" s="17">
        <f>CHOOSE(CONTROL!$C$42, 12.9311, 12.9311) * CHOOSE(CONTROL!$C$21, $C$9, 100%, $E$9)</f>
        <v>12.931100000000001</v>
      </c>
      <c r="C295" s="17">
        <f>CHOOSE(CONTROL!$C$42, 12.939, 12.939) * CHOOSE(CONTROL!$C$21, $C$9, 100%, $E$9)</f>
        <v>12.939</v>
      </c>
      <c r="D295" s="17">
        <f>CHOOSE(CONTROL!$C$42, 13.199, 13.199) * CHOOSE(CONTROL!$C$21, $C$9, 100%, $E$9)</f>
        <v>13.199</v>
      </c>
      <c r="E295" s="17">
        <f>CHOOSE(CONTROL!$C$42, 13.2302, 13.2302) * CHOOSE(CONTROL!$C$21, $C$9, 100%, $E$9)</f>
        <v>13.2302</v>
      </c>
      <c r="F295" s="17">
        <f>CHOOSE(CONTROL!$C$42, 12.9414, 12.9414)*CHOOSE(CONTROL!$C$21, $C$9, 100%, $E$9)</f>
        <v>12.9414</v>
      </c>
      <c r="G295" s="17">
        <f>CHOOSE(CONTROL!$C$42, 12.9581, 12.9581)*CHOOSE(CONTROL!$C$21, $C$9, 100%, $E$9)</f>
        <v>12.9581</v>
      </c>
      <c r="H295" s="17">
        <f>CHOOSE(CONTROL!$C$42, 13.2185, 13.2185) * CHOOSE(CONTROL!$C$21, $C$9, 100%, $E$9)</f>
        <v>13.218500000000001</v>
      </c>
      <c r="I295" s="17">
        <f>CHOOSE(CONTROL!$C$42, 12.995, 12.995)* CHOOSE(CONTROL!$C$21, $C$9, 100%, $E$9)</f>
        <v>12.994999999999999</v>
      </c>
      <c r="J295" s="17">
        <f>CHOOSE(CONTROL!$C$42, 12.934, 12.934)* CHOOSE(CONTROL!$C$21, $C$9, 100%, $E$9)</f>
        <v>12.933999999999999</v>
      </c>
      <c r="K295" s="52">
        <f>CHOOSE(CONTROL!$C$42, 12.989, 12.989) * CHOOSE(CONTROL!$C$21, $C$9, 100%, $E$9)</f>
        <v>12.989000000000001</v>
      </c>
      <c r="L295" s="17">
        <f>CHOOSE(CONTROL!$C$42, 13.8055, 13.8055) * CHOOSE(CONTROL!$C$21, $C$9, 100%, $E$9)</f>
        <v>13.8055</v>
      </c>
      <c r="M295" s="17">
        <f>CHOOSE(CONTROL!$C$42, 12.8247, 12.8247) * CHOOSE(CONTROL!$C$21, $C$9, 100%, $E$9)</f>
        <v>12.8247</v>
      </c>
      <c r="N295" s="17">
        <f>CHOOSE(CONTROL!$C$42, 12.8412, 12.8412) * CHOOSE(CONTROL!$C$21, $C$9, 100%, $E$9)</f>
        <v>12.841200000000001</v>
      </c>
      <c r="O295" s="17">
        <f>CHOOSE(CONTROL!$C$42, 13.1066, 13.1066) * CHOOSE(CONTROL!$C$21, $C$9, 100%, $E$9)</f>
        <v>13.1066</v>
      </c>
      <c r="P295" s="17">
        <f>CHOOSE(CONTROL!$C$42, 12.8849, 12.8849) * CHOOSE(CONTROL!$C$21, $C$9, 100%, $E$9)</f>
        <v>12.8849</v>
      </c>
      <c r="Q295" s="17">
        <f>CHOOSE(CONTROL!$C$42, 13.7013, 13.7013) * CHOOSE(CONTROL!$C$21, $C$9, 100%, $E$9)</f>
        <v>13.7013</v>
      </c>
      <c r="R295" s="17">
        <f>CHOOSE(CONTROL!$C$42, 14.3226, 14.3226) * CHOOSE(CONTROL!$C$21, $C$9, 100%, $E$9)</f>
        <v>14.3226</v>
      </c>
      <c r="S295" s="17">
        <f>CHOOSE(CONTROL!$C$42, 12.5277, 12.5277) * CHOOSE(CONTROL!$C$21, $C$9, 100%, $E$9)</f>
        <v>12.527699999999999</v>
      </c>
      <c r="T295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295" s="56">
        <f>(1000*CHOOSE(CONTROL!$C$42, 695, 695)*CHOOSE(CONTROL!$C$42, 0.5599, 0.5599)*CHOOSE(CONTROL!$C$42, 31, 31))/1000000</f>
        <v>12.063045499999998</v>
      </c>
      <c r="V295" s="56">
        <f>(1000*CHOOSE(CONTROL!$C$42, 500, 500)*CHOOSE(CONTROL!$C$42, 0.275, 0.275)*CHOOSE(CONTROL!$C$42, 31, 31))/1000000</f>
        <v>4.2625000000000002</v>
      </c>
      <c r="W295" s="56">
        <f>(1000*CHOOSE(CONTROL!$C$42, 0.0916, 0.0916)*CHOOSE(CONTROL!$C$42, 121.5, 121.5)*CHOOSE(CONTROL!$C$42, 31, 31))/1000000</f>
        <v>0.34501139999999997</v>
      </c>
      <c r="X295" s="56">
        <f>(31*0.1790888*145000/1000000)+(31*0.2374*100000/1000000)</f>
        <v>1.5409441560000001</v>
      </c>
      <c r="Y295" s="56"/>
      <c r="Z295" s="17"/>
      <c r="AA295" s="55"/>
      <c r="AB295" s="48">
        <f>(B295*194.205+C295*267.466+D295*133.845+E295*153.484+F295*40+G295*85+H295*0+I295*100+J295*300)/(194.205+267.466+133.845+153.484+0+40+85+100+300)</f>
        <v>13.004761005729986</v>
      </c>
      <c r="AC295" s="45">
        <f>(M295*'RAP TEMPLATE-GAS AVAILABILITY'!O294+N295*'RAP TEMPLATE-GAS AVAILABILITY'!P294+O295*'RAP TEMPLATE-GAS AVAILABILITY'!Q294+P295*'RAP TEMPLATE-GAS AVAILABILITY'!R294)/('RAP TEMPLATE-GAS AVAILABILITY'!O294+'RAP TEMPLATE-GAS AVAILABILITY'!P294+'RAP TEMPLATE-GAS AVAILABILITY'!Q294+'RAP TEMPLATE-GAS AVAILABILITY'!R294)</f>
        <v>12.916254676258994</v>
      </c>
    </row>
    <row r="296" spans="1:29" ht="15.75" x14ac:dyDescent="0.25">
      <c r="A296" s="15">
        <v>49522</v>
      </c>
      <c r="B296" s="17">
        <f>CHOOSE(CONTROL!$C$42, 12.293, 12.293) * CHOOSE(CONTROL!$C$21, $C$9, 100%, $E$9)</f>
        <v>12.292999999999999</v>
      </c>
      <c r="C296" s="17">
        <f>CHOOSE(CONTROL!$C$42, 12.3009, 12.3009) * CHOOSE(CONTROL!$C$21, $C$9, 100%, $E$9)</f>
        <v>12.3009</v>
      </c>
      <c r="D296" s="17">
        <f>CHOOSE(CONTROL!$C$42, 12.5609, 12.5609) * CHOOSE(CONTROL!$C$21, $C$9, 100%, $E$9)</f>
        <v>12.5609</v>
      </c>
      <c r="E296" s="17">
        <f>CHOOSE(CONTROL!$C$42, 12.5921, 12.5921) * CHOOSE(CONTROL!$C$21, $C$9, 100%, $E$9)</f>
        <v>12.5921</v>
      </c>
      <c r="F296" s="17">
        <f>CHOOSE(CONTROL!$C$42, 12.3036, 12.3036)*CHOOSE(CONTROL!$C$21, $C$9, 100%, $E$9)</f>
        <v>12.303599999999999</v>
      </c>
      <c r="G296" s="17">
        <f>CHOOSE(CONTROL!$C$42, 12.3203, 12.3203)*CHOOSE(CONTROL!$C$21, $C$9, 100%, $E$9)</f>
        <v>12.3203</v>
      </c>
      <c r="H296" s="17">
        <f>CHOOSE(CONTROL!$C$42, 12.5804, 12.5804) * CHOOSE(CONTROL!$C$21, $C$9, 100%, $E$9)</f>
        <v>12.580399999999999</v>
      </c>
      <c r="I296" s="17">
        <f>CHOOSE(CONTROL!$C$42, 12.355, 12.355)* CHOOSE(CONTROL!$C$21, $C$9, 100%, $E$9)</f>
        <v>12.355</v>
      </c>
      <c r="J296" s="17">
        <f>CHOOSE(CONTROL!$C$42, 12.2962, 12.2962)* CHOOSE(CONTROL!$C$21, $C$9, 100%, $E$9)</f>
        <v>12.296200000000001</v>
      </c>
      <c r="K296" s="52">
        <f>CHOOSE(CONTROL!$C$42, 12.3489, 12.3489) * CHOOSE(CONTROL!$C$21, $C$9, 100%, $E$9)</f>
        <v>12.3489</v>
      </c>
      <c r="L296" s="17">
        <f>CHOOSE(CONTROL!$C$42, 13.1674, 13.1674) * CHOOSE(CONTROL!$C$21, $C$9, 100%, $E$9)</f>
        <v>13.167400000000001</v>
      </c>
      <c r="M296" s="17">
        <f>CHOOSE(CONTROL!$C$42, 12.1926, 12.1926) * CHOOSE(CONTROL!$C$21, $C$9, 100%, $E$9)</f>
        <v>12.192600000000001</v>
      </c>
      <c r="N296" s="17">
        <f>CHOOSE(CONTROL!$C$42, 12.2092, 12.2092) * CHOOSE(CONTROL!$C$21, $C$9, 100%, $E$9)</f>
        <v>12.209199999999999</v>
      </c>
      <c r="O296" s="17">
        <f>CHOOSE(CONTROL!$C$42, 12.4742, 12.4742) * CHOOSE(CONTROL!$C$21, $C$9, 100%, $E$9)</f>
        <v>12.4742</v>
      </c>
      <c r="P296" s="17">
        <f>CHOOSE(CONTROL!$C$42, 12.2506, 12.2506) * CHOOSE(CONTROL!$C$21, $C$9, 100%, $E$9)</f>
        <v>12.2506</v>
      </c>
      <c r="Q296" s="17">
        <f>CHOOSE(CONTROL!$C$42, 13.0689, 13.0689) * CHOOSE(CONTROL!$C$21, $C$9, 100%, $E$9)</f>
        <v>13.068899999999999</v>
      </c>
      <c r="R296" s="17">
        <f>CHOOSE(CONTROL!$C$42, 13.6886, 13.6886) * CHOOSE(CONTROL!$C$21, $C$9, 100%, $E$9)</f>
        <v>13.688599999999999</v>
      </c>
      <c r="S296" s="17">
        <f>CHOOSE(CONTROL!$C$42, 11.9089, 11.9089) * CHOOSE(CONTROL!$C$21, $C$9, 100%, $E$9)</f>
        <v>11.908899999999999</v>
      </c>
      <c r="T296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296" s="56">
        <f>(1000*CHOOSE(CONTROL!$C$42, 695, 695)*CHOOSE(CONTROL!$C$42, 0.5599, 0.5599)*CHOOSE(CONTROL!$C$42, 31, 31))/1000000</f>
        <v>12.063045499999998</v>
      </c>
      <c r="V296" s="56">
        <f>(1000*CHOOSE(CONTROL!$C$42, 500, 500)*CHOOSE(CONTROL!$C$42, 0.275, 0.275)*CHOOSE(CONTROL!$C$42, 31, 31))/1000000</f>
        <v>4.2625000000000002</v>
      </c>
      <c r="W296" s="56">
        <f>(1000*CHOOSE(CONTROL!$C$42, 0.0916, 0.0916)*CHOOSE(CONTROL!$C$42, 121.5, 121.5)*CHOOSE(CONTROL!$C$42, 31, 31))/1000000</f>
        <v>0.34501139999999997</v>
      </c>
      <c r="X296" s="56">
        <f>(31*0.1790888*145000/1000000)+(31*0.2374*100000/1000000)</f>
        <v>1.5409441560000001</v>
      </c>
      <c r="Y296" s="56"/>
      <c r="Z296" s="17"/>
      <c r="AA296" s="55"/>
      <c r="AB296" s="48">
        <f>(B296*194.205+C296*267.466+D296*133.845+E296*153.484+F296*40+G296*85+H296*0+I296*100+J296*300)/(194.205+267.466+133.845+153.484+0+40+85+100+300)</f>
        <v>12.366611947645213</v>
      </c>
      <c r="AC296" s="45">
        <f>(M296*'RAP TEMPLATE-GAS AVAILABILITY'!O295+N296*'RAP TEMPLATE-GAS AVAILABILITY'!P295+O296*'RAP TEMPLATE-GAS AVAILABILITY'!Q295+P296*'RAP TEMPLATE-GAS AVAILABILITY'!R295)/('RAP TEMPLATE-GAS AVAILABILITY'!O295+'RAP TEMPLATE-GAS AVAILABILITY'!P295+'RAP TEMPLATE-GAS AVAILABILITY'!Q295+'RAP TEMPLATE-GAS AVAILABILITY'!R295)</f>
        <v>12.283776978417267</v>
      </c>
    </row>
    <row r="297" spans="1:29" ht="15.75" x14ac:dyDescent="0.25">
      <c r="A297" s="15">
        <v>49553</v>
      </c>
      <c r="B297" s="17">
        <f>CHOOSE(CONTROL!$C$42, 11.5131, 11.5131) * CHOOSE(CONTROL!$C$21, $C$9, 100%, $E$9)</f>
        <v>11.5131</v>
      </c>
      <c r="C297" s="17">
        <f>CHOOSE(CONTROL!$C$42, 11.521, 11.521) * CHOOSE(CONTROL!$C$21, $C$9, 100%, $E$9)</f>
        <v>11.521000000000001</v>
      </c>
      <c r="D297" s="17">
        <f>CHOOSE(CONTROL!$C$42, 11.781, 11.781) * CHOOSE(CONTROL!$C$21, $C$9, 100%, $E$9)</f>
        <v>11.781000000000001</v>
      </c>
      <c r="E297" s="17">
        <f>CHOOSE(CONTROL!$C$42, 11.8121, 11.8121) * CHOOSE(CONTROL!$C$21, $C$9, 100%, $E$9)</f>
        <v>11.812099999999999</v>
      </c>
      <c r="F297" s="17">
        <f>CHOOSE(CONTROL!$C$42, 11.5237, 11.5237)*CHOOSE(CONTROL!$C$21, $C$9, 100%, $E$9)</f>
        <v>11.5237</v>
      </c>
      <c r="G297" s="17">
        <f>CHOOSE(CONTROL!$C$42, 11.5404, 11.5404)*CHOOSE(CONTROL!$C$21, $C$9, 100%, $E$9)</f>
        <v>11.5404</v>
      </c>
      <c r="H297" s="17">
        <f>CHOOSE(CONTROL!$C$42, 11.8005, 11.8005) * CHOOSE(CONTROL!$C$21, $C$9, 100%, $E$9)</f>
        <v>11.8005</v>
      </c>
      <c r="I297" s="17">
        <f>CHOOSE(CONTROL!$C$42, 11.5726, 11.5726)* CHOOSE(CONTROL!$C$21, $C$9, 100%, $E$9)</f>
        <v>11.5726</v>
      </c>
      <c r="J297" s="17">
        <f>CHOOSE(CONTROL!$C$42, 11.5163, 11.5163)* CHOOSE(CONTROL!$C$21, $C$9, 100%, $E$9)</f>
        <v>11.516299999999999</v>
      </c>
      <c r="K297" s="52">
        <f>CHOOSE(CONTROL!$C$42, 11.5666, 11.5666) * CHOOSE(CONTROL!$C$21, $C$9, 100%, $E$9)</f>
        <v>11.566599999999999</v>
      </c>
      <c r="L297" s="17">
        <f>CHOOSE(CONTROL!$C$42, 12.3875, 12.3875) * CHOOSE(CONTROL!$C$21, $C$9, 100%, $E$9)</f>
        <v>12.387499999999999</v>
      </c>
      <c r="M297" s="17">
        <f>CHOOSE(CONTROL!$C$42, 11.4197, 11.4197) * CHOOSE(CONTROL!$C$21, $C$9, 100%, $E$9)</f>
        <v>11.419700000000001</v>
      </c>
      <c r="N297" s="17">
        <f>CHOOSE(CONTROL!$C$42, 11.4363, 11.4363) * CHOOSE(CONTROL!$C$21, $C$9, 100%, $E$9)</f>
        <v>11.436299999999999</v>
      </c>
      <c r="O297" s="17">
        <f>CHOOSE(CONTROL!$C$42, 11.7014, 11.7014) * CHOOSE(CONTROL!$C$21, $C$9, 100%, $E$9)</f>
        <v>11.7014</v>
      </c>
      <c r="P297" s="17">
        <f>CHOOSE(CONTROL!$C$42, 11.4753, 11.4753) * CHOOSE(CONTROL!$C$21, $C$9, 100%, $E$9)</f>
        <v>11.475300000000001</v>
      </c>
      <c r="Q297" s="17">
        <f>CHOOSE(CONTROL!$C$42, 12.2961, 12.2961) * CHOOSE(CONTROL!$C$21, $C$9, 100%, $E$9)</f>
        <v>12.296099999999999</v>
      </c>
      <c r="R297" s="17">
        <f>CHOOSE(CONTROL!$C$42, 12.9138, 12.9138) * CHOOSE(CONTROL!$C$21, $C$9, 100%, $E$9)</f>
        <v>12.9138</v>
      </c>
      <c r="S297" s="17">
        <f>CHOOSE(CONTROL!$C$42, 11.1526, 11.1526) * CHOOSE(CONTROL!$C$21, $C$9, 100%, $E$9)</f>
        <v>11.1526</v>
      </c>
      <c r="T297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297" s="56">
        <f>(1000*CHOOSE(CONTROL!$C$42, 695, 695)*CHOOSE(CONTROL!$C$42, 0.5599, 0.5599)*CHOOSE(CONTROL!$C$42, 30, 30))/1000000</f>
        <v>11.673914999999997</v>
      </c>
      <c r="V297" s="56">
        <f>(1000*CHOOSE(CONTROL!$C$42, 500, 500)*CHOOSE(CONTROL!$C$42, 0.275, 0.275)*CHOOSE(CONTROL!$C$42, 30, 30))/1000000</f>
        <v>4.125</v>
      </c>
      <c r="W297" s="56">
        <f>(1000*CHOOSE(CONTROL!$C$42, 0.0916, 0.0916)*CHOOSE(CONTROL!$C$42, 121.5, 121.5)*CHOOSE(CONTROL!$C$42, 30, 30))/1000000</f>
        <v>0.33388200000000001</v>
      </c>
      <c r="X297" s="56">
        <f>(30*0.1790888*145000/1000000)+(30*0.2374*100000/1000000)</f>
        <v>1.4912362799999999</v>
      </c>
      <c r="Y297" s="56"/>
      <c r="Z297" s="17"/>
      <c r="AA297" s="55"/>
      <c r="AB297" s="48">
        <f>(B297*194.205+C297*267.466+D297*133.845+E297*153.484+F297*40+G297*85+H297*0+I297*100+J297*300)/(194.205+267.466+133.845+153.484+0+40+85+100+300)</f>
        <v>11.586503667896389</v>
      </c>
      <c r="AC297" s="45">
        <f>(M297*'RAP TEMPLATE-GAS AVAILABILITY'!O296+N297*'RAP TEMPLATE-GAS AVAILABILITY'!P296+O297*'RAP TEMPLATE-GAS AVAILABILITY'!Q296+P297*'RAP TEMPLATE-GAS AVAILABILITY'!R296)/('RAP TEMPLATE-GAS AVAILABILITY'!O296+'RAP TEMPLATE-GAS AVAILABILITY'!P296+'RAP TEMPLATE-GAS AVAILABILITY'!Q296+'RAP TEMPLATE-GAS AVAILABILITY'!R296)</f>
        <v>11.510559712230215</v>
      </c>
    </row>
    <row r="298" spans="1:29" ht="15.75" x14ac:dyDescent="0.25">
      <c r="A298" s="15">
        <v>49583</v>
      </c>
      <c r="B298" s="17">
        <f>CHOOSE(CONTROL!$C$42, 11.2778, 11.2778) * CHOOSE(CONTROL!$C$21, $C$9, 100%, $E$9)</f>
        <v>11.277799999999999</v>
      </c>
      <c r="C298" s="17">
        <f>CHOOSE(CONTROL!$C$42, 11.2832, 11.2832) * CHOOSE(CONTROL!$C$21, $C$9, 100%, $E$9)</f>
        <v>11.283200000000001</v>
      </c>
      <c r="D298" s="17">
        <f>CHOOSE(CONTROL!$C$42, 11.548, 11.548) * CHOOSE(CONTROL!$C$21, $C$9, 100%, $E$9)</f>
        <v>11.548</v>
      </c>
      <c r="E298" s="17">
        <f>CHOOSE(CONTROL!$C$42, 11.5768, 11.5768) * CHOOSE(CONTROL!$C$21, $C$9, 100%, $E$9)</f>
        <v>11.5768</v>
      </c>
      <c r="F298" s="17">
        <f>CHOOSE(CONTROL!$C$42, 11.2907, 11.2907)*CHOOSE(CONTROL!$C$21, $C$9, 100%, $E$9)</f>
        <v>11.290699999999999</v>
      </c>
      <c r="G298" s="17">
        <f>CHOOSE(CONTROL!$C$42, 11.3072, 11.3072)*CHOOSE(CONTROL!$C$21, $C$9, 100%, $E$9)</f>
        <v>11.3072</v>
      </c>
      <c r="H298" s="17">
        <f>CHOOSE(CONTROL!$C$42, 11.567, 11.567) * CHOOSE(CONTROL!$C$21, $C$9, 100%, $E$9)</f>
        <v>11.567</v>
      </c>
      <c r="I298" s="17">
        <f>CHOOSE(CONTROL!$C$42, 11.3384, 11.3384)* CHOOSE(CONTROL!$C$21, $C$9, 100%, $E$9)</f>
        <v>11.3384</v>
      </c>
      <c r="J298" s="17">
        <f>CHOOSE(CONTROL!$C$42, 11.2833, 11.2833)* CHOOSE(CONTROL!$C$21, $C$9, 100%, $E$9)</f>
        <v>11.283300000000001</v>
      </c>
      <c r="K298" s="52">
        <f>CHOOSE(CONTROL!$C$42, 11.3324, 11.3324) * CHOOSE(CONTROL!$C$21, $C$9, 100%, $E$9)</f>
        <v>11.3324</v>
      </c>
      <c r="L298" s="17">
        <f>CHOOSE(CONTROL!$C$42, 12.154, 12.154) * CHOOSE(CONTROL!$C$21, $C$9, 100%, $E$9)</f>
        <v>12.154</v>
      </c>
      <c r="M298" s="17">
        <f>CHOOSE(CONTROL!$C$42, 11.1888, 11.1888) * CHOOSE(CONTROL!$C$21, $C$9, 100%, $E$9)</f>
        <v>11.188800000000001</v>
      </c>
      <c r="N298" s="17">
        <f>CHOOSE(CONTROL!$C$42, 11.2052, 11.2052) * CHOOSE(CONTROL!$C$21, $C$9, 100%, $E$9)</f>
        <v>11.2052</v>
      </c>
      <c r="O298" s="17">
        <f>CHOOSE(CONTROL!$C$42, 11.4699, 11.4699) * CHOOSE(CONTROL!$C$21, $C$9, 100%, $E$9)</f>
        <v>11.469900000000001</v>
      </c>
      <c r="P298" s="17">
        <f>CHOOSE(CONTROL!$C$42, 11.2432, 11.2432) * CHOOSE(CONTROL!$C$21, $C$9, 100%, $E$9)</f>
        <v>11.2432</v>
      </c>
      <c r="Q298" s="17">
        <f>CHOOSE(CONTROL!$C$42, 12.0646, 12.0646) * CHOOSE(CONTROL!$C$21, $C$9, 100%, $E$9)</f>
        <v>12.0646</v>
      </c>
      <c r="R298" s="17">
        <f>CHOOSE(CONTROL!$C$42, 12.6818, 12.6818) * CHOOSE(CONTROL!$C$21, $C$9, 100%, $E$9)</f>
        <v>12.681800000000001</v>
      </c>
      <c r="S298" s="17">
        <f>CHOOSE(CONTROL!$C$42, 10.9262, 10.9262) * CHOOSE(CONTROL!$C$21, $C$9, 100%, $E$9)</f>
        <v>10.9262</v>
      </c>
      <c r="T298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298" s="56">
        <f>(1000*CHOOSE(CONTROL!$C$42, 695, 695)*CHOOSE(CONTROL!$C$42, 0.5599, 0.5599)*CHOOSE(CONTROL!$C$42, 31, 31))/1000000</f>
        <v>12.063045499999998</v>
      </c>
      <c r="V298" s="56">
        <f>(1000*CHOOSE(CONTROL!$C$42, 500, 500)*CHOOSE(CONTROL!$C$42, 0.275, 0.275)*CHOOSE(CONTROL!$C$42, 31, 31))/1000000</f>
        <v>4.2625000000000002</v>
      </c>
      <c r="W298" s="56">
        <f>(1000*CHOOSE(CONTROL!$C$42, 0.0916, 0.0916)*CHOOSE(CONTROL!$C$42, 121.5, 121.5)*CHOOSE(CONTROL!$C$42, 31, 31))/1000000</f>
        <v>0.34501139999999997</v>
      </c>
      <c r="X298" s="56">
        <f>(31*0.1790888*145000/1000000)+(31*0.2374*100000/1000000)</f>
        <v>1.5409441560000001</v>
      </c>
      <c r="Y298" s="56"/>
      <c r="Z298" s="17"/>
      <c r="AA298" s="55"/>
      <c r="AB298" s="48">
        <f>(B298*131.881+C298*277.167+D298*79.08+E298*225.872+F298*40+G298*85+H298*0+I298*100+J298*300)/(131.881+277.167+79.08+225.872+0+40+85+100+300)</f>
        <v>11.359418116061338</v>
      </c>
      <c r="AC298" s="45">
        <f>(M298*'RAP TEMPLATE-GAS AVAILABILITY'!O297+N298*'RAP TEMPLATE-GAS AVAILABILITY'!P297+O298*'RAP TEMPLATE-GAS AVAILABILITY'!Q297+P298*'RAP TEMPLATE-GAS AVAILABILITY'!R297)/('RAP TEMPLATE-GAS AVAILABILITY'!O297+'RAP TEMPLATE-GAS AVAILABILITY'!P297+'RAP TEMPLATE-GAS AVAILABILITY'!Q297+'RAP TEMPLATE-GAS AVAILABILITY'!R297)</f>
        <v>11.279272661870504</v>
      </c>
    </row>
    <row r="299" spans="1:29" ht="15.75" x14ac:dyDescent="0.25">
      <c r="A299" s="15">
        <v>49614</v>
      </c>
      <c r="B299" s="17">
        <f>CHOOSE(CONTROL!$C$42, 11.5742, 11.5742) * CHOOSE(CONTROL!$C$21, $C$9, 100%, $E$9)</f>
        <v>11.574199999999999</v>
      </c>
      <c r="C299" s="17">
        <f>CHOOSE(CONTROL!$C$42, 11.5793, 11.5793) * CHOOSE(CONTROL!$C$21, $C$9, 100%, $E$9)</f>
        <v>11.5793</v>
      </c>
      <c r="D299" s="17">
        <f>CHOOSE(CONTROL!$C$42, 11.72, 11.72) * CHOOSE(CONTROL!$C$21, $C$9, 100%, $E$9)</f>
        <v>11.72</v>
      </c>
      <c r="E299" s="17">
        <f>CHOOSE(CONTROL!$C$42, 11.7537, 11.7537) * CHOOSE(CONTROL!$C$21, $C$9, 100%, $E$9)</f>
        <v>11.7537</v>
      </c>
      <c r="F299" s="17">
        <f>CHOOSE(CONTROL!$C$42, 11.5875, 11.5875)*CHOOSE(CONTROL!$C$21, $C$9, 100%, $E$9)</f>
        <v>11.5875</v>
      </c>
      <c r="G299" s="17">
        <f>CHOOSE(CONTROL!$C$42, 11.6044, 11.6044)*CHOOSE(CONTROL!$C$21, $C$9, 100%, $E$9)</f>
        <v>11.6044</v>
      </c>
      <c r="H299" s="17">
        <f>CHOOSE(CONTROL!$C$42, 11.7426, 11.7426) * CHOOSE(CONTROL!$C$21, $C$9, 100%, $E$9)</f>
        <v>11.742599999999999</v>
      </c>
      <c r="I299" s="17">
        <f>CHOOSE(CONTROL!$C$42, 11.6325, 11.6325)* CHOOSE(CONTROL!$C$21, $C$9, 100%, $E$9)</f>
        <v>11.6325</v>
      </c>
      <c r="J299" s="17">
        <f>CHOOSE(CONTROL!$C$42, 11.5801, 11.5801)* CHOOSE(CONTROL!$C$21, $C$9, 100%, $E$9)</f>
        <v>11.5801</v>
      </c>
      <c r="K299" s="52">
        <f>CHOOSE(CONTROL!$C$42, 11.6265, 11.6265) * CHOOSE(CONTROL!$C$21, $C$9, 100%, $E$9)</f>
        <v>11.6265</v>
      </c>
      <c r="L299" s="17">
        <f>CHOOSE(CONTROL!$C$42, 12.3296, 12.3296) * CHOOSE(CONTROL!$C$21, $C$9, 100%, $E$9)</f>
        <v>12.329599999999999</v>
      </c>
      <c r="M299" s="17">
        <f>CHOOSE(CONTROL!$C$42, 11.483, 11.483) * CHOOSE(CONTROL!$C$21, $C$9, 100%, $E$9)</f>
        <v>11.483000000000001</v>
      </c>
      <c r="N299" s="17">
        <f>CHOOSE(CONTROL!$C$42, 11.4997, 11.4997) * CHOOSE(CONTROL!$C$21, $C$9, 100%, $E$9)</f>
        <v>11.499700000000001</v>
      </c>
      <c r="O299" s="17">
        <f>CHOOSE(CONTROL!$C$42, 11.644, 11.644) * CHOOSE(CONTROL!$C$21, $C$9, 100%, $E$9)</f>
        <v>11.644</v>
      </c>
      <c r="P299" s="17">
        <f>CHOOSE(CONTROL!$C$42, 11.5346, 11.5346) * CHOOSE(CONTROL!$C$21, $C$9, 100%, $E$9)</f>
        <v>11.534599999999999</v>
      </c>
      <c r="Q299" s="17">
        <f>CHOOSE(CONTROL!$C$42, 12.2387, 12.2387) * CHOOSE(CONTROL!$C$21, $C$9, 100%, $E$9)</f>
        <v>12.2387</v>
      </c>
      <c r="R299" s="17">
        <f>CHOOSE(CONTROL!$C$42, 12.8563, 12.8563) * CHOOSE(CONTROL!$C$21, $C$9, 100%, $E$9)</f>
        <v>12.856299999999999</v>
      </c>
      <c r="S299" s="17">
        <f>CHOOSE(CONTROL!$C$42, 11.214, 11.214) * CHOOSE(CONTROL!$C$21, $C$9, 100%, $E$9)</f>
        <v>11.214</v>
      </c>
      <c r="T299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299" s="56">
        <f>(1000*CHOOSE(CONTROL!$C$42, 695, 695)*CHOOSE(CONTROL!$C$42, 0.5599, 0.5599)*CHOOSE(CONTROL!$C$42, 30, 30))/1000000</f>
        <v>11.673914999999997</v>
      </c>
      <c r="V299" s="56">
        <f>(1000*CHOOSE(CONTROL!$C$42, 500, 500)*CHOOSE(CONTROL!$C$42, 0.275, 0.275)*CHOOSE(CONTROL!$C$42, 30, 30))/1000000</f>
        <v>4.125</v>
      </c>
      <c r="W299" s="56">
        <f>(1000*CHOOSE(CONTROL!$C$42, 0.0916, 0.0916)*CHOOSE(CONTROL!$C$42, 121.5, 121.5)*CHOOSE(CONTROL!$C$42, 30, 30))/1000000</f>
        <v>0.33388200000000001</v>
      </c>
      <c r="X299" s="56">
        <f>(30*0.2374*100000/1000000)</f>
        <v>0.71220000000000006</v>
      </c>
      <c r="Y299" s="56"/>
      <c r="Z299" s="17"/>
      <c r="AA299" s="55"/>
      <c r="AB299" s="48">
        <f>(B299*122.58+C299*297.941+D299*89.177+E299*140.302+F299*40+G299*60+H299*0+I299*100+J299*300)/(122.58+297.941+89.177+140.302+0+40+60+100+300)</f>
        <v>11.617373664956521</v>
      </c>
      <c r="AC299" s="45">
        <f>(M299*'RAP TEMPLATE-GAS AVAILABILITY'!O298+N299*'RAP TEMPLATE-GAS AVAILABILITY'!P298+O299*'RAP TEMPLATE-GAS AVAILABILITY'!Q298+P299*'RAP TEMPLATE-GAS AVAILABILITY'!R298)/('RAP TEMPLATE-GAS AVAILABILITY'!O298+'RAP TEMPLATE-GAS AVAILABILITY'!P298+'RAP TEMPLATE-GAS AVAILABILITY'!Q298+'RAP TEMPLATE-GAS AVAILABILITY'!R298)</f>
        <v>11.564356834532374</v>
      </c>
    </row>
    <row r="300" spans="1:29" ht="15.75" x14ac:dyDescent="0.25">
      <c r="A300" s="15">
        <v>49644</v>
      </c>
      <c r="B300" s="17">
        <f>CHOOSE(CONTROL!$C$42, 12.3627, 12.3627) * CHOOSE(CONTROL!$C$21, $C$9, 100%, $E$9)</f>
        <v>12.3627</v>
      </c>
      <c r="C300" s="17">
        <f>CHOOSE(CONTROL!$C$42, 12.3677, 12.3677) * CHOOSE(CONTROL!$C$21, $C$9, 100%, $E$9)</f>
        <v>12.367699999999999</v>
      </c>
      <c r="D300" s="17">
        <f>CHOOSE(CONTROL!$C$42, 12.5084, 12.5084) * CHOOSE(CONTROL!$C$21, $C$9, 100%, $E$9)</f>
        <v>12.5084</v>
      </c>
      <c r="E300" s="17">
        <f>CHOOSE(CONTROL!$C$42, 12.5422, 12.5422) * CHOOSE(CONTROL!$C$21, $C$9, 100%, $E$9)</f>
        <v>12.542199999999999</v>
      </c>
      <c r="F300" s="17">
        <f>CHOOSE(CONTROL!$C$42, 12.3784, 12.3784)*CHOOSE(CONTROL!$C$21, $C$9, 100%, $E$9)</f>
        <v>12.378399999999999</v>
      </c>
      <c r="G300" s="17">
        <f>CHOOSE(CONTROL!$C$42, 12.3958, 12.3958)*CHOOSE(CONTROL!$C$21, $C$9, 100%, $E$9)</f>
        <v>12.395799999999999</v>
      </c>
      <c r="H300" s="17">
        <f>CHOOSE(CONTROL!$C$42, 12.531, 12.531) * CHOOSE(CONTROL!$C$21, $C$9, 100%, $E$9)</f>
        <v>12.531000000000001</v>
      </c>
      <c r="I300" s="17">
        <f>CHOOSE(CONTROL!$C$42, 12.4234, 12.4234)* CHOOSE(CONTROL!$C$21, $C$9, 100%, $E$9)</f>
        <v>12.423400000000001</v>
      </c>
      <c r="J300" s="17">
        <f>CHOOSE(CONTROL!$C$42, 12.371, 12.371)* CHOOSE(CONTROL!$C$21, $C$9, 100%, $E$9)</f>
        <v>12.371</v>
      </c>
      <c r="K300" s="52">
        <f>CHOOSE(CONTROL!$C$42, 12.4173, 12.4173) * CHOOSE(CONTROL!$C$21, $C$9, 100%, $E$9)</f>
        <v>12.417299999999999</v>
      </c>
      <c r="L300" s="17">
        <f>CHOOSE(CONTROL!$C$42, 13.118, 13.118) * CHOOSE(CONTROL!$C$21, $C$9, 100%, $E$9)</f>
        <v>13.118</v>
      </c>
      <c r="M300" s="17">
        <f>CHOOSE(CONTROL!$C$42, 12.2667, 12.2667) * CHOOSE(CONTROL!$C$21, $C$9, 100%, $E$9)</f>
        <v>12.2667</v>
      </c>
      <c r="N300" s="17">
        <f>CHOOSE(CONTROL!$C$42, 12.284, 12.284) * CHOOSE(CONTROL!$C$21, $C$9, 100%, $E$9)</f>
        <v>12.284000000000001</v>
      </c>
      <c r="O300" s="17">
        <f>CHOOSE(CONTROL!$C$42, 12.4253, 12.4253) * CHOOSE(CONTROL!$C$21, $C$9, 100%, $E$9)</f>
        <v>12.4253</v>
      </c>
      <c r="P300" s="17">
        <f>CHOOSE(CONTROL!$C$42, 12.3184, 12.3184) * CHOOSE(CONTROL!$C$21, $C$9, 100%, $E$9)</f>
        <v>12.3184</v>
      </c>
      <c r="Q300" s="17">
        <f>CHOOSE(CONTROL!$C$42, 13.02, 13.02) * CHOOSE(CONTROL!$C$21, $C$9, 100%, $E$9)</f>
        <v>13.02</v>
      </c>
      <c r="R300" s="17">
        <f>CHOOSE(CONTROL!$C$42, 13.6396, 13.6396) * CHOOSE(CONTROL!$C$21, $C$9, 100%, $E$9)</f>
        <v>13.6396</v>
      </c>
      <c r="S300" s="17">
        <f>CHOOSE(CONTROL!$C$42, 11.9786, 11.9786) * CHOOSE(CONTROL!$C$21, $C$9, 100%, $E$9)</f>
        <v>11.9786</v>
      </c>
      <c r="T300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300" s="56">
        <f>(1000*CHOOSE(CONTROL!$C$42, 695, 695)*CHOOSE(CONTROL!$C$42, 0.5599, 0.5599)*CHOOSE(CONTROL!$C$42, 31, 31))/1000000</f>
        <v>12.063045499999998</v>
      </c>
      <c r="V300" s="56">
        <f>(1000*CHOOSE(CONTROL!$C$42, 500, 500)*CHOOSE(CONTROL!$C$42, 0.275, 0.275)*CHOOSE(CONTROL!$C$42, 31, 31))/1000000</f>
        <v>4.2625000000000002</v>
      </c>
      <c r="W300" s="56">
        <f>(1000*CHOOSE(CONTROL!$C$42, 0.0916, 0.0916)*CHOOSE(CONTROL!$C$42, 121.5, 121.5)*CHOOSE(CONTROL!$C$42, 31, 31))/1000000</f>
        <v>0.34501139999999997</v>
      </c>
      <c r="X300" s="56">
        <f>(31*0.2374*100000/1000000)</f>
        <v>0.73594000000000004</v>
      </c>
      <c r="Y300" s="56"/>
      <c r="Z300" s="17"/>
      <c r="AA300" s="55"/>
      <c r="AB300" s="48">
        <f>(B300*122.58+C300*297.941+D300*89.177+E300*140.302+F300*40+G300*60+H300*0+I300*100+J300*300)/(122.58+297.941+89.177+140.302+0+40+60+100+300)</f>
        <v>12.406909567739131</v>
      </c>
      <c r="AC300" s="45">
        <f>(M300*'RAP TEMPLATE-GAS AVAILABILITY'!O299+N300*'RAP TEMPLATE-GAS AVAILABILITY'!P299+O300*'RAP TEMPLATE-GAS AVAILABILITY'!Q299+P300*'RAP TEMPLATE-GAS AVAILABILITY'!R299)/('RAP TEMPLATE-GAS AVAILABILITY'!O299+'RAP TEMPLATE-GAS AVAILABILITY'!P299+'RAP TEMPLATE-GAS AVAILABILITY'!Q299+'RAP TEMPLATE-GAS AVAILABILITY'!R299)</f>
        <v>12.34701798561151</v>
      </c>
    </row>
    <row r="301" spans="1:29" ht="15.75" x14ac:dyDescent="0.25">
      <c r="A301" s="15">
        <v>49675</v>
      </c>
      <c r="B301" s="17">
        <f>CHOOSE(CONTROL!$C$42, 13.3119, 13.3119) * CHOOSE(CONTROL!$C$21, $C$9, 100%, $E$9)</f>
        <v>13.3119</v>
      </c>
      <c r="C301" s="17">
        <f>CHOOSE(CONTROL!$C$42, 13.317, 13.317) * CHOOSE(CONTROL!$C$21, $C$9, 100%, $E$9)</f>
        <v>13.317</v>
      </c>
      <c r="D301" s="17">
        <f>CHOOSE(CONTROL!$C$42, 13.451, 13.451) * CHOOSE(CONTROL!$C$21, $C$9, 100%, $E$9)</f>
        <v>13.451000000000001</v>
      </c>
      <c r="E301" s="17">
        <f>CHOOSE(CONTROL!$C$42, 13.4847, 13.4847) * CHOOSE(CONTROL!$C$21, $C$9, 100%, $E$9)</f>
        <v>13.4847</v>
      </c>
      <c r="F301" s="17">
        <f>CHOOSE(CONTROL!$C$42, 13.3254, 13.3254)*CHOOSE(CONTROL!$C$21, $C$9, 100%, $E$9)</f>
        <v>13.3254</v>
      </c>
      <c r="G301" s="17">
        <f>CHOOSE(CONTROL!$C$42, 13.3423, 13.3423)*CHOOSE(CONTROL!$C$21, $C$9, 100%, $E$9)</f>
        <v>13.3423</v>
      </c>
      <c r="H301" s="17">
        <f>CHOOSE(CONTROL!$C$42, 13.4736, 13.4736) * CHOOSE(CONTROL!$C$21, $C$9, 100%, $E$9)</f>
        <v>13.473599999999999</v>
      </c>
      <c r="I301" s="17">
        <f>CHOOSE(CONTROL!$C$42, 13.3798, 13.3798)* CHOOSE(CONTROL!$C$21, $C$9, 100%, $E$9)</f>
        <v>13.379799999999999</v>
      </c>
      <c r="J301" s="17">
        <f>CHOOSE(CONTROL!$C$42, 13.318, 13.318)* CHOOSE(CONTROL!$C$21, $C$9, 100%, $E$9)</f>
        <v>13.318</v>
      </c>
      <c r="K301" s="52">
        <f>CHOOSE(CONTROL!$C$42, 13.3737, 13.3737) * CHOOSE(CONTROL!$C$21, $C$9, 100%, $E$9)</f>
        <v>13.373699999999999</v>
      </c>
      <c r="L301" s="17">
        <f>CHOOSE(CONTROL!$C$42, 14.0606, 14.0606) * CHOOSE(CONTROL!$C$21, $C$9, 100%, $E$9)</f>
        <v>14.060600000000001</v>
      </c>
      <c r="M301" s="17">
        <f>CHOOSE(CONTROL!$C$42, 13.2052, 13.2052) * CHOOSE(CONTROL!$C$21, $C$9, 100%, $E$9)</f>
        <v>13.2052</v>
      </c>
      <c r="N301" s="17">
        <f>CHOOSE(CONTROL!$C$42, 13.222, 13.222) * CHOOSE(CONTROL!$C$21, $C$9, 100%, $E$9)</f>
        <v>13.222</v>
      </c>
      <c r="O301" s="17">
        <f>CHOOSE(CONTROL!$C$42, 13.3595, 13.3595) * CHOOSE(CONTROL!$C$21, $C$9, 100%, $E$9)</f>
        <v>13.359500000000001</v>
      </c>
      <c r="P301" s="17">
        <f>CHOOSE(CONTROL!$C$42, 13.2661, 13.2661) * CHOOSE(CONTROL!$C$21, $C$9, 100%, $E$9)</f>
        <v>13.2661</v>
      </c>
      <c r="Q301" s="17">
        <f>CHOOSE(CONTROL!$C$42, 13.9542, 13.9542) * CHOOSE(CONTROL!$C$21, $C$9, 100%, $E$9)</f>
        <v>13.9542</v>
      </c>
      <c r="R301" s="17">
        <f>CHOOSE(CONTROL!$C$42, 14.576, 14.576) * CHOOSE(CONTROL!$C$21, $C$9, 100%, $E$9)</f>
        <v>14.576000000000001</v>
      </c>
      <c r="S301" s="17">
        <f>CHOOSE(CONTROL!$C$42, 12.8991, 12.8991) * CHOOSE(CONTROL!$C$21, $C$9, 100%, $E$9)</f>
        <v>12.899100000000001</v>
      </c>
      <c r="T301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301" s="56">
        <f>(1000*CHOOSE(CONTROL!$C$42, 695, 695)*CHOOSE(CONTROL!$C$42, 0.5599, 0.5599)*CHOOSE(CONTROL!$C$42, 31, 31))/1000000</f>
        <v>12.063045499999998</v>
      </c>
      <c r="V301" s="56">
        <f>(1000*CHOOSE(CONTROL!$C$42, 500, 500)*CHOOSE(CONTROL!$C$42, 0.275, 0.275)*CHOOSE(CONTROL!$C$42, 31, 31))/1000000</f>
        <v>4.2625000000000002</v>
      </c>
      <c r="W301" s="56">
        <f>(1000*CHOOSE(CONTROL!$C$42, 0.0916, 0.0916)*CHOOSE(CONTROL!$C$42, 121.5, 121.5)*CHOOSE(CONTROL!$C$42, 31, 31))/1000000</f>
        <v>0.34501139999999997</v>
      </c>
      <c r="X301" s="56">
        <f>(31*0.2374*100000/1000000)</f>
        <v>0.73594000000000004</v>
      </c>
      <c r="Y301" s="56"/>
      <c r="Z301" s="17"/>
      <c r="AA301" s="55"/>
      <c r="AB301" s="48">
        <f>(B301*122.58+C301*297.941+D301*89.177+E301*140.302+F301*40+G301*60+H301*0+I301*100+J301*300)/(122.58+297.941+89.177+140.302+0+40+60+100+300)</f>
        <v>13.354641048173912</v>
      </c>
      <c r="AC301" s="45">
        <f>(M301*'RAP TEMPLATE-GAS AVAILABILITY'!O300+N301*'RAP TEMPLATE-GAS AVAILABILITY'!P300+O301*'RAP TEMPLATE-GAS AVAILABILITY'!Q300+P301*'RAP TEMPLATE-GAS AVAILABILITY'!R300)/('RAP TEMPLATE-GAS AVAILABILITY'!O300+'RAP TEMPLATE-GAS AVAILABILITY'!P300+'RAP TEMPLATE-GAS AVAILABILITY'!Q300+'RAP TEMPLATE-GAS AVAILABILITY'!R300)</f>
        <v>13.28486402877698</v>
      </c>
    </row>
    <row r="302" spans="1:29" ht="15.75" x14ac:dyDescent="0.25">
      <c r="A302" s="15">
        <v>49706</v>
      </c>
      <c r="B302" s="17">
        <f>CHOOSE(CONTROL!$C$42, 13.5487, 13.5487) * CHOOSE(CONTROL!$C$21, $C$9, 100%, $E$9)</f>
        <v>13.5487</v>
      </c>
      <c r="C302" s="17">
        <f>CHOOSE(CONTROL!$C$42, 13.5538, 13.5538) * CHOOSE(CONTROL!$C$21, $C$9, 100%, $E$9)</f>
        <v>13.553800000000001</v>
      </c>
      <c r="D302" s="17">
        <f>CHOOSE(CONTROL!$C$42, 13.6878, 13.6878) * CHOOSE(CONTROL!$C$21, $C$9, 100%, $E$9)</f>
        <v>13.687799999999999</v>
      </c>
      <c r="E302" s="17">
        <f>CHOOSE(CONTROL!$C$42, 13.7215, 13.7215) * CHOOSE(CONTROL!$C$21, $C$9, 100%, $E$9)</f>
        <v>13.721500000000001</v>
      </c>
      <c r="F302" s="17">
        <f>CHOOSE(CONTROL!$C$42, 13.5621, 13.5621)*CHOOSE(CONTROL!$C$21, $C$9, 100%, $E$9)</f>
        <v>13.562099999999999</v>
      </c>
      <c r="G302" s="17">
        <f>CHOOSE(CONTROL!$C$42, 13.579, 13.579)*CHOOSE(CONTROL!$C$21, $C$9, 100%, $E$9)</f>
        <v>13.579000000000001</v>
      </c>
      <c r="H302" s="17">
        <f>CHOOSE(CONTROL!$C$42, 13.7104, 13.7104) * CHOOSE(CONTROL!$C$21, $C$9, 100%, $E$9)</f>
        <v>13.7104</v>
      </c>
      <c r="I302" s="17">
        <f>CHOOSE(CONTROL!$C$42, 13.6173, 13.6173)* CHOOSE(CONTROL!$C$21, $C$9, 100%, $E$9)</f>
        <v>13.6173</v>
      </c>
      <c r="J302" s="17">
        <f>CHOOSE(CONTROL!$C$42, 13.5547, 13.5547)* CHOOSE(CONTROL!$C$21, $C$9, 100%, $E$9)</f>
        <v>13.5547</v>
      </c>
      <c r="K302" s="52">
        <f>CHOOSE(CONTROL!$C$42, 13.6112, 13.6112) * CHOOSE(CONTROL!$C$21, $C$9, 100%, $E$9)</f>
        <v>13.6112</v>
      </c>
      <c r="L302" s="17">
        <f>CHOOSE(CONTROL!$C$42, 14.2974, 14.2974) * CHOOSE(CONTROL!$C$21, $C$9, 100%, $E$9)</f>
        <v>14.2974</v>
      </c>
      <c r="M302" s="17">
        <f>CHOOSE(CONTROL!$C$42, 13.4398, 13.4398) * CHOOSE(CONTROL!$C$21, $C$9, 100%, $E$9)</f>
        <v>13.4398</v>
      </c>
      <c r="N302" s="17">
        <f>CHOOSE(CONTROL!$C$42, 13.4566, 13.4566) * CHOOSE(CONTROL!$C$21, $C$9, 100%, $E$9)</f>
        <v>13.4566</v>
      </c>
      <c r="O302" s="17">
        <f>CHOOSE(CONTROL!$C$42, 13.5941, 13.5941) * CHOOSE(CONTROL!$C$21, $C$9, 100%, $E$9)</f>
        <v>13.594099999999999</v>
      </c>
      <c r="P302" s="17">
        <f>CHOOSE(CONTROL!$C$42, 13.5015, 13.5015) * CHOOSE(CONTROL!$C$21, $C$9, 100%, $E$9)</f>
        <v>13.5015</v>
      </c>
      <c r="Q302" s="17">
        <f>CHOOSE(CONTROL!$C$42, 14.1888, 14.1888) * CHOOSE(CONTROL!$C$21, $C$9, 100%, $E$9)</f>
        <v>14.188800000000001</v>
      </c>
      <c r="R302" s="17">
        <f>CHOOSE(CONTROL!$C$42, 14.8113, 14.8113) * CHOOSE(CONTROL!$C$21, $C$9, 100%, $E$9)</f>
        <v>14.811299999999999</v>
      </c>
      <c r="S302" s="17">
        <f>CHOOSE(CONTROL!$C$42, 13.1287, 13.1287) * CHOOSE(CONTROL!$C$21, $C$9, 100%, $E$9)</f>
        <v>13.1287</v>
      </c>
      <c r="T302" s="56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302" s="56">
        <f>(1000*CHOOSE(CONTROL!$C$42, 695, 695)*CHOOSE(CONTROL!$C$42, 0.5599, 0.5599)*CHOOSE(CONTROL!$C$42, 29, 29))/1000000</f>
        <v>11.284784499999999</v>
      </c>
      <c r="V302" s="56">
        <f>(1000*CHOOSE(CONTROL!$C$42, 500, 500)*CHOOSE(CONTROL!$C$42, 0.275, 0.275)*CHOOSE(CONTROL!$C$42, 29, 29))/1000000</f>
        <v>3.9874999999999998</v>
      </c>
      <c r="W302" s="56">
        <f>(1000*CHOOSE(CONTROL!$C$42, 0.0916, 0.0916)*CHOOSE(CONTROL!$C$42, 121.5, 121.5)*CHOOSE(CONTROL!$C$42, 29, 29))/1000000</f>
        <v>0.3227526</v>
      </c>
      <c r="X302" s="56">
        <f>(29*0.2374*100000/1000000)</f>
        <v>0.68845999999999996</v>
      </c>
      <c r="Y302" s="56"/>
      <c r="Z302" s="17"/>
      <c r="AA302" s="55"/>
      <c r="AB302" s="48">
        <f>(B302*122.58+C302*297.941+D302*89.177+E302*140.302+F302*40+G302*60+H302*0+I302*100+J302*300)/(122.58+297.941+89.177+140.302+0+40+60+100+300)</f>
        <v>13.591467135130435</v>
      </c>
      <c r="AC302" s="45">
        <f>(M302*'RAP TEMPLATE-GAS AVAILABILITY'!O301+N302*'RAP TEMPLATE-GAS AVAILABILITY'!P301+O302*'RAP TEMPLATE-GAS AVAILABILITY'!Q301+P302*'RAP TEMPLATE-GAS AVAILABILITY'!R301)/('RAP TEMPLATE-GAS AVAILABILITY'!O301+'RAP TEMPLATE-GAS AVAILABILITY'!P301+'RAP TEMPLATE-GAS AVAILABILITY'!Q301+'RAP TEMPLATE-GAS AVAILABILITY'!R301)</f>
        <v>13.519579136690648</v>
      </c>
    </row>
    <row r="303" spans="1:29" ht="15.75" x14ac:dyDescent="0.25">
      <c r="A303" s="15">
        <v>49735</v>
      </c>
      <c r="B303" s="17">
        <f>CHOOSE(CONTROL!$C$42, 13.1644, 13.1644) * CHOOSE(CONTROL!$C$21, $C$9, 100%, $E$9)</f>
        <v>13.164400000000001</v>
      </c>
      <c r="C303" s="17">
        <f>CHOOSE(CONTROL!$C$42, 13.1695, 13.1695) * CHOOSE(CONTROL!$C$21, $C$9, 100%, $E$9)</f>
        <v>13.169499999999999</v>
      </c>
      <c r="D303" s="17">
        <f>CHOOSE(CONTROL!$C$42, 13.3034, 13.3034) * CHOOSE(CONTROL!$C$21, $C$9, 100%, $E$9)</f>
        <v>13.3034</v>
      </c>
      <c r="E303" s="17">
        <f>CHOOSE(CONTROL!$C$42, 13.3372, 13.3372) * CHOOSE(CONTROL!$C$21, $C$9, 100%, $E$9)</f>
        <v>13.337199999999999</v>
      </c>
      <c r="F303" s="17">
        <f>CHOOSE(CONTROL!$C$42, 13.177, 13.177)*CHOOSE(CONTROL!$C$21, $C$9, 100%, $E$9)</f>
        <v>13.177</v>
      </c>
      <c r="G303" s="17">
        <f>CHOOSE(CONTROL!$C$42, 13.1937, 13.1937)*CHOOSE(CONTROL!$C$21, $C$9, 100%, $E$9)</f>
        <v>13.1937</v>
      </c>
      <c r="H303" s="17">
        <f>CHOOSE(CONTROL!$C$42, 13.3261, 13.3261) * CHOOSE(CONTROL!$C$21, $C$9, 100%, $E$9)</f>
        <v>13.3261</v>
      </c>
      <c r="I303" s="17">
        <f>CHOOSE(CONTROL!$C$42, 13.2317, 13.2317)* CHOOSE(CONTROL!$C$21, $C$9, 100%, $E$9)</f>
        <v>13.2317</v>
      </c>
      <c r="J303" s="17">
        <f>CHOOSE(CONTROL!$C$42, 13.1696, 13.1696)* CHOOSE(CONTROL!$C$21, $C$9, 100%, $E$9)</f>
        <v>13.169600000000001</v>
      </c>
      <c r="K303" s="52">
        <f>CHOOSE(CONTROL!$C$42, 13.2257, 13.2257) * CHOOSE(CONTROL!$C$21, $C$9, 100%, $E$9)</f>
        <v>13.2257</v>
      </c>
      <c r="L303" s="17">
        <f>CHOOSE(CONTROL!$C$42, 13.9131, 13.9131) * CHOOSE(CONTROL!$C$21, $C$9, 100%, $E$9)</f>
        <v>13.9131</v>
      </c>
      <c r="M303" s="17">
        <f>CHOOSE(CONTROL!$C$42, 13.0582, 13.0582) * CHOOSE(CONTROL!$C$21, $C$9, 100%, $E$9)</f>
        <v>13.058199999999999</v>
      </c>
      <c r="N303" s="17">
        <f>CHOOSE(CONTROL!$C$42, 13.0747, 13.0747) * CHOOSE(CONTROL!$C$21, $C$9, 100%, $E$9)</f>
        <v>13.0747</v>
      </c>
      <c r="O303" s="17">
        <f>CHOOSE(CONTROL!$C$42, 13.2132, 13.2132) * CHOOSE(CONTROL!$C$21, $C$9, 100%, $E$9)</f>
        <v>13.213200000000001</v>
      </c>
      <c r="P303" s="17">
        <f>CHOOSE(CONTROL!$C$42, 13.1194, 13.1194) * CHOOSE(CONTROL!$C$21, $C$9, 100%, $E$9)</f>
        <v>13.119400000000001</v>
      </c>
      <c r="Q303" s="17">
        <f>CHOOSE(CONTROL!$C$42, 13.8079, 13.8079) * CHOOSE(CONTROL!$C$21, $C$9, 100%, $E$9)</f>
        <v>13.8079</v>
      </c>
      <c r="R303" s="17">
        <f>CHOOSE(CONTROL!$C$42, 14.4294, 14.4294) * CHOOSE(CONTROL!$C$21, $C$9, 100%, $E$9)</f>
        <v>14.429399999999999</v>
      </c>
      <c r="S303" s="17">
        <f>CHOOSE(CONTROL!$C$42, 12.756, 12.756) * CHOOSE(CONTROL!$C$21, $C$9, 100%, $E$9)</f>
        <v>12.756</v>
      </c>
      <c r="T303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303" s="56">
        <f>(1000*CHOOSE(CONTROL!$C$42, 695, 695)*CHOOSE(CONTROL!$C$42, 0.5599, 0.5599)*CHOOSE(CONTROL!$C$42, 31, 31))/1000000</f>
        <v>12.063045499999998</v>
      </c>
      <c r="V303" s="56">
        <f>(1000*CHOOSE(CONTROL!$C$42, 500, 500)*CHOOSE(CONTROL!$C$42, 0.275, 0.275)*CHOOSE(CONTROL!$C$42, 31, 31))/1000000</f>
        <v>4.2625000000000002</v>
      </c>
      <c r="W303" s="56">
        <f>(1000*CHOOSE(CONTROL!$C$42, 0.0916, 0.0916)*CHOOSE(CONTROL!$C$42, 121.5, 121.5)*CHOOSE(CONTROL!$C$42, 31, 31))/1000000</f>
        <v>0.34501139999999997</v>
      </c>
      <c r="X303" s="56">
        <f>(31*0.2374*100000/1000000)</f>
        <v>0.73594000000000004</v>
      </c>
      <c r="Y303" s="56"/>
      <c r="Z303" s="17"/>
      <c r="AA303" s="55"/>
      <c r="AB303" s="48">
        <f>(B303*122.58+C303*297.941+D303*89.177+E303*140.302+F303*40+G303*60+H303*0+I303*100+J303*300)/(122.58+297.941+89.177+140.302+0+40+60+100+300)</f>
        <v>13.206757641478262</v>
      </c>
      <c r="AC303" s="45">
        <f>(M303*'RAP TEMPLATE-GAS AVAILABILITY'!O302+N303*'RAP TEMPLATE-GAS AVAILABILITY'!P302+O303*'RAP TEMPLATE-GAS AVAILABILITY'!Q302+P303*'RAP TEMPLATE-GAS AVAILABILITY'!R302)/('RAP TEMPLATE-GAS AVAILABILITY'!O302+'RAP TEMPLATE-GAS AVAILABILITY'!P302+'RAP TEMPLATE-GAS AVAILABILITY'!Q302+'RAP TEMPLATE-GAS AVAILABILITY'!R302)</f>
        <v>13.138207194244604</v>
      </c>
    </row>
    <row r="304" spans="1:29" ht="15.75" x14ac:dyDescent="0.25">
      <c r="A304" s="15">
        <v>49766</v>
      </c>
      <c r="B304" s="17">
        <f>CHOOSE(CONTROL!$C$42, 13.126, 13.126) * CHOOSE(CONTROL!$C$21, $C$9, 100%, $E$9)</f>
        <v>13.125999999999999</v>
      </c>
      <c r="C304" s="17">
        <f>CHOOSE(CONTROL!$C$42, 13.1305, 13.1305) * CHOOSE(CONTROL!$C$21, $C$9, 100%, $E$9)</f>
        <v>13.1305</v>
      </c>
      <c r="D304" s="17">
        <f>CHOOSE(CONTROL!$C$42, 13.3936, 13.3936) * CHOOSE(CONTROL!$C$21, $C$9, 100%, $E$9)</f>
        <v>13.393599999999999</v>
      </c>
      <c r="E304" s="17">
        <f>CHOOSE(CONTROL!$C$42, 13.4254, 13.4254) * CHOOSE(CONTROL!$C$21, $C$9, 100%, $E$9)</f>
        <v>13.4254</v>
      </c>
      <c r="F304" s="17">
        <f>CHOOSE(CONTROL!$C$42, 13.1369, 13.1369)*CHOOSE(CONTROL!$C$21, $C$9, 100%, $E$9)</f>
        <v>13.136900000000001</v>
      </c>
      <c r="G304" s="17">
        <f>CHOOSE(CONTROL!$C$42, 13.1531, 13.1531)*CHOOSE(CONTROL!$C$21, $C$9, 100%, $E$9)</f>
        <v>13.1531</v>
      </c>
      <c r="H304" s="17">
        <f>CHOOSE(CONTROL!$C$42, 13.4148, 13.4148) * CHOOSE(CONTROL!$C$21, $C$9, 100%, $E$9)</f>
        <v>13.4148</v>
      </c>
      <c r="I304" s="17">
        <f>CHOOSE(CONTROL!$C$42, 13.192, 13.192)* CHOOSE(CONTROL!$C$21, $C$9, 100%, $E$9)</f>
        <v>13.192</v>
      </c>
      <c r="J304" s="17">
        <f>CHOOSE(CONTROL!$C$42, 13.1295, 13.1295)* CHOOSE(CONTROL!$C$21, $C$9, 100%, $E$9)</f>
        <v>13.1295</v>
      </c>
      <c r="K304" s="52">
        <f>CHOOSE(CONTROL!$C$42, 13.1859, 13.1859) * CHOOSE(CONTROL!$C$21, $C$9, 100%, $E$9)</f>
        <v>13.1859</v>
      </c>
      <c r="L304" s="17">
        <f>CHOOSE(CONTROL!$C$42, 14.0018, 14.0018) * CHOOSE(CONTROL!$C$21, $C$9, 100%, $E$9)</f>
        <v>14.001799999999999</v>
      </c>
      <c r="M304" s="17">
        <f>CHOOSE(CONTROL!$C$42, 13.0185, 13.0185) * CHOOSE(CONTROL!$C$21, $C$9, 100%, $E$9)</f>
        <v>13.0185</v>
      </c>
      <c r="N304" s="17">
        <f>CHOOSE(CONTROL!$C$42, 13.0345, 13.0345) * CHOOSE(CONTROL!$C$21, $C$9, 100%, $E$9)</f>
        <v>13.0345</v>
      </c>
      <c r="O304" s="17">
        <f>CHOOSE(CONTROL!$C$42, 13.3012, 13.3012) * CHOOSE(CONTROL!$C$21, $C$9, 100%, $E$9)</f>
        <v>13.3012</v>
      </c>
      <c r="P304" s="17">
        <f>CHOOSE(CONTROL!$C$42, 13.08, 13.08) * CHOOSE(CONTROL!$C$21, $C$9, 100%, $E$9)</f>
        <v>13.08</v>
      </c>
      <c r="Q304" s="17">
        <f>CHOOSE(CONTROL!$C$42, 13.8959, 13.8959) * CHOOSE(CONTROL!$C$21, $C$9, 100%, $E$9)</f>
        <v>13.895899999999999</v>
      </c>
      <c r="R304" s="17">
        <f>CHOOSE(CONTROL!$C$42, 14.5176, 14.5176) * CHOOSE(CONTROL!$C$21, $C$9, 100%, $E$9)</f>
        <v>14.5176</v>
      </c>
      <c r="S304" s="17">
        <f>CHOOSE(CONTROL!$C$42, 12.7181, 12.7181) * CHOOSE(CONTROL!$C$21, $C$9, 100%, $E$9)</f>
        <v>12.7181</v>
      </c>
      <c r="T304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304" s="56">
        <f>(1000*CHOOSE(CONTROL!$C$42, 695, 695)*CHOOSE(CONTROL!$C$42, 0.5599, 0.5599)*CHOOSE(CONTROL!$C$42, 30, 30))/1000000</f>
        <v>11.673914999999997</v>
      </c>
      <c r="V304" s="56">
        <f>(1000*CHOOSE(CONTROL!$C$42, 500, 500)*CHOOSE(CONTROL!$C$42, 0.275, 0.275)*CHOOSE(CONTROL!$C$42, 30, 30))/1000000</f>
        <v>4.125</v>
      </c>
      <c r="W304" s="56">
        <f>(1000*CHOOSE(CONTROL!$C$42, 0.0916, 0.0916)*CHOOSE(CONTROL!$C$42, 121.5, 121.5)*CHOOSE(CONTROL!$C$42, 30, 30))/1000000</f>
        <v>0.33388200000000001</v>
      </c>
      <c r="X304" s="56">
        <f>(30*0.1790888*145000/1000000)+(30*0.2374*100000/1000000)</f>
        <v>1.4912362799999999</v>
      </c>
      <c r="Y304" s="56"/>
      <c r="Z304" s="17"/>
      <c r="AA304" s="55"/>
      <c r="AB304" s="48">
        <f>(B304*141.293+C304*267.993+D304*115.016+E304*189.698+F304*40+G304*85+H304*0+I304*100+J304*300)/(141.293+267.993+115.016+189.698+0+40+85+100+300)</f>
        <v>13.206039815415661</v>
      </c>
      <c r="AC304" s="45">
        <f>(M304*'RAP TEMPLATE-GAS AVAILABILITY'!O303+N304*'RAP TEMPLATE-GAS AVAILABILITY'!P303+O304*'RAP TEMPLATE-GAS AVAILABILITY'!Q303+P304*'RAP TEMPLATE-GAS AVAILABILITY'!R303)/('RAP TEMPLATE-GAS AVAILABILITY'!O303+'RAP TEMPLATE-GAS AVAILABILITY'!P303+'RAP TEMPLATE-GAS AVAILABILITY'!Q303+'RAP TEMPLATE-GAS AVAILABILITY'!R303)</f>
        <v>13.11035107913669</v>
      </c>
    </row>
    <row r="305" spans="1:29" ht="15.75" x14ac:dyDescent="0.25">
      <c r="A305" s="15">
        <v>49796</v>
      </c>
      <c r="B305" s="17">
        <f>CHOOSE(CONTROL!$C$42, 13.2431, 13.2431) * CHOOSE(CONTROL!$C$21, $C$9, 100%, $E$9)</f>
        <v>13.2431</v>
      </c>
      <c r="C305" s="17">
        <f>CHOOSE(CONTROL!$C$42, 13.2511, 13.2511) * CHOOSE(CONTROL!$C$21, $C$9, 100%, $E$9)</f>
        <v>13.251099999999999</v>
      </c>
      <c r="D305" s="17">
        <f>CHOOSE(CONTROL!$C$42, 13.5111, 13.5111) * CHOOSE(CONTROL!$C$21, $C$9, 100%, $E$9)</f>
        <v>13.511100000000001</v>
      </c>
      <c r="E305" s="17">
        <f>CHOOSE(CONTROL!$C$42, 13.5422, 13.5422) * CHOOSE(CONTROL!$C$21, $C$9, 100%, $E$9)</f>
        <v>13.542199999999999</v>
      </c>
      <c r="F305" s="17">
        <f>CHOOSE(CONTROL!$C$42, 13.2528, 13.2528)*CHOOSE(CONTROL!$C$21, $C$9, 100%, $E$9)</f>
        <v>13.252800000000001</v>
      </c>
      <c r="G305" s="17">
        <f>CHOOSE(CONTROL!$C$42, 13.2693, 13.2693)*CHOOSE(CONTROL!$C$21, $C$9, 100%, $E$9)</f>
        <v>13.269299999999999</v>
      </c>
      <c r="H305" s="17">
        <f>CHOOSE(CONTROL!$C$42, 13.5306, 13.5306) * CHOOSE(CONTROL!$C$21, $C$9, 100%, $E$9)</f>
        <v>13.5306</v>
      </c>
      <c r="I305" s="17">
        <f>CHOOSE(CONTROL!$C$42, 13.3081, 13.3081)* CHOOSE(CONTROL!$C$21, $C$9, 100%, $E$9)</f>
        <v>13.3081</v>
      </c>
      <c r="J305" s="17">
        <f>CHOOSE(CONTROL!$C$42, 13.2454, 13.2454)* CHOOSE(CONTROL!$C$21, $C$9, 100%, $E$9)</f>
        <v>13.2454</v>
      </c>
      <c r="K305" s="52">
        <f>CHOOSE(CONTROL!$C$42, 13.302, 13.302) * CHOOSE(CONTROL!$C$21, $C$9, 100%, $E$9)</f>
        <v>13.302</v>
      </c>
      <c r="L305" s="17">
        <f>CHOOSE(CONTROL!$C$42, 14.1176, 14.1176) * CHOOSE(CONTROL!$C$21, $C$9, 100%, $E$9)</f>
        <v>14.117599999999999</v>
      </c>
      <c r="M305" s="17">
        <f>CHOOSE(CONTROL!$C$42, 13.1333, 13.1333) * CHOOSE(CONTROL!$C$21, $C$9, 100%, $E$9)</f>
        <v>13.1333</v>
      </c>
      <c r="N305" s="17">
        <f>CHOOSE(CONTROL!$C$42, 13.1496, 13.1496) * CHOOSE(CONTROL!$C$21, $C$9, 100%, $E$9)</f>
        <v>13.1496</v>
      </c>
      <c r="O305" s="17">
        <f>CHOOSE(CONTROL!$C$42, 13.4159, 13.4159) * CHOOSE(CONTROL!$C$21, $C$9, 100%, $E$9)</f>
        <v>13.415900000000001</v>
      </c>
      <c r="P305" s="17">
        <f>CHOOSE(CONTROL!$C$42, 13.1951, 13.1951) * CHOOSE(CONTROL!$C$21, $C$9, 100%, $E$9)</f>
        <v>13.1951</v>
      </c>
      <c r="Q305" s="17">
        <f>CHOOSE(CONTROL!$C$42, 14.0106, 14.0106) * CHOOSE(CONTROL!$C$21, $C$9, 100%, $E$9)</f>
        <v>14.0106</v>
      </c>
      <c r="R305" s="17">
        <f>CHOOSE(CONTROL!$C$42, 14.6326, 14.6326) * CHOOSE(CONTROL!$C$21, $C$9, 100%, $E$9)</f>
        <v>14.6326</v>
      </c>
      <c r="S305" s="17">
        <f>CHOOSE(CONTROL!$C$42, 12.8303, 12.8303) * CHOOSE(CONTROL!$C$21, $C$9, 100%, $E$9)</f>
        <v>12.830299999999999</v>
      </c>
      <c r="T305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305" s="56">
        <f>(1000*CHOOSE(CONTROL!$C$42, 695, 695)*CHOOSE(CONTROL!$C$42, 0.5599, 0.5599)*CHOOSE(CONTROL!$C$42, 31, 31))/1000000</f>
        <v>12.063045499999998</v>
      </c>
      <c r="V305" s="56">
        <f>(1000*CHOOSE(CONTROL!$C$42, 500, 500)*CHOOSE(CONTROL!$C$42, 0.275, 0.275)*CHOOSE(CONTROL!$C$42, 31, 31))/1000000</f>
        <v>4.2625000000000002</v>
      </c>
      <c r="W305" s="56">
        <f>(1000*CHOOSE(CONTROL!$C$42, 0.0916, 0.0916)*CHOOSE(CONTROL!$C$42, 121.5, 121.5)*CHOOSE(CONTROL!$C$42, 31, 31))/1000000</f>
        <v>0.34501139999999997</v>
      </c>
      <c r="X305" s="56">
        <f>(31*0.1790888*145000/1000000)+(31*0.2374*100000/1000000)</f>
        <v>1.5409441560000001</v>
      </c>
      <c r="Y305" s="56"/>
      <c r="Z305" s="17"/>
      <c r="AA305" s="55"/>
      <c r="AB305" s="48">
        <f>(B305*194.205+C305*267.466+D305*133.845+E305*153.484+F305*40+G305*85+H305*0+I305*100+J305*300)/(194.205+267.466+133.845+153.484+0+40+85+100+300)</f>
        <v>13.316665347252746</v>
      </c>
      <c r="AC305" s="45">
        <f>(M305*'RAP TEMPLATE-GAS AVAILABILITY'!O304+N305*'RAP TEMPLATE-GAS AVAILABILITY'!P304+O305*'RAP TEMPLATE-GAS AVAILABILITY'!Q304+P305*'RAP TEMPLATE-GAS AVAILABILITY'!R304)/('RAP TEMPLATE-GAS AVAILABILITY'!O304+'RAP TEMPLATE-GAS AVAILABILITY'!P304+'RAP TEMPLATE-GAS AVAILABILITY'!Q304+'RAP TEMPLATE-GAS AVAILABILITY'!R304)</f>
        <v>13.225235251798562</v>
      </c>
    </row>
    <row r="306" spans="1:29" ht="15.75" x14ac:dyDescent="0.25">
      <c r="A306" s="15">
        <v>49827</v>
      </c>
      <c r="B306" s="17">
        <f>CHOOSE(CONTROL!$C$42, 13.6184, 13.6184) * CHOOSE(CONTROL!$C$21, $C$9, 100%, $E$9)</f>
        <v>13.618399999999999</v>
      </c>
      <c r="C306" s="17">
        <f>CHOOSE(CONTROL!$C$42, 13.6264, 13.6264) * CHOOSE(CONTROL!$C$21, $C$9, 100%, $E$9)</f>
        <v>13.6264</v>
      </c>
      <c r="D306" s="17">
        <f>CHOOSE(CONTROL!$C$42, 13.8864, 13.8864) * CHOOSE(CONTROL!$C$21, $C$9, 100%, $E$9)</f>
        <v>13.8864</v>
      </c>
      <c r="E306" s="17">
        <f>CHOOSE(CONTROL!$C$42, 13.9175, 13.9175) * CHOOSE(CONTROL!$C$21, $C$9, 100%, $E$9)</f>
        <v>13.9175</v>
      </c>
      <c r="F306" s="17">
        <f>CHOOSE(CONTROL!$C$42, 13.6284, 13.6284)*CHOOSE(CONTROL!$C$21, $C$9, 100%, $E$9)</f>
        <v>13.628399999999999</v>
      </c>
      <c r="G306" s="17">
        <f>CHOOSE(CONTROL!$C$42, 13.6449, 13.6449)*CHOOSE(CONTROL!$C$21, $C$9, 100%, $E$9)</f>
        <v>13.6449</v>
      </c>
      <c r="H306" s="17">
        <f>CHOOSE(CONTROL!$C$42, 13.9059, 13.9059) * CHOOSE(CONTROL!$C$21, $C$9, 100%, $E$9)</f>
        <v>13.905900000000001</v>
      </c>
      <c r="I306" s="17">
        <f>CHOOSE(CONTROL!$C$42, 13.6845, 13.6845)* CHOOSE(CONTROL!$C$21, $C$9, 100%, $E$9)</f>
        <v>13.6845</v>
      </c>
      <c r="J306" s="17">
        <f>CHOOSE(CONTROL!$C$42, 13.621, 13.621)* CHOOSE(CONTROL!$C$21, $C$9, 100%, $E$9)</f>
        <v>13.621</v>
      </c>
      <c r="K306" s="52">
        <f>CHOOSE(CONTROL!$C$42, 13.6785, 13.6785) * CHOOSE(CONTROL!$C$21, $C$9, 100%, $E$9)</f>
        <v>13.6785</v>
      </c>
      <c r="L306" s="17">
        <f>CHOOSE(CONTROL!$C$42, 14.4929, 14.4929) * CHOOSE(CONTROL!$C$21, $C$9, 100%, $E$9)</f>
        <v>14.492900000000001</v>
      </c>
      <c r="M306" s="17">
        <f>CHOOSE(CONTROL!$C$42, 13.5055, 13.5055) * CHOOSE(CONTROL!$C$21, $C$9, 100%, $E$9)</f>
        <v>13.5055</v>
      </c>
      <c r="N306" s="17">
        <f>CHOOSE(CONTROL!$C$42, 13.5219, 13.5219) * CHOOSE(CONTROL!$C$21, $C$9, 100%, $E$9)</f>
        <v>13.5219</v>
      </c>
      <c r="O306" s="17">
        <f>CHOOSE(CONTROL!$C$42, 13.7878, 13.7878) * CHOOSE(CONTROL!$C$21, $C$9, 100%, $E$9)</f>
        <v>13.787800000000001</v>
      </c>
      <c r="P306" s="17">
        <f>CHOOSE(CONTROL!$C$42, 13.5682, 13.5682) * CHOOSE(CONTROL!$C$21, $C$9, 100%, $E$9)</f>
        <v>13.568199999999999</v>
      </c>
      <c r="Q306" s="17">
        <f>CHOOSE(CONTROL!$C$42, 14.3825, 14.3825) * CHOOSE(CONTROL!$C$21, $C$9, 100%, $E$9)</f>
        <v>14.3825</v>
      </c>
      <c r="R306" s="17">
        <f>CHOOSE(CONTROL!$C$42, 15.0055, 15.0055) * CHOOSE(CONTROL!$C$21, $C$9, 100%, $E$9)</f>
        <v>15.0055</v>
      </c>
      <c r="S306" s="17">
        <f>CHOOSE(CONTROL!$C$42, 13.1942, 13.1942) * CHOOSE(CONTROL!$C$21, $C$9, 100%, $E$9)</f>
        <v>13.1942</v>
      </c>
      <c r="T306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306" s="56">
        <f>(1000*CHOOSE(CONTROL!$C$42, 695, 695)*CHOOSE(CONTROL!$C$42, 0.5599, 0.5599)*CHOOSE(CONTROL!$C$42, 30, 30))/1000000</f>
        <v>11.673914999999997</v>
      </c>
      <c r="V306" s="56">
        <f>(1000*CHOOSE(CONTROL!$C$42, 500, 500)*CHOOSE(CONTROL!$C$42, 0.275, 0.275)*CHOOSE(CONTROL!$C$42, 30, 30))/1000000</f>
        <v>4.125</v>
      </c>
      <c r="W306" s="56">
        <f>(1000*CHOOSE(CONTROL!$C$42, 0.0916, 0.0916)*CHOOSE(CONTROL!$C$42, 121.5, 121.5)*CHOOSE(CONTROL!$C$42, 30, 30))/1000000</f>
        <v>0.33388200000000001</v>
      </c>
      <c r="X306" s="56">
        <f>(30*0.1790888*145000/1000000)+(30*0.2374*100000/1000000)</f>
        <v>1.4912362799999999</v>
      </c>
      <c r="Y306" s="56"/>
      <c r="Z306" s="17"/>
      <c r="AA306" s="55"/>
      <c r="AB306" s="48">
        <f>(B306*194.205+C306*267.466+D306*133.845+E306*153.484+F306*40+G306*85+H306*0+I306*100+J306*300)/(194.205+267.466+133.845+153.484+0+40+85+100+300)</f>
        <v>13.692151767974881</v>
      </c>
      <c r="AC306" s="45">
        <f>(M306*'RAP TEMPLATE-GAS AVAILABILITY'!O305+N306*'RAP TEMPLATE-GAS AVAILABILITY'!P305+O306*'RAP TEMPLATE-GAS AVAILABILITY'!Q305+P306*'RAP TEMPLATE-GAS AVAILABILITY'!R305)/('RAP TEMPLATE-GAS AVAILABILITY'!O305+'RAP TEMPLATE-GAS AVAILABILITY'!P305+'RAP TEMPLATE-GAS AVAILABILITY'!Q305+'RAP TEMPLATE-GAS AVAILABILITY'!R305)</f>
        <v>13.597503597122301</v>
      </c>
    </row>
    <row r="307" spans="1:29" ht="15.75" x14ac:dyDescent="0.25">
      <c r="A307" s="15">
        <v>49857</v>
      </c>
      <c r="B307" s="17">
        <f>CHOOSE(CONTROL!$C$42, 13.3574, 13.3574) * CHOOSE(CONTROL!$C$21, $C$9, 100%, $E$9)</f>
        <v>13.3574</v>
      </c>
      <c r="C307" s="17">
        <f>CHOOSE(CONTROL!$C$42, 13.3654, 13.3654) * CHOOSE(CONTROL!$C$21, $C$9, 100%, $E$9)</f>
        <v>13.365399999999999</v>
      </c>
      <c r="D307" s="17">
        <f>CHOOSE(CONTROL!$C$42, 13.6253, 13.6253) * CHOOSE(CONTROL!$C$21, $C$9, 100%, $E$9)</f>
        <v>13.625299999999999</v>
      </c>
      <c r="E307" s="17">
        <f>CHOOSE(CONTROL!$C$42, 13.6565, 13.6565) * CHOOSE(CONTROL!$C$21, $C$9, 100%, $E$9)</f>
        <v>13.656499999999999</v>
      </c>
      <c r="F307" s="17">
        <f>CHOOSE(CONTROL!$C$42, 13.3678, 13.3678)*CHOOSE(CONTROL!$C$21, $C$9, 100%, $E$9)</f>
        <v>13.367800000000001</v>
      </c>
      <c r="G307" s="17">
        <f>CHOOSE(CONTROL!$C$42, 13.3845, 13.3845)*CHOOSE(CONTROL!$C$21, $C$9, 100%, $E$9)</f>
        <v>13.384499999999999</v>
      </c>
      <c r="H307" s="17">
        <f>CHOOSE(CONTROL!$C$42, 13.6448, 13.6448) * CHOOSE(CONTROL!$C$21, $C$9, 100%, $E$9)</f>
        <v>13.6448</v>
      </c>
      <c r="I307" s="17">
        <f>CHOOSE(CONTROL!$C$42, 13.4227, 13.4227)* CHOOSE(CONTROL!$C$21, $C$9, 100%, $E$9)</f>
        <v>13.422700000000001</v>
      </c>
      <c r="J307" s="17">
        <f>CHOOSE(CONTROL!$C$42, 13.3604, 13.3604)* CHOOSE(CONTROL!$C$21, $C$9, 100%, $E$9)</f>
        <v>13.3604</v>
      </c>
      <c r="K307" s="52">
        <f>CHOOSE(CONTROL!$C$42, 13.4167, 13.4167) * CHOOSE(CONTROL!$C$21, $C$9, 100%, $E$9)</f>
        <v>13.416700000000001</v>
      </c>
      <c r="L307" s="17">
        <f>CHOOSE(CONTROL!$C$42, 14.2318, 14.2318) * CHOOSE(CONTROL!$C$21, $C$9, 100%, $E$9)</f>
        <v>14.2318</v>
      </c>
      <c r="M307" s="17">
        <f>CHOOSE(CONTROL!$C$42, 13.2473, 13.2473) * CHOOSE(CONTROL!$C$21, $C$9, 100%, $E$9)</f>
        <v>13.247299999999999</v>
      </c>
      <c r="N307" s="17">
        <f>CHOOSE(CONTROL!$C$42, 13.2638, 13.2638) * CHOOSE(CONTROL!$C$21, $C$9, 100%, $E$9)</f>
        <v>13.2638</v>
      </c>
      <c r="O307" s="17">
        <f>CHOOSE(CONTROL!$C$42, 13.5291, 13.5291) * CHOOSE(CONTROL!$C$21, $C$9, 100%, $E$9)</f>
        <v>13.5291</v>
      </c>
      <c r="P307" s="17">
        <f>CHOOSE(CONTROL!$C$42, 13.3087, 13.3087) * CHOOSE(CONTROL!$C$21, $C$9, 100%, $E$9)</f>
        <v>13.3087</v>
      </c>
      <c r="Q307" s="17">
        <f>CHOOSE(CONTROL!$C$42, 14.1238, 14.1238) * CHOOSE(CONTROL!$C$21, $C$9, 100%, $E$9)</f>
        <v>14.123799999999999</v>
      </c>
      <c r="R307" s="17">
        <f>CHOOSE(CONTROL!$C$42, 14.7461, 14.7461) * CHOOSE(CONTROL!$C$21, $C$9, 100%, $E$9)</f>
        <v>14.7461</v>
      </c>
      <c r="S307" s="17">
        <f>CHOOSE(CONTROL!$C$42, 12.9411, 12.9411) * CHOOSE(CONTROL!$C$21, $C$9, 100%, $E$9)</f>
        <v>12.9411</v>
      </c>
      <c r="T307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307" s="56">
        <f>(1000*CHOOSE(CONTROL!$C$42, 695, 695)*CHOOSE(CONTROL!$C$42, 0.5599, 0.5599)*CHOOSE(CONTROL!$C$42, 31, 31))/1000000</f>
        <v>12.063045499999998</v>
      </c>
      <c r="V307" s="56">
        <f>(1000*CHOOSE(CONTROL!$C$42, 500, 500)*CHOOSE(CONTROL!$C$42, 0.275, 0.275)*CHOOSE(CONTROL!$C$42, 31, 31))/1000000</f>
        <v>4.2625000000000002</v>
      </c>
      <c r="W307" s="56">
        <f>(1000*CHOOSE(CONTROL!$C$42, 0.0916, 0.0916)*CHOOSE(CONTROL!$C$42, 121.5, 121.5)*CHOOSE(CONTROL!$C$42, 31, 31))/1000000</f>
        <v>0.34501139999999997</v>
      </c>
      <c r="X307" s="56">
        <f>(31*0.1790888*145000/1000000)+(31*0.2374*100000/1000000)</f>
        <v>1.5409441560000001</v>
      </c>
      <c r="Y307" s="56"/>
      <c r="Z307" s="17"/>
      <c r="AA307" s="55"/>
      <c r="AB307" s="48">
        <f>(B307*194.205+C307*267.466+D307*133.845+E307*153.484+F307*40+G307*85+H307*0+I307*100+J307*300)/(194.205+267.466+133.845+153.484+0+40+85+100+300)</f>
        <v>13.431225249529041</v>
      </c>
      <c r="AC307" s="45">
        <f>(M307*'RAP TEMPLATE-GAS AVAILABILITY'!O306+N307*'RAP TEMPLATE-GAS AVAILABILITY'!P306+O307*'RAP TEMPLATE-GAS AVAILABILITY'!Q306+P307*'RAP TEMPLATE-GAS AVAILABILITY'!R306)/('RAP TEMPLATE-GAS AVAILABILITY'!O306+'RAP TEMPLATE-GAS AVAILABILITY'!P306+'RAP TEMPLATE-GAS AVAILABILITY'!Q306+'RAP TEMPLATE-GAS AVAILABILITY'!R306)</f>
        <v>13.338999280575539</v>
      </c>
    </row>
    <row r="308" spans="1:29" ht="15.75" x14ac:dyDescent="0.25">
      <c r="A308" s="15">
        <v>49888</v>
      </c>
      <c r="B308" s="17">
        <f>CHOOSE(CONTROL!$C$42, 12.6983, 12.6983) * CHOOSE(CONTROL!$C$21, $C$9, 100%, $E$9)</f>
        <v>12.6983</v>
      </c>
      <c r="C308" s="17">
        <f>CHOOSE(CONTROL!$C$42, 12.7062, 12.7062) * CHOOSE(CONTROL!$C$21, $C$9, 100%, $E$9)</f>
        <v>12.706200000000001</v>
      </c>
      <c r="D308" s="17">
        <f>CHOOSE(CONTROL!$C$42, 12.9662, 12.9662) * CHOOSE(CONTROL!$C$21, $C$9, 100%, $E$9)</f>
        <v>12.966200000000001</v>
      </c>
      <c r="E308" s="17">
        <f>CHOOSE(CONTROL!$C$42, 12.9974, 12.9974) * CHOOSE(CONTROL!$C$21, $C$9, 100%, $E$9)</f>
        <v>12.997400000000001</v>
      </c>
      <c r="F308" s="17">
        <f>CHOOSE(CONTROL!$C$42, 12.7089, 12.7089)*CHOOSE(CONTROL!$C$21, $C$9, 100%, $E$9)</f>
        <v>12.7089</v>
      </c>
      <c r="G308" s="17">
        <f>CHOOSE(CONTROL!$C$42, 12.7256, 12.7256)*CHOOSE(CONTROL!$C$21, $C$9, 100%, $E$9)</f>
        <v>12.7256</v>
      </c>
      <c r="H308" s="17">
        <f>CHOOSE(CONTROL!$C$42, 12.9857, 12.9857) * CHOOSE(CONTROL!$C$21, $C$9, 100%, $E$9)</f>
        <v>12.9857</v>
      </c>
      <c r="I308" s="17">
        <f>CHOOSE(CONTROL!$C$42, 12.7615, 12.7615)* CHOOSE(CONTROL!$C$21, $C$9, 100%, $E$9)</f>
        <v>12.7615</v>
      </c>
      <c r="J308" s="17">
        <f>CHOOSE(CONTROL!$C$42, 12.7015, 12.7015)* CHOOSE(CONTROL!$C$21, $C$9, 100%, $E$9)</f>
        <v>12.701499999999999</v>
      </c>
      <c r="K308" s="52">
        <f>CHOOSE(CONTROL!$C$42, 12.7555, 12.7555) * CHOOSE(CONTROL!$C$21, $C$9, 100%, $E$9)</f>
        <v>12.7555</v>
      </c>
      <c r="L308" s="17">
        <f>CHOOSE(CONTROL!$C$42, 13.5727, 13.5727) * CHOOSE(CONTROL!$C$21, $C$9, 100%, $E$9)</f>
        <v>13.572699999999999</v>
      </c>
      <c r="M308" s="17">
        <f>CHOOSE(CONTROL!$C$42, 12.5943, 12.5943) * CHOOSE(CONTROL!$C$21, $C$9, 100%, $E$9)</f>
        <v>12.5943</v>
      </c>
      <c r="N308" s="17">
        <f>CHOOSE(CONTROL!$C$42, 12.6108, 12.6108) * CHOOSE(CONTROL!$C$21, $C$9, 100%, $E$9)</f>
        <v>12.610799999999999</v>
      </c>
      <c r="O308" s="17">
        <f>CHOOSE(CONTROL!$C$42, 12.8759, 12.8759) * CHOOSE(CONTROL!$C$21, $C$9, 100%, $E$9)</f>
        <v>12.8759</v>
      </c>
      <c r="P308" s="17">
        <f>CHOOSE(CONTROL!$C$42, 12.6534, 12.6534) * CHOOSE(CONTROL!$C$21, $C$9, 100%, $E$9)</f>
        <v>12.6534</v>
      </c>
      <c r="Q308" s="17">
        <f>CHOOSE(CONTROL!$C$42, 13.4706, 13.4706) * CHOOSE(CONTROL!$C$21, $C$9, 100%, $E$9)</f>
        <v>13.470599999999999</v>
      </c>
      <c r="R308" s="17">
        <f>CHOOSE(CONTROL!$C$42, 14.0913, 14.0913) * CHOOSE(CONTROL!$C$21, $C$9, 100%, $E$9)</f>
        <v>14.0913</v>
      </c>
      <c r="S308" s="17">
        <f>CHOOSE(CONTROL!$C$42, 12.3019, 12.3019) * CHOOSE(CONTROL!$C$21, $C$9, 100%, $E$9)</f>
        <v>12.3019</v>
      </c>
      <c r="T308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308" s="56">
        <f>(1000*CHOOSE(CONTROL!$C$42, 695, 695)*CHOOSE(CONTROL!$C$42, 0.5599, 0.5599)*CHOOSE(CONTROL!$C$42, 31, 31))/1000000</f>
        <v>12.063045499999998</v>
      </c>
      <c r="V308" s="56">
        <f>(1000*CHOOSE(CONTROL!$C$42, 500, 500)*CHOOSE(CONTROL!$C$42, 0.275, 0.275)*CHOOSE(CONTROL!$C$42, 31, 31))/1000000</f>
        <v>4.2625000000000002</v>
      </c>
      <c r="W308" s="56">
        <f>(1000*CHOOSE(CONTROL!$C$42, 0.0916, 0.0916)*CHOOSE(CONTROL!$C$42, 121.5, 121.5)*CHOOSE(CONTROL!$C$42, 31, 31))/1000000</f>
        <v>0.34501139999999997</v>
      </c>
      <c r="X308" s="56">
        <f>(31*0.1790888*145000/1000000)+(31*0.2374*100000/1000000)</f>
        <v>1.5409441560000001</v>
      </c>
      <c r="Y308" s="56"/>
      <c r="Z308" s="17"/>
      <c r="AA308" s="55"/>
      <c r="AB308" s="48">
        <f>(B308*194.205+C308*267.466+D308*133.845+E308*153.484+F308*40+G308*85+H308*0+I308*100+J308*300)/(194.205+267.466+133.845+153.484+0+40+85+100+300)</f>
        <v>12.772006139167974</v>
      </c>
      <c r="AC308" s="45">
        <f>(M308*'RAP TEMPLATE-GAS AVAILABILITY'!O307+N308*'RAP TEMPLATE-GAS AVAILABILITY'!P307+O308*'RAP TEMPLATE-GAS AVAILABILITY'!Q307+P308*'RAP TEMPLATE-GAS AVAILABILITY'!R307)/('RAP TEMPLATE-GAS AVAILABILITY'!O307+'RAP TEMPLATE-GAS AVAILABILITY'!P307+'RAP TEMPLATE-GAS AVAILABILITY'!Q307+'RAP TEMPLATE-GAS AVAILABILITY'!R307)</f>
        <v>12.685612230215828</v>
      </c>
    </row>
    <row r="309" spans="1:29" ht="15.75" x14ac:dyDescent="0.25">
      <c r="A309" s="15">
        <v>49919</v>
      </c>
      <c r="B309" s="17">
        <f>CHOOSE(CONTROL!$C$42, 11.8926, 11.8926) * CHOOSE(CONTROL!$C$21, $C$9, 100%, $E$9)</f>
        <v>11.8926</v>
      </c>
      <c r="C309" s="17">
        <f>CHOOSE(CONTROL!$C$42, 11.9006, 11.9006) * CHOOSE(CONTROL!$C$21, $C$9, 100%, $E$9)</f>
        <v>11.900600000000001</v>
      </c>
      <c r="D309" s="17">
        <f>CHOOSE(CONTROL!$C$42, 12.1605, 12.1605) * CHOOSE(CONTROL!$C$21, $C$9, 100%, $E$9)</f>
        <v>12.160500000000001</v>
      </c>
      <c r="E309" s="17">
        <f>CHOOSE(CONTROL!$C$42, 12.1917, 12.1917) * CHOOSE(CONTROL!$C$21, $C$9, 100%, $E$9)</f>
        <v>12.191700000000001</v>
      </c>
      <c r="F309" s="17">
        <f>CHOOSE(CONTROL!$C$42, 11.9033, 11.9033)*CHOOSE(CONTROL!$C$21, $C$9, 100%, $E$9)</f>
        <v>11.9033</v>
      </c>
      <c r="G309" s="17">
        <f>CHOOSE(CONTROL!$C$42, 11.92, 11.92)*CHOOSE(CONTROL!$C$21, $C$9, 100%, $E$9)</f>
        <v>11.92</v>
      </c>
      <c r="H309" s="17">
        <f>CHOOSE(CONTROL!$C$42, 12.18, 12.18) * CHOOSE(CONTROL!$C$21, $C$9, 100%, $E$9)</f>
        <v>12.18</v>
      </c>
      <c r="I309" s="17">
        <f>CHOOSE(CONTROL!$C$42, 11.9534, 11.9534)* CHOOSE(CONTROL!$C$21, $C$9, 100%, $E$9)</f>
        <v>11.9534</v>
      </c>
      <c r="J309" s="17">
        <f>CHOOSE(CONTROL!$C$42, 11.8959, 11.8959)* CHOOSE(CONTROL!$C$21, $C$9, 100%, $E$9)</f>
        <v>11.895899999999999</v>
      </c>
      <c r="K309" s="52">
        <f>CHOOSE(CONTROL!$C$42, 11.9473, 11.9473) * CHOOSE(CONTROL!$C$21, $C$9, 100%, $E$9)</f>
        <v>11.9473</v>
      </c>
      <c r="L309" s="17">
        <f>CHOOSE(CONTROL!$C$42, 12.767, 12.767) * CHOOSE(CONTROL!$C$21, $C$9, 100%, $E$9)</f>
        <v>12.766999999999999</v>
      </c>
      <c r="M309" s="17">
        <f>CHOOSE(CONTROL!$C$42, 11.7959, 11.7959) * CHOOSE(CONTROL!$C$21, $C$9, 100%, $E$9)</f>
        <v>11.7959</v>
      </c>
      <c r="N309" s="17">
        <f>CHOOSE(CONTROL!$C$42, 11.8124, 11.8124) * CHOOSE(CONTROL!$C$21, $C$9, 100%, $E$9)</f>
        <v>11.8124</v>
      </c>
      <c r="O309" s="17">
        <f>CHOOSE(CONTROL!$C$42, 12.0775, 12.0775) * CHOOSE(CONTROL!$C$21, $C$9, 100%, $E$9)</f>
        <v>12.077500000000001</v>
      </c>
      <c r="P309" s="17">
        <f>CHOOSE(CONTROL!$C$42, 11.8526, 11.8526) * CHOOSE(CONTROL!$C$21, $C$9, 100%, $E$9)</f>
        <v>11.852600000000001</v>
      </c>
      <c r="Q309" s="17">
        <f>CHOOSE(CONTROL!$C$42, 12.6722, 12.6722) * CHOOSE(CONTROL!$C$21, $C$9, 100%, $E$9)</f>
        <v>12.6722</v>
      </c>
      <c r="R309" s="17">
        <f>CHOOSE(CONTROL!$C$42, 13.2909, 13.2909) * CHOOSE(CONTROL!$C$21, $C$9, 100%, $E$9)</f>
        <v>13.290900000000001</v>
      </c>
      <c r="S309" s="17">
        <f>CHOOSE(CONTROL!$C$42, 11.5207, 11.5207) * CHOOSE(CONTROL!$C$21, $C$9, 100%, $E$9)</f>
        <v>11.5207</v>
      </c>
      <c r="T309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309" s="56">
        <f>(1000*CHOOSE(CONTROL!$C$42, 695, 695)*CHOOSE(CONTROL!$C$42, 0.5599, 0.5599)*CHOOSE(CONTROL!$C$42, 30, 30))/1000000</f>
        <v>11.673914999999997</v>
      </c>
      <c r="V309" s="56">
        <f>(1000*CHOOSE(CONTROL!$C$42, 500, 500)*CHOOSE(CONTROL!$C$42, 0.275, 0.275)*CHOOSE(CONTROL!$C$42, 30, 30))/1000000</f>
        <v>4.125</v>
      </c>
      <c r="W309" s="56">
        <f>(1000*CHOOSE(CONTROL!$C$42, 0.0916, 0.0916)*CHOOSE(CONTROL!$C$42, 121.5, 121.5)*CHOOSE(CONTROL!$C$42, 30, 30))/1000000</f>
        <v>0.33388200000000001</v>
      </c>
      <c r="X309" s="56">
        <f>(30*0.1790888*145000/1000000)+(30*0.2374*100000/1000000)</f>
        <v>1.4912362799999999</v>
      </c>
      <c r="Y309" s="56"/>
      <c r="Z309" s="17"/>
      <c r="AA309" s="55"/>
      <c r="AB309" s="48">
        <f>(B309*194.205+C309*267.466+D309*133.845+E309*153.484+F309*40+G309*85+H309*0+I309*100+J309*300)/(194.205+267.466+133.845+153.484+0+40+85+100+300)</f>
        <v>11.966172109811618</v>
      </c>
      <c r="AC309" s="45">
        <f>(M309*'RAP TEMPLATE-GAS AVAILABILITY'!O308+N309*'RAP TEMPLATE-GAS AVAILABILITY'!P308+O309*'RAP TEMPLATE-GAS AVAILABILITY'!Q308+P309*'RAP TEMPLATE-GAS AVAILABILITY'!R308)/('RAP TEMPLATE-GAS AVAILABILITY'!O308+'RAP TEMPLATE-GAS AVAILABILITY'!P308+'RAP TEMPLATE-GAS AVAILABILITY'!Q308+'RAP TEMPLATE-GAS AVAILABILITY'!R308)</f>
        <v>11.88686690647482</v>
      </c>
    </row>
    <row r="310" spans="1:29" ht="15.75" x14ac:dyDescent="0.25">
      <c r="A310" s="15">
        <v>49949</v>
      </c>
      <c r="B310" s="17">
        <f>CHOOSE(CONTROL!$C$42, 11.6497, 11.6497) * CHOOSE(CONTROL!$C$21, $C$9, 100%, $E$9)</f>
        <v>11.649699999999999</v>
      </c>
      <c r="C310" s="17">
        <f>CHOOSE(CONTROL!$C$42, 11.655, 11.655) * CHOOSE(CONTROL!$C$21, $C$9, 100%, $E$9)</f>
        <v>11.654999999999999</v>
      </c>
      <c r="D310" s="17">
        <f>CHOOSE(CONTROL!$C$42, 11.9198, 11.9198) * CHOOSE(CONTROL!$C$21, $C$9, 100%, $E$9)</f>
        <v>11.9198</v>
      </c>
      <c r="E310" s="17">
        <f>CHOOSE(CONTROL!$C$42, 11.9487, 11.9487) * CHOOSE(CONTROL!$C$21, $C$9, 100%, $E$9)</f>
        <v>11.948700000000001</v>
      </c>
      <c r="F310" s="17">
        <f>CHOOSE(CONTROL!$C$42, 11.6625, 11.6625)*CHOOSE(CONTROL!$C$21, $C$9, 100%, $E$9)</f>
        <v>11.6625</v>
      </c>
      <c r="G310" s="17">
        <f>CHOOSE(CONTROL!$C$42, 11.6791, 11.6791)*CHOOSE(CONTROL!$C$21, $C$9, 100%, $E$9)</f>
        <v>11.6791</v>
      </c>
      <c r="H310" s="17">
        <f>CHOOSE(CONTROL!$C$42, 11.9388, 11.9388) * CHOOSE(CONTROL!$C$21, $C$9, 100%, $E$9)</f>
        <v>11.938800000000001</v>
      </c>
      <c r="I310" s="17">
        <f>CHOOSE(CONTROL!$C$42, 11.7114, 11.7114)* CHOOSE(CONTROL!$C$21, $C$9, 100%, $E$9)</f>
        <v>11.711399999999999</v>
      </c>
      <c r="J310" s="17">
        <f>CHOOSE(CONTROL!$C$42, 11.6551, 11.6551)* CHOOSE(CONTROL!$C$21, $C$9, 100%, $E$9)</f>
        <v>11.655099999999999</v>
      </c>
      <c r="K310" s="52">
        <f>CHOOSE(CONTROL!$C$42, 11.7054, 11.7054) * CHOOSE(CONTROL!$C$21, $C$9, 100%, $E$9)</f>
        <v>11.705399999999999</v>
      </c>
      <c r="L310" s="17">
        <f>CHOOSE(CONTROL!$C$42, 12.5258, 12.5258) * CHOOSE(CONTROL!$C$21, $C$9, 100%, $E$9)</f>
        <v>12.5258</v>
      </c>
      <c r="M310" s="17">
        <f>CHOOSE(CONTROL!$C$42, 11.5573, 11.5573) * CHOOSE(CONTROL!$C$21, $C$9, 100%, $E$9)</f>
        <v>11.5573</v>
      </c>
      <c r="N310" s="17">
        <f>CHOOSE(CONTROL!$C$42, 11.5737, 11.5737) * CHOOSE(CONTROL!$C$21, $C$9, 100%, $E$9)</f>
        <v>11.573700000000001</v>
      </c>
      <c r="O310" s="17">
        <f>CHOOSE(CONTROL!$C$42, 11.8385, 11.8385) * CHOOSE(CONTROL!$C$21, $C$9, 100%, $E$9)</f>
        <v>11.8385</v>
      </c>
      <c r="P310" s="17">
        <f>CHOOSE(CONTROL!$C$42, 11.6128, 11.6128) * CHOOSE(CONTROL!$C$21, $C$9, 100%, $E$9)</f>
        <v>11.6128</v>
      </c>
      <c r="Q310" s="17">
        <f>CHOOSE(CONTROL!$C$42, 12.4332, 12.4332) * CHOOSE(CONTROL!$C$21, $C$9, 100%, $E$9)</f>
        <v>12.433199999999999</v>
      </c>
      <c r="R310" s="17">
        <f>CHOOSE(CONTROL!$C$42, 13.0512, 13.0512) * CHOOSE(CONTROL!$C$21, $C$9, 100%, $E$9)</f>
        <v>13.0512</v>
      </c>
      <c r="S310" s="17">
        <f>CHOOSE(CONTROL!$C$42, 11.2868, 11.2868) * CHOOSE(CONTROL!$C$21, $C$9, 100%, $E$9)</f>
        <v>11.286799999999999</v>
      </c>
      <c r="T310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310" s="56">
        <f>(1000*CHOOSE(CONTROL!$C$42, 695, 695)*CHOOSE(CONTROL!$C$42, 0.5599, 0.5599)*CHOOSE(CONTROL!$C$42, 31, 31))/1000000</f>
        <v>12.063045499999998</v>
      </c>
      <c r="V310" s="56">
        <f>(1000*CHOOSE(CONTROL!$C$42, 500, 500)*CHOOSE(CONTROL!$C$42, 0.275, 0.275)*CHOOSE(CONTROL!$C$42, 31, 31))/1000000</f>
        <v>4.2625000000000002</v>
      </c>
      <c r="W310" s="56">
        <f>(1000*CHOOSE(CONTROL!$C$42, 0.0916, 0.0916)*CHOOSE(CONTROL!$C$42, 121.5, 121.5)*CHOOSE(CONTROL!$C$42, 31, 31))/1000000</f>
        <v>0.34501139999999997</v>
      </c>
      <c r="X310" s="56">
        <f>(31*0.1790888*145000/1000000)+(31*0.2374*100000/1000000)</f>
        <v>1.5409441560000001</v>
      </c>
      <c r="Y310" s="56"/>
      <c r="Z310" s="17"/>
      <c r="AA310" s="55"/>
      <c r="AB310" s="48">
        <f>(B310*131.881+C310*277.167+D310*79.08+E310*225.872+F310*40+G310*85+H310*0+I310*100+J310*300)/(131.881+277.167+79.08+225.872+0+40+85+100+300)</f>
        <v>11.731350703066989</v>
      </c>
      <c r="AC310" s="45">
        <f>(M310*'RAP TEMPLATE-GAS AVAILABILITY'!O309+N310*'RAP TEMPLATE-GAS AVAILABILITY'!P309+O310*'RAP TEMPLATE-GAS AVAILABILITY'!Q309+P310*'RAP TEMPLATE-GAS AVAILABILITY'!R309)/('RAP TEMPLATE-GAS AVAILABILITY'!O309+'RAP TEMPLATE-GAS AVAILABILITY'!P309+'RAP TEMPLATE-GAS AVAILABILITY'!Q309+'RAP TEMPLATE-GAS AVAILABILITY'!R309)</f>
        <v>11.647958992805755</v>
      </c>
    </row>
    <row r="311" spans="1:29" ht="15.75" x14ac:dyDescent="0.25">
      <c r="A311" s="15">
        <v>49980</v>
      </c>
      <c r="B311" s="17">
        <f>CHOOSE(CONTROL!$C$42, 11.9559, 11.9559) * CHOOSE(CONTROL!$C$21, $C$9, 100%, $E$9)</f>
        <v>11.9559</v>
      </c>
      <c r="C311" s="17">
        <f>CHOOSE(CONTROL!$C$42, 11.961, 11.961) * CHOOSE(CONTROL!$C$21, $C$9, 100%, $E$9)</f>
        <v>11.961</v>
      </c>
      <c r="D311" s="17">
        <f>CHOOSE(CONTROL!$C$42, 12.1016, 12.1016) * CHOOSE(CONTROL!$C$21, $C$9, 100%, $E$9)</f>
        <v>12.101599999999999</v>
      </c>
      <c r="E311" s="17">
        <f>CHOOSE(CONTROL!$C$42, 12.1354, 12.1354) * CHOOSE(CONTROL!$C$21, $C$9, 100%, $E$9)</f>
        <v>12.135400000000001</v>
      </c>
      <c r="F311" s="17">
        <f>CHOOSE(CONTROL!$C$42, 11.9692, 11.9692)*CHOOSE(CONTROL!$C$21, $C$9, 100%, $E$9)</f>
        <v>11.969200000000001</v>
      </c>
      <c r="G311" s="17">
        <f>CHOOSE(CONTROL!$C$42, 11.986, 11.986)*CHOOSE(CONTROL!$C$21, $C$9, 100%, $E$9)</f>
        <v>11.986000000000001</v>
      </c>
      <c r="H311" s="17">
        <f>CHOOSE(CONTROL!$C$42, 12.1243, 12.1243) * CHOOSE(CONTROL!$C$21, $C$9, 100%, $E$9)</f>
        <v>12.1243</v>
      </c>
      <c r="I311" s="17">
        <f>CHOOSE(CONTROL!$C$42, 12.0154, 12.0154)* CHOOSE(CONTROL!$C$21, $C$9, 100%, $E$9)</f>
        <v>12.0154</v>
      </c>
      <c r="J311" s="17">
        <f>CHOOSE(CONTROL!$C$42, 11.9618, 11.9618)* CHOOSE(CONTROL!$C$21, $C$9, 100%, $E$9)</f>
        <v>11.9618</v>
      </c>
      <c r="K311" s="52">
        <f>CHOOSE(CONTROL!$C$42, 12.0093, 12.0093) * CHOOSE(CONTROL!$C$21, $C$9, 100%, $E$9)</f>
        <v>12.0093</v>
      </c>
      <c r="L311" s="17">
        <f>CHOOSE(CONTROL!$C$42, 12.7113, 12.7113) * CHOOSE(CONTROL!$C$21, $C$9, 100%, $E$9)</f>
        <v>12.7113</v>
      </c>
      <c r="M311" s="17">
        <f>CHOOSE(CONTROL!$C$42, 11.8612, 11.8612) * CHOOSE(CONTROL!$C$21, $C$9, 100%, $E$9)</f>
        <v>11.8612</v>
      </c>
      <c r="N311" s="17">
        <f>CHOOSE(CONTROL!$C$42, 11.8779, 11.8779) * CHOOSE(CONTROL!$C$21, $C$9, 100%, $E$9)</f>
        <v>11.8779</v>
      </c>
      <c r="O311" s="17">
        <f>CHOOSE(CONTROL!$C$42, 12.0222, 12.0222) * CHOOSE(CONTROL!$C$21, $C$9, 100%, $E$9)</f>
        <v>12.0222</v>
      </c>
      <c r="P311" s="17">
        <f>CHOOSE(CONTROL!$C$42, 11.914, 11.914) * CHOOSE(CONTROL!$C$21, $C$9, 100%, $E$9)</f>
        <v>11.914</v>
      </c>
      <c r="Q311" s="17">
        <f>CHOOSE(CONTROL!$C$42, 12.6169, 12.6169) * CHOOSE(CONTROL!$C$21, $C$9, 100%, $E$9)</f>
        <v>12.616899999999999</v>
      </c>
      <c r="R311" s="17">
        <f>CHOOSE(CONTROL!$C$42, 13.2355, 13.2355) * CHOOSE(CONTROL!$C$21, $C$9, 100%, $E$9)</f>
        <v>13.2355</v>
      </c>
      <c r="S311" s="17">
        <f>CHOOSE(CONTROL!$C$42, 11.5841, 11.5841) * CHOOSE(CONTROL!$C$21, $C$9, 100%, $E$9)</f>
        <v>11.584099999999999</v>
      </c>
      <c r="T311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311" s="56">
        <f>(1000*CHOOSE(CONTROL!$C$42, 695, 695)*CHOOSE(CONTROL!$C$42, 0.5599, 0.5599)*CHOOSE(CONTROL!$C$42, 30, 30))/1000000</f>
        <v>11.673914999999997</v>
      </c>
      <c r="V311" s="56">
        <f>(1000*CHOOSE(CONTROL!$C$42, 500, 500)*CHOOSE(CONTROL!$C$42, 0.275, 0.275)*CHOOSE(CONTROL!$C$42, 30, 30))/1000000</f>
        <v>4.125</v>
      </c>
      <c r="W311" s="56">
        <f>(1000*CHOOSE(CONTROL!$C$42, 0.0916, 0.0916)*CHOOSE(CONTROL!$C$42, 121.5, 121.5)*CHOOSE(CONTROL!$C$42, 30, 30))/1000000</f>
        <v>0.33388200000000001</v>
      </c>
      <c r="X311" s="56">
        <f>(30*0.2374*100000/1000000)</f>
        <v>0.71220000000000006</v>
      </c>
      <c r="Y311" s="56"/>
      <c r="Z311" s="17"/>
      <c r="AA311" s="55"/>
      <c r="AB311" s="48">
        <f>(B311*122.58+C311*297.941+D311*89.177+E311*140.302+F311*40+G311*60+H311*0+I311*100+J311*300)/(122.58+297.941+89.177+140.302+0+40+60+100+300)</f>
        <v>11.999165040869567</v>
      </c>
      <c r="AC311" s="45">
        <f>(M311*'RAP TEMPLATE-GAS AVAILABILITY'!O310+N311*'RAP TEMPLATE-GAS AVAILABILITY'!P310+O311*'RAP TEMPLATE-GAS AVAILABILITY'!Q310+P311*'RAP TEMPLATE-GAS AVAILABILITY'!R310)/('RAP TEMPLATE-GAS AVAILABILITY'!O310+'RAP TEMPLATE-GAS AVAILABILITY'!P310+'RAP TEMPLATE-GAS AVAILABILITY'!Q310+'RAP TEMPLATE-GAS AVAILABILITY'!R310)</f>
        <v>11.942729496402878</v>
      </c>
    </row>
    <row r="312" spans="1:29" ht="15.75" x14ac:dyDescent="0.25">
      <c r="A312" s="15">
        <v>50010</v>
      </c>
      <c r="B312" s="17">
        <f>CHOOSE(CONTROL!$C$42, 12.7703, 12.7703) * CHOOSE(CONTROL!$C$21, $C$9, 100%, $E$9)</f>
        <v>12.770300000000001</v>
      </c>
      <c r="C312" s="17">
        <f>CHOOSE(CONTROL!$C$42, 12.7754, 12.7754) * CHOOSE(CONTROL!$C$21, $C$9, 100%, $E$9)</f>
        <v>12.775399999999999</v>
      </c>
      <c r="D312" s="17">
        <f>CHOOSE(CONTROL!$C$42, 12.9161, 12.9161) * CHOOSE(CONTROL!$C$21, $C$9, 100%, $E$9)</f>
        <v>12.9161</v>
      </c>
      <c r="E312" s="17">
        <f>CHOOSE(CONTROL!$C$42, 12.9498, 12.9498) * CHOOSE(CONTROL!$C$21, $C$9, 100%, $E$9)</f>
        <v>12.9498</v>
      </c>
      <c r="F312" s="17">
        <f>CHOOSE(CONTROL!$C$42, 12.786, 12.786)*CHOOSE(CONTROL!$C$21, $C$9, 100%, $E$9)</f>
        <v>12.786</v>
      </c>
      <c r="G312" s="17">
        <f>CHOOSE(CONTROL!$C$42, 12.8035, 12.8035)*CHOOSE(CONTROL!$C$21, $C$9, 100%, $E$9)</f>
        <v>12.8035</v>
      </c>
      <c r="H312" s="17">
        <f>CHOOSE(CONTROL!$C$42, 12.9387, 12.9387) * CHOOSE(CONTROL!$C$21, $C$9, 100%, $E$9)</f>
        <v>12.938700000000001</v>
      </c>
      <c r="I312" s="17">
        <f>CHOOSE(CONTROL!$C$42, 12.8323, 12.8323)* CHOOSE(CONTROL!$C$21, $C$9, 100%, $E$9)</f>
        <v>12.8323</v>
      </c>
      <c r="J312" s="17">
        <f>CHOOSE(CONTROL!$C$42, 12.7786, 12.7786)* CHOOSE(CONTROL!$C$21, $C$9, 100%, $E$9)</f>
        <v>12.778600000000001</v>
      </c>
      <c r="K312" s="52">
        <f>CHOOSE(CONTROL!$C$42, 12.8263, 12.8263) * CHOOSE(CONTROL!$C$21, $C$9, 100%, $E$9)</f>
        <v>12.8263</v>
      </c>
      <c r="L312" s="17">
        <f>CHOOSE(CONTROL!$C$42, 13.5257, 13.5257) * CHOOSE(CONTROL!$C$21, $C$9, 100%, $E$9)</f>
        <v>13.525700000000001</v>
      </c>
      <c r="M312" s="17">
        <f>CHOOSE(CONTROL!$C$42, 12.6707, 12.6707) * CHOOSE(CONTROL!$C$21, $C$9, 100%, $E$9)</f>
        <v>12.6707</v>
      </c>
      <c r="N312" s="17">
        <f>CHOOSE(CONTROL!$C$42, 12.6881, 12.6881) * CHOOSE(CONTROL!$C$21, $C$9, 100%, $E$9)</f>
        <v>12.6881</v>
      </c>
      <c r="O312" s="17">
        <f>CHOOSE(CONTROL!$C$42, 12.8294, 12.8294) * CHOOSE(CONTROL!$C$21, $C$9, 100%, $E$9)</f>
        <v>12.8294</v>
      </c>
      <c r="P312" s="17">
        <f>CHOOSE(CONTROL!$C$42, 12.7236, 12.7236) * CHOOSE(CONTROL!$C$21, $C$9, 100%, $E$9)</f>
        <v>12.723599999999999</v>
      </c>
      <c r="Q312" s="17">
        <f>CHOOSE(CONTROL!$C$42, 13.4241, 13.4241) * CHOOSE(CONTROL!$C$21, $C$9, 100%, $E$9)</f>
        <v>13.424099999999999</v>
      </c>
      <c r="R312" s="17">
        <f>CHOOSE(CONTROL!$C$42, 14.0446, 14.0446) * CHOOSE(CONTROL!$C$21, $C$9, 100%, $E$9)</f>
        <v>14.044600000000001</v>
      </c>
      <c r="S312" s="17">
        <f>CHOOSE(CONTROL!$C$42, 12.3739, 12.3739) * CHOOSE(CONTROL!$C$21, $C$9, 100%, $E$9)</f>
        <v>12.373900000000001</v>
      </c>
      <c r="T312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312" s="56">
        <f>(1000*CHOOSE(CONTROL!$C$42, 695, 695)*CHOOSE(CONTROL!$C$42, 0.5599, 0.5599)*CHOOSE(CONTROL!$C$42, 31, 31))/1000000</f>
        <v>12.063045499999998</v>
      </c>
      <c r="V312" s="56">
        <f>(1000*CHOOSE(CONTROL!$C$42, 500, 500)*CHOOSE(CONTROL!$C$42, 0.275, 0.275)*CHOOSE(CONTROL!$C$42, 31, 31))/1000000</f>
        <v>4.2625000000000002</v>
      </c>
      <c r="W312" s="56">
        <f>(1000*CHOOSE(CONTROL!$C$42, 0.0916, 0.0916)*CHOOSE(CONTROL!$C$42, 121.5, 121.5)*CHOOSE(CONTROL!$C$42, 31, 31))/1000000</f>
        <v>0.34501139999999997</v>
      </c>
      <c r="X312" s="56">
        <f>(31*0.2374*100000/1000000)</f>
        <v>0.73594000000000004</v>
      </c>
      <c r="Y312" s="56"/>
      <c r="Z312" s="17"/>
      <c r="AA312" s="55"/>
      <c r="AB312" s="48">
        <f>(B312*122.58+C312*297.941+D312*89.177+E312*140.302+F312*40+G312*60+H312*0+I312*100+J312*300)/(122.58+297.941+89.177+140.302+0+40+60+100+300)</f>
        <v>12.814661491043477</v>
      </c>
      <c r="AC312" s="45">
        <f>(M312*'RAP TEMPLATE-GAS AVAILABILITY'!O311+N312*'RAP TEMPLATE-GAS AVAILABILITY'!P311+O312*'RAP TEMPLATE-GAS AVAILABILITY'!Q311+P312*'RAP TEMPLATE-GAS AVAILABILITY'!R311)/('RAP TEMPLATE-GAS AVAILABILITY'!O311+'RAP TEMPLATE-GAS AVAILABILITY'!P311+'RAP TEMPLATE-GAS AVAILABILITY'!Q311+'RAP TEMPLATE-GAS AVAILABILITY'!R311)</f>
        <v>12.751241726618703</v>
      </c>
    </row>
    <row r="313" spans="1:29" ht="15.75" x14ac:dyDescent="0.25">
      <c r="A313" s="15">
        <v>50041</v>
      </c>
      <c r="B313" s="17">
        <f>CHOOSE(CONTROL!$C$42, 13.751, 13.751) * CHOOSE(CONTROL!$C$21, $C$9, 100%, $E$9)</f>
        <v>13.750999999999999</v>
      </c>
      <c r="C313" s="17">
        <f>CHOOSE(CONTROL!$C$42, 13.756, 13.756) * CHOOSE(CONTROL!$C$21, $C$9, 100%, $E$9)</f>
        <v>13.756</v>
      </c>
      <c r="D313" s="17">
        <f>CHOOSE(CONTROL!$C$42, 13.89, 13.89) * CHOOSE(CONTROL!$C$21, $C$9, 100%, $E$9)</f>
        <v>13.89</v>
      </c>
      <c r="E313" s="17">
        <f>CHOOSE(CONTROL!$C$42, 13.9238, 13.9238) * CHOOSE(CONTROL!$C$21, $C$9, 100%, $E$9)</f>
        <v>13.9238</v>
      </c>
      <c r="F313" s="17">
        <f>CHOOSE(CONTROL!$C$42, 13.7644, 13.7644)*CHOOSE(CONTROL!$C$21, $C$9, 100%, $E$9)</f>
        <v>13.7644</v>
      </c>
      <c r="G313" s="17">
        <f>CHOOSE(CONTROL!$C$42, 13.7813, 13.7813)*CHOOSE(CONTROL!$C$21, $C$9, 100%, $E$9)</f>
        <v>13.7813</v>
      </c>
      <c r="H313" s="17">
        <f>CHOOSE(CONTROL!$C$42, 13.9126, 13.9126) * CHOOSE(CONTROL!$C$21, $C$9, 100%, $E$9)</f>
        <v>13.912599999999999</v>
      </c>
      <c r="I313" s="17">
        <f>CHOOSE(CONTROL!$C$42, 13.8201, 13.8201)* CHOOSE(CONTROL!$C$21, $C$9, 100%, $E$9)</f>
        <v>13.8201</v>
      </c>
      <c r="J313" s="17">
        <f>CHOOSE(CONTROL!$C$42, 13.757, 13.757)* CHOOSE(CONTROL!$C$21, $C$9, 100%, $E$9)</f>
        <v>13.757</v>
      </c>
      <c r="K313" s="52">
        <f>CHOOSE(CONTROL!$C$42, 13.8141, 13.8141) * CHOOSE(CONTROL!$C$21, $C$9, 100%, $E$9)</f>
        <v>13.8141</v>
      </c>
      <c r="L313" s="17">
        <f>CHOOSE(CONTROL!$C$42, 14.4996, 14.4996) * CHOOSE(CONTROL!$C$21, $C$9, 100%, $E$9)</f>
        <v>14.499599999999999</v>
      </c>
      <c r="M313" s="17">
        <f>CHOOSE(CONTROL!$C$42, 13.6403, 13.6403) * CHOOSE(CONTROL!$C$21, $C$9, 100%, $E$9)</f>
        <v>13.6403</v>
      </c>
      <c r="N313" s="17">
        <f>CHOOSE(CONTROL!$C$42, 13.657, 13.657) * CHOOSE(CONTROL!$C$21, $C$9, 100%, $E$9)</f>
        <v>13.657</v>
      </c>
      <c r="O313" s="17">
        <f>CHOOSE(CONTROL!$C$42, 13.7945, 13.7945) * CHOOSE(CONTROL!$C$21, $C$9, 100%, $E$9)</f>
        <v>13.794499999999999</v>
      </c>
      <c r="P313" s="17">
        <f>CHOOSE(CONTROL!$C$42, 13.7025, 13.7025) * CHOOSE(CONTROL!$C$21, $C$9, 100%, $E$9)</f>
        <v>13.702500000000001</v>
      </c>
      <c r="Q313" s="17">
        <f>CHOOSE(CONTROL!$C$42, 14.3892, 14.3892) * CHOOSE(CONTROL!$C$21, $C$9, 100%, $E$9)</f>
        <v>14.389200000000001</v>
      </c>
      <c r="R313" s="17">
        <f>CHOOSE(CONTROL!$C$42, 15.0122, 15.0122) * CHOOSE(CONTROL!$C$21, $C$9, 100%, $E$9)</f>
        <v>15.0122</v>
      </c>
      <c r="S313" s="17">
        <f>CHOOSE(CONTROL!$C$42, 13.3248, 13.3248) * CHOOSE(CONTROL!$C$21, $C$9, 100%, $E$9)</f>
        <v>13.3248</v>
      </c>
      <c r="T313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313" s="56">
        <f>(1000*CHOOSE(CONTROL!$C$42, 695, 695)*CHOOSE(CONTROL!$C$42, 0.5599, 0.5599)*CHOOSE(CONTROL!$C$42, 31, 31))/1000000</f>
        <v>12.063045499999998</v>
      </c>
      <c r="V313" s="56">
        <f>(1000*CHOOSE(CONTROL!$C$42, 500, 500)*CHOOSE(CONTROL!$C$42, 0.275, 0.275)*CHOOSE(CONTROL!$C$42, 31, 31))/1000000</f>
        <v>4.2625000000000002</v>
      </c>
      <c r="W313" s="56">
        <f>(1000*CHOOSE(CONTROL!$C$42, 0.0916, 0.0916)*CHOOSE(CONTROL!$C$42, 121.5, 121.5)*CHOOSE(CONTROL!$C$42, 31, 31))/1000000</f>
        <v>0.34501139999999997</v>
      </c>
      <c r="X313" s="56">
        <f>(31*0.2374*100000/1000000)</f>
        <v>0.73594000000000004</v>
      </c>
      <c r="Y313" s="56"/>
      <c r="Z313" s="17"/>
      <c r="AA313" s="55"/>
      <c r="AB313" s="48">
        <f>(B313*122.58+C313*297.941+D313*89.177+E313*140.302+F313*40+G313*60+H313*0+I313*100+J313*300)/(122.58+297.941+89.177+140.302+0+40+60+100+300)</f>
        <v>13.793776950956524</v>
      </c>
      <c r="AC313" s="45">
        <f>(M313*'RAP TEMPLATE-GAS AVAILABILITY'!O312+N313*'RAP TEMPLATE-GAS AVAILABILITY'!P312+O313*'RAP TEMPLATE-GAS AVAILABILITY'!Q312+P313*'RAP TEMPLATE-GAS AVAILABILITY'!R312)/('RAP TEMPLATE-GAS AVAILABILITY'!O312+'RAP TEMPLATE-GAS AVAILABILITY'!P312+'RAP TEMPLATE-GAS AVAILABILITY'!Q312+'RAP TEMPLATE-GAS AVAILABILITY'!R312)</f>
        <v>13.720099999999999</v>
      </c>
    </row>
    <row r="314" spans="1:29" ht="15.75" x14ac:dyDescent="0.25">
      <c r="A314" s="15">
        <v>50072</v>
      </c>
      <c r="B314" s="17">
        <f>CHOOSE(CONTROL!$C$42, 13.9956, 13.9956) * CHOOSE(CONTROL!$C$21, $C$9, 100%, $E$9)</f>
        <v>13.9956</v>
      </c>
      <c r="C314" s="17">
        <f>CHOOSE(CONTROL!$C$42, 14.0006, 14.0006) * CHOOSE(CONTROL!$C$21, $C$9, 100%, $E$9)</f>
        <v>14.0006</v>
      </c>
      <c r="D314" s="17">
        <f>CHOOSE(CONTROL!$C$42, 14.1346, 14.1346) * CHOOSE(CONTROL!$C$21, $C$9, 100%, $E$9)</f>
        <v>14.134600000000001</v>
      </c>
      <c r="E314" s="17">
        <f>CHOOSE(CONTROL!$C$42, 14.1684, 14.1684) * CHOOSE(CONTROL!$C$21, $C$9, 100%, $E$9)</f>
        <v>14.1684</v>
      </c>
      <c r="F314" s="17">
        <f>CHOOSE(CONTROL!$C$42, 14.009, 14.009)*CHOOSE(CONTROL!$C$21, $C$9, 100%, $E$9)</f>
        <v>14.009</v>
      </c>
      <c r="G314" s="17">
        <f>CHOOSE(CONTROL!$C$42, 14.0258, 14.0258)*CHOOSE(CONTROL!$C$21, $C$9, 100%, $E$9)</f>
        <v>14.0258</v>
      </c>
      <c r="H314" s="17">
        <f>CHOOSE(CONTROL!$C$42, 14.1572, 14.1572) * CHOOSE(CONTROL!$C$21, $C$9, 100%, $E$9)</f>
        <v>14.1572</v>
      </c>
      <c r="I314" s="17">
        <f>CHOOSE(CONTROL!$C$42, 14.0655, 14.0655)* CHOOSE(CONTROL!$C$21, $C$9, 100%, $E$9)</f>
        <v>14.0655</v>
      </c>
      <c r="J314" s="17">
        <f>CHOOSE(CONTROL!$C$42, 14.0016, 14.0016)* CHOOSE(CONTROL!$C$21, $C$9, 100%, $E$9)</f>
        <v>14.0016</v>
      </c>
      <c r="K314" s="52">
        <f>CHOOSE(CONTROL!$C$42, 14.0595, 14.0595) * CHOOSE(CONTROL!$C$21, $C$9, 100%, $E$9)</f>
        <v>14.0595</v>
      </c>
      <c r="L314" s="17">
        <f>CHOOSE(CONTROL!$C$42, 14.7442, 14.7442) * CHOOSE(CONTROL!$C$21, $C$9, 100%, $E$9)</f>
        <v>14.744199999999999</v>
      </c>
      <c r="M314" s="17">
        <f>CHOOSE(CONTROL!$C$42, 13.8826, 13.8826) * CHOOSE(CONTROL!$C$21, $C$9, 100%, $E$9)</f>
        <v>13.8826</v>
      </c>
      <c r="N314" s="17">
        <f>CHOOSE(CONTROL!$C$42, 13.8994, 13.8994) * CHOOSE(CONTROL!$C$21, $C$9, 100%, $E$9)</f>
        <v>13.8994</v>
      </c>
      <c r="O314" s="17">
        <f>CHOOSE(CONTROL!$C$42, 14.0369, 14.0369) * CHOOSE(CONTROL!$C$21, $C$9, 100%, $E$9)</f>
        <v>14.036899999999999</v>
      </c>
      <c r="P314" s="17">
        <f>CHOOSE(CONTROL!$C$42, 13.9457, 13.9457) * CHOOSE(CONTROL!$C$21, $C$9, 100%, $E$9)</f>
        <v>13.9457</v>
      </c>
      <c r="Q314" s="17">
        <f>CHOOSE(CONTROL!$C$42, 14.6316, 14.6316) * CHOOSE(CONTROL!$C$21, $C$9, 100%, $E$9)</f>
        <v>14.631600000000001</v>
      </c>
      <c r="R314" s="17">
        <f>CHOOSE(CONTROL!$C$42, 15.2552, 15.2552) * CHOOSE(CONTROL!$C$21, $C$9, 100%, $E$9)</f>
        <v>15.2552</v>
      </c>
      <c r="S314" s="17">
        <f>CHOOSE(CONTROL!$C$42, 13.562, 13.562) * CHOOSE(CONTROL!$C$21, $C$9, 100%, $E$9)</f>
        <v>13.561999999999999</v>
      </c>
      <c r="T314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314" s="56">
        <f>(1000*CHOOSE(CONTROL!$C$42, 695, 695)*CHOOSE(CONTROL!$C$42, 0.5599, 0.5599)*CHOOSE(CONTROL!$C$42, 28, 28))/1000000</f>
        <v>10.895653999999999</v>
      </c>
      <c r="V314" s="56">
        <f>(1000*CHOOSE(CONTROL!$C$42, 500, 500)*CHOOSE(CONTROL!$C$42, 0.275, 0.275)*CHOOSE(CONTROL!$C$42, 28, 28))/1000000</f>
        <v>3.85</v>
      </c>
      <c r="W314" s="56">
        <f>(1000*CHOOSE(CONTROL!$C$42, 0.0916, 0.0916)*CHOOSE(CONTROL!$C$42, 121.5, 121.5)*CHOOSE(CONTROL!$C$42, 28, 28))/1000000</f>
        <v>0.31162319999999999</v>
      </c>
      <c r="X314" s="56">
        <f>(28*0.2374*100000/1000000)</f>
        <v>0.66471999999999998</v>
      </c>
      <c r="Y314" s="56"/>
      <c r="Z314" s="17"/>
      <c r="AA314" s="55"/>
      <c r="AB314" s="48">
        <f>(B314*122.58+C314*297.941+D314*89.177+E314*140.302+F314*40+G314*60+H314*0+I314*100+J314*300)/(122.58+297.941+89.177+140.302+0+40+60+100+300)</f>
        <v>14.03844129878261</v>
      </c>
      <c r="AC314" s="45">
        <f>(M314*'RAP TEMPLATE-GAS AVAILABILITY'!O313+N314*'RAP TEMPLATE-GAS AVAILABILITY'!P313+O314*'RAP TEMPLATE-GAS AVAILABILITY'!Q313+P314*'RAP TEMPLATE-GAS AVAILABILITY'!R313)/('RAP TEMPLATE-GAS AVAILABILITY'!O313+'RAP TEMPLATE-GAS AVAILABILITY'!P313+'RAP TEMPLATE-GAS AVAILABILITY'!Q313+'RAP TEMPLATE-GAS AVAILABILITY'!R313)</f>
        <v>13.962580575539569</v>
      </c>
    </row>
    <row r="315" spans="1:29" ht="15.75" x14ac:dyDescent="0.25">
      <c r="A315" s="15">
        <v>50100</v>
      </c>
      <c r="B315" s="17">
        <f>CHOOSE(CONTROL!$C$42, 13.5985, 13.5985) * CHOOSE(CONTROL!$C$21, $C$9, 100%, $E$9)</f>
        <v>13.5985</v>
      </c>
      <c r="C315" s="17">
        <f>CHOOSE(CONTROL!$C$42, 13.6036, 13.6036) * CHOOSE(CONTROL!$C$21, $C$9, 100%, $E$9)</f>
        <v>13.6036</v>
      </c>
      <c r="D315" s="17">
        <f>CHOOSE(CONTROL!$C$42, 13.7376, 13.7376) * CHOOSE(CONTROL!$C$21, $C$9, 100%, $E$9)</f>
        <v>13.7376</v>
      </c>
      <c r="E315" s="17">
        <f>CHOOSE(CONTROL!$C$42, 13.7713, 13.7713) * CHOOSE(CONTROL!$C$21, $C$9, 100%, $E$9)</f>
        <v>13.7713</v>
      </c>
      <c r="F315" s="17">
        <f>CHOOSE(CONTROL!$C$42, 13.6112, 13.6112)*CHOOSE(CONTROL!$C$21, $C$9, 100%, $E$9)</f>
        <v>13.6112</v>
      </c>
      <c r="G315" s="17">
        <f>CHOOSE(CONTROL!$C$42, 13.6278, 13.6278)*CHOOSE(CONTROL!$C$21, $C$9, 100%, $E$9)</f>
        <v>13.627800000000001</v>
      </c>
      <c r="H315" s="17">
        <f>CHOOSE(CONTROL!$C$42, 13.7602, 13.7602) * CHOOSE(CONTROL!$C$21, $C$9, 100%, $E$9)</f>
        <v>13.760199999999999</v>
      </c>
      <c r="I315" s="17">
        <f>CHOOSE(CONTROL!$C$42, 13.6672, 13.6672)* CHOOSE(CONTROL!$C$21, $C$9, 100%, $E$9)</f>
        <v>13.667199999999999</v>
      </c>
      <c r="J315" s="17">
        <f>CHOOSE(CONTROL!$C$42, 13.6038, 13.6038)* CHOOSE(CONTROL!$C$21, $C$9, 100%, $E$9)</f>
        <v>13.6038</v>
      </c>
      <c r="K315" s="52">
        <f>CHOOSE(CONTROL!$C$42, 13.6612, 13.6612) * CHOOSE(CONTROL!$C$21, $C$9, 100%, $E$9)</f>
        <v>13.661199999999999</v>
      </c>
      <c r="L315" s="17">
        <f>CHOOSE(CONTROL!$C$42, 14.3472, 14.3472) * CHOOSE(CONTROL!$C$21, $C$9, 100%, $E$9)</f>
        <v>14.347200000000001</v>
      </c>
      <c r="M315" s="17">
        <f>CHOOSE(CONTROL!$C$42, 13.4884, 13.4884) * CHOOSE(CONTROL!$C$21, $C$9, 100%, $E$9)</f>
        <v>13.4884</v>
      </c>
      <c r="N315" s="17">
        <f>CHOOSE(CONTROL!$C$42, 13.5049, 13.5049) * CHOOSE(CONTROL!$C$21, $C$9, 100%, $E$9)</f>
        <v>13.504899999999999</v>
      </c>
      <c r="O315" s="17">
        <f>CHOOSE(CONTROL!$C$42, 13.6434, 13.6434) * CHOOSE(CONTROL!$C$21, $C$9, 100%, $E$9)</f>
        <v>13.6434</v>
      </c>
      <c r="P315" s="17">
        <f>CHOOSE(CONTROL!$C$42, 13.551, 13.551) * CHOOSE(CONTROL!$C$21, $C$9, 100%, $E$9)</f>
        <v>13.551</v>
      </c>
      <c r="Q315" s="17">
        <f>CHOOSE(CONTROL!$C$42, 14.2381, 14.2381) * CHOOSE(CONTROL!$C$21, $C$9, 100%, $E$9)</f>
        <v>14.238099999999999</v>
      </c>
      <c r="R315" s="17">
        <f>CHOOSE(CONTROL!$C$42, 14.8607, 14.8607) * CHOOSE(CONTROL!$C$21, $C$9, 100%, $E$9)</f>
        <v>14.8607</v>
      </c>
      <c r="S315" s="17">
        <f>CHOOSE(CONTROL!$C$42, 13.177, 13.177) * CHOOSE(CONTROL!$C$21, $C$9, 100%, $E$9)</f>
        <v>13.177</v>
      </c>
      <c r="T315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315" s="56">
        <f>(1000*CHOOSE(CONTROL!$C$42, 695, 695)*CHOOSE(CONTROL!$C$42, 0.5599, 0.5599)*CHOOSE(CONTROL!$C$42, 31, 31))/1000000</f>
        <v>12.063045499999998</v>
      </c>
      <c r="V315" s="56">
        <f>(1000*CHOOSE(CONTROL!$C$42, 500, 500)*CHOOSE(CONTROL!$C$42, 0.275, 0.275)*CHOOSE(CONTROL!$C$42, 31, 31))/1000000</f>
        <v>4.2625000000000002</v>
      </c>
      <c r="W315" s="56">
        <f>(1000*CHOOSE(CONTROL!$C$42, 0.0916, 0.0916)*CHOOSE(CONTROL!$C$42, 121.5, 121.5)*CHOOSE(CONTROL!$C$42, 31, 31))/1000000</f>
        <v>0.34501139999999997</v>
      </c>
      <c r="X315" s="56">
        <f>(31*0.2374*100000/1000000)</f>
        <v>0.73594000000000004</v>
      </c>
      <c r="Y315" s="56"/>
      <c r="Z315" s="17"/>
      <c r="AA315" s="55"/>
      <c r="AB315" s="48">
        <f>(B315*122.58+C315*297.941+D315*89.177+E315*140.302+F315*40+G315*60+H315*0+I315*100+J315*300)/(122.58+297.941+89.177+140.302+0+40+60+100+300)</f>
        <v>13.641016700347825</v>
      </c>
      <c r="AC315" s="45">
        <f>(M315*'RAP TEMPLATE-GAS AVAILABILITY'!O314+N315*'RAP TEMPLATE-GAS AVAILABILITY'!P314+O315*'RAP TEMPLATE-GAS AVAILABILITY'!Q314+P315*'RAP TEMPLATE-GAS AVAILABILITY'!R314)/('RAP TEMPLATE-GAS AVAILABILITY'!O314+'RAP TEMPLATE-GAS AVAILABILITY'!P314+'RAP TEMPLATE-GAS AVAILABILITY'!Q314+'RAP TEMPLATE-GAS AVAILABILITY'!R314)</f>
        <v>13.568608633093527</v>
      </c>
    </row>
    <row r="316" spans="1:29" ht="15.75" x14ac:dyDescent="0.25">
      <c r="A316" s="15">
        <v>50131</v>
      </c>
      <c r="B316" s="17">
        <f>CHOOSE(CONTROL!$C$42, 13.5589, 13.5589) * CHOOSE(CONTROL!$C$21, $C$9, 100%, $E$9)</f>
        <v>13.5589</v>
      </c>
      <c r="C316" s="17">
        <f>CHOOSE(CONTROL!$C$42, 13.5634, 13.5634) * CHOOSE(CONTROL!$C$21, $C$9, 100%, $E$9)</f>
        <v>13.5634</v>
      </c>
      <c r="D316" s="17">
        <f>CHOOSE(CONTROL!$C$42, 13.8264, 13.8264) * CHOOSE(CONTROL!$C$21, $C$9, 100%, $E$9)</f>
        <v>13.8264</v>
      </c>
      <c r="E316" s="17">
        <f>CHOOSE(CONTROL!$C$42, 13.8582, 13.8582) * CHOOSE(CONTROL!$C$21, $C$9, 100%, $E$9)</f>
        <v>13.8582</v>
      </c>
      <c r="F316" s="17">
        <f>CHOOSE(CONTROL!$C$42, 13.5698, 13.5698)*CHOOSE(CONTROL!$C$21, $C$9, 100%, $E$9)</f>
        <v>13.569800000000001</v>
      </c>
      <c r="G316" s="17">
        <f>CHOOSE(CONTROL!$C$42, 13.5859, 13.5859)*CHOOSE(CONTROL!$C$21, $C$9, 100%, $E$9)</f>
        <v>13.585900000000001</v>
      </c>
      <c r="H316" s="17">
        <f>CHOOSE(CONTROL!$C$42, 13.8477, 13.8477) * CHOOSE(CONTROL!$C$21, $C$9, 100%, $E$9)</f>
        <v>13.8477</v>
      </c>
      <c r="I316" s="17">
        <f>CHOOSE(CONTROL!$C$42, 13.6262, 13.6262)* CHOOSE(CONTROL!$C$21, $C$9, 100%, $E$9)</f>
        <v>13.626200000000001</v>
      </c>
      <c r="J316" s="17">
        <f>CHOOSE(CONTROL!$C$42, 13.5624, 13.5624)* CHOOSE(CONTROL!$C$21, $C$9, 100%, $E$9)</f>
        <v>13.5624</v>
      </c>
      <c r="K316" s="52">
        <f>CHOOSE(CONTROL!$C$42, 13.6201, 13.6201) * CHOOSE(CONTROL!$C$21, $C$9, 100%, $E$9)</f>
        <v>13.620100000000001</v>
      </c>
      <c r="L316" s="17">
        <f>CHOOSE(CONTROL!$C$42, 14.4347, 14.4347) * CHOOSE(CONTROL!$C$21, $C$9, 100%, $E$9)</f>
        <v>14.434699999999999</v>
      </c>
      <c r="M316" s="17">
        <f>CHOOSE(CONTROL!$C$42, 13.4474, 13.4474) * CHOOSE(CONTROL!$C$21, $C$9, 100%, $E$9)</f>
        <v>13.4474</v>
      </c>
      <c r="N316" s="17">
        <f>CHOOSE(CONTROL!$C$42, 13.4634, 13.4634) * CHOOSE(CONTROL!$C$21, $C$9, 100%, $E$9)</f>
        <v>13.4634</v>
      </c>
      <c r="O316" s="17">
        <f>CHOOSE(CONTROL!$C$42, 13.7301, 13.7301) * CHOOSE(CONTROL!$C$21, $C$9, 100%, $E$9)</f>
        <v>13.7301</v>
      </c>
      <c r="P316" s="17">
        <f>CHOOSE(CONTROL!$C$42, 13.5103, 13.5103) * CHOOSE(CONTROL!$C$21, $C$9, 100%, $E$9)</f>
        <v>13.510300000000001</v>
      </c>
      <c r="Q316" s="17">
        <f>CHOOSE(CONTROL!$C$42, 14.3248, 14.3248) * CHOOSE(CONTROL!$C$21, $C$9, 100%, $E$9)</f>
        <v>14.3248</v>
      </c>
      <c r="R316" s="17">
        <f>CHOOSE(CONTROL!$C$42, 14.9476, 14.9476) * CHOOSE(CONTROL!$C$21, $C$9, 100%, $E$9)</f>
        <v>14.9476</v>
      </c>
      <c r="S316" s="17">
        <f>CHOOSE(CONTROL!$C$42, 13.1378, 13.1378) * CHOOSE(CONTROL!$C$21, $C$9, 100%, $E$9)</f>
        <v>13.1378</v>
      </c>
      <c r="T316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316" s="56">
        <f>(1000*CHOOSE(CONTROL!$C$42, 695, 695)*CHOOSE(CONTROL!$C$42, 0.5599, 0.5599)*CHOOSE(CONTROL!$C$42, 30, 30))/1000000</f>
        <v>11.673914999999997</v>
      </c>
      <c r="V316" s="56">
        <f>(1000*CHOOSE(CONTROL!$C$42, 500, 500)*CHOOSE(CONTROL!$C$42, 0.275, 0.275)*CHOOSE(CONTROL!$C$42, 30, 30))/1000000</f>
        <v>4.125</v>
      </c>
      <c r="W316" s="56">
        <f>(1000*CHOOSE(CONTROL!$C$42, 0.0916, 0.0916)*CHOOSE(CONTROL!$C$42, 121.5, 121.5)*CHOOSE(CONTROL!$C$42, 30, 30))/1000000</f>
        <v>0.33388200000000001</v>
      </c>
      <c r="X316" s="56">
        <f>(30*0.1790888*145000/1000000)+(30*0.2374*100000/1000000)</f>
        <v>1.4912362799999999</v>
      </c>
      <c r="Y316" s="56"/>
      <c r="Z316" s="17"/>
      <c r="AA316" s="55"/>
      <c r="AB316" s="48">
        <f>(B316*141.293+C316*267.993+D316*115.016+E316*189.698+F316*40+G316*85+H316*0+I316*100+J316*300)/(141.293+267.993+115.016+189.698+0+40+85+100+300)</f>
        <v>13.639013284826472</v>
      </c>
      <c r="AC316" s="45">
        <f>(M316*'RAP TEMPLATE-GAS AVAILABILITY'!O315+N316*'RAP TEMPLATE-GAS AVAILABILITY'!P315+O316*'RAP TEMPLATE-GAS AVAILABILITY'!Q315+P316*'RAP TEMPLATE-GAS AVAILABILITY'!R315)/('RAP TEMPLATE-GAS AVAILABILITY'!O315+'RAP TEMPLATE-GAS AVAILABILITY'!P315+'RAP TEMPLATE-GAS AVAILABILITY'!Q315+'RAP TEMPLATE-GAS AVAILABILITY'!R315)</f>
        <v>13.539452517985614</v>
      </c>
    </row>
    <row r="317" spans="1:29" ht="15.75" x14ac:dyDescent="0.25">
      <c r="A317" s="15">
        <v>50161</v>
      </c>
      <c r="B317" s="17">
        <f>CHOOSE(CONTROL!$C$42, 13.6798, 13.6798) * CHOOSE(CONTROL!$C$21, $C$9, 100%, $E$9)</f>
        <v>13.6798</v>
      </c>
      <c r="C317" s="17">
        <f>CHOOSE(CONTROL!$C$42, 13.6878, 13.6878) * CHOOSE(CONTROL!$C$21, $C$9, 100%, $E$9)</f>
        <v>13.687799999999999</v>
      </c>
      <c r="D317" s="17">
        <f>CHOOSE(CONTROL!$C$42, 13.9477, 13.9477) * CHOOSE(CONTROL!$C$21, $C$9, 100%, $E$9)</f>
        <v>13.947699999999999</v>
      </c>
      <c r="E317" s="17">
        <f>CHOOSE(CONTROL!$C$42, 13.9789, 13.9789) * CHOOSE(CONTROL!$C$21, $C$9, 100%, $E$9)</f>
        <v>13.978899999999999</v>
      </c>
      <c r="F317" s="17">
        <f>CHOOSE(CONTROL!$C$42, 13.6895, 13.6895)*CHOOSE(CONTROL!$C$21, $C$9, 100%, $E$9)</f>
        <v>13.689500000000001</v>
      </c>
      <c r="G317" s="17">
        <f>CHOOSE(CONTROL!$C$42, 13.7059, 13.7059)*CHOOSE(CONTROL!$C$21, $C$9, 100%, $E$9)</f>
        <v>13.7059</v>
      </c>
      <c r="H317" s="17">
        <f>CHOOSE(CONTROL!$C$42, 13.9672, 13.9672) * CHOOSE(CONTROL!$C$21, $C$9, 100%, $E$9)</f>
        <v>13.9672</v>
      </c>
      <c r="I317" s="17">
        <f>CHOOSE(CONTROL!$C$42, 13.7461, 13.7461)* CHOOSE(CONTROL!$C$21, $C$9, 100%, $E$9)</f>
        <v>13.7461</v>
      </c>
      <c r="J317" s="17">
        <f>CHOOSE(CONTROL!$C$42, 13.6821, 13.6821)* CHOOSE(CONTROL!$C$21, $C$9, 100%, $E$9)</f>
        <v>13.6821</v>
      </c>
      <c r="K317" s="52">
        <f>CHOOSE(CONTROL!$C$42, 13.7401, 13.7401) * CHOOSE(CONTROL!$C$21, $C$9, 100%, $E$9)</f>
        <v>13.7401</v>
      </c>
      <c r="L317" s="17">
        <f>CHOOSE(CONTROL!$C$42, 14.5542, 14.5542) * CHOOSE(CONTROL!$C$21, $C$9, 100%, $E$9)</f>
        <v>14.5542</v>
      </c>
      <c r="M317" s="17">
        <f>CHOOSE(CONTROL!$C$42, 13.566, 13.566) * CHOOSE(CONTROL!$C$21, $C$9, 100%, $E$9)</f>
        <v>13.566000000000001</v>
      </c>
      <c r="N317" s="17">
        <f>CHOOSE(CONTROL!$C$42, 13.5823, 13.5823) * CHOOSE(CONTROL!$C$21, $C$9, 100%, $E$9)</f>
        <v>13.5823</v>
      </c>
      <c r="O317" s="17">
        <f>CHOOSE(CONTROL!$C$42, 13.8486, 13.8486) * CHOOSE(CONTROL!$C$21, $C$9, 100%, $E$9)</f>
        <v>13.848599999999999</v>
      </c>
      <c r="P317" s="17">
        <f>CHOOSE(CONTROL!$C$42, 13.6292, 13.6292) * CHOOSE(CONTROL!$C$21, $C$9, 100%, $E$9)</f>
        <v>13.629200000000001</v>
      </c>
      <c r="Q317" s="17">
        <f>CHOOSE(CONTROL!$C$42, 14.4433, 14.4433) * CHOOSE(CONTROL!$C$21, $C$9, 100%, $E$9)</f>
        <v>14.443300000000001</v>
      </c>
      <c r="R317" s="17">
        <f>CHOOSE(CONTROL!$C$42, 15.0664, 15.0664) * CHOOSE(CONTROL!$C$21, $C$9, 100%, $E$9)</f>
        <v>15.0664</v>
      </c>
      <c r="S317" s="17">
        <f>CHOOSE(CONTROL!$C$42, 13.2537, 13.2537) * CHOOSE(CONTROL!$C$21, $C$9, 100%, $E$9)</f>
        <v>13.2537</v>
      </c>
      <c r="T317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317" s="56">
        <f>(1000*CHOOSE(CONTROL!$C$42, 695, 695)*CHOOSE(CONTROL!$C$42, 0.5599, 0.5599)*CHOOSE(CONTROL!$C$42, 31, 31))/1000000</f>
        <v>12.063045499999998</v>
      </c>
      <c r="V317" s="56">
        <f>(1000*CHOOSE(CONTROL!$C$42, 500, 500)*CHOOSE(CONTROL!$C$42, 0.275, 0.275)*CHOOSE(CONTROL!$C$42, 31, 31))/1000000</f>
        <v>4.2625000000000002</v>
      </c>
      <c r="W317" s="56">
        <f>(1000*CHOOSE(CONTROL!$C$42, 0.0916, 0.0916)*CHOOSE(CONTROL!$C$42, 121.5, 121.5)*CHOOSE(CONTROL!$C$42, 31, 31))/1000000</f>
        <v>0.34501139999999997</v>
      </c>
      <c r="X317" s="56">
        <f>(31*0.1790888*145000/1000000)+(31*0.2374*100000/1000000)</f>
        <v>1.5409441560000001</v>
      </c>
      <c r="Y317" s="56"/>
      <c r="Z317" s="17"/>
      <c r="AA317" s="55"/>
      <c r="AB317" s="48">
        <f>(B317*194.205+C317*267.466+D317*133.845+E317*153.484+F317*40+G317*85+H317*0+I317*100+J317*300)/(194.205+267.466+133.845+153.484+0+40+85+100+300)</f>
        <v>13.753450210282574</v>
      </c>
      <c r="AC317" s="45">
        <f>(M317*'RAP TEMPLATE-GAS AVAILABILITY'!O316+N317*'RAP TEMPLATE-GAS AVAILABILITY'!P316+O317*'RAP TEMPLATE-GAS AVAILABILITY'!Q316+P317*'RAP TEMPLATE-GAS AVAILABILITY'!R316)/('RAP TEMPLATE-GAS AVAILABILITY'!O316+'RAP TEMPLATE-GAS AVAILABILITY'!P316+'RAP TEMPLATE-GAS AVAILABILITY'!Q316+'RAP TEMPLATE-GAS AVAILABILITY'!R316)</f>
        <v>13.658136690647479</v>
      </c>
    </row>
    <row r="318" spans="1:29" ht="15.75" x14ac:dyDescent="0.25">
      <c r="A318" s="15">
        <v>50192</v>
      </c>
      <c r="B318" s="17">
        <f>CHOOSE(CONTROL!$C$42, 14.0675, 14.0675) * CHOOSE(CONTROL!$C$21, $C$9, 100%, $E$9)</f>
        <v>14.067500000000001</v>
      </c>
      <c r="C318" s="17">
        <f>CHOOSE(CONTROL!$C$42, 14.0755, 14.0755) * CHOOSE(CONTROL!$C$21, $C$9, 100%, $E$9)</f>
        <v>14.0755</v>
      </c>
      <c r="D318" s="17">
        <f>CHOOSE(CONTROL!$C$42, 14.3354, 14.3354) * CHOOSE(CONTROL!$C$21, $C$9, 100%, $E$9)</f>
        <v>14.3354</v>
      </c>
      <c r="E318" s="17">
        <f>CHOOSE(CONTROL!$C$42, 14.3666, 14.3666) * CHOOSE(CONTROL!$C$21, $C$9, 100%, $E$9)</f>
        <v>14.3666</v>
      </c>
      <c r="F318" s="17">
        <f>CHOOSE(CONTROL!$C$42, 14.0775, 14.0775)*CHOOSE(CONTROL!$C$21, $C$9, 100%, $E$9)</f>
        <v>14.077500000000001</v>
      </c>
      <c r="G318" s="17">
        <f>CHOOSE(CONTROL!$C$42, 14.094, 14.094)*CHOOSE(CONTROL!$C$21, $C$9, 100%, $E$9)</f>
        <v>14.093999999999999</v>
      </c>
      <c r="H318" s="17">
        <f>CHOOSE(CONTROL!$C$42, 14.3549, 14.3549) * CHOOSE(CONTROL!$C$21, $C$9, 100%, $E$9)</f>
        <v>14.354900000000001</v>
      </c>
      <c r="I318" s="17">
        <f>CHOOSE(CONTROL!$C$42, 14.135, 14.135)* CHOOSE(CONTROL!$C$21, $C$9, 100%, $E$9)</f>
        <v>14.135</v>
      </c>
      <c r="J318" s="17">
        <f>CHOOSE(CONTROL!$C$42, 14.0701, 14.0701)* CHOOSE(CONTROL!$C$21, $C$9, 100%, $E$9)</f>
        <v>14.0701</v>
      </c>
      <c r="K318" s="52">
        <f>CHOOSE(CONTROL!$C$42, 14.1289, 14.1289) * CHOOSE(CONTROL!$C$21, $C$9, 100%, $E$9)</f>
        <v>14.1289</v>
      </c>
      <c r="L318" s="17">
        <f>CHOOSE(CONTROL!$C$42, 14.9419, 14.9419) * CHOOSE(CONTROL!$C$21, $C$9, 100%, $E$9)</f>
        <v>14.9419</v>
      </c>
      <c r="M318" s="17">
        <f>CHOOSE(CONTROL!$C$42, 13.9505, 13.9505) * CHOOSE(CONTROL!$C$21, $C$9, 100%, $E$9)</f>
        <v>13.9505</v>
      </c>
      <c r="N318" s="17">
        <f>CHOOSE(CONTROL!$C$42, 13.9669, 13.9669) * CHOOSE(CONTROL!$C$21, $C$9, 100%, $E$9)</f>
        <v>13.966900000000001</v>
      </c>
      <c r="O318" s="17">
        <f>CHOOSE(CONTROL!$C$42, 14.2328, 14.2328) * CHOOSE(CONTROL!$C$21, $C$9, 100%, $E$9)</f>
        <v>14.232799999999999</v>
      </c>
      <c r="P318" s="17">
        <f>CHOOSE(CONTROL!$C$42, 14.0145, 14.0145) * CHOOSE(CONTROL!$C$21, $C$9, 100%, $E$9)</f>
        <v>14.0145</v>
      </c>
      <c r="Q318" s="17">
        <f>CHOOSE(CONTROL!$C$42, 14.8275, 14.8275) * CHOOSE(CONTROL!$C$21, $C$9, 100%, $E$9)</f>
        <v>14.827500000000001</v>
      </c>
      <c r="R318" s="17">
        <f>CHOOSE(CONTROL!$C$42, 15.4516, 15.4516) * CHOOSE(CONTROL!$C$21, $C$9, 100%, $E$9)</f>
        <v>15.451599999999999</v>
      </c>
      <c r="S318" s="17">
        <f>CHOOSE(CONTROL!$C$42, 13.6297, 13.6297) * CHOOSE(CONTROL!$C$21, $C$9, 100%, $E$9)</f>
        <v>13.6297</v>
      </c>
      <c r="T318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318" s="56">
        <f>(1000*CHOOSE(CONTROL!$C$42, 695, 695)*CHOOSE(CONTROL!$C$42, 0.5599, 0.5599)*CHOOSE(CONTROL!$C$42, 30, 30))/1000000</f>
        <v>11.673914999999997</v>
      </c>
      <c r="V318" s="56">
        <f>(1000*CHOOSE(CONTROL!$C$42, 500, 500)*CHOOSE(CONTROL!$C$42, 0.275, 0.275)*CHOOSE(CONTROL!$C$42, 30, 30))/1000000</f>
        <v>4.125</v>
      </c>
      <c r="W318" s="56">
        <f>(1000*CHOOSE(CONTROL!$C$42, 0.0916, 0.0916)*CHOOSE(CONTROL!$C$42, 121.5, 121.5)*CHOOSE(CONTROL!$C$42, 30, 30))/1000000</f>
        <v>0.33388200000000001</v>
      </c>
      <c r="X318" s="56">
        <f>(30*0.1790888*145000/1000000)+(30*0.2374*100000/1000000)</f>
        <v>1.4912362799999999</v>
      </c>
      <c r="Y318" s="56"/>
      <c r="Z318" s="17"/>
      <c r="AA318" s="55"/>
      <c r="AB318" s="48">
        <f>(B318*194.205+C318*267.466+D318*133.845+E318*153.484+F318*40+G318*85+H318*0+I318*100+J318*300)/(194.205+267.466+133.845+153.484+0+40+85+100+300)</f>
        <v>14.141351152197803</v>
      </c>
      <c r="AC318" s="45">
        <f>(M318*'RAP TEMPLATE-GAS AVAILABILITY'!O317+N318*'RAP TEMPLATE-GAS AVAILABILITY'!P317+O318*'RAP TEMPLATE-GAS AVAILABILITY'!Q317+P318*'RAP TEMPLATE-GAS AVAILABILITY'!R317)/('RAP TEMPLATE-GAS AVAILABILITY'!O317+'RAP TEMPLATE-GAS AVAILABILITY'!P317+'RAP TEMPLATE-GAS AVAILABILITY'!Q317+'RAP TEMPLATE-GAS AVAILABILITY'!R317)</f>
        <v>14.042690647482017</v>
      </c>
    </row>
    <row r="319" spans="1:29" ht="15.75" x14ac:dyDescent="0.25">
      <c r="A319" s="15">
        <v>50222</v>
      </c>
      <c r="B319" s="17">
        <f>CHOOSE(CONTROL!$C$42, 13.7979, 13.7979) * CHOOSE(CONTROL!$C$21, $C$9, 100%, $E$9)</f>
        <v>13.7979</v>
      </c>
      <c r="C319" s="17">
        <f>CHOOSE(CONTROL!$C$42, 13.8058, 13.8058) * CHOOSE(CONTROL!$C$21, $C$9, 100%, $E$9)</f>
        <v>13.8058</v>
      </c>
      <c r="D319" s="17">
        <f>CHOOSE(CONTROL!$C$42, 14.0658, 14.0658) * CHOOSE(CONTROL!$C$21, $C$9, 100%, $E$9)</f>
        <v>14.065799999999999</v>
      </c>
      <c r="E319" s="17">
        <f>CHOOSE(CONTROL!$C$42, 14.0969, 14.0969) * CHOOSE(CONTROL!$C$21, $C$9, 100%, $E$9)</f>
        <v>14.0969</v>
      </c>
      <c r="F319" s="17">
        <f>CHOOSE(CONTROL!$C$42, 13.8082, 13.8082)*CHOOSE(CONTROL!$C$21, $C$9, 100%, $E$9)</f>
        <v>13.808199999999999</v>
      </c>
      <c r="G319" s="17">
        <f>CHOOSE(CONTROL!$C$42, 13.8249, 13.8249)*CHOOSE(CONTROL!$C$21, $C$9, 100%, $E$9)</f>
        <v>13.8249</v>
      </c>
      <c r="H319" s="17">
        <f>CHOOSE(CONTROL!$C$42, 14.0853, 14.0853) * CHOOSE(CONTROL!$C$21, $C$9, 100%, $E$9)</f>
        <v>14.0853</v>
      </c>
      <c r="I319" s="17">
        <f>CHOOSE(CONTROL!$C$42, 13.8645, 13.8645)* CHOOSE(CONTROL!$C$21, $C$9, 100%, $E$9)</f>
        <v>13.8645</v>
      </c>
      <c r="J319" s="17">
        <f>CHOOSE(CONTROL!$C$42, 13.8008, 13.8008)* CHOOSE(CONTROL!$C$21, $C$9, 100%, $E$9)</f>
        <v>13.800800000000001</v>
      </c>
      <c r="K319" s="52">
        <f>CHOOSE(CONTROL!$C$42, 13.8585, 13.8585) * CHOOSE(CONTROL!$C$21, $C$9, 100%, $E$9)</f>
        <v>13.858499999999999</v>
      </c>
      <c r="L319" s="17">
        <f>CHOOSE(CONTROL!$C$42, 14.6723, 14.6723) * CHOOSE(CONTROL!$C$21, $C$9, 100%, $E$9)</f>
        <v>14.6723</v>
      </c>
      <c r="M319" s="17">
        <f>CHOOSE(CONTROL!$C$42, 13.6837, 13.6837) * CHOOSE(CONTROL!$C$21, $C$9, 100%, $E$9)</f>
        <v>13.6837</v>
      </c>
      <c r="N319" s="17">
        <f>CHOOSE(CONTROL!$C$42, 13.7002, 13.7002) * CHOOSE(CONTROL!$C$21, $C$9, 100%, $E$9)</f>
        <v>13.700200000000001</v>
      </c>
      <c r="O319" s="17">
        <f>CHOOSE(CONTROL!$C$42, 13.9656, 13.9656) * CHOOSE(CONTROL!$C$21, $C$9, 100%, $E$9)</f>
        <v>13.9656</v>
      </c>
      <c r="P319" s="17">
        <f>CHOOSE(CONTROL!$C$42, 13.7465, 13.7465) * CHOOSE(CONTROL!$C$21, $C$9, 100%, $E$9)</f>
        <v>13.746499999999999</v>
      </c>
      <c r="Q319" s="17">
        <f>CHOOSE(CONTROL!$C$42, 14.5603, 14.5603) * CHOOSE(CONTROL!$C$21, $C$9, 100%, $E$9)</f>
        <v>14.5603</v>
      </c>
      <c r="R319" s="17">
        <f>CHOOSE(CONTROL!$C$42, 15.1837, 15.1837) * CHOOSE(CONTROL!$C$21, $C$9, 100%, $E$9)</f>
        <v>15.1837</v>
      </c>
      <c r="S319" s="17">
        <f>CHOOSE(CONTROL!$C$42, 13.3682, 13.3682) * CHOOSE(CONTROL!$C$21, $C$9, 100%, $E$9)</f>
        <v>13.3682</v>
      </c>
      <c r="T319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319" s="56">
        <f>(1000*CHOOSE(CONTROL!$C$42, 695, 695)*CHOOSE(CONTROL!$C$42, 0.5599, 0.5599)*CHOOSE(CONTROL!$C$42, 31, 31))/1000000</f>
        <v>12.063045499999998</v>
      </c>
      <c r="V319" s="56">
        <f>(1000*CHOOSE(CONTROL!$C$42, 500, 500)*CHOOSE(CONTROL!$C$42, 0.275, 0.275)*CHOOSE(CONTROL!$C$42, 31, 31))/1000000</f>
        <v>4.2625000000000002</v>
      </c>
      <c r="W319" s="56">
        <f>(1000*CHOOSE(CONTROL!$C$42, 0.0916, 0.0916)*CHOOSE(CONTROL!$C$42, 121.5, 121.5)*CHOOSE(CONTROL!$C$42, 31, 31))/1000000</f>
        <v>0.34501139999999997</v>
      </c>
      <c r="X319" s="56">
        <f>(31*0.1790888*145000/1000000)+(31*0.2374*100000/1000000)</f>
        <v>1.5409441560000001</v>
      </c>
      <c r="Y319" s="56"/>
      <c r="Z319" s="17"/>
      <c r="AA319" s="55"/>
      <c r="AB319" s="48">
        <f>(B319*194.205+C319*267.466+D319*133.845+E319*153.484+F319*40+G319*85+H319*0+I319*100+J319*300)/(194.205+267.466+133.845+153.484+0+40+85+100+300)</f>
        <v>13.871760889246469</v>
      </c>
      <c r="AC319" s="45">
        <f>(M319*'RAP TEMPLATE-GAS AVAILABILITY'!O318+N319*'RAP TEMPLATE-GAS AVAILABILITY'!P318+O319*'RAP TEMPLATE-GAS AVAILABILITY'!Q318+P319*'RAP TEMPLATE-GAS AVAILABILITY'!R318)/('RAP TEMPLATE-GAS AVAILABILITY'!O318+'RAP TEMPLATE-GAS AVAILABILITY'!P318+'RAP TEMPLATE-GAS AVAILABILITY'!Q318+'RAP TEMPLATE-GAS AVAILABILITY'!R318)</f>
        <v>13.775628776978417</v>
      </c>
    </row>
    <row r="320" spans="1:29" ht="15.75" x14ac:dyDescent="0.25">
      <c r="A320" s="15">
        <v>50253</v>
      </c>
      <c r="B320" s="17">
        <f>CHOOSE(CONTROL!$C$42, 13.1169, 13.1169) * CHOOSE(CONTROL!$C$21, $C$9, 100%, $E$9)</f>
        <v>13.116899999999999</v>
      </c>
      <c r="C320" s="17">
        <f>CHOOSE(CONTROL!$C$42, 13.1249, 13.1249) * CHOOSE(CONTROL!$C$21, $C$9, 100%, $E$9)</f>
        <v>13.1249</v>
      </c>
      <c r="D320" s="17">
        <f>CHOOSE(CONTROL!$C$42, 13.3849, 13.3849) * CHOOSE(CONTROL!$C$21, $C$9, 100%, $E$9)</f>
        <v>13.3849</v>
      </c>
      <c r="E320" s="17">
        <f>CHOOSE(CONTROL!$C$42, 13.416, 13.416) * CHOOSE(CONTROL!$C$21, $C$9, 100%, $E$9)</f>
        <v>13.416</v>
      </c>
      <c r="F320" s="17">
        <f>CHOOSE(CONTROL!$C$42, 13.1276, 13.1276)*CHOOSE(CONTROL!$C$21, $C$9, 100%, $E$9)</f>
        <v>13.127599999999999</v>
      </c>
      <c r="G320" s="17">
        <f>CHOOSE(CONTROL!$C$42, 13.1443, 13.1443)*CHOOSE(CONTROL!$C$21, $C$9, 100%, $E$9)</f>
        <v>13.144299999999999</v>
      </c>
      <c r="H320" s="17">
        <f>CHOOSE(CONTROL!$C$42, 13.4044, 13.4044) * CHOOSE(CONTROL!$C$21, $C$9, 100%, $E$9)</f>
        <v>13.404400000000001</v>
      </c>
      <c r="I320" s="17">
        <f>CHOOSE(CONTROL!$C$42, 13.1815, 13.1815)* CHOOSE(CONTROL!$C$21, $C$9, 100%, $E$9)</f>
        <v>13.1815</v>
      </c>
      <c r="J320" s="17">
        <f>CHOOSE(CONTROL!$C$42, 13.1202, 13.1202)* CHOOSE(CONTROL!$C$21, $C$9, 100%, $E$9)</f>
        <v>13.120200000000001</v>
      </c>
      <c r="K320" s="52">
        <f>CHOOSE(CONTROL!$C$42, 13.1755, 13.1755) * CHOOSE(CONTROL!$C$21, $C$9, 100%, $E$9)</f>
        <v>13.1755</v>
      </c>
      <c r="L320" s="17">
        <f>CHOOSE(CONTROL!$C$42, 13.9914, 13.9914) * CHOOSE(CONTROL!$C$21, $C$9, 100%, $E$9)</f>
        <v>13.991400000000001</v>
      </c>
      <c r="M320" s="17">
        <f>CHOOSE(CONTROL!$C$42, 13.0092, 13.0092) * CHOOSE(CONTROL!$C$21, $C$9, 100%, $E$9)</f>
        <v>13.0092</v>
      </c>
      <c r="N320" s="17">
        <f>CHOOSE(CONTROL!$C$42, 13.0257, 13.0257) * CHOOSE(CONTROL!$C$21, $C$9, 100%, $E$9)</f>
        <v>13.025700000000001</v>
      </c>
      <c r="O320" s="17">
        <f>CHOOSE(CONTROL!$C$42, 13.2908, 13.2908) * CHOOSE(CONTROL!$C$21, $C$9, 100%, $E$9)</f>
        <v>13.290800000000001</v>
      </c>
      <c r="P320" s="17">
        <f>CHOOSE(CONTROL!$C$42, 13.0696, 13.0696) * CHOOSE(CONTROL!$C$21, $C$9, 100%, $E$9)</f>
        <v>13.069599999999999</v>
      </c>
      <c r="Q320" s="17">
        <f>CHOOSE(CONTROL!$C$42, 13.8855, 13.8855) * CHOOSE(CONTROL!$C$21, $C$9, 100%, $E$9)</f>
        <v>13.8855</v>
      </c>
      <c r="R320" s="17">
        <f>CHOOSE(CONTROL!$C$42, 14.5072, 14.5072) * CHOOSE(CONTROL!$C$21, $C$9, 100%, $E$9)</f>
        <v>14.507199999999999</v>
      </c>
      <c r="S320" s="17">
        <f>CHOOSE(CONTROL!$C$42, 12.7079, 12.7079) * CHOOSE(CONTROL!$C$21, $C$9, 100%, $E$9)</f>
        <v>12.7079</v>
      </c>
      <c r="T320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320" s="56">
        <f>(1000*CHOOSE(CONTROL!$C$42, 695, 695)*CHOOSE(CONTROL!$C$42, 0.5599, 0.5599)*CHOOSE(CONTROL!$C$42, 31, 31))/1000000</f>
        <v>12.063045499999998</v>
      </c>
      <c r="V320" s="56">
        <f>(1000*CHOOSE(CONTROL!$C$42, 500, 500)*CHOOSE(CONTROL!$C$42, 0.275, 0.275)*CHOOSE(CONTROL!$C$42, 31, 31))/1000000</f>
        <v>4.2625000000000002</v>
      </c>
      <c r="W320" s="56">
        <f>(1000*CHOOSE(CONTROL!$C$42, 0.0916, 0.0916)*CHOOSE(CONTROL!$C$42, 121.5, 121.5)*CHOOSE(CONTROL!$C$42, 31, 31))/1000000</f>
        <v>0.34501139999999997</v>
      </c>
      <c r="X320" s="56">
        <f>(31*0.1790888*145000/1000000)+(31*0.2374*100000/1000000)</f>
        <v>1.5409441560000001</v>
      </c>
      <c r="Y320" s="56"/>
      <c r="Z320" s="17"/>
      <c r="AA320" s="55"/>
      <c r="AB320" s="48">
        <f>(B320*194.205+C320*267.466+D320*133.845+E320*153.484+F320*40+G320*85+H320*0+I320*100+J320*300)/(194.205+267.466+133.845+153.484+0+40+85+100+300)</f>
        <v>13.190780888854004</v>
      </c>
      <c r="AC320" s="45">
        <f>(M320*'RAP TEMPLATE-GAS AVAILABILITY'!O319+N320*'RAP TEMPLATE-GAS AVAILABILITY'!P319+O320*'RAP TEMPLATE-GAS AVAILABILITY'!Q319+P320*'RAP TEMPLATE-GAS AVAILABILITY'!R319)/('RAP TEMPLATE-GAS AVAILABILITY'!O319+'RAP TEMPLATE-GAS AVAILABILITY'!P319+'RAP TEMPLATE-GAS AVAILABILITY'!Q319+'RAP TEMPLATE-GAS AVAILABILITY'!R319)</f>
        <v>13.10069928057554</v>
      </c>
    </row>
    <row r="321" spans="1:29" ht="15.75" x14ac:dyDescent="0.25">
      <c r="A321" s="15">
        <v>50284</v>
      </c>
      <c r="B321" s="17">
        <f>CHOOSE(CONTROL!$C$42, 12.2847, 12.2847) * CHOOSE(CONTROL!$C$21, $C$9, 100%, $E$9)</f>
        <v>12.284700000000001</v>
      </c>
      <c r="C321" s="17">
        <f>CHOOSE(CONTROL!$C$42, 12.2927, 12.2927) * CHOOSE(CONTROL!$C$21, $C$9, 100%, $E$9)</f>
        <v>12.2927</v>
      </c>
      <c r="D321" s="17">
        <f>CHOOSE(CONTROL!$C$42, 12.5526, 12.5526) * CHOOSE(CONTROL!$C$21, $C$9, 100%, $E$9)</f>
        <v>12.5526</v>
      </c>
      <c r="E321" s="17">
        <f>CHOOSE(CONTROL!$C$42, 12.5838, 12.5838) * CHOOSE(CONTROL!$C$21, $C$9, 100%, $E$9)</f>
        <v>12.5838</v>
      </c>
      <c r="F321" s="17">
        <f>CHOOSE(CONTROL!$C$42, 12.2954, 12.2954)*CHOOSE(CONTROL!$C$21, $C$9, 100%, $E$9)</f>
        <v>12.295400000000001</v>
      </c>
      <c r="G321" s="17">
        <f>CHOOSE(CONTROL!$C$42, 12.3121, 12.3121)*CHOOSE(CONTROL!$C$21, $C$9, 100%, $E$9)</f>
        <v>12.312099999999999</v>
      </c>
      <c r="H321" s="17">
        <f>CHOOSE(CONTROL!$C$42, 12.5721, 12.5721) * CHOOSE(CONTROL!$C$21, $C$9, 100%, $E$9)</f>
        <v>12.572100000000001</v>
      </c>
      <c r="I321" s="17">
        <f>CHOOSE(CONTROL!$C$42, 12.3467, 12.3467)* CHOOSE(CONTROL!$C$21, $C$9, 100%, $E$9)</f>
        <v>12.3467</v>
      </c>
      <c r="J321" s="17">
        <f>CHOOSE(CONTROL!$C$42, 12.288, 12.288)* CHOOSE(CONTROL!$C$21, $C$9, 100%, $E$9)</f>
        <v>12.288</v>
      </c>
      <c r="K321" s="52">
        <f>CHOOSE(CONTROL!$C$42, 12.3406, 12.3406) * CHOOSE(CONTROL!$C$21, $C$9, 100%, $E$9)</f>
        <v>12.3406</v>
      </c>
      <c r="L321" s="17">
        <f>CHOOSE(CONTROL!$C$42, 13.1591, 13.1591) * CHOOSE(CONTROL!$C$21, $C$9, 100%, $E$9)</f>
        <v>13.1591</v>
      </c>
      <c r="M321" s="17">
        <f>CHOOSE(CONTROL!$C$42, 12.1845, 12.1845) * CHOOSE(CONTROL!$C$21, $C$9, 100%, $E$9)</f>
        <v>12.1845</v>
      </c>
      <c r="N321" s="17">
        <f>CHOOSE(CONTROL!$C$42, 12.201, 12.201) * CHOOSE(CONTROL!$C$21, $C$9, 100%, $E$9)</f>
        <v>12.201000000000001</v>
      </c>
      <c r="O321" s="17">
        <f>CHOOSE(CONTROL!$C$42, 12.4661, 12.4661) * CHOOSE(CONTROL!$C$21, $C$9, 100%, $E$9)</f>
        <v>12.466100000000001</v>
      </c>
      <c r="P321" s="17">
        <f>CHOOSE(CONTROL!$C$42, 12.2424, 12.2424) * CHOOSE(CONTROL!$C$21, $C$9, 100%, $E$9)</f>
        <v>12.2424</v>
      </c>
      <c r="Q321" s="17">
        <f>CHOOSE(CONTROL!$C$42, 13.0608, 13.0608) * CHOOSE(CONTROL!$C$21, $C$9, 100%, $E$9)</f>
        <v>13.0608</v>
      </c>
      <c r="R321" s="17">
        <f>CHOOSE(CONTROL!$C$42, 13.6804, 13.6804) * CHOOSE(CONTROL!$C$21, $C$9, 100%, $E$9)</f>
        <v>13.680400000000001</v>
      </c>
      <c r="S321" s="17">
        <f>CHOOSE(CONTROL!$C$42, 11.9009, 11.9009) * CHOOSE(CONTROL!$C$21, $C$9, 100%, $E$9)</f>
        <v>11.9009</v>
      </c>
      <c r="T321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321" s="56">
        <f>(1000*CHOOSE(CONTROL!$C$42, 695, 695)*CHOOSE(CONTROL!$C$42, 0.5599, 0.5599)*CHOOSE(CONTROL!$C$42, 30, 30))/1000000</f>
        <v>11.673914999999997</v>
      </c>
      <c r="V321" s="56">
        <f>(1000*CHOOSE(CONTROL!$C$42, 500, 500)*CHOOSE(CONTROL!$C$42, 0.275, 0.275)*CHOOSE(CONTROL!$C$42, 30, 30))/1000000</f>
        <v>4.125</v>
      </c>
      <c r="W321" s="56">
        <f>(1000*CHOOSE(CONTROL!$C$42, 0.0916, 0.0916)*CHOOSE(CONTROL!$C$42, 121.5, 121.5)*CHOOSE(CONTROL!$C$42, 30, 30))/1000000</f>
        <v>0.33388200000000001</v>
      </c>
      <c r="X321" s="56">
        <f>(30*0.1790888*145000/1000000)+(30*0.2374*100000/1000000)</f>
        <v>1.4912362799999999</v>
      </c>
      <c r="Y321" s="56"/>
      <c r="Z321" s="17"/>
      <c r="AA321" s="55"/>
      <c r="AB321" s="48">
        <f>(B321*194.205+C321*267.466+D321*133.845+E321*153.484+F321*40+G321*85+H321*0+I321*100+J321*300)/(194.205+267.466+133.845+153.484+0+40+85+100+300)</f>
        <v>12.35836630133438</v>
      </c>
      <c r="AC321" s="45">
        <f>(M321*'RAP TEMPLATE-GAS AVAILABILITY'!O320+N321*'RAP TEMPLATE-GAS AVAILABILITY'!P320+O321*'RAP TEMPLATE-GAS AVAILABILITY'!Q320+P321*'RAP TEMPLATE-GAS AVAILABILITY'!R320)/('RAP TEMPLATE-GAS AVAILABILITY'!O320+'RAP TEMPLATE-GAS AVAILABILITY'!P320+'RAP TEMPLATE-GAS AVAILABILITY'!Q320+'RAP TEMPLATE-GAS AVAILABILITY'!R320)</f>
        <v>12.275639568345323</v>
      </c>
    </row>
    <row r="322" spans="1:29" ht="15.75" x14ac:dyDescent="0.25">
      <c r="A322" s="15">
        <v>50314</v>
      </c>
      <c r="B322" s="17">
        <f>CHOOSE(CONTROL!$C$42, 12.0338, 12.0338) * CHOOSE(CONTROL!$C$21, $C$9, 100%, $E$9)</f>
        <v>12.033799999999999</v>
      </c>
      <c r="C322" s="17">
        <f>CHOOSE(CONTROL!$C$42, 12.0392, 12.0392) * CHOOSE(CONTROL!$C$21, $C$9, 100%, $E$9)</f>
        <v>12.039199999999999</v>
      </c>
      <c r="D322" s="17">
        <f>CHOOSE(CONTROL!$C$42, 12.304, 12.304) * CHOOSE(CONTROL!$C$21, $C$9, 100%, $E$9)</f>
        <v>12.304</v>
      </c>
      <c r="E322" s="17">
        <f>CHOOSE(CONTROL!$C$42, 12.3328, 12.3328) * CHOOSE(CONTROL!$C$21, $C$9, 100%, $E$9)</f>
        <v>12.332800000000001</v>
      </c>
      <c r="F322" s="17">
        <f>CHOOSE(CONTROL!$C$42, 12.0467, 12.0467)*CHOOSE(CONTROL!$C$21, $C$9, 100%, $E$9)</f>
        <v>12.0467</v>
      </c>
      <c r="G322" s="17">
        <f>CHOOSE(CONTROL!$C$42, 12.0632, 12.0632)*CHOOSE(CONTROL!$C$21, $C$9, 100%, $E$9)</f>
        <v>12.0632</v>
      </c>
      <c r="H322" s="17">
        <f>CHOOSE(CONTROL!$C$42, 12.323, 12.323) * CHOOSE(CONTROL!$C$21, $C$9, 100%, $E$9)</f>
        <v>12.323</v>
      </c>
      <c r="I322" s="17">
        <f>CHOOSE(CONTROL!$C$42, 12.0967, 12.0967)* CHOOSE(CONTROL!$C$21, $C$9, 100%, $E$9)</f>
        <v>12.0967</v>
      </c>
      <c r="J322" s="17">
        <f>CHOOSE(CONTROL!$C$42, 12.0393, 12.0393)* CHOOSE(CONTROL!$C$21, $C$9, 100%, $E$9)</f>
        <v>12.039300000000001</v>
      </c>
      <c r="K322" s="52">
        <f>CHOOSE(CONTROL!$C$42, 12.0907, 12.0907) * CHOOSE(CONTROL!$C$21, $C$9, 100%, $E$9)</f>
        <v>12.0907</v>
      </c>
      <c r="L322" s="17">
        <f>CHOOSE(CONTROL!$C$42, 12.91, 12.91) * CHOOSE(CONTROL!$C$21, $C$9, 100%, $E$9)</f>
        <v>12.91</v>
      </c>
      <c r="M322" s="17">
        <f>CHOOSE(CONTROL!$C$42, 11.938, 11.938) * CHOOSE(CONTROL!$C$21, $C$9, 100%, $E$9)</f>
        <v>11.938000000000001</v>
      </c>
      <c r="N322" s="17">
        <f>CHOOSE(CONTROL!$C$42, 11.9544, 11.9544) * CHOOSE(CONTROL!$C$21, $C$9, 100%, $E$9)</f>
        <v>11.9544</v>
      </c>
      <c r="O322" s="17">
        <f>CHOOSE(CONTROL!$C$42, 12.2191, 12.2191) * CHOOSE(CONTROL!$C$21, $C$9, 100%, $E$9)</f>
        <v>12.219099999999999</v>
      </c>
      <c r="P322" s="17">
        <f>CHOOSE(CONTROL!$C$42, 11.9947, 11.9947) * CHOOSE(CONTROL!$C$21, $C$9, 100%, $E$9)</f>
        <v>11.9947</v>
      </c>
      <c r="Q322" s="17">
        <f>CHOOSE(CONTROL!$C$42, 12.8138, 12.8138) * CHOOSE(CONTROL!$C$21, $C$9, 100%, $E$9)</f>
        <v>12.813800000000001</v>
      </c>
      <c r="R322" s="17">
        <f>CHOOSE(CONTROL!$C$42, 13.4329, 13.4329) * CHOOSE(CONTROL!$C$21, $C$9, 100%, $E$9)</f>
        <v>13.4329</v>
      </c>
      <c r="S322" s="17">
        <f>CHOOSE(CONTROL!$C$42, 11.6593, 11.6593) * CHOOSE(CONTROL!$C$21, $C$9, 100%, $E$9)</f>
        <v>11.6593</v>
      </c>
      <c r="T322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322" s="56">
        <f>(1000*CHOOSE(CONTROL!$C$42, 695, 695)*CHOOSE(CONTROL!$C$42, 0.5599, 0.5599)*CHOOSE(CONTROL!$C$42, 31, 31))/1000000</f>
        <v>12.063045499999998</v>
      </c>
      <c r="V322" s="56">
        <f>(1000*CHOOSE(CONTROL!$C$42, 500, 500)*CHOOSE(CONTROL!$C$42, 0.275, 0.275)*CHOOSE(CONTROL!$C$42, 31, 31))/1000000</f>
        <v>4.2625000000000002</v>
      </c>
      <c r="W322" s="56">
        <f>(1000*CHOOSE(CONTROL!$C$42, 0.0916, 0.0916)*CHOOSE(CONTROL!$C$42, 121.5, 121.5)*CHOOSE(CONTROL!$C$42, 31, 31))/1000000</f>
        <v>0.34501139999999997</v>
      </c>
      <c r="X322" s="56">
        <f>(31*0.1790888*145000/1000000)+(31*0.2374*100000/1000000)</f>
        <v>1.5409441560000001</v>
      </c>
      <c r="Y322" s="56"/>
      <c r="Z322" s="17"/>
      <c r="AA322" s="55"/>
      <c r="AB322" s="48">
        <f>(B322*131.881+C322*277.167+D322*79.08+E322*225.872+F322*40+G322*85+H322*0+I322*100+J322*300)/(131.881+277.167+79.08+225.872+0+40+85+100+300)</f>
        <v>12.115603749636804</v>
      </c>
      <c r="AC322" s="45">
        <f>(M322*'RAP TEMPLATE-GAS AVAILABILITY'!O321+N322*'RAP TEMPLATE-GAS AVAILABILITY'!P321+O322*'RAP TEMPLATE-GAS AVAILABILITY'!Q321+P322*'RAP TEMPLATE-GAS AVAILABILITY'!R321)/('RAP TEMPLATE-GAS AVAILABILITY'!O321+'RAP TEMPLATE-GAS AVAILABILITY'!P321+'RAP TEMPLATE-GAS AVAILABILITY'!Q321+'RAP TEMPLATE-GAS AVAILABILITY'!R321)</f>
        <v>12.028803597122302</v>
      </c>
    </row>
    <row r="323" spans="1:29" ht="15.75" x14ac:dyDescent="0.25">
      <c r="A323" s="15">
        <v>50345</v>
      </c>
      <c r="B323" s="17">
        <f>CHOOSE(CONTROL!$C$42, 12.3502, 12.3502) * CHOOSE(CONTROL!$C$21, $C$9, 100%, $E$9)</f>
        <v>12.350199999999999</v>
      </c>
      <c r="C323" s="17">
        <f>CHOOSE(CONTROL!$C$42, 12.3552, 12.3552) * CHOOSE(CONTROL!$C$21, $C$9, 100%, $E$9)</f>
        <v>12.3552</v>
      </c>
      <c r="D323" s="17">
        <f>CHOOSE(CONTROL!$C$42, 12.4959, 12.4959) * CHOOSE(CONTROL!$C$21, $C$9, 100%, $E$9)</f>
        <v>12.495900000000001</v>
      </c>
      <c r="E323" s="17">
        <f>CHOOSE(CONTROL!$C$42, 12.5297, 12.5297) * CHOOSE(CONTROL!$C$21, $C$9, 100%, $E$9)</f>
        <v>12.5297</v>
      </c>
      <c r="F323" s="17">
        <f>CHOOSE(CONTROL!$C$42, 12.3635, 12.3635)*CHOOSE(CONTROL!$C$21, $C$9, 100%, $E$9)</f>
        <v>12.3635</v>
      </c>
      <c r="G323" s="17">
        <f>CHOOSE(CONTROL!$C$42, 12.3803, 12.3803)*CHOOSE(CONTROL!$C$21, $C$9, 100%, $E$9)</f>
        <v>12.3803</v>
      </c>
      <c r="H323" s="17">
        <f>CHOOSE(CONTROL!$C$42, 12.5185, 12.5185) * CHOOSE(CONTROL!$C$21, $C$9, 100%, $E$9)</f>
        <v>12.5185</v>
      </c>
      <c r="I323" s="17">
        <f>CHOOSE(CONTROL!$C$42, 12.4108, 12.4108)* CHOOSE(CONTROL!$C$21, $C$9, 100%, $E$9)</f>
        <v>12.4108</v>
      </c>
      <c r="J323" s="17">
        <f>CHOOSE(CONTROL!$C$42, 12.3561, 12.3561)* CHOOSE(CONTROL!$C$21, $C$9, 100%, $E$9)</f>
        <v>12.3561</v>
      </c>
      <c r="K323" s="52">
        <f>CHOOSE(CONTROL!$C$42, 12.4048, 12.4048) * CHOOSE(CONTROL!$C$21, $C$9, 100%, $E$9)</f>
        <v>12.4048</v>
      </c>
      <c r="L323" s="17">
        <f>CHOOSE(CONTROL!$C$42, 13.1055, 13.1055) * CHOOSE(CONTROL!$C$21, $C$9, 100%, $E$9)</f>
        <v>13.105499999999999</v>
      </c>
      <c r="M323" s="17">
        <f>CHOOSE(CONTROL!$C$42, 12.2519, 12.2519) * CHOOSE(CONTROL!$C$21, $C$9, 100%, $E$9)</f>
        <v>12.251899999999999</v>
      </c>
      <c r="N323" s="17">
        <f>CHOOSE(CONTROL!$C$42, 12.2686, 12.2686) * CHOOSE(CONTROL!$C$21, $C$9, 100%, $E$9)</f>
        <v>12.268599999999999</v>
      </c>
      <c r="O323" s="17">
        <f>CHOOSE(CONTROL!$C$42, 12.413, 12.413) * CHOOSE(CONTROL!$C$21, $C$9, 100%, $E$9)</f>
        <v>12.413</v>
      </c>
      <c r="P323" s="17">
        <f>CHOOSE(CONTROL!$C$42, 12.3059, 12.3059) * CHOOSE(CONTROL!$C$21, $C$9, 100%, $E$9)</f>
        <v>12.305899999999999</v>
      </c>
      <c r="Q323" s="17">
        <f>CHOOSE(CONTROL!$C$42, 13.0077, 13.0077) * CHOOSE(CONTROL!$C$21, $C$9, 100%, $E$9)</f>
        <v>13.0077</v>
      </c>
      <c r="R323" s="17">
        <f>CHOOSE(CONTROL!$C$42, 13.6272, 13.6272) * CHOOSE(CONTROL!$C$21, $C$9, 100%, $E$9)</f>
        <v>13.6272</v>
      </c>
      <c r="S323" s="17">
        <f>CHOOSE(CONTROL!$C$42, 11.9664, 11.9664) * CHOOSE(CONTROL!$C$21, $C$9, 100%, $E$9)</f>
        <v>11.9664</v>
      </c>
      <c r="T323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323" s="56">
        <f>(1000*CHOOSE(CONTROL!$C$42, 695, 695)*CHOOSE(CONTROL!$C$42, 0.5599, 0.5599)*CHOOSE(CONTROL!$C$42, 30, 30))/1000000</f>
        <v>11.673914999999997</v>
      </c>
      <c r="V323" s="56">
        <f>(1000*CHOOSE(CONTROL!$C$42, 500, 500)*CHOOSE(CONTROL!$C$42, 0.275, 0.275)*CHOOSE(CONTROL!$C$42, 30, 30))/1000000</f>
        <v>4.125</v>
      </c>
      <c r="W323" s="56">
        <f>(1000*CHOOSE(CONTROL!$C$42, 0.0916, 0.0916)*CHOOSE(CONTROL!$C$42, 121.5, 121.5)*CHOOSE(CONTROL!$C$42, 30, 30))/1000000</f>
        <v>0.33388200000000001</v>
      </c>
      <c r="X323" s="56">
        <f>(30*0.2374*100000/1000000)</f>
        <v>0.71220000000000006</v>
      </c>
      <c r="Y323" s="56"/>
      <c r="Z323" s="17"/>
      <c r="AA323" s="55"/>
      <c r="AB323" s="48">
        <f>(B323*122.58+C323*297.941+D323*89.177+E323*140.302+F323*40+G323*60+H323*0+I323*100+J323*300)/(122.58+297.941+89.177+140.302+0+40+60+100+300)</f>
        <v>12.393534785130434</v>
      </c>
      <c r="AC323" s="45">
        <f>(M323*'RAP TEMPLATE-GAS AVAILABILITY'!O322+N323*'RAP TEMPLATE-GAS AVAILABILITY'!P322+O323*'RAP TEMPLATE-GAS AVAILABILITY'!Q322+P323*'RAP TEMPLATE-GAS AVAILABILITY'!R322)/('RAP TEMPLATE-GAS AVAILABILITY'!O322+'RAP TEMPLATE-GAS AVAILABILITY'!P322+'RAP TEMPLATE-GAS AVAILABILITY'!Q322+'RAP TEMPLATE-GAS AVAILABILITY'!R322)</f>
        <v>12.333647482014388</v>
      </c>
    </row>
    <row r="324" spans="1:29" ht="15.75" x14ac:dyDescent="0.25">
      <c r="A324" s="15">
        <v>50375</v>
      </c>
      <c r="B324" s="17">
        <f>CHOOSE(CONTROL!$C$42, 13.1915, 13.1915) * CHOOSE(CONTROL!$C$21, $C$9, 100%, $E$9)</f>
        <v>13.1915</v>
      </c>
      <c r="C324" s="17">
        <f>CHOOSE(CONTROL!$C$42, 13.1966, 13.1966) * CHOOSE(CONTROL!$C$21, $C$9, 100%, $E$9)</f>
        <v>13.1966</v>
      </c>
      <c r="D324" s="17">
        <f>CHOOSE(CONTROL!$C$42, 13.3372, 13.3372) * CHOOSE(CONTROL!$C$21, $C$9, 100%, $E$9)</f>
        <v>13.337199999999999</v>
      </c>
      <c r="E324" s="17">
        <f>CHOOSE(CONTROL!$C$42, 13.371, 13.371) * CHOOSE(CONTROL!$C$21, $C$9, 100%, $E$9)</f>
        <v>13.371</v>
      </c>
      <c r="F324" s="17">
        <f>CHOOSE(CONTROL!$C$42, 13.2072, 13.2072)*CHOOSE(CONTROL!$C$21, $C$9, 100%, $E$9)</f>
        <v>13.2072</v>
      </c>
      <c r="G324" s="17">
        <f>CHOOSE(CONTROL!$C$42, 13.2247, 13.2247)*CHOOSE(CONTROL!$C$21, $C$9, 100%, $E$9)</f>
        <v>13.2247</v>
      </c>
      <c r="H324" s="17">
        <f>CHOOSE(CONTROL!$C$42, 13.3598, 13.3598) * CHOOSE(CONTROL!$C$21, $C$9, 100%, $E$9)</f>
        <v>13.3598</v>
      </c>
      <c r="I324" s="17">
        <f>CHOOSE(CONTROL!$C$42, 13.2548, 13.2548)* CHOOSE(CONTROL!$C$21, $C$9, 100%, $E$9)</f>
        <v>13.254799999999999</v>
      </c>
      <c r="J324" s="17">
        <f>CHOOSE(CONTROL!$C$42, 13.1998, 13.1998)* CHOOSE(CONTROL!$C$21, $C$9, 100%, $E$9)</f>
        <v>13.1998</v>
      </c>
      <c r="K324" s="52">
        <f>CHOOSE(CONTROL!$C$42, 13.2487, 13.2487) * CHOOSE(CONTROL!$C$21, $C$9, 100%, $E$9)</f>
        <v>13.248699999999999</v>
      </c>
      <c r="L324" s="17">
        <f>CHOOSE(CONTROL!$C$42, 13.9468, 13.9468) * CHOOSE(CONTROL!$C$21, $C$9, 100%, $E$9)</f>
        <v>13.9468</v>
      </c>
      <c r="M324" s="17">
        <f>CHOOSE(CONTROL!$C$42, 13.0881, 13.0881) * CHOOSE(CONTROL!$C$21, $C$9, 100%, $E$9)</f>
        <v>13.088100000000001</v>
      </c>
      <c r="N324" s="17">
        <f>CHOOSE(CONTROL!$C$42, 13.1054, 13.1054) * CHOOSE(CONTROL!$C$21, $C$9, 100%, $E$9)</f>
        <v>13.105399999999999</v>
      </c>
      <c r="O324" s="17">
        <f>CHOOSE(CONTROL!$C$42, 13.2467, 13.2467) * CHOOSE(CONTROL!$C$21, $C$9, 100%, $E$9)</f>
        <v>13.246700000000001</v>
      </c>
      <c r="P324" s="17">
        <f>CHOOSE(CONTROL!$C$42, 13.1423, 13.1423) * CHOOSE(CONTROL!$C$21, $C$9, 100%, $E$9)</f>
        <v>13.142300000000001</v>
      </c>
      <c r="Q324" s="17">
        <f>CHOOSE(CONTROL!$C$42, 13.8414, 13.8414) * CHOOSE(CONTROL!$C$21, $C$9, 100%, $E$9)</f>
        <v>13.8414</v>
      </c>
      <c r="R324" s="17">
        <f>CHOOSE(CONTROL!$C$42, 14.463, 14.463) * CHOOSE(CONTROL!$C$21, $C$9, 100%, $E$9)</f>
        <v>14.462999999999999</v>
      </c>
      <c r="S324" s="17">
        <f>CHOOSE(CONTROL!$C$42, 12.7823, 12.7823) * CHOOSE(CONTROL!$C$21, $C$9, 100%, $E$9)</f>
        <v>12.782299999999999</v>
      </c>
      <c r="T324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324" s="56">
        <f>(1000*CHOOSE(CONTROL!$C$42, 695, 695)*CHOOSE(CONTROL!$C$42, 0.5599, 0.5599)*CHOOSE(CONTROL!$C$42, 31, 31))/1000000</f>
        <v>12.063045499999998</v>
      </c>
      <c r="V324" s="56">
        <f>(1000*CHOOSE(CONTROL!$C$42, 500, 500)*CHOOSE(CONTROL!$C$42, 0.275, 0.275)*CHOOSE(CONTROL!$C$42, 31, 31))/1000000</f>
        <v>4.2625000000000002</v>
      </c>
      <c r="W324" s="56">
        <f>(1000*CHOOSE(CONTROL!$C$42, 0.0916, 0.0916)*CHOOSE(CONTROL!$C$42, 121.5, 121.5)*CHOOSE(CONTROL!$C$42, 31, 31))/1000000</f>
        <v>0.34501139999999997</v>
      </c>
      <c r="X324" s="56">
        <f>(31*0.2374*100000/1000000)</f>
        <v>0.73594000000000004</v>
      </c>
      <c r="Y324" s="56"/>
      <c r="Z324" s="17"/>
      <c r="AA324" s="55"/>
      <c r="AB324" s="48">
        <f>(B324*122.58+C324*297.941+D324*89.177+E324*140.302+F324*40+G324*60+H324*0+I324*100+J324*300)/(122.58+297.941+89.177+140.302+0+40+60+100+300)</f>
        <v>13.235966780000002</v>
      </c>
      <c r="AC324" s="45">
        <f>(M324*'RAP TEMPLATE-GAS AVAILABILITY'!O323+N324*'RAP TEMPLATE-GAS AVAILABILITY'!P323+O324*'RAP TEMPLATE-GAS AVAILABILITY'!Q323+P324*'RAP TEMPLATE-GAS AVAILABILITY'!R323)/('RAP TEMPLATE-GAS AVAILABILITY'!O323+'RAP TEMPLATE-GAS AVAILABILITY'!P323+'RAP TEMPLATE-GAS AVAILABILITY'!Q323+'RAP TEMPLATE-GAS AVAILABILITY'!R323)</f>
        <v>13.168777697841726</v>
      </c>
    </row>
    <row r="325" spans="1:29" ht="15.75" x14ac:dyDescent="0.25">
      <c r="A325" s="14">
        <v>50436</v>
      </c>
      <c r="B325" s="17">
        <f>CHOOSE(CONTROL!$C$42, 14.2045, 14.2045) * CHOOSE(CONTROL!$C$21, $C$9, 100%, $E$9)</f>
        <v>14.204499999999999</v>
      </c>
      <c r="C325" s="17">
        <f>CHOOSE(CONTROL!$C$42, 14.2095, 14.2095) * CHOOSE(CONTROL!$C$21, $C$9, 100%, $E$9)</f>
        <v>14.2095</v>
      </c>
      <c r="D325" s="17">
        <f>CHOOSE(CONTROL!$C$42, 14.3435, 14.3435) * CHOOSE(CONTROL!$C$21, $C$9, 100%, $E$9)</f>
        <v>14.343500000000001</v>
      </c>
      <c r="E325" s="17">
        <f>CHOOSE(CONTROL!$C$42, 14.3773, 14.3773) * CHOOSE(CONTROL!$C$21, $C$9, 100%, $E$9)</f>
        <v>14.3773</v>
      </c>
      <c r="F325" s="17">
        <f>CHOOSE(CONTROL!$C$42, 14.2179, 14.2179)*CHOOSE(CONTROL!$C$21, $C$9, 100%, $E$9)</f>
        <v>14.2179</v>
      </c>
      <c r="G325" s="17">
        <f>CHOOSE(CONTROL!$C$42, 14.2348, 14.2348)*CHOOSE(CONTROL!$C$21, $C$9, 100%, $E$9)</f>
        <v>14.2348</v>
      </c>
      <c r="H325" s="17">
        <f>CHOOSE(CONTROL!$C$42, 14.3661, 14.3661) * CHOOSE(CONTROL!$C$21, $C$9, 100%, $E$9)</f>
        <v>14.366099999999999</v>
      </c>
      <c r="I325" s="17">
        <f>CHOOSE(CONTROL!$C$42, 14.275, 14.275)* CHOOSE(CONTROL!$C$21, $C$9, 100%, $E$9)</f>
        <v>14.275</v>
      </c>
      <c r="J325" s="17">
        <f>CHOOSE(CONTROL!$C$42, 14.2105, 14.2105)* CHOOSE(CONTROL!$C$21, $C$9, 100%, $E$9)</f>
        <v>14.2105</v>
      </c>
      <c r="K325" s="52">
        <f>CHOOSE(CONTROL!$C$42, 14.269, 14.269) * CHOOSE(CONTROL!$C$21, $C$9, 100%, $E$9)</f>
        <v>14.269</v>
      </c>
      <c r="L325" s="17">
        <f>CHOOSE(CONTROL!$C$42, 14.9531, 14.9531) * CHOOSE(CONTROL!$C$21, $C$9, 100%, $E$9)</f>
        <v>14.953099999999999</v>
      </c>
      <c r="M325" s="17">
        <f>CHOOSE(CONTROL!$C$42, 14.0897, 14.0897) * CHOOSE(CONTROL!$C$21, $C$9, 100%, $E$9)</f>
        <v>14.089700000000001</v>
      </c>
      <c r="N325" s="17">
        <f>CHOOSE(CONTROL!$C$42, 14.1065, 14.1065) * CHOOSE(CONTROL!$C$21, $C$9, 100%, $E$9)</f>
        <v>14.1065</v>
      </c>
      <c r="O325" s="17">
        <f>CHOOSE(CONTROL!$C$42, 14.2439, 14.2439) * CHOOSE(CONTROL!$C$21, $C$9, 100%, $E$9)</f>
        <v>14.2439</v>
      </c>
      <c r="P325" s="17">
        <f>CHOOSE(CONTROL!$C$42, 14.1533, 14.1533) * CHOOSE(CONTROL!$C$21, $C$9, 100%, $E$9)</f>
        <v>14.1533</v>
      </c>
      <c r="Q325" s="17">
        <f>CHOOSE(CONTROL!$C$42, 14.8386, 14.8386) * CHOOSE(CONTROL!$C$21, $C$9, 100%, $E$9)</f>
        <v>14.8386</v>
      </c>
      <c r="R325" s="17">
        <f>CHOOSE(CONTROL!$C$42, 15.4627, 15.4627) * CHOOSE(CONTROL!$C$21, $C$9, 100%, $E$9)</f>
        <v>15.4627</v>
      </c>
      <c r="S325" s="17">
        <f>CHOOSE(CONTROL!$C$42, 13.7646, 13.7646) * CHOOSE(CONTROL!$C$21, $C$9, 100%, $E$9)</f>
        <v>13.7646</v>
      </c>
      <c r="T325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325" s="56">
        <f>(1000*CHOOSE(CONTROL!$C$42, 695, 695)*CHOOSE(CONTROL!$C$42, 0.5599, 0.5599)*CHOOSE(CONTROL!$C$42, 31, 31))/1000000</f>
        <v>12.063045499999998</v>
      </c>
      <c r="V325" s="56">
        <f>(1000*CHOOSE(CONTROL!$C$42, 500, 500)*CHOOSE(CONTROL!$C$42, 0.275, 0.275)*CHOOSE(CONTROL!$C$42, 31, 31))/1000000</f>
        <v>4.2625000000000002</v>
      </c>
      <c r="W325" s="56">
        <f>(1000*CHOOSE(CONTROL!$C$42, 0.0916, 0.0916)*CHOOSE(CONTROL!$C$42, 121.5, 121.5)*CHOOSE(CONTROL!$C$42, 31, 31))/1000000</f>
        <v>0.34501139999999997</v>
      </c>
      <c r="X325" s="56">
        <f>(31*0.2374*100000/1000000)</f>
        <v>0.73594000000000004</v>
      </c>
      <c r="Y325" s="56"/>
      <c r="Z325" s="17"/>
      <c r="AA325" s="55"/>
      <c r="AB325" s="48">
        <f>(B325*122.58+C325*297.941+D325*89.177+E325*140.302+F325*40+G325*60+H325*0+I325*100+J325*300)/(122.58+297.941+89.177+140.302+0+40+60+100+300)</f>
        <v>14.247398690086955</v>
      </c>
      <c r="AC325" s="45">
        <f>(M325*'RAP TEMPLATE-GAS AVAILABILITY'!O324+N325*'RAP TEMPLATE-GAS AVAILABILITY'!P324+O325*'RAP TEMPLATE-GAS AVAILABILITY'!Q324+P325*'RAP TEMPLATE-GAS AVAILABILITY'!R324)/('RAP TEMPLATE-GAS AVAILABILITY'!O324+'RAP TEMPLATE-GAS AVAILABILITY'!P324+'RAP TEMPLATE-GAS AVAILABILITY'!Q324+'RAP TEMPLATE-GAS AVAILABILITY'!R324)</f>
        <v>14.169707194244605</v>
      </c>
    </row>
    <row r="326" spans="1:29" ht="15.75" x14ac:dyDescent="0.25">
      <c r="A326" s="14">
        <v>50464</v>
      </c>
      <c r="B326" s="17">
        <f>CHOOSE(CONTROL!$C$42, 14.4571, 14.4571) * CHOOSE(CONTROL!$C$21, $C$9, 100%, $E$9)</f>
        <v>14.457100000000001</v>
      </c>
      <c r="C326" s="17">
        <f>CHOOSE(CONTROL!$C$42, 14.4622, 14.4622) * CHOOSE(CONTROL!$C$21, $C$9, 100%, $E$9)</f>
        <v>14.462199999999999</v>
      </c>
      <c r="D326" s="17">
        <f>CHOOSE(CONTROL!$C$42, 14.5962, 14.5962) * CHOOSE(CONTROL!$C$21, $C$9, 100%, $E$9)</f>
        <v>14.5962</v>
      </c>
      <c r="E326" s="17">
        <f>CHOOSE(CONTROL!$C$42, 14.6299, 14.6299) * CHOOSE(CONTROL!$C$21, $C$9, 100%, $E$9)</f>
        <v>14.629899999999999</v>
      </c>
      <c r="F326" s="17">
        <f>CHOOSE(CONTROL!$C$42, 14.4705, 14.4705)*CHOOSE(CONTROL!$C$21, $C$9, 100%, $E$9)</f>
        <v>14.470499999999999</v>
      </c>
      <c r="G326" s="17">
        <f>CHOOSE(CONTROL!$C$42, 14.4874, 14.4874)*CHOOSE(CONTROL!$C$21, $C$9, 100%, $E$9)</f>
        <v>14.487399999999999</v>
      </c>
      <c r="H326" s="17">
        <f>CHOOSE(CONTROL!$C$42, 14.6188, 14.6188) * CHOOSE(CONTROL!$C$21, $C$9, 100%, $E$9)</f>
        <v>14.6188</v>
      </c>
      <c r="I326" s="17">
        <f>CHOOSE(CONTROL!$C$42, 14.5285, 14.5285)* CHOOSE(CONTROL!$C$21, $C$9, 100%, $E$9)</f>
        <v>14.528499999999999</v>
      </c>
      <c r="J326" s="17">
        <f>CHOOSE(CONTROL!$C$42, 14.4631, 14.4631)* CHOOSE(CONTROL!$C$21, $C$9, 100%, $E$9)</f>
        <v>14.463100000000001</v>
      </c>
      <c r="K326" s="52">
        <f>CHOOSE(CONTROL!$C$42, 14.5225, 14.5225) * CHOOSE(CONTROL!$C$21, $C$9, 100%, $E$9)</f>
        <v>14.522500000000001</v>
      </c>
      <c r="L326" s="17">
        <f>CHOOSE(CONTROL!$C$42, 15.2058, 15.2058) * CHOOSE(CONTROL!$C$21, $C$9, 100%, $E$9)</f>
        <v>15.2058</v>
      </c>
      <c r="M326" s="17">
        <f>CHOOSE(CONTROL!$C$42, 14.3401, 14.3401) * CHOOSE(CONTROL!$C$21, $C$9, 100%, $E$9)</f>
        <v>14.3401</v>
      </c>
      <c r="N326" s="17">
        <f>CHOOSE(CONTROL!$C$42, 14.3568, 14.3568) * CHOOSE(CONTROL!$C$21, $C$9, 100%, $E$9)</f>
        <v>14.3568</v>
      </c>
      <c r="O326" s="17">
        <f>CHOOSE(CONTROL!$C$42, 14.4943, 14.4943) * CHOOSE(CONTROL!$C$21, $C$9, 100%, $E$9)</f>
        <v>14.494300000000001</v>
      </c>
      <c r="P326" s="17">
        <f>CHOOSE(CONTROL!$C$42, 14.4045, 14.4045) * CHOOSE(CONTROL!$C$21, $C$9, 100%, $E$9)</f>
        <v>14.404500000000001</v>
      </c>
      <c r="Q326" s="17">
        <f>CHOOSE(CONTROL!$C$42, 15.089, 15.089) * CHOOSE(CONTROL!$C$21, $C$9, 100%, $E$9)</f>
        <v>15.089</v>
      </c>
      <c r="R326" s="17">
        <f>CHOOSE(CONTROL!$C$42, 15.7138, 15.7138) * CHOOSE(CONTROL!$C$21, $C$9, 100%, $E$9)</f>
        <v>15.713800000000001</v>
      </c>
      <c r="S326" s="17">
        <f>CHOOSE(CONTROL!$C$42, 14.0096, 14.0096) * CHOOSE(CONTROL!$C$21, $C$9, 100%, $E$9)</f>
        <v>14.009600000000001</v>
      </c>
      <c r="T326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326" s="56">
        <f>(1000*CHOOSE(CONTROL!$C$42, 695, 695)*CHOOSE(CONTROL!$C$42, 0.5599, 0.5599)*CHOOSE(CONTROL!$C$42, 28, 28))/1000000</f>
        <v>10.895653999999999</v>
      </c>
      <c r="V326" s="56">
        <f>(1000*CHOOSE(CONTROL!$C$42, 500, 500)*CHOOSE(CONTROL!$C$42, 0.275, 0.275)*CHOOSE(CONTROL!$C$42, 28, 28))/1000000</f>
        <v>3.85</v>
      </c>
      <c r="W326" s="56">
        <f>(1000*CHOOSE(CONTROL!$C$42, 0.0916, 0.0916)*CHOOSE(CONTROL!$C$42, 121.5, 121.5)*CHOOSE(CONTROL!$C$42, 28, 28))/1000000</f>
        <v>0.31162319999999999</v>
      </c>
      <c r="X326" s="56">
        <f>(28*0.2374*100000/1000000)</f>
        <v>0.66471999999999998</v>
      </c>
      <c r="Y326" s="56"/>
      <c r="Z326" s="17"/>
      <c r="AA326" s="55"/>
      <c r="AB326" s="48">
        <f>(B326*122.58+C326*297.941+D326*89.177+E326*140.302+F326*40+G326*60+H326*0+I326*100+J326*300)/(122.58+297.941+89.177+140.302+0+40+60+100+300)</f>
        <v>14.500110613391305</v>
      </c>
      <c r="AC326" s="45">
        <f>(M326*'RAP TEMPLATE-GAS AVAILABILITY'!O325+N326*'RAP TEMPLATE-GAS AVAILABILITY'!P325+O326*'RAP TEMPLATE-GAS AVAILABILITY'!Q325+P326*'RAP TEMPLATE-GAS AVAILABILITY'!R325)/('RAP TEMPLATE-GAS AVAILABILITY'!O325+'RAP TEMPLATE-GAS AVAILABILITY'!P325+'RAP TEMPLATE-GAS AVAILABILITY'!Q325+'RAP TEMPLATE-GAS AVAILABILITY'!R325)</f>
        <v>14.420216546762592</v>
      </c>
    </row>
    <row r="327" spans="1:29" ht="15.75" x14ac:dyDescent="0.25">
      <c r="A327" s="14">
        <v>50495</v>
      </c>
      <c r="B327" s="17">
        <f>CHOOSE(CONTROL!$C$42, 14.047, 14.047) * CHOOSE(CONTROL!$C$21, $C$9, 100%, $E$9)</f>
        <v>14.047000000000001</v>
      </c>
      <c r="C327" s="17">
        <f>CHOOSE(CONTROL!$C$42, 14.0521, 14.0521) * CHOOSE(CONTROL!$C$21, $C$9, 100%, $E$9)</f>
        <v>14.052099999999999</v>
      </c>
      <c r="D327" s="17">
        <f>CHOOSE(CONTROL!$C$42, 14.186, 14.186) * CHOOSE(CONTROL!$C$21, $C$9, 100%, $E$9)</f>
        <v>14.186</v>
      </c>
      <c r="E327" s="17">
        <f>CHOOSE(CONTROL!$C$42, 14.2198, 14.2198) * CHOOSE(CONTROL!$C$21, $C$9, 100%, $E$9)</f>
        <v>14.219799999999999</v>
      </c>
      <c r="F327" s="17">
        <f>CHOOSE(CONTROL!$C$42, 14.0596, 14.0596)*CHOOSE(CONTROL!$C$21, $C$9, 100%, $E$9)</f>
        <v>14.0596</v>
      </c>
      <c r="G327" s="17">
        <f>CHOOSE(CONTROL!$C$42, 14.0763, 14.0763)*CHOOSE(CONTROL!$C$21, $C$9, 100%, $E$9)</f>
        <v>14.0763</v>
      </c>
      <c r="H327" s="17">
        <f>CHOOSE(CONTROL!$C$42, 14.2087, 14.2087) * CHOOSE(CONTROL!$C$21, $C$9, 100%, $E$9)</f>
        <v>14.2087</v>
      </c>
      <c r="I327" s="17">
        <f>CHOOSE(CONTROL!$C$42, 14.1171, 14.1171)* CHOOSE(CONTROL!$C$21, $C$9, 100%, $E$9)</f>
        <v>14.117100000000001</v>
      </c>
      <c r="J327" s="17">
        <f>CHOOSE(CONTROL!$C$42, 14.0522, 14.0522)* CHOOSE(CONTROL!$C$21, $C$9, 100%, $E$9)</f>
        <v>14.052199999999999</v>
      </c>
      <c r="K327" s="52">
        <f>CHOOSE(CONTROL!$C$42, 14.111, 14.111) * CHOOSE(CONTROL!$C$21, $C$9, 100%, $E$9)</f>
        <v>14.111000000000001</v>
      </c>
      <c r="L327" s="17">
        <f>CHOOSE(CONTROL!$C$42, 14.7957, 14.7957) * CHOOSE(CONTROL!$C$21, $C$9, 100%, $E$9)</f>
        <v>14.7957</v>
      </c>
      <c r="M327" s="17">
        <f>CHOOSE(CONTROL!$C$42, 13.9329, 13.9329) * CHOOSE(CONTROL!$C$21, $C$9, 100%, $E$9)</f>
        <v>13.9329</v>
      </c>
      <c r="N327" s="17">
        <f>CHOOSE(CONTROL!$C$42, 13.9494, 13.9494) * CHOOSE(CONTROL!$C$21, $C$9, 100%, $E$9)</f>
        <v>13.949400000000001</v>
      </c>
      <c r="O327" s="17">
        <f>CHOOSE(CONTROL!$C$42, 14.0879, 14.0879) * CHOOSE(CONTROL!$C$21, $C$9, 100%, $E$9)</f>
        <v>14.087899999999999</v>
      </c>
      <c r="P327" s="17">
        <f>CHOOSE(CONTROL!$C$42, 13.9968, 13.9968) * CHOOSE(CONTROL!$C$21, $C$9, 100%, $E$9)</f>
        <v>13.9968</v>
      </c>
      <c r="Q327" s="17">
        <f>CHOOSE(CONTROL!$C$42, 14.6826, 14.6826) * CHOOSE(CONTROL!$C$21, $C$9, 100%, $E$9)</f>
        <v>14.682600000000001</v>
      </c>
      <c r="R327" s="17">
        <f>CHOOSE(CONTROL!$C$42, 15.3063, 15.3063) * CHOOSE(CONTROL!$C$21, $C$9, 100%, $E$9)</f>
        <v>15.3063</v>
      </c>
      <c r="S327" s="17">
        <f>CHOOSE(CONTROL!$C$42, 13.6119, 13.6119) * CHOOSE(CONTROL!$C$21, $C$9, 100%, $E$9)</f>
        <v>13.6119</v>
      </c>
      <c r="T327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327" s="56">
        <f>(1000*CHOOSE(CONTROL!$C$42, 695, 695)*CHOOSE(CONTROL!$C$42, 0.5599, 0.5599)*CHOOSE(CONTROL!$C$42, 31, 31))/1000000</f>
        <v>12.063045499999998</v>
      </c>
      <c r="V327" s="56">
        <f>(1000*CHOOSE(CONTROL!$C$42, 500, 500)*CHOOSE(CONTROL!$C$42, 0.275, 0.275)*CHOOSE(CONTROL!$C$42, 31, 31))/1000000</f>
        <v>4.2625000000000002</v>
      </c>
      <c r="W327" s="56">
        <f>(1000*CHOOSE(CONTROL!$C$42, 0.0916, 0.0916)*CHOOSE(CONTROL!$C$42, 121.5, 121.5)*CHOOSE(CONTROL!$C$42, 31, 31))/1000000</f>
        <v>0.34501139999999997</v>
      </c>
      <c r="X327" s="56">
        <f>(31*0.2374*100000/1000000)</f>
        <v>0.73594000000000004</v>
      </c>
      <c r="Y327" s="56"/>
      <c r="Z327" s="17"/>
      <c r="AA327" s="55"/>
      <c r="AB327" s="48">
        <f>(B327*122.58+C327*297.941+D327*89.177+E327*140.302+F327*40+G327*60+H327*0+I327*100+J327*300)/(122.58+297.941+89.177+140.302+0+40+60+100+300)</f>
        <v>14.089601119739129</v>
      </c>
      <c r="AC327" s="45">
        <f>(M327*'RAP TEMPLATE-GAS AVAILABILITY'!O326+N327*'RAP TEMPLATE-GAS AVAILABILITY'!P326+O327*'RAP TEMPLATE-GAS AVAILABILITY'!Q326+P327*'RAP TEMPLATE-GAS AVAILABILITY'!R326)/('RAP TEMPLATE-GAS AVAILABILITY'!O326+'RAP TEMPLATE-GAS AVAILABILITY'!P326+'RAP TEMPLATE-GAS AVAILABILITY'!Q326+'RAP TEMPLATE-GAS AVAILABILITY'!R326)</f>
        <v>14.013295683453237</v>
      </c>
    </row>
    <row r="328" spans="1:29" ht="15.75" x14ac:dyDescent="0.25">
      <c r="A328" s="14">
        <v>50525</v>
      </c>
      <c r="B328" s="17">
        <f>CHOOSE(CONTROL!$C$42, 14.006, 14.006) * CHOOSE(CONTROL!$C$21, $C$9, 100%, $E$9)</f>
        <v>14.006</v>
      </c>
      <c r="C328" s="17">
        <f>CHOOSE(CONTROL!$C$42, 14.0105, 14.0105) * CHOOSE(CONTROL!$C$21, $C$9, 100%, $E$9)</f>
        <v>14.0105</v>
      </c>
      <c r="D328" s="17">
        <f>CHOOSE(CONTROL!$C$42, 14.2735, 14.2735) * CHOOSE(CONTROL!$C$21, $C$9, 100%, $E$9)</f>
        <v>14.2735</v>
      </c>
      <c r="E328" s="17">
        <f>CHOOSE(CONTROL!$C$42, 14.3053, 14.3053) * CHOOSE(CONTROL!$C$21, $C$9, 100%, $E$9)</f>
        <v>14.305300000000001</v>
      </c>
      <c r="F328" s="17">
        <f>CHOOSE(CONTROL!$C$42, 14.0169, 14.0169)*CHOOSE(CONTROL!$C$21, $C$9, 100%, $E$9)</f>
        <v>14.0169</v>
      </c>
      <c r="G328" s="17">
        <f>CHOOSE(CONTROL!$C$42, 14.0331, 14.0331)*CHOOSE(CONTROL!$C$21, $C$9, 100%, $E$9)</f>
        <v>14.033099999999999</v>
      </c>
      <c r="H328" s="17">
        <f>CHOOSE(CONTROL!$C$42, 14.2948, 14.2948) * CHOOSE(CONTROL!$C$21, $C$9, 100%, $E$9)</f>
        <v>14.2948</v>
      </c>
      <c r="I328" s="17">
        <f>CHOOSE(CONTROL!$C$42, 14.0747, 14.0747)* CHOOSE(CONTROL!$C$21, $C$9, 100%, $E$9)</f>
        <v>14.0747</v>
      </c>
      <c r="J328" s="17">
        <f>CHOOSE(CONTROL!$C$42, 14.0095, 14.0095)* CHOOSE(CONTROL!$C$21, $C$9, 100%, $E$9)</f>
        <v>14.009499999999999</v>
      </c>
      <c r="K328" s="52">
        <f>CHOOSE(CONTROL!$C$42, 14.0686, 14.0686) * CHOOSE(CONTROL!$C$21, $C$9, 100%, $E$9)</f>
        <v>14.0686</v>
      </c>
      <c r="L328" s="17">
        <f>CHOOSE(CONTROL!$C$42, 14.8818, 14.8818) * CHOOSE(CONTROL!$C$21, $C$9, 100%, $E$9)</f>
        <v>14.8818</v>
      </c>
      <c r="M328" s="17">
        <f>CHOOSE(CONTROL!$C$42, 13.8905, 13.8905) * CHOOSE(CONTROL!$C$21, $C$9, 100%, $E$9)</f>
        <v>13.890499999999999</v>
      </c>
      <c r="N328" s="17">
        <f>CHOOSE(CONTROL!$C$42, 13.9065, 13.9065) * CHOOSE(CONTROL!$C$21, $C$9, 100%, $E$9)</f>
        <v>13.906499999999999</v>
      </c>
      <c r="O328" s="17">
        <f>CHOOSE(CONTROL!$C$42, 14.1732, 14.1732) * CHOOSE(CONTROL!$C$21, $C$9, 100%, $E$9)</f>
        <v>14.1732</v>
      </c>
      <c r="P328" s="17">
        <f>CHOOSE(CONTROL!$C$42, 13.9548, 13.9548) * CHOOSE(CONTROL!$C$21, $C$9, 100%, $E$9)</f>
        <v>13.954800000000001</v>
      </c>
      <c r="Q328" s="17">
        <f>CHOOSE(CONTROL!$C$42, 14.7679, 14.7679) * CHOOSE(CONTROL!$C$21, $C$9, 100%, $E$9)</f>
        <v>14.767899999999999</v>
      </c>
      <c r="R328" s="17">
        <f>CHOOSE(CONTROL!$C$42, 15.3918, 15.3918) * CHOOSE(CONTROL!$C$21, $C$9, 100%, $E$9)</f>
        <v>15.3918</v>
      </c>
      <c r="S328" s="17">
        <f>CHOOSE(CONTROL!$C$42, 13.5714, 13.5714) * CHOOSE(CONTROL!$C$21, $C$9, 100%, $E$9)</f>
        <v>13.571400000000001</v>
      </c>
      <c r="T328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328" s="56">
        <f>(1000*CHOOSE(CONTROL!$C$42, 695, 695)*CHOOSE(CONTROL!$C$42, 0.5599, 0.5599)*CHOOSE(CONTROL!$C$42, 30, 30))/1000000</f>
        <v>11.673914999999997</v>
      </c>
      <c r="V328" s="56">
        <f>(1000*CHOOSE(CONTROL!$C$42, 500, 500)*CHOOSE(CONTROL!$C$42, 0.275, 0.275)*CHOOSE(CONTROL!$C$42, 30, 30))/1000000</f>
        <v>4.125</v>
      </c>
      <c r="W328" s="56">
        <f>(1000*CHOOSE(CONTROL!$C$42, 0.0916, 0.0916)*CHOOSE(CONTROL!$C$42, 121.5, 121.5)*CHOOSE(CONTROL!$C$42, 30, 30))/1000000</f>
        <v>0.33388200000000001</v>
      </c>
      <c r="X328" s="56">
        <f>(30*0.1790888*145000/1000000)+(30*0.2374*100000/1000000)</f>
        <v>1.4912362799999999</v>
      </c>
      <c r="Y328" s="56"/>
      <c r="Z328" s="17"/>
      <c r="AA328" s="55"/>
      <c r="AB328" s="48">
        <f>(B328*141.293+C328*267.993+D328*115.016+E328*189.698+F328*40+G328*85+H328*0+I328*100+J328*300)/(141.293+267.993+115.016+189.698+0+40+85+100+300)</f>
        <v>14.086233139548023</v>
      </c>
      <c r="AC328" s="45">
        <f>(M328*'RAP TEMPLATE-GAS AVAILABILITY'!O327+N328*'RAP TEMPLATE-GAS AVAILABILITY'!P327+O328*'RAP TEMPLATE-GAS AVAILABILITY'!Q327+P328*'RAP TEMPLATE-GAS AVAILABILITY'!R327)/('RAP TEMPLATE-GAS AVAILABILITY'!O327+'RAP TEMPLATE-GAS AVAILABILITY'!P327+'RAP TEMPLATE-GAS AVAILABILITY'!Q327+'RAP TEMPLATE-GAS AVAILABILITY'!R327)</f>
        <v>13.98275395683453</v>
      </c>
    </row>
    <row r="329" spans="1:29" ht="15.75" x14ac:dyDescent="0.25">
      <c r="A329" s="14">
        <v>50556</v>
      </c>
      <c r="B329" s="17">
        <f>CHOOSE(CONTROL!$C$42, 14.1309, 14.1309) * CHOOSE(CONTROL!$C$21, $C$9, 100%, $E$9)</f>
        <v>14.1309</v>
      </c>
      <c r="C329" s="17">
        <f>CHOOSE(CONTROL!$C$42, 14.1389, 14.1389) * CHOOSE(CONTROL!$C$21, $C$9, 100%, $E$9)</f>
        <v>14.1389</v>
      </c>
      <c r="D329" s="17">
        <f>CHOOSE(CONTROL!$C$42, 14.3988, 14.3988) * CHOOSE(CONTROL!$C$21, $C$9, 100%, $E$9)</f>
        <v>14.3988</v>
      </c>
      <c r="E329" s="17">
        <f>CHOOSE(CONTROL!$C$42, 14.43, 14.43) * CHOOSE(CONTROL!$C$21, $C$9, 100%, $E$9)</f>
        <v>14.43</v>
      </c>
      <c r="F329" s="17">
        <f>CHOOSE(CONTROL!$C$42, 14.1406, 14.1406)*CHOOSE(CONTROL!$C$21, $C$9, 100%, $E$9)</f>
        <v>14.140599999999999</v>
      </c>
      <c r="G329" s="17">
        <f>CHOOSE(CONTROL!$C$42, 14.157, 14.157)*CHOOSE(CONTROL!$C$21, $C$9, 100%, $E$9)</f>
        <v>14.157</v>
      </c>
      <c r="H329" s="17">
        <f>CHOOSE(CONTROL!$C$42, 14.4183, 14.4183) * CHOOSE(CONTROL!$C$21, $C$9, 100%, $E$9)</f>
        <v>14.4183</v>
      </c>
      <c r="I329" s="17">
        <f>CHOOSE(CONTROL!$C$42, 14.1986, 14.1986)* CHOOSE(CONTROL!$C$21, $C$9, 100%, $E$9)</f>
        <v>14.198600000000001</v>
      </c>
      <c r="J329" s="17">
        <f>CHOOSE(CONTROL!$C$42, 14.1332, 14.1332)* CHOOSE(CONTROL!$C$21, $C$9, 100%, $E$9)</f>
        <v>14.1332</v>
      </c>
      <c r="K329" s="52">
        <f>CHOOSE(CONTROL!$C$42, 14.1925, 14.1925) * CHOOSE(CONTROL!$C$21, $C$9, 100%, $E$9)</f>
        <v>14.192500000000001</v>
      </c>
      <c r="L329" s="17">
        <f>CHOOSE(CONTROL!$C$42, 15.0053, 15.0053) * CHOOSE(CONTROL!$C$21, $C$9, 100%, $E$9)</f>
        <v>15.0053</v>
      </c>
      <c r="M329" s="17">
        <f>CHOOSE(CONTROL!$C$42, 14.0131, 14.0131) * CHOOSE(CONTROL!$C$21, $C$9, 100%, $E$9)</f>
        <v>14.0131</v>
      </c>
      <c r="N329" s="17">
        <f>CHOOSE(CONTROL!$C$42, 14.0294, 14.0294) * CHOOSE(CONTROL!$C$21, $C$9, 100%, $E$9)</f>
        <v>14.029400000000001</v>
      </c>
      <c r="O329" s="17">
        <f>CHOOSE(CONTROL!$C$42, 14.2956, 14.2956) * CHOOSE(CONTROL!$C$21, $C$9, 100%, $E$9)</f>
        <v>14.2956</v>
      </c>
      <c r="P329" s="17">
        <f>CHOOSE(CONTROL!$C$42, 14.0775, 14.0775) * CHOOSE(CONTROL!$C$21, $C$9, 100%, $E$9)</f>
        <v>14.077500000000001</v>
      </c>
      <c r="Q329" s="17">
        <f>CHOOSE(CONTROL!$C$42, 14.8903, 14.8903) * CHOOSE(CONTROL!$C$21, $C$9, 100%, $E$9)</f>
        <v>14.8903</v>
      </c>
      <c r="R329" s="17">
        <f>CHOOSE(CONTROL!$C$42, 15.5146, 15.5146) * CHOOSE(CONTROL!$C$21, $C$9, 100%, $E$9)</f>
        <v>15.5146</v>
      </c>
      <c r="S329" s="17">
        <f>CHOOSE(CONTROL!$C$42, 13.6911, 13.6911) * CHOOSE(CONTROL!$C$21, $C$9, 100%, $E$9)</f>
        <v>13.6911</v>
      </c>
      <c r="T329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329" s="56">
        <f>(1000*CHOOSE(CONTROL!$C$42, 695, 695)*CHOOSE(CONTROL!$C$42, 0.5599, 0.5599)*CHOOSE(CONTROL!$C$42, 31, 31))/1000000</f>
        <v>12.063045499999998</v>
      </c>
      <c r="V329" s="56">
        <f>(1000*CHOOSE(CONTROL!$C$42, 500, 500)*CHOOSE(CONTROL!$C$42, 0.275, 0.275)*CHOOSE(CONTROL!$C$42, 31, 31))/1000000</f>
        <v>4.2625000000000002</v>
      </c>
      <c r="W329" s="56">
        <f>(1000*CHOOSE(CONTROL!$C$42, 0.0916, 0.0916)*CHOOSE(CONTROL!$C$42, 121.5, 121.5)*CHOOSE(CONTROL!$C$42, 31, 31))/1000000</f>
        <v>0.34501139999999997</v>
      </c>
      <c r="X329" s="56">
        <f>(31*0.1790888*145000/1000000)+(31*0.2374*100000/1000000)</f>
        <v>1.5409441560000001</v>
      </c>
      <c r="Y329" s="56"/>
      <c r="Z329" s="17"/>
      <c r="AA329" s="55"/>
      <c r="AB329" s="48">
        <f>(B329*194.205+C329*267.466+D329*133.845+E329*153.484+F329*40+G329*85+H329*0+I329*100+J329*300)/(194.205+267.466+133.845+153.484+0+40+85+100+300)</f>
        <v>14.204660100392465</v>
      </c>
      <c r="AC329" s="45">
        <f>(M329*'RAP TEMPLATE-GAS AVAILABILITY'!O328+N329*'RAP TEMPLATE-GAS AVAILABILITY'!P328+O329*'RAP TEMPLATE-GAS AVAILABILITY'!Q328+P329*'RAP TEMPLATE-GAS AVAILABILITY'!R328)/('RAP TEMPLATE-GAS AVAILABILITY'!O328+'RAP TEMPLATE-GAS AVAILABILITY'!P328+'RAP TEMPLATE-GAS AVAILABILITY'!Q328+'RAP TEMPLATE-GAS AVAILABILITY'!R328)</f>
        <v>14.105381294964028</v>
      </c>
    </row>
    <row r="330" spans="1:29" ht="15.75" x14ac:dyDescent="0.25">
      <c r="A330" s="14">
        <v>50586</v>
      </c>
      <c r="B330" s="17">
        <f>CHOOSE(CONTROL!$C$42, 14.5314, 14.5314) * CHOOSE(CONTROL!$C$21, $C$9, 100%, $E$9)</f>
        <v>14.5314</v>
      </c>
      <c r="C330" s="17">
        <f>CHOOSE(CONTROL!$C$42, 14.5393, 14.5393) * CHOOSE(CONTROL!$C$21, $C$9, 100%, $E$9)</f>
        <v>14.539300000000001</v>
      </c>
      <c r="D330" s="17">
        <f>CHOOSE(CONTROL!$C$42, 14.7993, 14.7993) * CHOOSE(CONTROL!$C$21, $C$9, 100%, $E$9)</f>
        <v>14.799300000000001</v>
      </c>
      <c r="E330" s="17">
        <f>CHOOSE(CONTROL!$C$42, 14.8305, 14.8305) * CHOOSE(CONTROL!$C$21, $C$9, 100%, $E$9)</f>
        <v>14.830500000000001</v>
      </c>
      <c r="F330" s="17">
        <f>CHOOSE(CONTROL!$C$42, 14.5413, 14.5413)*CHOOSE(CONTROL!$C$21, $C$9, 100%, $E$9)</f>
        <v>14.5413</v>
      </c>
      <c r="G330" s="17">
        <f>CHOOSE(CONTROL!$C$42, 14.5579, 14.5579)*CHOOSE(CONTROL!$C$21, $C$9, 100%, $E$9)</f>
        <v>14.5579</v>
      </c>
      <c r="H330" s="17">
        <f>CHOOSE(CONTROL!$C$42, 14.8188, 14.8188) * CHOOSE(CONTROL!$C$21, $C$9, 100%, $E$9)</f>
        <v>14.8188</v>
      </c>
      <c r="I330" s="17">
        <f>CHOOSE(CONTROL!$C$42, 14.6003, 14.6003)* CHOOSE(CONTROL!$C$21, $C$9, 100%, $E$9)</f>
        <v>14.600300000000001</v>
      </c>
      <c r="J330" s="17">
        <f>CHOOSE(CONTROL!$C$42, 14.5339, 14.5339)* CHOOSE(CONTROL!$C$21, $C$9, 100%, $E$9)</f>
        <v>14.533899999999999</v>
      </c>
      <c r="K330" s="52">
        <f>CHOOSE(CONTROL!$C$42, 14.5943, 14.5943) * CHOOSE(CONTROL!$C$21, $C$9, 100%, $E$9)</f>
        <v>14.5943</v>
      </c>
      <c r="L330" s="17">
        <f>CHOOSE(CONTROL!$C$42, 15.4058, 15.4058) * CHOOSE(CONTROL!$C$21, $C$9, 100%, $E$9)</f>
        <v>15.405799999999999</v>
      </c>
      <c r="M330" s="17">
        <f>CHOOSE(CONTROL!$C$42, 14.4102, 14.4102) * CHOOSE(CONTROL!$C$21, $C$9, 100%, $E$9)</f>
        <v>14.4102</v>
      </c>
      <c r="N330" s="17">
        <f>CHOOSE(CONTROL!$C$42, 14.4266, 14.4266) * CHOOSE(CONTROL!$C$21, $C$9, 100%, $E$9)</f>
        <v>14.426600000000001</v>
      </c>
      <c r="O330" s="17">
        <f>CHOOSE(CONTROL!$C$42, 14.6925, 14.6925) * CHOOSE(CONTROL!$C$21, $C$9, 100%, $E$9)</f>
        <v>14.692500000000001</v>
      </c>
      <c r="P330" s="17">
        <f>CHOOSE(CONTROL!$C$42, 14.4756, 14.4756) * CHOOSE(CONTROL!$C$21, $C$9, 100%, $E$9)</f>
        <v>14.4756</v>
      </c>
      <c r="Q330" s="17">
        <f>CHOOSE(CONTROL!$C$42, 15.2872, 15.2872) * CHOOSE(CONTROL!$C$21, $C$9, 100%, $E$9)</f>
        <v>15.2872</v>
      </c>
      <c r="R330" s="17">
        <f>CHOOSE(CONTROL!$C$42, 15.9124, 15.9124) * CHOOSE(CONTROL!$C$21, $C$9, 100%, $E$9)</f>
        <v>15.9124</v>
      </c>
      <c r="S330" s="17">
        <f>CHOOSE(CONTROL!$C$42, 14.0795, 14.0795) * CHOOSE(CONTROL!$C$21, $C$9, 100%, $E$9)</f>
        <v>14.079499999999999</v>
      </c>
      <c r="T330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330" s="56">
        <f>(1000*CHOOSE(CONTROL!$C$42, 695, 695)*CHOOSE(CONTROL!$C$42, 0.5599, 0.5599)*CHOOSE(CONTROL!$C$42, 30, 30))/1000000</f>
        <v>11.673914999999997</v>
      </c>
      <c r="V330" s="56">
        <f>(1000*CHOOSE(CONTROL!$C$42, 500, 500)*CHOOSE(CONTROL!$C$42, 0.275, 0.275)*CHOOSE(CONTROL!$C$42, 30, 30))/1000000</f>
        <v>4.125</v>
      </c>
      <c r="W330" s="56">
        <f>(1000*CHOOSE(CONTROL!$C$42, 0.0916, 0.0916)*CHOOSE(CONTROL!$C$42, 121.5, 121.5)*CHOOSE(CONTROL!$C$42, 30, 30))/1000000</f>
        <v>0.33388200000000001</v>
      </c>
      <c r="X330" s="56">
        <f>(30*0.1790888*145000/1000000)+(30*0.2374*100000/1000000)</f>
        <v>1.4912362799999999</v>
      </c>
      <c r="Y330" s="56"/>
      <c r="Z330" s="17"/>
      <c r="AA330" s="55"/>
      <c r="AB330" s="48">
        <f>(B330*194.205+C330*267.466+D330*133.845+E330*153.484+F330*40+G330*85+H330*0+I330*100+J330*300)/(194.205+267.466+133.845+153.484+0+40+85+100+300)</f>
        <v>14.605313360518055</v>
      </c>
      <c r="AC330" s="45">
        <f>(M330*'RAP TEMPLATE-GAS AVAILABILITY'!O329+N330*'RAP TEMPLATE-GAS AVAILABILITY'!P329+O330*'RAP TEMPLATE-GAS AVAILABILITY'!Q329+P330*'RAP TEMPLATE-GAS AVAILABILITY'!R329)/('RAP TEMPLATE-GAS AVAILABILITY'!O329+'RAP TEMPLATE-GAS AVAILABILITY'!P329+'RAP TEMPLATE-GAS AVAILABILITY'!Q329+'RAP TEMPLATE-GAS AVAILABILITY'!R329)</f>
        <v>14.502592086330935</v>
      </c>
    </row>
    <row r="331" spans="1:29" ht="15.75" x14ac:dyDescent="0.25">
      <c r="A331" s="14">
        <v>50617</v>
      </c>
      <c r="B331" s="17">
        <f>CHOOSE(CONTROL!$C$42, 14.2528, 14.2528) * CHOOSE(CONTROL!$C$21, $C$9, 100%, $E$9)</f>
        <v>14.252800000000001</v>
      </c>
      <c r="C331" s="17">
        <f>CHOOSE(CONTROL!$C$42, 14.2608, 14.2608) * CHOOSE(CONTROL!$C$21, $C$9, 100%, $E$9)</f>
        <v>14.2608</v>
      </c>
      <c r="D331" s="17">
        <f>CHOOSE(CONTROL!$C$42, 14.5207, 14.5207) * CHOOSE(CONTROL!$C$21, $C$9, 100%, $E$9)</f>
        <v>14.5207</v>
      </c>
      <c r="E331" s="17">
        <f>CHOOSE(CONTROL!$C$42, 14.5519, 14.5519) * CHOOSE(CONTROL!$C$21, $C$9, 100%, $E$9)</f>
        <v>14.5519</v>
      </c>
      <c r="F331" s="17">
        <f>CHOOSE(CONTROL!$C$42, 14.2632, 14.2632)*CHOOSE(CONTROL!$C$21, $C$9, 100%, $E$9)</f>
        <v>14.263199999999999</v>
      </c>
      <c r="G331" s="17">
        <f>CHOOSE(CONTROL!$C$42, 14.2799, 14.2799)*CHOOSE(CONTROL!$C$21, $C$9, 100%, $E$9)</f>
        <v>14.2799</v>
      </c>
      <c r="H331" s="17">
        <f>CHOOSE(CONTROL!$C$42, 14.5402, 14.5402) * CHOOSE(CONTROL!$C$21, $C$9, 100%, $E$9)</f>
        <v>14.5402</v>
      </c>
      <c r="I331" s="17">
        <f>CHOOSE(CONTROL!$C$42, 14.3209, 14.3209)* CHOOSE(CONTROL!$C$21, $C$9, 100%, $E$9)</f>
        <v>14.3209</v>
      </c>
      <c r="J331" s="17">
        <f>CHOOSE(CONTROL!$C$42, 14.2558, 14.2558)* CHOOSE(CONTROL!$C$21, $C$9, 100%, $E$9)</f>
        <v>14.255800000000001</v>
      </c>
      <c r="K331" s="52">
        <f>CHOOSE(CONTROL!$C$42, 14.3149, 14.3149) * CHOOSE(CONTROL!$C$21, $C$9, 100%, $E$9)</f>
        <v>14.3149</v>
      </c>
      <c r="L331" s="17">
        <f>CHOOSE(CONTROL!$C$42, 15.1272, 15.1272) * CHOOSE(CONTROL!$C$21, $C$9, 100%, $E$9)</f>
        <v>15.1272</v>
      </c>
      <c r="M331" s="17">
        <f>CHOOSE(CONTROL!$C$42, 14.1346, 14.1346) * CHOOSE(CONTROL!$C$21, $C$9, 100%, $E$9)</f>
        <v>14.134600000000001</v>
      </c>
      <c r="N331" s="17">
        <f>CHOOSE(CONTROL!$C$42, 14.1511, 14.1511) * CHOOSE(CONTROL!$C$21, $C$9, 100%, $E$9)</f>
        <v>14.1511</v>
      </c>
      <c r="O331" s="17">
        <f>CHOOSE(CONTROL!$C$42, 14.4165, 14.4165) * CHOOSE(CONTROL!$C$21, $C$9, 100%, $E$9)</f>
        <v>14.416499999999999</v>
      </c>
      <c r="P331" s="17">
        <f>CHOOSE(CONTROL!$C$42, 14.1988, 14.1988) * CHOOSE(CONTROL!$C$21, $C$9, 100%, $E$9)</f>
        <v>14.1988</v>
      </c>
      <c r="Q331" s="17">
        <f>CHOOSE(CONTROL!$C$42, 15.0112, 15.0112) * CHOOSE(CONTROL!$C$21, $C$9, 100%, $E$9)</f>
        <v>15.011200000000001</v>
      </c>
      <c r="R331" s="17">
        <f>CHOOSE(CONTROL!$C$42, 15.6357, 15.6357) * CHOOSE(CONTROL!$C$21, $C$9, 100%, $E$9)</f>
        <v>15.6357</v>
      </c>
      <c r="S331" s="17">
        <f>CHOOSE(CONTROL!$C$42, 13.8094, 13.8094) * CHOOSE(CONTROL!$C$21, $C$9, 100%, $E$9)</f>
        <v>13.8094</v>
      </c>
      <c r="T331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331" s="56">
        <f>(1000*CHOOSE(CONTROL!$C$42, 695, 695)*CHOOSE(CONTROL!$C$42, 0.5599, 0.5599)*CHOOSE(CONTROL!$C$42, 31, 31))/1000000</f>
        <v>12.063045499999998</v>
      </c>
      <c r="V331" s="56">
        <f>(1000*CHOOSE(CONTROL!$C$42, 500, 500)*CHOOSE(CONTROL!$C$42, 0.275, 0.275)*CHOOSE(CONTROL!$C$42, 31, 31))/1000000</f>
        <v>4.2625000000000002</v>
      </c>
      <c r="W331" s="56">
        <f>(1000*CHOOSE(CONTROL!$C$42, 0.0916, 0.0916)*CHOOSE(CONTROL!$C$42, 121.5, 121.5)*CHOOSE(CONTROL!$C$42, 31, 31))/1000000</f>
        <v>0.34501139999999997</v>
      </c>
      <c r="X331" s="56">
        <f>(31*0.1790888*145000/1000000)+(31*0.2374*100000/1000000)</f>
        <v>1.5409441560000001</v>
      </c>
      <c r="Y331" s="56"/>
      <c r="Z331" s="17"/>
      <c r="AA331" s="55"/>
      <c r="AB331" s="48">
        <f>(B331*194.205+C331*267.466+D331*133.845+E331*153.484+F331*40+G331*85+H331*0+I331*100+J331*300)/(194.205+267.466+133.845+153.484+0+40+85+100+300)</f>
        <v>14.326845029748819</v>
      </c>
      <c r="AC331" s="45">
        <f>(M331*'RAP TEMPLATE-GAS AVAILABILITY'!O330+N331*'RAP TEMPLATE-GAS AVAILABILITY'!P330+O331*'RAP TEMPLATE-GAS AVAILABILITY'!Q330+P331*'RAP TEMPLATE-GAS AVAILABILITY'!R330)/('RAP TEMPLATE-GAS AVAILABILITY'!O330+'RAP TEMPLATE-GAS AVAILABILITY'!P330+'RAP TEMPLATE-GAS AVAILABILITY'!Q330+'RAP TEMPLATE-GAS AVAILABILITY'!R330)</f>
        <v>14.226730215827338</v>
      </c>
    </row>
    <row r="332" spans="1:29" ht="15.75" x14ac:dyDescent="0.25">
      <c r="A332" s="14">
        <v>50648</v>
      </c>
      <c r="B332" s="17">
        <f>CHOOSE(CONTROL!$C$42, 13.5494, 13.5494) * CHOOSE(CONTROL!$C$21, $C$9, 100%, $E$9)</f>
        <v>13.5494</v>
      </c>
      <c r="C332" s="17">
        <f>CHOOSE(CONTROL!$C$42, 13.5574, 13.5574) * CHOOSE(CONTROL!$C$21, $C$9, 100%, $E$9)</f>
        <v>13.557399999999999</v>
      </c>
      <c r="D332" s="17">
        <f>CHOOSE(CONTROL!$C$42, 13.8174, 13.8174) * CHOOSE(CONTROL!$C$21, $C$9, 100%, $E$9)</f>
        <v>13.817399999999999</v>
      </c>
      <c r="E332" s="17">
        <f>CHOOSE(CONTROL!$C$42, 13.8485, 13.8485) * CHOOSE(CONTROL!$C$21, $C$9, 100%, $E$9)</f>
        <v>13.8485</v>
      </c>
      <c r="F332" s="17">
        <f>CHOOSE(CONTROL!$C$42, 13.5601, 13.5601)*CHOOSE(CONTROL!$C$21, $C$9, 100%, $E$9)</f>
        <v>13.5601</v>
      </c>
      <c r="G332" s="17">
        <f>CHOOSE(CONTROL!$C$42, 13.5768, 13.5768)*CHOOSE(CONTROL!$C$21, $C$9, 100%, $E$9)</f>
        <v>13.5768</v>
      </c>
      <c r="H332" s="17">
        <f>CHOOSE(CONTROL!$C$42, 13.8369, 13.8369) * CHOOSE(CONTROL!$C$21, $C$9, 100%, $E$9)</f>
        <v>13.8369</v>
      </c>
      <c r="I332" s="17">
        <f>CHOOSE(CONTROL!$C$42, 13.6153, 13.6153)* CHOOSE(CONTROL!$C$21, $C$9, 100%, $E$9)</f>
        <v>13.6153</v>
      </c>
      <c r="J332" s="17">
        <f>CHOOSE(CONTROL!$C$42, 13.5527, 13.5527)* CHOOSE(CONTROL!$C$21, $C$9, 100%, $E$9)</f>
        <v>13.5527</v>
      </c>
      <c r="K332" s="52">
        <f>CHOOSE(CONTROL!$C$42, 13.6093, 13.6093) * CHOOSE(CONTROL!$C$21, $C$9, 100%, $E$9)</f>
        <v>13.609299999999999</v>
      </c>
      <c r="L332" s="17">
        <f>CHOOSE(CONTROL!$C$42, 14.4239, 14.4239) * CHOOSE(CONTROL!$C$21, $C$9, 100%, $E$9)</f>
        <v>14.4239</v>
      </c>
      <c r="M332" s="17">
        <f>CHOOSE(CONTROL!$C$42, 13.4378, 13.4378) * CHOOSE(CONTROL!$C$21, $C$9, 100%, $E$9)</f>
        <v>13.437799999999999</v>
      </c>
      <c r="N332" s="17">
        <f>CHOOSE(CONTROL!$C$42, 13.4543, 13.4543) * CHOOSE(CONTROL!$C$21, $C$9, 100%, $E$9)</f>
        <v>13.4543</v>
      </c>
      <c r="O332" s="17">
        <f>CHOOSE(CONTROL!$C$42, 13.7194, 13.7194) * CHOOSE(CONTROL!$C$21, $C$9, 100%, $E$9)</f>
        <v>13.7194</v>
      </c>
      <c r="P332" s="17">
        <f>CHOOSE(CONTROL!$C$42, 13.4996, 13.4996) * CHOOSE(CONTROL!$C$21, $C$9, 100%, $E$9)</f>
        <v>13.499599999999999</v>
      </c>
      <c r="Q332" s="17">
        <f>CHOOSE(CONTROL!$C$42, 14.3141, 14.3141) * CHOOSE(CONTROL!$C$21, $C$9, 100%, $E$9)</f>
        <v>14.3141</v>
      </c>
      <c r="R332" s="17">
        <f>CHOOSE(CONTROL!$C$42, 14.9369, 14.9369) * CHOOSE(CONTROL!$C$21, $C$9, 100%, $E$9)</f>
        <v>14.9369</v>
      </c>
      <c r="S332" s="17">
        <f>CHOOSE(CONTROL!$C$42, 13.1273, 13.1273) * CHOOSE(CONTROL!$C$21, $C$9, 100%, $E$9)</f>
        <v>13.1273</v>
      </c>
      <c r="T332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332" s="56">
        <f>(1000*CHOOSE(CONTROL!$C$42, 695, 695)*CHOOSE(CONTROL!$C$42, 0.5599, 0.5599)*CHOOSE(CONTROL!$C$42, 31, 31))/1000000</f>
        <v>12.063045499999998</v>
      </c>
      <c r="V332" s="56">
        <f>(1000*CHOOSE(CONTROL!$C$42, 500, 500)*CHOOSE(CONTROL!$C$42, 0.275, 0.275)*CHOOSE(CONTROL!$C$42, 31, 31))/1000000</f>
        <v>4.2625000000000002</v>
      </c>
      <c r="W332" s="56">
        <f>(1000*CHOOSE(CONTROL!$C$42, 0.0916, 0.0916)*CHOOSE(CONTROL!$C$42, 121.5, 121.5)*CHOOSE(CONTROL!$C$42, 31, 31))/1000000</f>
        <v>0.34501139999999997</v>
      </c>
      <c r="X332" s="56">
        <f>(31*0.1790888*145000/1000000)+(31*0.2374*100000/1000000)</f>
        <v>1.5409441560000001</v>
      </c>
      <c r="Y332" s="56"/>
      <c r="Z332" s="17"/>
      <c r="AA332" s="55"/>
      <c r="AB332" s="48">
        <f>(B332*194.205+C332*267.466+D332*133.845+E332*153.484+F332*40+G332*85+H332*0+I332*100+J332*300)/(194.205+267.466+133.845+153.484+0+40+85+100+300)</f>
        <v>13.623382929670331</v>
      </c>
      <c r="AC332" s="45">
        <f>(M332*'RAP TEMPLATE-GAS AVAILABILITY'!O331+N332*'RAP TEMPLATE-GAS AVAILABILITY'!P331+O332*'RAP TEMPLATE-GAS AVAILABILITY'!Q331+P332*'RAP TEMPLATE-GAS AVAILABILITY'!R331)/('RAP TEMPLATE-GAS AVAILABILITY'!O331+'RAP TEMPLATE-GAS AVAILABILITY'!P331+'RAP TEMPLATE-GAS AVAILABILITY'!Q331+'RAP TEMPLATE-GAS AVAILABILITY'!R331)</f>
        <v>13.529500719424458</v>
      </c>
    </row>
    <row r="333" spans="1:29" ht="15.75" x14ac:dyDescent="0.25">
      <c r="A333" s="14">
        <v>50678</v>
      </c>
      <c r="B333" s="17">
        <f>CHOOSE(CONTROL!$C$42, 12.6898, 12.6898) * CHOOSE(CONTROL!$C$21, $C$9, 100%, $E$9)</f>
        <v>12.6898</v>
      </c>
      <c r="C333" s="17">
        <f>CHOOSE(CONTROL!$C$42, 12.6977, 12.6977) * CHOOSE(CONTROL!$C$21, $C$9, 100%, $E$9)</f>
        <v>12.697699999999999</v>
      </c>
      <c r="D333" s="17">
        <f>CHOOSE(CONTROL!$C$42, 12.9577, 12.9577) * CHOOSE(CONTROL!$C$21, $C$9, 100%, $E$9)</f>
        <v>12.957700000000001</v>
      </c>
      <c r="E333" s="17">
        <f>CHOOSE(CONTROL!$C$42, 12.9889, 12.9889) * CHOOSE(CONTROL!$C$21, $C$9, 100%, $E$9)</f>
        <v>12.988899999999999</v>
      </c>
      <c r="F333" s="17">
        <f>CHOOSE(CONTROL!$C$42, 12.7004, 12.7004)*CHOOSE(CONTROL!$C$21, $C$9, 100%, $E$9)</f>
        <v>12.7004</v>
      </c>
      <c r="G333" s="17">
        <f>CHOOSE(CONTROL!$C$42, 12.7171, 12.7171)*CHOOSE(CONTROL!$C$21, $C$9, 100%, $E$9)</f>
        <v>12.7171</v>
      </c>
      <c r="H333" s="17">
        <f>CHOOSE(CONTROL!$C$42, 12.9772, 12.9772) * CHOOSE(CONTROL!$C$21, $C$9, 100%, $E$9)</f>
        <v>12.9772</v>
      </c>
      <c r="I333" s="17">
        <f>CHOOSE(CONTROL!$C$42, 12.753, 12.753)* CHOOSE(CONTROL!$C$21, $C$9, 100%, $E$9)</f>
        <v>12.753</v>
      </c>
      <c r="J333" s="17">
        <f>CHOOSE(CONTROL!$C$42, 12.693, 12.693)* CHOOSE(CONTROL!$C$21, $C$9, 100%, $E$9)</f>
        <v>12.693</v>
      </c>
      <c r="K333" s="52">
        <f>CHOOSE(CONTROL!$C$42, 12.7469, 12.7469) * CHOOSE(CONTROL!$C$21, $C$9, 100%, $E$9)</f>
        <v>12.7469</v>
      </c>
      <c r="L333" s="17">
        <f>CHOOSE(CONTROL!$C$42, 13.5642, 13.5642) * CHOOSE(CONTROL!$C$21, $C$9, 100%, $E$9)</f>
        <v>13.5642</v>
      </c>
      <c r="M333" s="17">
        <f>CHOOSE(CONTROL!$C$42, 12.5859, 12.5859) * CHOOSE(CONTROL!$C$21, $C$9, 100%, $E$9)</f>
        <v>12.585900000000001</v>
      </c>
      <c r="N333" s="17">
        <f>CHOOSE(CONTROL!$C$42, 12.6024, 12.6024) * CHOOSE(CONTROL!$C$21, $C$9, 100%, $E$9)</f>
        <v>12.602399999999999</v>
      </c>
      <c r="O333" s="17">
        <f>CHOOSE(CONTROL!$C$42, 12.8675, 12.8675) * CHOOSE(CONTROL!$C$21, $C$9, 100%, $E$9)</f>
        <v>12.8675</v>
      </c>
      <c r="P333" s="17">
        <f>CHOOSE(CONTROL!$C$42, 12.645, 12.645) * CHOOSE(CONTROL!$C$21, $C$9, 100%, $E$9)</f>
        <v>12.645</v>
      </c>
      <c r="Q333" s="17">
        <f>CHOOSE(CONTROL!$C$42, 13.4622, 13.4622) * CHOOSE(CONTROL!$C$21, $C$9, 100%, $E$9)</f>
        <v>13.462199999999999</v>
      </c>
      <c r="R333" s="17">
        <f>CHOOSE(CONTROL!$C$42, 14.0828, 14.0828) * CHOOSE(CONTROL!$C$21, $C$9, 100%, $E$9)</f>
        <v>14.082800000000001</v>
      </c>
      <c r="S333" s="17">
        <f>CHOOSE(CONTROL!$C$42, 12.2937, 12.2937) * CHOOSE(CONTROL!$C$21, $C$9, 100%, $E$9)</f>
        <v>12.293699999999999</v>
      </c>
      <c r="T333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333" s="56">
        <f>(1000*CHOOSE(CONTROL!$C$42, 695, 695)*CHOOSE(CONTROL!$C$42, 0.5599, 0.5599)*CHOOSE(CONTROL!$C$42, 30, 30))/1000000</f>
        <v>11.673914999999997</v>
      </c>
      <c r="V333" s="56">
        <f>(1000*CHOOSE(CONTROL!$C$42, 500, 500)*CHOOSE(CONTROL!$C$42, 0.275, 0.275)*CHOOSE(CONTROL!$C$42, 30, 30))/1000000</f>
        <v>4.125</v>
      </c>
      <c r="W333" s="56">
        <f>(1000*CHOOSE(CONTROL!$C$42, 0.0916, 0.0916)*CHOOSE(CONTROL!$C$42, 121.5, 121.5)*CHOOSE(CONTROL!$C$42, 30, 30))/1000000</f>
        <v>0.33388200000000001</v>
      </c>
      <c r="X333" s="56">
        <f>(30*0.1790888*145000/1000000)+(30*0.2374*100000/1000000)</f>
        <v>1.4912362799999999</v>
      </c>
      <c r="Y333" s="56"/>
      <c r="Z333" s="17"/>
      <c r="AA333" s="55"/>
      <c r="AB333" s="48">
        <f>(B333*194.205+C333*267.466+D333*133.845+E333*153.484+F333*40+G333*85+H333*0+I333*100+J333*300)/(194.205+267.466+133.845+153.484+0+40+85+100+300)</f>
        <v>12.763506139167974</v>
      </c>
      <c r="AC333" s="45">
        <f>(M333*'RAP TEMPLATE-GAS AVAILABILITY'!O332+N333*'RAP TEMPLATE-GAS AVAILABILITY'!P332+O333*'RAP TEMPLATE-GAS AVAILABILITY'!Q332+P333*'RAP TEMPLATE-GAS AVAILABILITY'!R332)/('RAP TEMPLATE-GAS AVAILABILITY'!O332+'RAP TEMPLATE-GAS AVAILABILITY'!P332+'RAP TEMPLATE-GAS AVAILABILITY'!Q332+'RAP TEMPLATE-GAS AVAILABILITY'!R332)</f>
        <v>12.677212230215828</v>
      </c>
    </row>
    <row r="334" spans="1:29" ht="15.75" x14ac:dyDescent="0.25">
      <c r="A334" s="14">
        <v>50709</v>
      </c>
      <c r="B334" s="17">
        <f>CHOOSE(CONTROL!$C$42, 12.4306, 12.4306) * CHOOSE(CONTROL!$C$21, $C$9, 100%, $E$9)</f>
        <v>12.4306</v>
      </c>
      <c r="C334" s="17">
        <f>CHOOSE(CONTROL!$C$42, 12.436, 12.436) * CHOOSE(CONTROL!$C$21, $C$9, 100%, $E$9)</f>
        <v>12.436</v>
      </c>
      <c r="D334" s="17">
        <f>CHOOSE(CONTROL!$C$42, 12.7008, 12.7008) * CHOOSE(CONTROL!$C$21, $C$9, 100%, $E$9)</f>
        <v>12.700799999999999</v>
      </c>
      <c r="E334" s="17">
        <f>CHOOSE(CONTROL!$C$42, 12.7297, 12.7297) * CHOOSE(CONTROL!$C$21, $C$9, 100%, $E$9)</f>
        <v>12.729699999999999</v>
      </c>
      <c r="F334" s="17">
        <f>CHOOSE(CONTROL!$C$42, 12.4435, 12.4435)*CHOOSE(CONTROL!$C$21, $C$9, 100%, $E$9)</f>
        <v>12.4435</v>
      </c>
      <c r="G334" s="17">
        <f>CHOOSE(CONTROL!$C$42, 12.4601, 12.4601)*CHOOSE(CONTROL!$C$21, $C$9, 100%, $E$9)</f>
        <v>12.460100000000001</v>
      </c>
      <c r="H334" s="17">
        <f>CHOOSE(CONTROL!$C$42, 12.7198, 12.7198) * CHOOSE(CONTROL!$C$21, $C$9, 100%, $E$9)</f>
        <v>12.719799999999999</v>
      </c>
      <c r="I334" s="17">
        <f>CHOOSE(CONTROL!$C$42, 12.4948, 12.4948)* CHOOSE(CONTROL!$C$21, $C$9, 100%, $E$9)</f>
        <v>12.4948</v>
      </c>
      <c r="J334" s="17">
        <f>CHOOSE(CONTROL!$C$42, 12.4361, 12.4361)* CHOOSE(CONTROL!$C$21, $C$9, 100%, $E$9)</f>
        <v>12.4361</v>
      </c>
      <c r="K334" s="52">
        <f>CHOOSE(CONTROL!$C$42, 12.4888, 12.4888) * CHOOSE(CONTROL!$C$21, $C$9, 100%, $E$9)</f>
        <v>12.488799999999999</v>
      </c>
      <c r="L334" s="17">
        <f>CHOOSE(CONTROL!$C$42, 13.3068, 13.3068) * CHOOSE(CONTROL!$C$21, $C$9, 100%, $E$9)</f>
        <v>13.306800000000001</v>
      </c>
      <c r="M334" s="17">
        <f>CHOOSE(CONTROL!$C$42, 12.3312, 12.3312) * CHOOSE(CONTROL!$C$21, $C$9, 100%, $E$9)</f>
        <v>12.331200000000001</v>
      </c>
      <c r="N334" s="17">
        <f>CHOOSE(CONTROL!$C$42, 12.3477, 12.3477) * CHOOSE(CONTROL!$C$21, $C$9, 100%, $E$9)</f>
        <v>12.3477</v>
      </c>
      <c r="O334" s="17">
        <f>CHOOSE(CONTROL!$C$42, 12.6124, 12.6124) * CHOOSE(CONTROL!$C$21, $C$9, 100%, $E$9)</f>
        <v>12.612399999999999</v>
      </c>
      <c r="P334" s="17">
        <f>CHOOSE(CONTROL!$C$42, 12.3891, 12.3891) * CHOOSE(CONTROL!$C$21, $C$9, 100%, $E$9)</f>
        <v>12.389099999999999</v>
      </c>
      <c r="Q334" s="17">
        <f>CHOOSE(CONTROL!$C$42, 13.2071, 13.2071) * CHOOSE(CONTROL!$C$21, $C$9, 100%, $E$9)</f>
        <v>13.207100000000001</v>
      </c>
      <c r="R334" s="17">
        <f>CHOOSE(CONTROL!$C$42, 13.8271, 13.8271) * CHOOSE(CONTROL!$C$21, $C$9, 100%, $E$9)</f>
        <v>13.8271</v>
      </c>
      <c r="S334" s="17">
        <f>CHOOSE(CONTROL!$C$42, 12.0441, 12.0441) * CHOOSE(CONTROL!$C$21, $C$9, 100%, $E$9)</f>
        <v>12.0441</v>
      </c>
      <c r="T334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334" s="56">
        <f>(1000*CHOOSE(CONTROL!$C$42, 695, 695)*CHOOSE(CONTROL!$C$42, 0.5599, 0.5599)*CHOOSE(CONTROL!$C$42, 31, 31))/1000000</f>
        <v>12.063045499999998</v>
      </c>
      <c r="V334" s="56">
        <f>(1000*CHOOSE(CONTROL!$C$42, 500, 500)*CHOOSE(CONTROL!$C$42, 0.275, 0.275)*CHOOSE(CONTROL!$C$42, 31, 31))/1000000</f>
        <v>4.2625000000000002</v>
      </c>
      <c r="W334" s="56">
        <f>(1000*CHOOSE(CONTROL!$C$42, 0.0916, 0.0916)*CHOOSE(CONTROL!$C$42, 121.5, 121.5)*CHOOSE(CONTROL!$C$42, 31, 31))/1000000</f>
        <v>0.34501139999999997</v>
      </c>
      <c r="X334" s="56">
        <f>(31*0.1790888*145000/1000000)+(31*0.2374*100000/1000000)</f>
        <v>1.5409441560000001</v>
      </c>
      <c r="Y334" s="56"/>
      <c r="Z334" s="17"/>
      <c r="AA334" s="55"/>
      <c r="AB334" s="48">
        <f>(B334*131.881+C334*277.167+D334*79.08+E334*225.872+F334*40+G334*85+H334*0+I334*100+J334*300)/(131.881+277.167+79.08+225.872+0+40+85+100+300)</f>
        <v>12.512533763518967</v>
      </c>
      <c r="AC334" s="45">
        <f>(M334*'RAP TEMPLATE-GAS AVAILABILITY'!O333+N334*'RAP TEMPLATE-GAS AVAILABILITY'!P333+O334*'RAP TEMPLATE-GAS AVAILABILITY'!Q333+P334*'RAP TEMPLATE-GAS AVAILABILITY'!R333)/('RAP TEMPLATE-GAS AVAILABILITY'!O333+'RAP TEMPLATE-GAS AVAILABILITY'!P333+'RAP TEMPLATE-GAS AVAILABILITY'!Q333+'RAP TEMPLATE-GAS AVAILABILITY'!R333)</f>
        <v>12.422227338129497</v>
      </c>
    </row>
    <row r="335" spans="1:29" ht="15.75" x14ac:dyDescent="0.25">
      <c r="A335" s="14">
        <v>50739</v>
      </c>
      <c r="B335" s="17">
        <f>CHOOSE(CONTROL!$C$42, 12.7574, 12.7574) * CHOOSE(CONTROL!$C$21, $C$9, 100%, $E$9)</f>
        <v>12.757400000000001</v>
      </c>
      <c r="C335" s="17">
        <f>CHOOSE(CONTROL!$C$42, 12.7625, 12.7625) * CHOOSE(CONTROL!$C$21, $C$9, 100%, $E$9)</f>
        <v>12.762499999999999</v>
      </c>
      <c r="D335" s="17">
        <f>CHOOSE(CONTROL!$C$42, 12.9032, 12.9032) * CHOOSE(CONTROL!$C$21, $C$9, 100%, $E$9)</f>
        <v>12.9032</v>
      </c>
      <c r="E335" s="17">
        <f>CHOOSE(CONTROL!$C$42, 12.9369, 12.9369) * CHOOSE(CONTROL!$C$21, $C$9, 100%, $E$9)</f>
        <v>12.9369</v>
      </c>
      <c r="F335" s="17">
        <f>CHOOSE(CONTROL!$C$42, 12.7707, 12.7707)*CHOOSE(CONTROL!$C$21, $C$9, 100%, $E$9)</f>
        <v>12.7707</v>
      </c>
      <c r="G335" s="17">
        <f>CHOOSE(CONTROL!$C$42, 12.7876, 12.7876)*CHOOSE(CONTROL!$C$21, $C$9, 100%, $E$9)</f>
        <v>12.787599999999999</v>
      </c>
      <c r="H335" s="17">
        <f>CHOOSE(CONTROL!$C$42, 12.9258, 12.9258) * CHOOSE(CONTROL!$C$21, $C$9, 100%, $E$9)</f>
        <v>12.925800000000001</v>
      </c>
      <c r="I335" s="17">
        <f>CHOOSE(CONTROL!$C$42, 12.8194, 12.8194)* CHOOSE(CONTROL!$C$21, $C$9, 100%, $E$9)</f>
        <v>12.8194</v>
      </c>
      <c r="J335" s="17">
        <f>CHOOSE(CONTROL!$C$42, 12.7633, 12.7633)* CHOOSE(CONTROL!$C$21, $C$9, 100%, $E$9)</f>
        <v>12.763299999999999</v>
      </c>
      <c r="K335" s="52">
        <f>CHOOSE(CONTROL!$C$42, 12.8133, 12.8133) * CHOOSE(CONTROL!$C$21, $C$9, 100%, $E$9)</f>
        <v>12.8133</v>
      </c>
      <c r="L335" s="17">
        <f>CHOOSE(CONTROL!$C$42, 13.5128, 13.5128) * CHOOSE(CONTROL!$C$21, $C$9, 100%, $E$9)</f>
        <v>13.5128</v>
      </c>
      <c r="M335" s="17">
        <f>CHOOSE(CONTROL!$C$42, 12.6555, 12.6555) * CHOOSE(CONTROL!$C$21, $C$9, 100%, $E$9)</f>
        <v>12.6555</v>
      </c>
      <c r="N335" s="17">
        <f>CHOOSE(CONTROL!$C$42, 12.6722, 12.6722) * CHOOSE(CONTROL!$C$21, $C$9, 100%, $E$9)</f>
        <v>12.6722</v>
      </c>
      <c r="O335" s="17">
        <f>CHOOSE(CONTROL!$C$42, 12.8166, 12.8166) * CHOOSE(CONTROL!$C$21, $C$9, 100%, $E$9)</f>
        <v>12.816599999999999</v>
      </c>
      <c r="P335" s="17">
        <f>CHOOSE(CONTROL!$C$42, 12.7108, 12.7108) * CHOOSE(CONTROL!$C$21, $C$9, 100%, $E$9)</f>
        <v>12.710800000000001</v>
      </c>
      <c r="Q335" s="17">
        <f>CHOOSE(CONTROL!$C$42, 13.4113, 13.4113) * CHOOSE(CONTROL!$C$21, $C$9, 100%, $E$9)</f>
        <v>13.411300000000001</v>
      </c>
      <c r="R335" s="17">
        <f>CHOOSE(CONTROL!$C$42, 14.0318, 14.0318) * CHOOSE(CONTROL!$C$21, $C$9, 100%, $E$9)</f>
        <v>14.0318</v>
      </c>
      <c r="S335" s="17">
        <f>CHOOSE(CONTROL!$C$42, 12.3614, 12.3614) * CHOOSE(CONTROL!$C$21, $C$9, 100%, $E$9)</f>
        <v>12.3614</v>
      </c>
      <c r="T335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335" s="56">
        <f>(1000*CHOOSE(CONTROL!$C$42, 695, 695)*CHOOSE(CONTROL!$C$42, 0.5599, 0.5599)*CHOOSE(CONTROL!$C$42, 30, 30))/1000000</f>
        <v>11.673914999999997</v>
      </c>
      <c r="V335" s="56">
        <f>(1000*CHOOSE(CONTROL!$C$42, 500, 500)*CHOOSE(CONTROL!$C$42, 0.275, 0.275)*CHOOSE(CONTROL!$C$42, 30, 30))/1000000</f>
        <v>4.125</v>
      </c>
      <c r="W335" s="56">
        <f>(1000*CHOOSE(CONTROL!$C$42, 0.0916, 0.0916)*CHOOSE(CONTROL!$C$42, 121.5, 121.5)*CHOOSE(CONTROL!$C$42, 30, 30))/1000000</f>
        <v>0.33388200000000001</v>
      </c>
      <c r="X335" s="56">
        <f>(30*0.2374*100000/1000000)</f>
        <v>0.71220000000000006</v>
      </c>
      <c r="Y335" s="56"/>
      <c r="Z335" s="17"/>
      <c r="AA335" s="55"/>
      <c r="AB335" s="48">
        <f>(B335*122.58+C335*297.941+D335*89.177+E335*140.302+F335*40+G335*60+H335*0+I335*100+J335*300)/(122.58+297.941+89.177+140.302+0+40+60+100+300)</f>
        <v>12.800895404086955</v>
      </c>
      <c r="AC335" s="45">
        <f>(M335*'RAP TEMPLATE-GAS AVAILABILITY'!O334+N335*'RAP TEMPLATE-GAS AVAILABILITY'!P334+O335*'RAP TEMPLATE-GAS AVAILABILITY'!Q334+P335*'RAP TEMPLATE-GAS AVAILABILITY'!R334)/('RAP TEMPLATE-GAS AVAILABILITY'!O334+'RAP TEMPLATE-GAS AVAILABILITY'!P334+'RAP TEMPLATE-GAS AVAILABILITY'!Q334+'RAP TEMPLATE-GAS AVAILABILITY'!R334)</f>
        <v>12.737434532374101</v>
      </c>
    </row>
    <row r="336" spans="1:29" ht="15.75" x14ac:dyDescent="0.25">
      <c r="A336" s="14">
        <v>50770</v>
      </c>
      <c r="B336" s="17">
        <f>CHOOSE(CONTROL!$C$42, 13.6265, 13.6265) * CHOOSE(CONTROL!$C$21, $C$9, 100%, $E$9)</f>
        <v>13.6265</v>
      </c>
      <c r="C336" s="17">
        <f>CHOOSE(CONTROL!$C$42, 13.6316, 13.6316) * CHOOSE(CONTROL!$C$21, $C$9, 100%, $E$9)</f>
        <v>13.631600000000001</v>
      </c>
      <c r="D336" s="17">
        <f>CHOOSE(CONTROL!$C$42, 13.7722, 13.7722) * CHOOSE(CONTROL!$C$21, $C$9, 100%, $E$9)</f>
        <v>13.7722</v>
      </c>
      <c r="E336" s="17">
        <f>CHOOSE(CONTROL!$C$42, 13.806, 13.806) * CHOOSE(CONTROL!$C$21, $C$9, 100%, $E$9)</f>
        <v>13.805999999999999</v>
      </c>
      <c r="F336" s="17">
        <f>CHOOSE(CONTROL!$C$42, 13.6422, 13.6422)*CHOOSE(CONTROL!$C$21, $C$9, 100%, $E$9)</f>
        <v>13.642200000000001</v>
      </c>
      <c r="G336" s="17">
        <f>CHOOSE(CONTROL!$C$42, 13.6597, 13.6597)*CHOOSE(CONTROL!$C$21, $C$9, 100%, $E$9)</f>
        <v>13.659700000000001</v>
      </c>
      <c r="H336" s="17">
        <f>CHOOSE(CONTROL!$C$42, 13.7949, 13.7949) * CHOOSE(CONTROL!$C$21, $C$9, 100%, $E$9)</f>
        <v>13.7949</v>
      </c>
      <c r="I336" s="17">
        <f>CHOOSE(CONTROL!$C$42, 13.6912, 13.6912)* CHOOSE(CONTROL!$C$21, $C$9, 100%, $E$9)</f>
        <v>13.6912</v>
      </c>
      <c r="J336" s="17">
        <f>CHOOSE(CONTROL!$C$42, 13.6348, 13.6348)* CHOOSE(CONTROL!$C$21, $C$9, 100%, $E$9)</f>
        <v>13.6348</v>
      </c>
      <c r="K336" s="52">
        <f>CHOOSE(CONTROL!$C$42, 13.6851, 13.6851) * CHOOSE(CONTROL!$C$21, $C$9, 100%, $E$9)</f>
        <v>13.6851</v>
      </c>
      <c r="L336" s="17">
        <f>CHOOSE(CONTROL!$C$42, 14.3819, 14.3819) * CHOOSE(CONTROL!$C$21, $C$9, 100%, $E$9)</f>
        <v>14.3819</v>
      </c>
      <c r="M336" s="17">
        <f>CHOOSE(CONTROL!$C$42, 13.5192, 13.5192) * CHOOSE(CONTROL!$C$21, $C$9, 100%, $E$9)</f>
        <v>13.5192</v>
      </c>
      <c r="N336" s="17">
        <f>CHOOSE(CONTROL!$C$42, 13.5365, 13.5365) * CHOOSE(CONTROL!$C$21, $C$9, 100%, $E$9)</f>
        <v>13.5365</v>
      </c>
      <c r="O336" s="17">
        <f>CHOOSE(CONTROL!$C$42, 13.6778, 13.6778) * CHOOSE(CONTROL!$C$21, $C$9, 100%, $E$9)</f>
        <v>13.6778</v>
      </c>
      <c r="P336" s="17">
        <f>CHOOSE(CONTROL!$C$42, 13.5747, 13.5747) * CHOOSE(CONTROL!$C$21, $C$9, 100%, $E$9)</f>
        <v>13.5747</v>
      </c>
      <c r="Q336" s="17">
        <f>CHOOSE(CONTROL!$C$42, 14.2725, 14.2725) * CHOOSE(CONTROL!$C$21, $C$9, 100%, $E$9)</f>
        <v>14.272500000000001</v>
      </c>
      <c r="R336" s="17">
        <f>CHOOSE(CONTROL!$C$42, 14.8952, 14.8952) * CHOOSE(CONTROL!$C$21, $C$9, 100%, $E$9)</f>
        <v>14.895200000000001</v>
      </c>
      <c r="S336" s="17">
        <f>CHOOSE(CONTROL!$C$42, 13.2041, 13.2041) * CHOOSE(CONTROL!$C$21, $C$9, 100%, $E$9)</f>
        <v>13.2041</v>
      </c>
      <c r="T336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336" s="56">
        <f>(1000*CHOOSE(CONTROL!$C$42, 695, 695)*CHOOSE(CONTROL!$C$42, 0.5599, 0.5599)*CHOOSE(CONTROL!$C$42, 31, 31))/1000000</f>
        <v>12.063045499999998</v>
      </c>
      <c r="V336" s="56">
        <f>(1000*CHOOSE(CONTROL!$C$42, 500, 500)*CHOOSE(CONTROL!$C$42, 0.275, 0.275)*CHOOSE(CONTROL!$C$42, 31, 31))/1000000</f>
        <v>4.2625000000000002</v>
      </c>
      <c r="W336" s="56">
        <f>(1000*CHOOSE(CONTROL!$C$42, 0.0916, 0.0916)*CHOOSE(CONTROL!$C$42, 121.5, 121.5)*CHOOSE(CONTROL!$C$42, 31, 31))/1000000</f>
        <v>0.34501139999999997</v>
      </c>
      <c r="X336" s="56">
        <f>(31*0.2374*100000/1000000)</f>
        <v>0.73594000000000004</v>
      </c>
      <c r="Y336" s="56"/>
      <c r="Z336" s="17"/>
      <c r="AA336" s="55"/>
      <c r="AB336" s="48">
        <f>(B336*122.58+C336*297.941+D336*89.177+E336*140.302+F336*40+G336*60+H336*0+I336*100+J336*300)/(122.58+297.941+89.177+140.302+0+40+60+100+300)</f>
        <v>13.671088519130436</v>
      </c>
      <c r="AC336" s="45">
        <f>(M336*'RAP TEMPLATE-GAS AVAILABILITY'!O335+N336*'RAP TEMPLATE-GAS AVAILABILITY'!P335+O336*'RAP TEMPLATE-GAS AVAILABILITY'!Q335+P336*'RAP TEMPLATE-GAS AVAILABILITY'!R335)/('RAP TEMPLATE-GAS AVAILABILITY'!O335+'RAP TEMPLATE-GAS AVAILABILITY'!P335+'RAP TEMPLATE-GAS AVAILABILITY'!Q335+'RAP TEMPLATE-GAS AVAILABILITY'!R335)</f>
        <v>13.600064748201437</v>
      </c>
    </row>
    <row r="337" spans="1:29" ht="15.75" x14ac:dyDescent="0.25">
      <c r="A337" s="14">
        <v>50801</v>
      </c>
      <c r="B337" s="17">
        <f>CHOOSE(CONTROL!$C$42, 14.6729, 14.6729) * CHOOSE(CONTROL!$C$21, $C$9, 100%, $E$9)</f>
        <v>14.6729</v>
      </c>
      <c r="C337" s="17">
        <f>CHOOSE(CONTROL!$C$42, 14.678, 14.678) * CHOOSE(CONTROL!$C$21, $C$9, 100%, $E$9)</f>
        <v>14.678000000000001</v>
      </c>
      <c r="D337" s="17">
        <f>CHOOSE(CONTROL!$C$42, 14.812, 14.812) * CHOOSE(CONTROL!$C$21, $C$9, 100%, $E$9)</f>
        <v>14.811999999999999</v>
      </c>
      <c r="E337" s="17">
        <f>CHOOSE(CONTROL!$C$42, 14.8457, 14.8457) * CHOOSE(CONTROL!$C$21, $C$9, 100%, $E$9)</f>
        <v>14.845700000000001</v>
      </c>
      <c r="F337" s="17">
        <f>CHOOSE(CONTROL!$C$42, 14.6864, 14.6864)*CHOOSE(CONTROL!$C$21, $C$9, 100%, $E$9)</f>
        <v>14.686400000000001</v>
      </c>
      <c r="G337" s="17">
        <f>CHOOSE(CONTROL!$C$42, 14.7033, 14.7033)*CHOOSE(CONTROL!$C$21, $C$9, 100%, $E$9)</f>
        <v>14.7033</v>
      </c>
      <c r="H337" s="17">
        <f>CHOOSE(CONTROL!$C$42, 14.8346, 14.8346) * CHOOSE(CONTROL!$C$21, $C$9, 100%, $E$9)</f>
        <v>14.8346</v>
      </c>
      <c r="I337" s="17">
        <f>CHOOSE(CONTROL!$C$42, 14.745, 14.745)* CHOOSE(CONTROL!$C$21, $C$9, 100%, $E$9)</f>
        <v>14.744999999999999</v>
      </c>
      <c r="J337" s="17">
        <f>CHOOSE(CONTROL!$C$42, 14.679, 14.679)* CHOOSE(CONTROL!$C$21, $C$9, 100%, $E$9)</f>
        <v>14.679</v>
      </c>
      <c r="K337" s="52">
        <f>CHOOSE(CONTROL!$C$42, 14.7389, 14.7389) * CHOOSE(CONTROL!$C$21, $C$9, 100%, $E$9)</f>
        <v>14.738899999999999</v>
      </c>
      <c r="L337" s="17">
        <f>CHOOSE(CONTROL!$C$42, 15.4216, 15.4216) * CHOOSE(CONTROL!$C$21, $C$9, 100%, $E$9)</f>
        <v>15.4216</v>
      </c>
      <c r="M337" s="17">
        <f>CHOOSE(CONTROL!$C$42, 14.554, 14.554) * CHOOSE(CONTROL!$C$21, $C$9, 100%, $E$9)</f>
        <v>14.554</v>
      </c>
      <c r="N337" s="17">
        <f>CHOOSE(CONTROL!$C$42, 14.5707, 14.5707) * CHOOSE(CONTROL!$C$21, $C$9, 100%, $E$9)</f>
        <v>14.5707</v>
      </c>
      <c r="O337" s="17">
        <f>CHOOSE(CONTROL!$C$42, 14.7082, 14.7082) * CHOOSE(CONTROL!$C$21, $C$9, 100%, $E$9)</f>
        <v>14.7082</v>
      </c>
      <c r="P337" s="17">
        <f>CHOOSE(CONTROL!$C$42, 14.619, 14.619) * CHOOSE(CONTROL!$C$21, $C$9, 100%, $E$9)</f>
        <v>14.619</v>
      </c>
      <c r="Q337" s="17">
        <f>CHOOSE(CONTROL!$C$42, 15.3029, 15.3029) * CHOOSE(CONTROL!$C$21, $C$9, 100%, $E$9)</f>
        <v>15.302899999999999</v>
      </c>
      <c r="R337" s="17">
        <f>CHOOSE(CONTROL!$C$42, 15.9282, 15.9282) * CHOOSE(CONTROL!$C$21, $C$9, 100%, $E$9)</f>
        <v>15.9282</v>
      </c>
      <c r="S337" s="17">
        <f>CHOOSE(CONTROL!$C$42, 14.2188, 14.2188) * CHOOSE(CONTROL!$C$21, $C$9, 100%, $E$9)</f>
        <v>14.2188</v>
      </c>
      <c r="T337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337" s="56">
        <f>(1000*CHOOSE(CONTROL!$C$42, 695, 695)*CHOOSE(CONTROL!$C$42, 0.5599, 0.5599)*CHOOSE(CONTROL!$C$42, 31, 31))/1000000</f>
        <v>12.063045499999998</v>
      </c>
      <c r="V337" s="56">
        <f>(1000*CHOOSE(CONTROL!$C$42, 500, 500)*CHOOSE(CONTROL!$C$42, 0.275, 0.275)*CHOOSE(CONTROL!$C$42, 31, 31))/1000000</f>
        <v>4.2625000000000002</v>
      </c>
      <c r="W337" s="56">
        <f>(1000*CHOOSE(CONTROL!$C$42, 0.0916, 0.0916)*CHOOSE(CONTROL!$C$42, 121.5, 121.5)*CHOOSE(CONTROL!$C$42, 31, 31))/1000000</f>
        <v>0.34501139999999997</v>
      </c>
      <c r="X337" s="56">
        <f>(31*0.2374*100000/1000000)</f>
        <v>0.73594000000000004</v>
      </c>
      <c r="Y337" s="56"/>
      <c r="Z337" s="17"/>
      <c r="AA337" s="55"/>
      <c r="AB337" s="48">
        <f>(B337*122.58+C337*297.941+D337*89.177+E337*140.302+F337*40+G337*60+H337*0+I337*100+J337*300)/(122.58+297.941+89.177+140.302+0+40+60+100+300)</f>
        <v>14.716006265565216</v>
      </c>
      <c r="AC337" s="45">
        <f>(M337*'RAP TEMPLATE-GAS AVAILABILITY'!O336+N337*'RAP TEMPLATE-GAS AVAILABILITY'!P336+O337*'RAP TEMPLATE-GAS AVAILABILITY'!Q336+P337*'RAP TEMPLATE-GAS AVAILABILITY'!R336)/('RAP TEMPLATE-GAS AVAILABILITY'!O336+'RAP TEMPLATE-GAS AVAILABILITY'!P336+'RAP TEMPLATE-GAS AVAILABILITY'!Q336+'RAP TEMPLATE-GAS AVAILABILITY'!R336)</f>
        <v>14.63420287769784</v>
      </c>
    </row>
    <row r="338" spans="1:29" ht="15.75" x14ac:dyDescent="0.25">
      <c r="A338" s="14">
        <v>50829</v>
      </c>
      <c r="B338" s="17">
        <f>CHOOSE(CONTROL!$C$42, 14.9339, 14.9339) * CHOOSE(CONTROL!$C$21, $C$9, 100%, $E$9)</f>
        <v>14.9339</v>
      </c>
      <c r="C338" s="17">
        <f>CHOOSE(CONTROL!$C$42, 14.939, 14.939) * CHOOSE(CONTROL!$C$21, $C$9, 100%, $E$9)</f>
        <v>14.939</v>
      </c>
      <c r="D338" s="17">
        <f>CHOOSE(CONTROL!$C$42, 15.073, 15.073) * CHOOSE(CONTROL!$C$21, $C$9, 100%, $E$9)</f>
        <v>15.073</v>
      </c>
      <c r="E338" s="17">
        <f>CHOOSE(CONTROL!$C$42, 15.1067, 15.1067) * CHOOSE(CONTROL!$C$21, $C$9, 100%, $E$9)</f>
        <v>15.1067</v>
      </c>
      <c r="F338" s="17">
        <f>CHOOSE(CONTROL!$C$42, 14.9473, 14.9473)*CHOOSE(CONTROL!$C$21, $C$9, 100%, $E$9)</f>
        <v>14.9473</v>
      </c>
      <c r="G338" s="17">
        <f>CHOOSE(CONTROL!$C$42, 14.9642, 14.9642)*CHOOSE(CONTROL!$C$21, $C$9, 100%, $E$9)</f>
        <v>14.9642</v>
      </c>
      <c r="H338" s="17">
        <f>CHOOSE(CONTROL!$C$42, 15.0956, 15.0956) * CHOOSE(CONTROL!$C$21, $C$9, 100%, $E$9)</f>
        <v>15.095599999999999</v>
      </c>
      <c r="I338" s="17">
        <f>CHOOSE(CONTROL!$C$42, 15.0068, 15.0068)* CHOOSE(CONTROL!$C$21, $C$9, 100%, $E$9)</f>
        <v>15.0068</v>
      </c>
      <c r="J338" s="17">
        <f>CHOOSE(CONTROL!$C$42, 14.9399, 14.9399)* CHOOSE(CONTROL!$C$21, $C$9, 100%, $E$9)</f>
        <v>14.9399</v>
      </c>
      <c r="K338" s="52">
        <f>CHOOSE(CONTROL!$C$42, 15.0008, 15.0008) * CHOOSE(CONTROL!$C$21, $C$9, 100%, $E$9)</f>
        <v>15.0008</v>
      </c>
      <c r="L338" s="17">
        <f>CHOOSE(CONTROL!$C$42, 15.6826, 15.6826) * CHOOSE(CONTROL!$C$21, $C$9, 100%, $E$9)</f>
        <v>15.682600000000001</v>
      </c>
      <c r="M338" s="17">
        <f>CHOOSE(CONTROL!$C$42, 14.8126, 14.8126) * CHOOSE(CONTROL!$C$21, $C$9, 100%, $E$9)</f>
        <v>14.8126</v>
      </c>
      <c r="N338" s="17">
        <f>CHOOSE(CONTROL!$C$42, 14.8293, 14.8293) * CHOOSE(CONTROL!$C$21, $C$9, 100%, $E$9)</f>
        <v>14.8293</v>
      </c>
      <c r="O338" s="17">
        <f>CHOOSE(CONTROL!$C$42, 14.9669, 14.9669) * CHOOSE(CONTROL!$C$21, $C$9, 100%, $E$9)</f>
        <v>14.966900000000001</v>
      </c>
      <c r="P338" s="17">
        <f>CHOOSE(CONTROL!$C$42, 14.8785, 14.8785) * CHOOSE(CONTROL!$C$21, $C$9, 100%, $E$9)</f>
        <v>14.878500000000001</v>
      </c>
      <c r="Q338" s="17">
        <f>CHOOSE(CONTROL!$C$42, 15.5616, 15.5616) * CHOOSE(CONTROL!$C$21, $C$9, 100%, $E$9)</f>
        <v>15.5616</v>
      </c>
      <c r="R338" s="17">
        <f>CHOOSE(CONTROL!$C$42, 16.1875, 16.1875) * CHOOSE(CONTROL!$C$21, $C$9, 100%, $E$9)</f>
        <v>16.1875</v>
      </c>
      <c r="S338" s="17">
        <f>CHOOSE(CONTROL!$C$42, 14.4719, 14.4719) * CHOOSE(CONTROL!$C$21, $C$9, 100%, $E$9)</f>
        <v>14.4719</v>
      </c>
      <c r="T338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338" s="56">
        <f>(1000*CHOOSE(CONTROL!$C$42, 695, 695)*CHOOSE(CONTROL!$C$42, 0.5599, 0.5599)*CHOOSE(CONTROL!$C$42, 28, 28))/1000000</f>
        <v>10.895653999999999</v>
      </c>
      <c r="V338" s="56">
        <f>(1000*CHOOSE(CONTROL!$C$42, 500, 500)*CHOOSE(CONTROL!$C$42, 0.275, 0.275)*CHOOSE(CONTROL!$C$42, 28, 28))/1000000</f>
        <v>3.85</v>
      </c>
      <c r="W338" s="56">
        <f>(1000*CHOOSE(CONTROL!$C$42, 0.0916, 0.0916)*CHOOSE(CONTROL!$C$42, 121.5, 121.5)*CHOOSE(CONTROL!$C$42, 28, 28))/1000000</f>
        <v>0.31162319999999999</v>
      </c>
      <c r="X338" s="56">
        <f>(28*0.2374*100000/1000000)</f>
        <v>0.66471999999999998</v>
      </c>
      <c r="Y338" s="56"/>
      <c r="Z338" s="17"/>
      <c r="AA338" s="55"/>
      <c r="AB338" s="48">
        <f>(B338*122.58+C338*297.941+D338*89.177+E338*140.302+F338*40+G338*60+H338*0+I338*100+J338*300)/(122.58+297.941+89.177+140.302+0+40+60+100+300)</f>
        <v>14.977041048173914</v>
      </c>
      <c r="AC338" s="45">
        <f>(M338*'RAP TEMPLATE-GAS AVAILABILITY'!O337+N338*'RAP TEMPLATE-GAS AVAILABILITY'!P337+O338*'RAP TEMPLATE-GAS AVAILABILITY'!Q337+P338*'RAP TEMPLATE-GAS AVAILABILITY'!R337)/('RAP TEMPLATE-GAS AVAILABILITY'!O337+'RAP TEMPLATE-GAS AVAILABILITY'!P337+'RAP TEMPLATE-GAS AVAILABILITY'!Q337+'RAP TEMPLATE-GAS AVAILABILITY'!R337)</f>
        <v>14.892977697841728</v>
      </c>
    </row>
    <row r="339" spans="1:29" ht="15.75" x14ac:dyDescent="0.25">
      <c r="A339" s="14">
        <v>50860</v>
      </c>
      <c r="B339" s="17">
        <f>CHOOSE(CONTROL!$C$42, 14.5103, 14.5103) * CHOOSE(CONTROL!$C$21, $C$9, 100%, $E$9)</f>
        <v>14.510300000000001</v>
      </c>
      <c r="C339" s="17">
        <f>CHOOSE(CONTROL!$C$42, 14.5153, 14.5153) * CHOOSE(CONTROL!$C$21, $C$9, 100%, $E$9)</f>
        <v>14.5153</v>
      </c>
      <c r="D339" s="17">
        <f>CHOOSE(CONTROL!$C$42, 14.6493, 14.6493) * CHOOSE(CONTROL!$C$21, $C$9, 100%, $E$9)</f>
        <v>14.6493</v>
      </c>
      <c r="E339" s="17">
        <f>CHOOSE(CONTROL!$C$42, 14.6831, 14.6831) * CHOOSE(CONTROL!$C$21, $C$9, 100%, $E$9)</f>
        <v>14.6831</v>
      </c>
      <c r="F339" s="17">
        <f>CHOOSE(CONTROL!$C$42, 14.5229, 14.5229)*CHOOSE(CONTROL!$C$21, $C$9, 100%, $E$9)</f>
        <v>14.5229</v>
      </c>
      <c r="G339" s="17">
        <f>CHOOSE(CONTROL!$C$42, 14.5396, 14.5396)*CHOOSE(CONTROL!$C$21, $C$9, 100%, $E$9)</f>
        <v>14.5396</v>
      </c>
      <c r="H339" s="17">
        <f>CHOOSE(CONTROL!$C$42, 14.6719, 14.6719) * CHOOSE(CONTROL!$C$21, $C$9, 100%, $E$9)</f>
        <v>14.671900000000001</v>
      </c>
      <c r="I339" s="17">
        <f>CHOOSE(CONTROL!$C$42, 14.5818, 14.5818)* CHOOSE(CONTROL!$C$21, $C$9, 100%, $E$9)</f>
        <v>14.581799999999999</v>
      </c>
      <c r="J339" s="17">
        <f>CHOOSE(CONTROL!$C$42, 14.5155, 14.5155)* CHOOSE(CONTROL!$C$21, $C$9, 100%, $E$9)</f>
        <v>14.515499999999999</v>
      </c>
      <c r="K339" s="52">
        <f>CHOOSE(CONTROL!$C$42, 14.5758, 14.5758) * CHOOSE(CONTROL!$C$21, $C$9, 100%, $E$9)</f>
        <v>14.575799999999999</v>
      </c>
      <c r="L339" s="17">
        <f>CHOOSE(CONTROL!$C$42, 15.2589, 15.2589) * CHOOSE(CONTROL!$C$21, $C$9, 100%, $E$9)</f>
        <v>15.258900000000001</v>
      </c>
      <c r="M339" s="17">
        <f>CHOOSE(CONTROL!$C$42, 14.392, 14.392) * CHOOSE(CONTROL!$C$21, $C$9, 100%, $E$9)</f>
        <v>14.391999999999999</v>
      </c>
      <c r="N339" s="17">
        <f>CHOOSE(CONTROL!$C$42, 14.4085, 14.4085) * CHOOSE(CONTROL!$C$21, $C$9, 100%, $E$9)</f>
        <v>14.4085</v>
      </c>
      <c r="O339" s="17">
        <f>CHOOSE(CONTROL!$C$42, 14.547, 14.547) * CHOOSE(CONTROL!$C$21, $C$9, 100%, $E$9)</f>
        <v>14.547000000000001</v>
      </c>
      <c r="P339" s="17">
        <f>CHOOSE(CONTROL!$C$42, 14.4573, 14.4573) * CHOOSE(CONTROL!$C$21, $C$9, 100%, $E$9)</f>
        <v>14.4573</v>
      </c>
      <c r="Q339" s="17">
        <f>CHOOSE(CONTROL!$C$42, 15.1417, 15.1417) * CHOOSE(CONTROL!$C$21, $C$9, 100%, $E$9)</f>
        <v>15.1417</v>
      </c>
      <c r="R339" s="17">
        <f>CHOOSE(CONTROL!$C$42, 15.7665, 15.7665) * CHOOSE(CONTROL!$C$21, $C$9, 100%, $E$9)</f>
        <v>15.766500000000001</v>
      </c>
      <c r="S339" s="17">
        <f>CHOOSE(CONTROL!$C$42, 14.0611, 14.0611) * CHOOSE(CONTROL!$C$21, $C$9, 100%, $E$9)</f>
        <v>14.0611</v>
      </c>
      <c r="T339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339" s="56">
        <f>(1000*CHOOSE(CONTROL!$C$42, 695, 695)*CHOOSE(CONTROL!$C$42, 0.5599, 0.5599)*CHOOSE(CONTROL!$C$42, 31, 31))/1000000</f>
        <v>12.063045499999998</v>
      </c>
      <c r="V339" s="56">
        <f>(1000*CHOOSE(CONTROL!$C$42, 500, 500)*CHOOSE(CONTROL!$C$42, 0.275, 0.275)*CHOOSE(CONTROL!$C$42, 31, 31))/1000000</f>
        <v>4.2625000000000002</v>
      </c>
      <c r="W339" s="56">
        <f>(1000*CHOOSE(CONTROL!$C$42, 0.0916, 0.0916)*CHOOSE(CONTROL!$C$42, 121.5, 121.5)*CHOOSE(CONTROL!$C$42, 31, 31))/1000000</f>
        <v>0.34501139999999997</v>
      </c>
      <c r="X339" s="56">
        <f>(31*0.2374*100000/1000000)</f>
        <v>0.73594000000000004</v>
      </c>
      <c r="Y339" s="56"/>
      <c r="Z339" s="17"/>
      <c r="AA339" s="55"/>
      <c r="AB339" s="48">
        <f>(B339*122.58+C339*297.941+D339*89.177+E339*140.302+F339*40+G339*60+H339*0+I339*100+J339*300)/(122.58+297.941+89.177+140.302+0+40+60+100+300)</f>
        <v>14.552996950956523</v>
      </c>
      <c r="AC339" s="45">
        <f>(M339*'RAP TEMPLATE-GAS AVAILABILITY'!O338+N339*'RAP TEMPLATE-GAS AVAILABILITY'!P338+O339*'RAP TEMPLATE-GAS AVAILABILITY'!Q338+P339*'RAP TEMPLATE-GAS AVAILABILITY'!R338)/('RAP TEMPLATE-GAS AVAILABILITY'!O338+'RAP TEMPLATE-GAS AVAILABILITY'!P338+'RAP TEMPLATE-GAS AVAILABILITY'!Q338+'RAP TEMPLATE-GAS AVAILABILITY'!R338)</f>
        <v>14.472597122302158</v>
      </c>
    </row>
    <row r="340" spans="1:29" ht="15.75" x14ac:dyDescent="0.25">
      <c r="A340" s="14">
        <v>50890</v>
      </c>
      <c r="B340" s="17">
        <f>CHOOSE(CONTROL!$C$42, 14.4679, 14.4679) * CHOOSE(CONTROL!$C$21, $C$9, 100%, $E$9)</f>
        <v>14.4679</v>
      </c>
      <c r="C340" s="17">
        <f>CHOOSE(CONTROL!$C$42, 14.4724, 14.4724) * CHOOSE(CONTROL!$C$21, $C$9, 100%, $E$9)</f>
        <v>14.4724</v>
      </c>
      <c r="D340" s="17">
        <f>CHOOSE(CONTROL!$C$42, 14.7354, 14.7354) * CHOOSE(CONTROL!$C$21, $C$9, 100%, $E$9)</f>
        <v>14.7354</v>
      </c>
      <c r="E340" s="17">
        <f>CHOOSE(CONTROL!$C$42, 14.7672, 14.7672) * CHOOSE(CONTROL!$C$21, $C$9, 100%, $E$9)</f>
        <v>14.767200000000001</v>
      </c>
      <c r="F340" s="17">
        <f>CHOOSE(CONTROL!$C$42, 14.4788, 14.4788)*CHOOSE(CONTROL!$C$21, $C$9, 100%, $E$9)</f>
        <v>14.4788</v>
      </c>
      <c r="G340" s="17">
        <f>CHOOSE(CONTROL!$C$42, 14.495, 14.495)*CHOOSE(CONTROL!$C$21, $C$9, 100%, $E$9)</f>
        <v>14.494999999999999</v>
      </c>
      <c r="H340" s="17">
        <f>CHOOSE(CONTROL!$C$42, 14.7567, 14.7567) * CHOOSE(CONTROL!$C$21, $C$9, 100%, $E$9)</f>
        <v>14.7567</v>
      </c>
      <c r="I340" s="17">
        <f>CHOOSE(CONTROL!$C$42, 14.538, 14.538)* CHOOSE(CONTROL!$C$21, $C$9, 100%, $E$9)</f>
        <v>14.538</v>
      </c>
      <c r="J340" s="17">
        <f>CHOOSE(CONTROL!$C$42, 14.4714, 14.4714)* CHOOSE(CONTROL!$C$21, $C$9, 100%, $E$9)</f>
        <v>14.471399999999999</v>
      </c>
      <c r="K340" s="52">
        <f>CHOOSE(CONTROL!$C$42, 14.532, 14.532) * CHOOSE(CONTROL!$C$21, $C$9, 100%, $E$9)</f>
        <v>14.532</v>
      </c>
      <c r="L340" s="17">
        <f>CHOOSE(CONTROL!$C$42, 15.3437, 15.3437) * CHOOSE(CONTROL!$C$21, $C$9, 100%, $E$9)</f>
        <v>15.3437</v>
      </c>
      <c r="M340" s="17">
        <f>CHOOSE(CONTROL!$C$42, 14.3483, 14.3483) * CHOOSE(CONTROL!$C$21, $C$9, 100%, $E$9)</f>
        <v>14.3483</v>
      </c>
      <c r="N340" s="17">
        <f>CHOOSE(CONTROL!$C$42, 14.3643, 14.3643) * CHOOSE(CONTROL!$C$21, $C$9, 100%, $E$9)</f>
        <v>14.3643</v>
      </c>
      <c r="O340" s="17">
        <f>CHOOSE(CONTROL!$C$42, 14.631, 14.631) * CHOOSE(CONTROL!$C$21, $C$9, 100%, $E$9)</f>
        <v>14.631</v>
      </c>
      <c r="P340" s="17">
        <f>CHOOSE(CONTROL!$C$42, 14.4139, 14.4139) * CHOOSE(CONTROL!$C$21, $C$9, 100%, $E$9)</f>
        <v>14.4139</v>
      </c>
      <c r="Q340" s="17">
        <f>CHOOSE(CONTROL!$C$42, 15.2257, 15.2257) * CHOOSE(CONTROL!$C$21, $C$9, 100%, $E$9)</f>
        <v>15.2257</v>
      </c>
      <c r="R340" s="17">
        <f>CHOOSE(CONTROL!$C$42, 15.8507, 15.8507) * CHOOSE(CONTROL!$C$21, $C$9, 100%, $E$9)</f>
        <v>15.8507</v>
      </c>
      <c r="S340" s="17">
        <f>CHOOSE(CONTROL!$C$42, 14.0193, 14.0193) * CHOOSE(CONTROL!$C$21, $C$9, 100%, $E$9)</f>
        <v>14.019299999999999</v>
      </c>
      <c r="T340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340" s="56">
        <f>(1000*CHOOSE(CONTROL!$C$42, 695, 695)*CHOOSE(CONTROL!$C$42, 0.5599, 0.5599)*CHOOSE(CONTROL!$C$42, 30, 30))/1000000</f>
        <v>11.673914999999997</v>
      </c>
      <c r="V340" s="56">
        <f>(1000*CHOOSE(CONTROL!$C$42, 500, 500)*CHOOSE(CONTROL!$C$42, 0.275, 0.275)*CHOOSE(CONTROL!$C$42, 30, 30))/1000000</f>
        <v>4.125</v>
      </c>
      <c r="W340" s="56">
        <f>(1000*CHOOSE(CONTROL!$C$42, 0.0916, 0.0916)*CHOOSE(CONTROL!$C$42, 121.5, 121.5)*CHOOSE(CONTROL!$C$42, 30, 30))/1000000</f>
        <v>0.33388200000000001</v>
      </c>
      <c r="X340" s="56">
        <f>(30*0.1790888*145000/1000000)+(30*0.2374*100000/1000000)</f>
        <v>1.4912362799999999</v>
      </c>
      <c r="Y340" s="56"/>
      <c r="Z340" s="17"/>
      <c r="AA340" s="55"/>
      <c r="AB340" s="48">
        <f>(B340*141.293+C340*267.993+D340*115.016+E340*189.698+F340*40+G340*85+H340*0+I340*100+J340*300)/(141.293+267.993+115.016+189.698+0+40+85+100+300)</f>
        <v>14.548246133898306</v>
      </c>
      <c r="AC340" s="45">
        <f>(M340*'RAP TEMPLATE-GAS AVAILABILITY'!O339+N340*'RAP TEMPLATE-GAS AVAILABILITY'!P339+O340*'RAP TEMPLATE-GAS AVAILABILITY'!Q339+P340*'RAP TEMPLATE-GAS AVAILABILITY'!R339)/('RAP TEMPLATE-GAS AVAILABILITY'!O339+'RAP TEMPLATE-GAS AVAILABILITY'!P339+'RAP TEMPLATE-GAS AVAILABILITY'!Q339+'RAP TEMPLATE-GAS AVAILABILITY'!R339)</f>
        <v>14.440741007194243</v>
      </c>
    </row>
    <row r="341" spans="1:29" ht="15.75" x14ac:dyDescent="0.25">
      <c r="A341" s="14">
        <v>50921</v>
      </c>
      <c r="B341" s="17">
        <f>CHOOSE(CONTROL!$C$42, 14.5968, 14.5968) * CHOOSE(CONTROL!$C$21, $C$9, 100%, $E$9)</f>
        <v>14.5968</v>
      </c>
      <c r="C341" s="17">
        <f>CHOOSE(CONTROL!$C$42, 14.6048, 14.6048) * CHOOSE(CONTROL!$C$21, $C$9, 100%, $E$9)</f>
        <v>14.604799999999999</v>
      </c>
      <c r="D341" s="17">
        <f>CHOOSE(CONTROL!$C$42, 14.8648, 14.8648) * CHOOSE(CONTROL!$C$21, $C$9, 100%, $E$9)</f>
        <v>14.864800000000001</v>
      </c>
      <c r="E341" s="17">
        <f>CHOOSE(CONTROL!$C$42, 14.8959, 14.8959) * CHOOSE(CONTROL!$C$21, $C$9, 100%, $E$9)</f>
        <v>14.895899999999999</v>
      </c>
      <c r="F341" s="17">
        <f>CHOOSE(CONTROL!$C$42, 14.6065, 14.6065)*CHOOSE(CONTROL!$C$21, $C$9, 100%, $E$9)</f>
        <v>14.6065</v>
      </c>
      <c r="G341" s="17">
        <f>CHOOSE(CONTROL!$C$42, 14.623, 14.623)*CHOOSE(CONTROL!$C$21, $C$9, 100%, $E$9)</f>
        <v>14.622999999999999</v>
      </c>
      <c r="H341" s="17">
        <f>CHOOSE(CONTROL!$C$42, 14.8843, 14.8843) * CHOOSE(CONTROL!$C$21, $C$9, 100%, $E$9)</f>
        <v>14.8843</v>
      </c>
      <c r="I341" s="17">
        <f>CHOOSE(CONTROL!$C$42, 14.666, 14.666)* CHOOSE(CONTROL!$C$21, $C$9, 100%, $E$9)</f>
        <v>14.666</v>
      </c>
      <c r="J341" s="17">
        <f>CHOOSE(CONTROL!$C$42, 14.5991, 14.5991)* CHOOSE(CONTROL!$C$21, $C$9, 100%, $E$9)</f>
        <v>14.5991</v>
      </c>
      <c r="K341" s="52">
        <f>CHOOSE(CONTROL!$C$42, 14.6599, 14.6599) * CHOOSE(CONTROL!$C$21, $C$9, 100%, $E$9)</f>
        <v>14.6599</v>
      </c>
      <c r="L341" s="17">
        <f>CHOOSE(CONTROL!$C$42, 15.4713, 15.4713) * CHOOSE(CONTROL!$C$21, $C$9, 100%, $E$9)</f>
        <v>15.471299999999999</v>
      </c>
      <c r="M341" s="17">
        <f>CHOOSE(CONTROL!$C$42, 14.4748, 14.4748) * CHOOSE(CONTROL!$C$21, $C$9, 100%, $E$9)</f>
        <v>14.4748</v>
      </c>
      <c r="N341" s="17">
        <f>CHOOSE(CONTROL!$C$42, 14.4911, 14.4911) * CHOOSE(CONTROL!$C$21, $C$9, 100%, $E$9)</f>
        <v>14.491099999999999</v>
      </c>
      <c r="O341" s="17">
        <f>CHOOSE(CONTROL!$C$42, 14.7574, 14.7574) * CHOOSE(CONTROL!$C$21, $C$9, 100%, $E$9)</f>
        <v>14.757400000000001</v>
      </c>
      <c r="P341" s="17">
        <f>CHOOSE(CONTROL!$C$42, 14.5407, 14.5407) * CHOOSE(CONTROL!$C$21, $C$9, 100%, $E$9)</f>
        <v>14.540699999999999</v>
      </c>
      <c r="Q341" s="17">
        <f>CHOOSE(CONTROL!$C$42, 15.3521, 15.3521) * CHOOSE(CONTROL!$C$21, $C$9, 100%, $E$9)</f>
        <v>15.3521</v>
      </c>
      <c r="R341" s="17">
        <f>CHOOSE(CONTROL!$C$42, 15.9775, 15.9775) * CHOOSE(CONTROL!$C$21, $C$9, 100%, $E$9)</f>
        <v>15.977499999999999</v>
      </c>
      <c r="S341" s="17">
        <f>CHOOSE(CONTROL!$C$42, 14.143, 14.143) * CHOOSE(CONTROL!$C$21, $C$9, 100%, $E$9)</f>
        <v>14.143000000000001</v>
      </c>
      <c r="T341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341" s="56">
        <f>(1000*CHOOSE(CONTROL!$C$42, 695, 695)*CHOOSE(CONTROL!$C$42, 0.5599, 0.5599)*CHOOSE(CONTROL!$C$42, 31, 31))/1000000</f>
        <v>12.063045499999998</v>
      </c>
      <c r="V341" s="56">
        <f>(1000*CHOOSE(CONTROL!$C$42, 500, 500)*CHOOSE(CONTROL!$C$42, 0.275, 0.275)*CHOOSE(CONTROL!$C$42, 31, 31))/1000000</f>
        <v>4.2625000000000002</v>
      </c>
      <c r="W341" s="56">
        <f>(1000*CHOOSE(CONTROL!$C$42, 0.0916, 0.0916)*CHOOSE(CONTROL!$C$42, 121.5, 121.5)*CHOOSE(CONTROL!$C$42, 31, 31))/1000000</f>
        <v>0.34501139999999997</v>
      </c>
      <c r="X341" s="56">
        <f>(31*0.1790888*145000/1000000)+(31*0.2374*100000/1000000)</f>
        <v>1.5409441560000001</v>
      </c>
      <c r="Y341" s="56"/>
      <c r="Z341" s="17"/>
      <c r="AA341" s="55"/>
      <c r="AB341" s="48">
        <f>(B341*194.205+C341*267.466+D341*133.845+E341*153.484+F341*40+G341*85+H341*0+I341*100+J341*300)/(194.205+267.466+133.845+153.484+0+40+85+100+300)</f>
        <v>14.670695017582418</v>
      </c>
      <c r="AC341" s="45">
        <f>(M341*'RAP TEMPLATE-GAS AVAILABILITY'!O340+N341*'RAP TEMPLATE-GAS AVAILABILITY'!P340+O341*'RAP TEMPLATE-GAS AVAILABILITY'!Q340+P341*'RAP TEMPLATE-GAS AVAILABILITY'!R340)/('RAP TEMPLATE-GAS AVAILABILITY'!O340+'RAP TEMPLATE-GAS AVAILABILITY'!P340+'RAP TEMPLATE-GAS AVAILABILITY'!Q340+'RAP TEMPLATE-GAS AVAILABILITY'!R340)</f>
        <v>14.567325179856116</v>
      </c>
    </row>
    <row r="342" spans="1:29" ht="15.75" x14ac:dyDescent="0.25">
      <c r="A342" s="14">
        <v>50951</v>
      </c>
      <c r="B342" s="17">
        <f>CHOOSE(CONTROL!$C$42, 15.0105, 15.0105) * CHOOSE(CONTROL!$C$21, $C$9, 100%, $E$9)</f>
        <v>15.0105</v>
      </c>
      <c r="C342" s="17">
        <f>CHOOSE(CONTROL!$C$42, 15.0185, 15.0185) * CHOOSE(CONTROL!$C$21, $C$9, 100%, $E$9)</f>
        <v>15.0185</v>
      </c>
      <c r="D342" s="17">
        <f>CHOOSE(CONTROL!$C$42, 15.2785, 15.2785) * CHOOSE(CONTROL!$C$21, $C$9, 100%, $E$9)</f>
        <v>15.278499999999999</v>
      </c>
      <c r="E342" s="17">
        <f>CHOOSE(CONTROL!$C$42, 15.3096, 15.3096) * CHOOSE(CONTROL!$C$21, $C$9, 100%, $E$9)</f>
        <v>15.3096</v>
      </c>
      <c r="F342" s="17">
        <f>CHOOSE(CONTROL!$C$42, 15.0205, 15.0205)*CHOOSE(CONTROL!$C$21, $C$9, 100%, $E$9)</f>
        <v>15.0205</v>
      </c>
      <c r="G342" s="17">
        <f>CHOOSE(CONTROL!$C$42, 15.037, 15.037)*CHOOSE(CONTROL!$C$21, $C$9, 100%, $E$9)</f>
        <v>15.037000000000001</v>
      </c>
      <c r="H342" s="17">
        <f>CHOOSE(CONTROL!$C$42, 15.298, 15.298) * CHOOSE(CONTROL!$C$21, $C$9, 100%, $E$9)</f>
        <v>15.298</v>
      </c>
      <c r="I342" s="17">
        <f>CHOOSE(CONTROL!$C$42, 15.081, 15.081)* CHOOSE(CONTROL!$C$21, $C$9, 100%, $E$9)</f>
        <v>15.081</v>
      </c>
      <c r="J342" s="17">
        <f>CHOOSE(CONTROL!$C$42, 15.0131, 15.0131)* CHOOSE(CONTROL!$C$21, $C$9, 100%, $E$9)</f>
        <v>15.0131</v>
      </c>
      <c r="K342" s="52">
        <f>CHOOSE(CONTROL!$C$42, 15.0749, 15.0749) * CHOOSE(CONTROL!$C$21, $C$9, 100%, $E$9)</f>
        <v>15.0749</v>
      </c>
      <c r="L342" s="17">
        <f>CHOOSE(CONTROL!$C$42, 15.885, 15.885) * CHOOSE(CONTROL!$C$21, $C$9, 100%, $E$9)</f>
        <v>15.885</v>
      </c>
      <c r="M342" s="17">
        <f>CHOOSE(CONTROL!$C$42, 14.8851, 14.8851) * CHOOSE(CONTROL!$C$21, $C$9, 100%, $E$9)</f>
        <v>14.8851</v>
      </c>
      <c r="N342" s="17">
        <f>CHOOSE(CONTROL!$C$42, 14.9015, 14.9015) * CHOOSE(CONTROL!$C$21, $C$9, 100%, $E$9)</f>
        <v>14.9015</v>
      </c>
      <c r="O342" s="17">
        <f>CHOOSE(CONTROL!$C$42, 15.1674, 15.1674) * CHOOSE(CONTROL!$C$21, $C$9, 100%, $E$9)</f>
        <v>15.167400000000001</v>
      </c>
      <c r="P342" s="17">
        <f>CHOOSE(CONTROL!$C$42, 14.952, 14.952) * CHOOSE(CONTROL!$C$21, $C$9, 100%, $E$9)</f>
        <v>14.952</v>
      </c>
      <c r="Q342" s="17">
        <f>CHOOSE(CONTROL!$C$42, 15.7621, 15.7621) * CHOOSE(CONTROL!$C$21, $C$9, 100%, $E$9)</f>
        <v>15.7621</v>
      </c>
      <c r="R342" s="17">
        <f>CHOOSE(CONTROL!$C$42, 16.3885, 16.3885) * CHOOSE(CONTROL!$C$21, $C$9, 100%, $E$9)</f>
        <v>16.388500000000001</v>
      </c>
      <c r="S342" s="17">
        <f>CHOOSE(CONTROL!$C$42, 14.5441, 14.5441) * CHOOSE(CONTROL!$C$21, $C$9, 100%, $E$9)</f>
        <v>14.5441</v>
      </c>
      <c r="T342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342" s="56">
        <f>(1000*CHOOSE(CONTROL!$C$42, 695, 695)*CHOOSE(CONTROL!$C$42, 0.5599, 0.5599)*CHOOSE(CONTROL!$C$42, 30, 30))/1000000</f>
        <v>11.673914999999997</v>
      </c>
      <c r="V342" s="56">
        <f>(1000*CHOOSE(CONTROL!$C$42, 500, 500)*CHOOSE(CONTROL!$C$42, 0.275, 0.275)*CHOOSE(CONTROL!$C$42, 30, 30))/1000000</f>
        <v>4.125</v>
      </c>
      <c r="W342" s="56">
        <f>(1000*CHOOSE(CONTROL!$C$42, 0.0916, 0.0916)*CHOOSE(CONTROL!$C$42, 121.5, 121.5)*CHOOSE(CONTROL!$C$42, 30, 30))/1000000</f>
        <v>0.33388200000000001</v>
      </c>
      <c r="X342" s="56">
        <f>(30*0.1790888*145000/1000000)+(30*0.2374*100000/1000000)</f>
        <v>1.4912362799999999</v>
      </c>
      <c r="Y342" s="56"/>
      <c r="Z342" s="17"/>
      <c r="AA342" s="55"/>
      <c r="AB342" s="48">
        <f>(B342*194.205+C342*267.466+D342*133.845+E342*153.484+F342*40+G342*85+H342*0+I342*100+J342*300)/(194.205+267.466+133.845+153.484+0+40+85+100+300)</f>
        <v>15.084597136891681</v>
      </c>
      <c r="AC342" s="45">
        <f>(M342*'RAP TEMPLATE-GAS AVAILABILITY'!O341+N342*'RAP TEMPLATE-GAS AVAILABILITY'!P341+O342*'RAP TEMPLATE-GAS AVAILABILITY'!Q341+P342*'RAP TEMPLATE-GAS AVAILABILITY'!R341)/('RAP TEMPLATE-GAS AVAILABILITY'!O341+'RAP TEMPLATE-GAS AVAILABILITY'!P341+'RAP TEMPLATE-GAS AVAILABILITY'!Q341+'RAP TEMPLATE-GAS AVAILABILITY'!R341)</f>
        <v>14.977707913669066</v>
      </c>
    </row>
    <row r="343" spans="1:29" ht="15.75" x14ac:dyDescent="0.25">
      <c r="A343" s="14">
        <v>50982</v>
      </c>
      <c r="B343" s="17">
        <f>CHOOSE(CONTROL!$C$42, 14.7228, 14.7228) * CHOOSE(CONTROL!$C$21, $C$9, 100%, $E$9)</f>
        <v>14.722799999999999</v>
      </c>
      <c r="C343" s="17">
        <f>CHOOSE(CONTROL!$C$42, 14.7308, 14.7308) * CHOOSE(CONTROL!$C$21, $C$9, 100%, $E$9)</f>
        <v>14.7308</v>
      </c>
      <c r="D343" s="17">
        <f>CHOOSE(CONTROL!$C$42, 14.9907, 14.9907) * CHOOSE(CONTROL!$C$21, $C$9, 100%, $E$9)</f>
        <v>14.9907</v>
      </c>
      <c r="E343" s="17">
        <f>CHOOSE(CONTROL!$C$42, 15.0219, 15.0219) * CHOOSE(CONTROL!$C$21, $C$9, 100%, $E$9)</f>
        <v>15.0219</v>
      </c>
      <c r="F343" s="17">
        <f>CHOOSE(CONTROL!$C$42, 14.7332, 14.7332)*CHOOSE(CONTROL!$C$21, $C$9, 100%, $E$9)</f>
        <v>14.7332</v>
      </c>
      <c r="G343" s="17">
        <f>CHOOSE(CONTROL!$C$42, 14.7498, 14.7498)*CHOOSE(CONTROL!$C$21, $C$9, 100%, $E$9)</f>
        <v>14.7498</v>
      </c>
      <c r="H343" s="17">
        <f>CHOOSE(CONTROL!$C$42, 15.0102, 15.0102) * CHOOSE(CONTROL!$C$21, $C$9, 100%, $E$9)</f>
        <v>15.010199999999999</v>
      </c>
      <c r="I343" s="17">
        <f>CHOOSE(CONTROL!$C$42, 14.7923, 14.7923)* CHOOSE(CONTROL!$C$21, $C$9, 100%, $E$9)</f>
        <v>14.792299999999999</v>
      </c>
      <c r="J343" s="17">
        <f>CHOOSE(CONTROL!$C$42, 14.7258, 14.7258)* CHOOSE(CONTROL!$C$21, $C$9, 100%, $E$9)</f>
        <v>14.7258</v>
      </c>
      <c r="K343" s="52">
        <f>CHOOSE(CONTROL!$C$42, 14.7863, 14.7863) * CHOOSE(CONTROL!$C$21, $C$9, 100%, $E$9)</f>
        <v>14.786300000000001</v>
      </c>
      <c r="L343" s="17">
        <f>CHOOSE(CONTROL!$C$42, 15.5972, 15.5972) * CHOOSE(CONTROL!$C$21, $C$9, 100%, $E$9)</f>
        <v>15.597200000000001</v>
      </c>
      <c r="M343" s="17">
        <f>CHOOSE(CONTROL!$C$42, 14.6004, 14.6004) * CHOOSE(CONTROL!$C$21, $C$9, 100%, $E$9)</f>
        <v>14.6004</v>
      </c>
      <c r="N343" s="17">
        <f>CHOOSE(CONTROL!$C$42, 14.6169, 14.6169) * CHOOSE(CONTROL!$C$21, $C$9, 100%, $E$9)</f>
        <v>14.616899999999999</v>
      </c>
      <c r="O343" s="17">
        <f>CHOOSE(CONTROL!$C$42, 14.8822, 14.8822) * CHOOSE(CONTROL!$C$21, $C$9, 100%, $E$9)</f>
        <v>14.882199999999999</v>
      </c>
      <c r="P343" s="17">
        <f>CHOOSE(CONTROL!$C$42, 14.666, 14.666) * CHOOSE(CONTROL!$C$21, $C$9, 100%, $E$9)</f>
        <v>14.666</v>
      </c>
      <c r="Q343" s="17">
        <f>CHOOSE(CONTROL!$C$42, 15.4769, 15.4769) * CHOOSE(CONTROL!$C$21, $C$9, 100%, $E$9)</f>
        <v>15.476900000000001</v>
      </c>
      <c r="R343" s="17">
        <f>CHOOSE(CONTROL!$C$42, 16.1026, 16.1026) * CHOOSE(CONTROL!$C$21, $C$9, 100%, $E$9)</f>
        <v>16.102599999999999</v>
      </c>
      <c r="S343" s="17">
        <f>CHOOSE(CONTROL!$C$42, 14.2651, 14.2651) * CHOOSE(CONTROL!$C$21, $C$9, 100%, $E$9)</f>
        <v>14.2651</v>
      </c>
      <c r="T343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343" s="56">
        <f>(1000*CHOOSE(CONTROL!$C$42, 695, 695)*CHOOSE(CONTROL!$C$42, 0.5599, 0.5599)*CHOOSE(CONTROL!$C$42, 31, 31))/1000000</f>
        <v>12.063045499999998</v>
      </c>
      <c r="V343" s="56">
        <f>(1000*CHOOSE(CONTROL!$C$42, 500, 500)*CHOOSE(CONTROL!$C$42, 0.275, 0.275)*CHOOSE(CONTROL!$C$42, 31, 31))/1000000</f>
        <v>4.2625000000000002</v>
      </c>
      <c r="W343" s="56">
        <f>(1000*CHOOSE(CONTROL!$C$42, 0.0916, 0.0916)*CHOOSE(CONTROL!$C$42, 121.5, 121.5)*CHOOSE(CONTROL!$C$42, 31, 31))/1000000</f>
        <v>0.34501139999999997</v>
      </c>
      <c r="X343" s="56">
        <f>(31*0.1790888*145000/1000000)+(31*0.2374*100000/1000000)</f>
        <v>1.5409441560000001</v>
      </c>
      <c r="Y343" s="56"/>
      <c r="Z343" s="17"/>
      <c r="AA343" s="55"/>
      <c r="AB343" s="48">
        <f>(B343*194.205+C343*267.466+D343*133.845+E343*153.484+F343*40+G343*85+H343*0+I343*100+J343*300)/(194.205+267.466+133.845+153.484+0+40+85+100+300)</f>
        <v>14.796948247959183</v>
      </c>
      <c r="AC343" s="45">
        <f>(M343*'RAP TEMPLATE-GAS AVAILABILITY'!O342+N343*'RAP TEMPLATE-GAS AVAILABILITY'!P342+O343*'RAP TEMPLATE-GAS AVAILABILITY'!Q342+P343*'RAP TEMPLATE-GAS AVAILABILITY'!R342)/('RAP TEMPLATE-GAS AVAILABILITY'!O342+'RAP TEMPLATE-GAS AVAILABILITY'!P342+'RAP TEMPLATE-GAS AVAILABILITY'!Q342+'RAP TEMPLATE-GAS AVAILABILITY'!R342)</f>
        <v>14.692703597122302</v>
      </c>
    </row>
    <row r="344" spans="1:29" ht="15.75" x14ac:dyDescent="0.25">
      <c r="A344" s="14">
        <v>51013</v>
      </c>
      <c r="B344" s="17">
        <f>CHOOSE(CONTROL!$C$42, 13.9962, 13.9962) * CHOOSE(CONTROL!$C$21, $C$9, 100%, $E$9)</f>
        <v>13.9962</v>
      </c>
      <c r="C344" s="17">
        <f>CHOOSE(CONTROL!$C$42, 14.0042, 14.0042) * CHOOSE(CONTROL!$C$21, $C$9, 100%, $E$9)</f>
        <v>14.004200000000001</v>
      </c>
      <c r="D344" s="17">
        <f>CHOOSE(CONTROL!$C$42, 14.2641, 14.2641) * CHOOSE(CONTROL!$C$21, $C$9, 100%, $E$9)</f>
        <v>14.264099999999999</v>
      </c>
      <c r="E344" s="17">
        <f>CHOOSE(CONTROL!$C$42, 14.2953, 14.2953) * CHOOSE(CONTROL!$C$21, $C$9, 100%, $E$9)</f>
        <v>14.295299999999999</v>
      </c>
      <c r="F344" s="17">
        <f>CHOOSE(CONTROL!$C$42, 14.0068, 14.0068)*CHOOSE(CONTROL!$C$21, $C$9, 100%, $E$9)</f>
        <v>14.0068</v>
      </c>
      <c r="G344" s="17">
        <f>CHOOSE(CONTROL!$C$42, 14.0236, 14.0236)*CHOOSE(CONTROL!$C$21, $C$9, 100%, $E$9)</f>
        <v>14.0236</v>
      </c>
      <c r="H344" s="17">
        <f>CHOOSE(CONTROL!$C$42, 14.2836, 14.2836) * CHOOSE(CONTROL!$C$21, $C$9, 100%, $E$9)</f>
        <v>14.2836</v>
      </c>
      <c r="I344" s="17">
        <f>CHOOSE(CONTROL!$C$42, 14.0635, 14.0635)* CHOOSE(CONTROL!$C$21, $C$9, 100%, $E$9)</f>
        <v>14.063499999999999</v>
      </c>
      <c r="J344" s="17">
        <f>CHOOSE(CONTROL!$C$42, 13.9994, 13.9994)* CHOOSE(CONTROL!$C$21, $C$9, 100%, $E$9)</f>
        <v>13.9994</v>
      </c>
      <c r="K344" s="52">
        <f>CHOOSE(CONTROL!$C$42, 14.0575, 14.0575) * CHOOSE(CONTROL!$C$21, $C$9, 100%, $E$9)</f>
        <v>14.057499999999999</v>
      </c>
      <c r="L344" s="17">
        <f>CHOOSE(CONTROL!$C$42, 14.8706, 14.8706) * CHOOSE(CONTROL!$C$21, $C$9, 100%, $E$9)</f>
        <v>14.8706</v>
      </c>
      <c r="M344" s="17">
        <f>CHOOSE(CONTROL!$C$42, 13.8805, 13.8805) * CHOOSE(CONTROL!$C$21, $C$9, 100%, $E$9)</f>
        <v>13.8805</v>
      </c>
      <c r="N344" s="17">
        <f>CHOOSE(CONTROL!$C$42, 13.8971, 13.8971) * CHOOSE(CONTROL!$C$21, $C$9, 100%, $E$9)</f>
        <v>13.8971</v>
      </c>
      <c r="O344" s="17">
        <f>CHOOSE(CONTROL!$C$42, 14.1622, 14.1622) * CHOOSE(CONTROL!$C$21, $C$9, 100%, $E$9)</f>
        <v>14.1622</v>
      </c>
      <c r="P344" s="17">
        <f>CHOOSE(CONTROL!$C$42, 13.9437, 13.9437) * CHOOSE(CONTROL!$C$21, $C$9, 100%, $E$9)</f>
        <v>13.9437</v>
      </c>
      <c r="Q344" s="17">
        <f>CHOOSE(CONTROL!$C$42, 14.7569, 14.7569) * CHOOSE(CONTROL!$C$21, $C$9, 100%, $E$9)</f>
        <v>14.7569</v>
      </c>
      <c r="R344" s="17">
        <f>CHOOSE(CONTROL!$C$42, 15.3808, 15.3808) * CHOOSE(CONTROL!$C$21, $C$9, 100%, $E$9)</f>
        <v>15.380800000000001</v>
      </c>
      <c r="S344" s="17">
        <f>CHOOSE(CONTROL!$C$42, 13.5605, 13.5605) * CHOOSE(CONTROL!$C$21, $C$9, 100%, $E$9)</f>
        <v>13.560499999999999</v>
      </c>
      <c r="T344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344" s="56">
        <f>(1000*CHOOSE(CONTROL!$C$42, 695, 695)*CHOOSE(CONTROL!$C$42, 0.5599, 0.5599)*CHOOSE(CONTROL!$C$42, 31, 31))/1000000</f>
        <v>12.063045499999998</v>
      </c>
      <c r="V344" s="56">
        <f>(1000*CHOOSE(CONTROL!$C$42, 500, 500)*CHOOSE(CONTROL!$C$42, 0.275, 0.275)*CHOOSE(CONTROL!$C$42, 31, 31))/1000000</f>
        <v>4.2625000000000002</v>
      </c>
      <c r="W344" s="56">
        <f>(1000*CHOOSE(CONTROL!$C$42, 0.0916, 0.0916)*CHOOSE(CONTROL!$C$42, 121.5, 121.5)*CHOOSE(CONTROL!$C$42, 31, 31))/1000000</f>
        <v>0.34501139999999997</v>
      </c>
      <c r="X344" s="56">
        <f>(31*0.1790888*145000/1000000)+(31*0.2374*100000/1000000)</f>
        <v>1.5409441560000001</v>
      </c>
      <c r="Y344" s="56"/>
      <c r="Z344" s="17"/>
      <c r="AA344" s="55"/>
      <c r="AB344" s="48">
        <f>(B344*194.205+C344*267.466+D344*133.845+E344*153.484+F344*40+G344*85+H344*0+I344*100+J344*300)/(194.205+267.466+133.845+153.484+0+40+85+100+300)</f>
        <v>14.070255626295134</v>
      </c>
      <c r="AC344" s="45">
        <f>(M344*'RAP TEMPLATE-GAS AVAILABILITY'!O343+N344*'RAP TEMPLATE-GAS AVAILABILITY'!P343+O344*'RAP TEMPLATE-GAS AVAILABILITY'!Q343+P344*'RAP TEMPLATE-GAS AVAILABILITY'!R343)/('RAP TEMPLATE-GAS AVAILABILITY'!O343+'RAP TEMPLATE-GAS AVAILABILITY'!P343+'RAP TEMPLATE-GAS AVAILABILITY'!Q343+'RAP TEMPLATE-GAS AVAILABILITY'!R343)</f>
        <v>13.972453237410072</v>
      </c>
    </row>
    <row r="345" spans="1:29" ht="15.75" x14ac:dyDescent="0.25">
      <c r="A345" s="14">
        <v>51043</v>
      </c>
      <c r="B345" s="17">
        <f>CHOOSE(CONTROL!$C$42, 13.1082, 13.1082) * CHOOSE(CONTROL!$C$21, $C$9, 100%, $E$9)</f>
        <v>13.1082</v>
      </c>
      <c r="C345" s="17">
        <f>CHOOSE(CONTROL!$C$42, 13.1162, 13.1162) * CHOOSE(CONTROL!$C$21, $C$9, 100%, $E$9)</f>
        <v>13.116199999999999</v>
      </c>
      <c r="D345" s="17">
        <f>CHOOSE(CONTROL!$C$42, 13.3761, 13.3761) * CHOOSE(CONTROL!$C$21, $C$9, 100%, $E$9)</f>
        <v>13.376099999999999</v>
      </c>
      <c r="E345" s="17">
        <f>CHOOSE(CONTROL!$C$42, 13.4073, 13.4073) * CHOOSE(CONTROL!$C$21, $C$9, 100%, $E$9)</f>
        <v>13.407299999999999</v>
      </c>
      <c r="F345" s="17">
        <f>CHOOSE(CONTROL!$C$42, 13.1188, 13.1188)*CHOOSE(CONTROL!$C$21, $C$9, 100%, $E$9)</f>
        <v>13.1188</v>
      </c>
      <c r="G345" s="17">
        <f>CHOOSE(CONTROL!$C$42, 13.1355, 13.1355)*CHOOSE(CONTROL!$C$21, $C$9, 100%, $E$9)</f>
        <v>13.1355</v>
      </c>
      <c r="H345" s="17">
        <f>CHOOSE(CONTROL!$C$42, 13.3956, 13.3956) * CHOOSE(CONTROL!$C$21, $C$9, 100%, $E$9)</f>
        <v>13.3956</v>
      </c>
      <c r="I345" s="17">
        <f>CHOOSE(CONTROL!$C$42, 13.1727, 13.1727)* CHOOSE(CONTROL!$C$21, $C$9, 100%, $E$9)</f>
        <v>13.172700000000001</v>
      </c>
      <c r="J345" s="17">
        <f>CHOOSE(CONTROL!$C$42, 13.1114, 13.1114)* CHOOSE(CONTROL!$C$21, $C$9, 100%, $E$9)</f>
        <v>13.1114</v>
      </c>
      <c r="K345" s="52">
        <f>CHOOSE(CONTROL!$C$42, 13.1667, 13.1667) * CHOOSE(CONTROL!$C$21, $C$9, 100%, $E$9)</f>
        <v>13.166700000000001</v>
      </c>
      <c r="L345" s="17">
        <f>CHOOSE(CONTROL!$C$42, 13.9826, 13.9826) * CHOOSE(CONTROL!$C$21, $C$9, 100%, $E$9)</f>
        <v>13.9826</v>
      </c>
      <c r="M345" s="17">
        <f>CHOOSE(CONTROL!$C$42, 13.0005, 13.0005) * CHOOSE(CONTROL!$C$21, $C$9, 100%, $E$9)</f>
        <v>13.000500000000001</v>
      </c>
      <c r="N345" s="17">
        <f>CHOOSE(CONTROL!$C$42, 13.0171, 13.0171) * CHOOSE(CONTROL!$C$21, $C$9, 100%, $E$9)</f>
        <v>13.017099999999999</v>
      </c>
      <c r="O345" s="17">
        <f>CHOOSE(CONTROL!$C$42, 13.2821, 13.2821) * CHOOSE(CONTROL!$C$21, $C$9, 100%, $E$9)</f>
        <v>13.2821</v>
      </c>
      <c r="P345" s="17">
        <f>CHOOSE(CONTROL!$C$42, 13.0609, 13.0609) * CHOOSE(CONTROL!$C$21, $C$9, 100%, $E$9)</f>
        <v>13.0609</v>
      </c>
      <c r="Q345" s="17">
        <f>CHOOSE(CONTROL!$C$42, 13.8768, 13.8768) * CHOOSE(CONTROL!$C$21, $C$9, 100%, $E$9)</f>
        <v>13.876799999999999</v>
      </c>
      <c r="R345" s="17">
        <f>CHOOSE(CONTROL!$C$42, 14.4985, 14.4985) * CHOOSE(CONTROL!$C$21, $C$9, 100%, $E$9)</f>
        <v>14.4985</v>
      </c>
      <c r="S345" s="17">
        <f>CHOOSE(CONTROL!$C$42, 12.6994, 12.6994) * CHOOSE(CONTROL!$C$21, $C$9, 100%, $E$9)</f>
        <v>12.699400000000001</v>
      </c>
      <c r="T345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345" s="56">
        <f>(1000*CHOOSE(CONTROL!$C$42, 695, 695)*CHOOSE(CONTROL!$C$42, 0.5599, 0.5599)*CHOOSE(CONTROL!$C$42, 30, 30))/1000000</f>
        <v>11.673914999999997</v>
      </c>
      <c r="V345" s="56">
        <f>(1000*CHOOSE(CONTROL!$C$42, 500, 500)*CHOOSE(CONTROL!$C$42, 0.275, 0.275)*CHOOSE(CONTROL!$C$42, 30, 30))/1000000</f>
        <v>4.125</v>
      </c>
      <c r="W345" s="56">
        <f>(1000*CHOOSE(CONTROL!$C$42, 0.0916, 0.0916)*CHOOSE(CONTROL!$C$42, 121.5, 121.5)*CHOOSE(CONTROL!$C$42, 30, 30))/1000000</f>
        <v>0.33388200000000001</v>
      </c>
      <c r="X345" s="56">
        <f>(30*0.1790888*145000/1000000)+(30*0.2374*100000/1000000)</f>
        <v>1.4912362799999999</v>
      </c>
      <c r="Y345" s="56"/>
      <c r="Z345" s="17"/>
      <c r="AA345" s="55"/>
      <c r="AB345" s="48">
        <f>(B345*194.205+C345*267.466+D345*133.845+E345*153.484+F345*40+G345*85+H345*0+I345*100+J345*300)/(194.205+267.466+133.845+153.484+0+40+85+100+300)</f>
        <v>13.182029174175824</v>
      </c>
      <c r="AC345" s="45">
        <f>(M345*'RAP TEMPLATE-GAS AVAILABILITY'!O344+N345*'RAP TEMPLATE-GAS AVAILABILITY'!P344+O345*'RAP TEMPLATE-GAS AVAILABILITY'!Q344+P345*'RAP TEMPLATE-GAS AVAILABILITY'!R344)/('RAP TEMPLATE-GAS AVAILABILITY'!O344+'RAP TEMPLATE-GAS AVAILABILITY'!P344+'RAP TEMPLATE-GAS AVAILABILITY'!Q344+'RAP TEMPLATE-GAS AVAILABILITY'!R344)</f>
        <v>13.092022302158274</v>
      </c>
    </row>
    <row r="346" spans="1:29" ht="15.75" x14ac:dyDescent="0.25">
      <c r="A346" s="14">
        <v>51074</v>
      </c>
      <c r="B346" s="17">
        <f>CHOOSE(CONTROL!$C$42, 12.8406, 12.8406) * CHOOSE(CONTROL!$C$21, $C$9, 100%, $E$9)</f>
        <v>12.8406</v>
      </c>
      <c r="C346" s="17">
        <f>CHOOSE(CONTROL!$C$42, 12.8459, 12.8459) * CHOOSE(CONTROL!$C$21, $C$9, 100%, $E$9)</f>
        <v>12.8459</v>
      </c>
      <c r="D346" s="17">
        <f>CHOOSE(CONTROL!$C$42, 13.1107, 13.1107) * CHOOSE(CONTROL!$C$21, $C$9, 100%, $E$9)</f>
        <v>13.1107</v>
      </c>
      <c r="E346" s="17">
        <f>CHOOSE(CONTROL!$C$42, 13.1396, 13.1396) * CHOOSE(CONTROL!$C$21, $C$9, 100%, $E$9)</f>
        <v>13.1396</v>
      </c>
      <c r="F346" s="17">
        <f>CHOOSE(CONTROL!$C$42, 12.8534, 12.8534)*CHOOSE(CONTROL!$C$21, $C$9, 100%, $E$9)</f>
        <v>12.853400000000001</v>
      </c>
      <c r="G346" s="17">
        <f>CHOOSE(CONTROL!$C$42, 12.87, 12.87)*CHOOSE(CONTROL!$C$21, $C$9, 100%, $E$9)</f>
        <v>12.87</v>
      </c>
      <c r="H346" s="17">
        <f>CHOOSE(CONTROL!$C$42, 13.1297, 13.1297) * CHOOSE(CONTROL!$C$21, $C$9, 100%, $E$9)</f>
        <v>13.1297</v>
      </c>
      <c r="I346" s="17">
        <f>CHOOSE(CONTROL!$C$42, 12.906, 12.906)* CHOOSE(CONTROL!$C$21, $C$9, 100%, $E$9)</f>
        <v>12.906000000000001</v>
      </c>
      <c r="J346" s="17">
        <f>CHOOSE(CONTROL!$C$42, 12.846, 12.846)* CHOOSE(CONTROL!$C$21, $C$9, 100%, $E$9)</f>
        <v>12.846</v>
      </c>
      <c r="K346" s="52">
        <f>CHOOSE(CONTROL!$C$42, 12.8999, 12.8999) * CHOOSE(CONTROL!$C$21, $C$9, 100%, $E$9)</f>
        <v>12.899900000000001</v>
      </c>
      <c r="L346" s="17">
        <f>CHOOSE(CONTROL!$C$42, 13.7167, 13.7167) * CHOOSE(CONTROL!$C$21, $C$9, 100%, $E$9)</f>
        <v>13.716699999999999</v>
      </c>
      <c r="M346" s="17">
        <f>CHOOSE(CONTROL!$C$42, 12.7375, 12.7375) * CHOOSE(CONTROL!$C$21, $C$9, 100%, $E$9)</f>
        <v>12.737500000000001</v>
      </c>
      <c r="N346" s="17">
        <f>CHOOSE(CONTROL!$C$42, 12.7539, 12.7539) * CHOOSE(CONTROL!$C$21, $C$9, 100%, $E$9)</f>
        <v>12.7539</v>
      </c>
      <c r="O346" s="17">
        <f>CHOOSE(CONTROL!$C$42, 13.0186, 13.0186) * CHOOSE(CONTROL!$C$21, $C$9, 100%, $E$9)</f>
        <v>13.018599999999999</v>
      </c>
      <c r="P346" s="17">
        <f>CHOOSE(CONTROL!$C$42, 12.7966, 12.7966) * CHOOSE(CONTROL!$C$21, $C$9, 100%, $E$9)</f>
        <v>12.7966</v>
      </c>
      <c r="Q346" s="17">
        <f>CHOOSE(CONTROL!$C$42, 13.6133, 13.6133) * CHOOSE(CONTROL!$C$21, $C$9, 100%, $E$9)</f>
        <v>13.613300000000001</v>
      </c>
      <c r="R346" s="17">
        <f>CHOOSE(CONTROL!$C$42, 14.2344, 14.2344) * CHOOSE(CONTROL!$C$21, $C$9, 100%, $E$9)</f>
        <v>14.234400000000001</v>
      </c>
      <c r="S346" s="17">
        <f>CHOOSE(CONTROL!$C$42, 12.4416, 12.4416) * CHOOSE(CONTROL!$C$21, $C$9, 100%, $E$9)</f>
        <v>12.441599999999999</v>
      </c>
      <c r="T346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346" s="56">
        <f>(1000*CHOOSE(CONTROL!$C$42, 695, 695)*CHOOSE(CONTROL!$C$42, 0.5599, 0.5599)*CHOOSE(CONTROL!$C$42, 31, 31))/1000000</f>
        <v>12.063045499999998</v>
      </c>
      <c r="V346" s="56">
        <f>(1000*CHOOSE(CONTROL!$C$42, 500, 500)*CHOOSE(CONTROL!$C$42, 0.275, 0.275)*CHOOSE(CONTROL!$C$42, 31, 31))/1000000</f>
        <v>4.2625000000000002</v>
      </c>
      <c r="W346" s="56">
        <f>(1000*CHOOSE(CONTROL!$C$42, 0.0916, 0.0916)*CHOOSE(CONTROL!$C$42, 121.5, 121.5)*CHOOSE(CONTROL!$C$42, 31, 31))/1000000</f>
        <v>0.34501139999999997</v>
      </c>
      <c r="X346" s="56">
        <f>(31*0.1790888*145000/1000000)+(31*0.2374*100000/1000000)</f>
        <v>1.5409441560000001</v>
      </c>
      <c r="Y346" s="56"/>
      <c r="Z346" s="17"/>
      <c r="AA346" s="55"/>
      <c r="AB346" s="48">
        <f>(B346*131.881+C346*277.167+D346*79.08+E346*225.872+F346*40+G346*85+H346*0+I346*100+J346*300)/(131.881+277.167+79.08+225.872+0+40+85+100+300)</f>
        <v>12.922549330992737</v>
      </c>
      <c r="AC346" s="45">
        <f>(M346*'RAP TEMPLATE-GAS AVAILABILITY'!O345+N346*'RAP TEMPLATE-GAS AVAILABILITY'!P345+O346*'RAP TEMPLATE-GAS AVAILABILITY'!Q345+P346*'RAP TEMPLATE-GAS AVAILABILITY'!R345)/('RAP TEMPLATE-GAS AVAILABILITY'!O345+'RAP TEMPLATE-GAS AVAILABILITY'!P345+'RAP TEMPLATE-GAS AVAILABILITY'!Q345+'RAP TEMPLATE-GAS AVAILABILITY'!R345)</f>
        <v>12.82864892086331</v>
      </c>
    </row>
    <row r="347" spans="1:29" ht="15.75" x14ac:dyDescent="0.25">
      <c r="A347" s="14">
        <v>51104</v>
      </c>
      <c r="B347" s="17">
        <f>CHOOSE(CONTROL!$C$42, 13.1781, 13.1781) * CHOOSE(CONTROL!$C$21, $C$9, 100%, $E$9)</f>
        <v>13.178100000000001</v>
      </c>
      <c r="C347" s="17">
        <f>CHOOSE(CONTROL!$C$42, 13.1832, 13.1832) * CHOOSE(CONTROL!$C$21, $C$9, 100%, $E$9)</f>
        <v>13.183199999999999</v>
      </c>
      <c r="D347" s="17">
        <f>CHOOSE(CONTROL!$C$42, 13.3239, 13.3239) * CHOOSE(CONTROL!$C$21, $C$9, 100%, $E$9)</f>
        <v>13.3239</v>
      </c>
      <c r="E347" s="17">
        <f>CHOOSE(CONTROL!$C$42, 13.3576, 13.3576) * CHOOSE(CONTROL!$C$21, $C$9, 100%, $E$9)</f>
        <v>13.3576</v>
      </c>
      <c r="F347" s="17">
        <f>CHOOSE(CONTROL!$C$42, 13.1914, 13.1914)*CHOOSE(CONTROL!$C$21, $C$9, 100%, $E$9)</f>
        <v>13.1914</v>
      </c>
      <c r="G347" s="17">
        <f>CHOOSE(CONTROL!$C$42, 13.2083, 13.2083)*CHOOSE(CONTROL!$C$21, $C$9, 100%, $E$9)</f>
        <v>13.208299999999999</v>
      </c>
      <c r="H347" s="17">
        <f>CHOOSE(CONTROL!$C$42, 13.3465, 13.3465) * CHOOSE(CONTROL!$C$21, $C$9, 100%, $E$9)</f>
        <v>13.346500000000001</v>
      </c>
      <c r="I347" s="17">
        <f>CHOOSE(CONTROL!$C$42, 13.2414, 13.2414)* CHOOSE(CONTROL!$C$21, $C$9, 100%, $E$9)</f>
        <v>13.241400000000001</v>
      </c>
      <c r="J347" s="17">
        <f>CHOOSE(CONTROL!$C$42, 13.184, 13.184)* CHOOSE(CONTROL!$C$21, $C$9, 100%, $E$9)</f>
        <v>13.183999999999999</v>
      </c>
      <c r="K347" s="52">
        <f>CHOOSE(CONTROL!$C$42, 13.2354, 13.2354) * CHOOSE(CONTROL!$C$21, $C$9, 100%, $E$9)</f>
        <v>13.2354</v>
      </c>
      <c r="L347" s="17">
        <f>CHOOSE(CONTROL!$C$42, 13.9335, 13.9335) * CHOOSE(CONTROL!$C$21, $C$9, 100%, $E$9)</f>
        <v>13.9335</v>
      </c>
      <c r="M347" s="17">
        <f>CHOOSE(CONTROL!$C$42, 13.0725, 13.0725) * CHOOSE(CONTROL!$C$21, $C$9, 100%, $E$9)</f>
        <v>13.0725</v>
      </c>
      <c r="N347" s="17">
        <f>CHOOSE(CONTROL!$C$42, 13.0892, 13.0892) * CHOOSE(CONTROL!$C$21, $C$9, 100%, $E$9)</f>
        <v>13.0892</v>
      </c>
      <c r="O347" s="17">
        <f>CHOOSE(CONTROL!$C$42, 13.2335, 13.2335) * CHOOSE(CONTROL!$C$21, $C$9, 100%, $E$9)</f>
        <v>13.233499999999999</v>
      </c>
      <c r="P347" s="17">
        <f>CHOOSE(CONTROL!$C$42, 13.129, 13.129) * CHOOSE(CONTROL!$C$21, $C$9, 100%, $E$9)</f>
        <v>13.129</v>
      </c>
      <c r="Q347" s="17">
        <f>CHOOSE(CONTROL!$C$42, 13.8282, 13.8282) * CHOOSE(CONTROL!$C$21, $C$9, 100%, $E$9)</f>
        <v>13.828200000000001</v>
      </c>
      <c r="R347" s="17">
        <f>CHOOSE(CONTROL!$C$42, 14.4498, 14.4498) * CHOOSE(CONTROL!$C$21, $C$9, 100%, $E$9)</f>
        <v>14.4498</v>
      </c>
      <c r="S347" s="17">
        <f>CHOOSE(CONTROL!$C$42, 12.7693, 12.7693) * CHOOSE(CONTROL!$C$21, $C$9, 100%, $E$9)</f>
        <v>12.769299999999999</v>
      </c>
      <c r="T347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347" s="56">
        <f>(1000*CHOOSE(CONTROL!$C$42, 695, 695)*CHOOSE(CONTROL!$C$42, 0.5599, 0.5599)*CHOOSE(CONTROL!$C$42, 30, 30))/1000000</f>
        <v>11.673914999999997</v>
      </c>
      <c r="V347" s="56">
        <f>(1000*CHOOSE(CONTROL!$C$42, 500, 500)*CHOOSE(CONTROL!$C$42, 0.275, 0.275)*CHOOSE(CONTROL!$C$42, 30, 30))/1000000</f>
        <v>4.125</v>
      </c>
      <c r="W347" s="56">
        <f>(1000*CHOOSE(CONTROL!$C$42, 0.0916, 0.0916)*CHOOSE(CONTROL!$C$42, 121.5, 121.5)*CHOOSE(CONTROL!$C$42, 30, 30))/1000000</f>
        <v>0.33388200000000001</v>
      </c>
      <c r="X347" s="56">
        <f>(30*0.2374*100000/1000000)</f>
        <v>0.71220000000000006</v>
      </c>
      <c r="Y347" s="56"/>
      <c r="Z347" s="17"/>
      <c r="AA347" s="55"/>
      <c r="AB347" s="48">
        <f>(B347*122.58+C347*297.941+D347*89.177+E347*140.302+F347*40+G347*60+H347*0+I347*100+J347*300)/(122.58+297.941+89.177+140.302+0+40+60+100+300)</f>
        <v>13.221708447565216</v>
      </c>
      <c r="AC347" s="45">
        <f>(M347*'RAP TEMPLATE-GAS AVAILABILITY'!O346+N347*'RAP TEMPLATE-GAS AVAILABILITY'!P346+O347*'RAP TEMPLATE-GAS AVAILABILITY'!Q346+P347*'RAP TEMPLATE-GAS AVAILABILITY'!R346)/('RAP TEMPLATE-GAS AVAILABILITY'!O346+'RAP TEMPLATE-GAS AVAILABILITY'!P346+'RAP TEMPLATE-GAS AVAILABILITY'!Q346+'RAP TEMPLATE-GAS AVAILABILITY'!R346)</f>
        <v>13.154561870503597</v>
      </c>
    </row>
    <row r="348" spans="1:29" ht="15.75" x14ac:dyDescent="0.25">
      <c r="A348" s="14">
        <v>51135</v>
      </c>
      <c r="B348" s="17">
        <f>CHOOSE(CONTROL!$C$42, 14.0759, 14.0759) * CHOOSE(CONTROL!$C$21, $C$9, 100%, $E$9)</f>
        <v>14.075900000000001</v>
      </c>
      <c r="C348" s="17">
        <f>CHOOSE(CONTROL!$C$42, 14.081, 14.081) * CHOOSE(CONTROL!$C$21, $C$9, 100%, $E$9)</f>
        <v>14.081</v>
      </c>
      <c r="D348" s="17">
        <f>CHOOSE(CONTROL!$C$42, 14.2216, 14.2216) * CHOOSE(CONTROL!$C$21, $C$9, 100%, $E$9)</f>
        <v>14.2216</v>
      </c>
      <c r="E348" s="17">
        <f>CHOOSE(CONTROL!$C$42, 14.2554, 14.2554) * CHOOSE(CONTROL!$C$21, $C$9, 100%, $E$9)</f>
        <v>14.2554</v>
      </c>
      <c r="F348" s="17">
        <f>CHOOSE(CONTROL!$C$42, 14.0916, 14.0916)*CHOOSE(CONTROL!$C$21, $C$9, 100%, $E$9)</f>
        <v>14.0916</v>
      </c>
      <c r="G348" s="17">
        <f>CHOOSE(CONTROL!$C$42, 14.1091, 14.1091)*CHOOSE(CONTROL!$C$21, $C$9, 100%, $E$9)</f>
        <v>14.1091</v>
      </c>
      <c r="H348" s="17">
        <f>CHOOSE(CONTROL!$C$42, 14.2443, 14.2443) * CHOOSE(CONTROL!$C$21, $C$9, 100%, $E$9)</f>
        <v>14.244300000000001</v>
      </c>
      <c r="I348" s="17">
        <f>CHOOSE(CONTROL!$C$42, 14.1419, 14.1419)* CHOOSE(CONTROL!$C$21, $C$9, 100%, $E$9)</f>
        <v>14.1419</v>
      </c>
      <c r="J348" s="17">
        <f>CHOOSE(CONTROL!$C$42, 14.0842, 14.0842)* CHOOSE(CONTROL!$C$21, $C$9, 100%, $E$9)</f>
        <v>14.084199999999999</v>
      </c>
      <c r="K348" s="52">
        <f>CHOOSE(CONTROL!$C$42, 14.1359, 14.1359) * CHOOSE(CONTROL!$C$21, $C$9, 100%, $E$9)</f>
        <v>14.135899999999999</v>
      </c>
      <c r="L348" s="17">
        <f>CHOOSE(CONTROL!$C$42, 14.8313, 14.8313) * CHOOSE(CONTROL!$C$21, $C$9, 100%, $E$9)</f>
        <v>14.831300000000001</v>
      </c>
      <c r="M348" s="17">
        <f>CHOOSE(CONTROL!$C$42, 13.9645, 13.9645) * CHOOSE(CONTROL!$C$21, $C$9, 100%, $E$9)</f>
        <v>13.964499999999999</v>
      </c>
      <c r="N348" s="17">
        <f>CHOOSE(CONTROL!$C$42, 13.9819, 13.9819) * CHOOSE(CONTROL!$C$21, $C$9, 100%, $E$9)</f>
        <v>13.9819</v>
      </c>
      <c r="O348" s="17">
        <f>CHOOSE(CONTROL!$C$42, 14.1232, 14.1232) * CHOOSE(CONTROL!$C$21, $C$9, 100%, $E$9)</f>
        <v>14.123200000000001</v>
      </c>
      <c r="P348" s="17">
        <f>CHOOSE(CONTROL!$C$42, 14.0214, 14.0214) * CHOOSE(CONTROL!$C$21, $C$9, 100%, $E$9)</f>
        <v>14.0214</v>
      </c>
      <c r="Q348" s="17">
        <f>CHOOSE(CONTROL!$C$42, 14.7179, 14.7179) * CHOOSE(CONTROL!$C$21, $C$9, 100%, $E$9)</f>
        <v>14.7179</v>
      </c>
      <c r="R348" s="17">
        <f>CHOOSE(CONTROL!$C$42, 15.3417, 15.3417) * CHOOSE(CONTROL!$C$21, $C$9, 100%, $E$9)</f>
        <v>15.341699999999999</v>
      </c>
      <c r="S348" s="17">
        <f>CHOOSE(CONTROL!$C$42, 13.6399, 13.6399) * CHOOSE(CONTROL!$C$21, $C$9, 100%, $E$9)</f>
        <v>13.639900000000001</v>
      </c>
      <c r="T348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348" s="56">
        <f>(1000*CHOOSE(CONTROL!$C$42, 695, 695)*CHOOSE(CONTROL!$C$42, 0.5599, 0.5599)*CHOOSE(CONTROL!$C$42, 31, 31))/1000000</f>
        <v>12.063045499999998</v>
      </c>
      <c r="V348" s="56">
        <f>(1000*CHOOSE(CONTROL!$C$42, 500, 500)*CHOOSE(CONTROL!$C$42, 0.275, 0.275)*CHOOSE(CONTROL!$C$42, 31, 31))/1000000</f>
        <v>4.2625000000000002</v>
      </c>
      <c r="W348" s="56">
        <f>(1000*CHOOSE(CONTROL!$C$42, 0.0916, 0.0916)*CHOOSE(CONTROL!$C$42, 121.5, 121.5)*CHOOSE(CONTROL!$C$42, 31, 31))/1000000</f>
        <v>0.34501139999999997</v>
      </c>
      <c r="X348" s="56">
        <f>(31*0.2374*100000/1000000)</f>
        <v>0.73594000000000004</v>
      </c>
      <c r="Y348" s="56"/>
      <c r="Z348" s="17"/>
      <c r="AA348" s="55"/>
      <c r="AB348" s="48">
        <f>(B348*122.58+C348*297.941+D348*89.177+E348*140.302+F348*40+G348*60+H348*0+I348*100+J348*300)/(122.58+297.941+89.177+140.302+0+40+60+100+300)</f>
        <v>14.120601562608694</v>
      </c>
      <c r="AC348" s="45">
        <f>(M348*'RAP TEMPLATE-GAS AVAILABILITY'!O347+N348*'RAP TEMPLATE-GAS AVAILABILITY'!P347+O348*'RAP TEMPLATE-GAS AVAILABILITY'!Q347+P348*'RAP TEMPLATE-GAS AVAILABILITY'!R347)/('RAP TEMPLATE-GAS AVAILABILITY'!O347+'RAP TEMPLATE-GAS AVAILABILITY'!P347+'RAP TEMPLATE-GAS AVAILABILITY'!Q347+'RAP TEMPLATE-GAS AVAILABILITY'!R347)</f>
        <v>14.045617266187049</v>
      </c>
    </row>
    <row r="349" spans="1:29" ht="15.75" x14ac:dyDescent="0.25">
      <c r="A349" s="14">
        <v>51166</v>
      </c>
      <c r="B349" s="17">
        <f>CHOOSE(CONTROL!$C$42, 15.1569, 15.1569) * CHOOSE(CONTROL!$C$21, $C$9, 100%, $E$9)</f>
        <v>15.1569</v>
      </c>
      <c r="C349" s="17">
        <f>CHOOSE(CONTROL!$C$42, 15.162, 15.162) * CHOOSE(CONTROL!$C$21, $C$9, 100%, $E$9)</f>
        <v>15.162000000000001</v>
      </c>
      <c r="D349" s="17">
        <f>CHOOSE(CONTROL!$C$42, 15.2959, 15.2959) * CHOOSE(CONTROL!$C$21, $C$9, 100%, $E$9)</f>
        <v>15.2959</v>
      </c>
      <c r="E349" s="17">
        <f>CHOOSE(CONTROL!$C$42, 15.3297, 15.3297) * CHOOSE(CONTROL!$C$21, $C$9, 100%, $E$9)</f>
        <v>15.329700000000001</v>
      </c>
      <c r="F349" s="17">
        <f>CHOOSE(CONTROL!$C$42, 15.1703, 15.1703)*CHOOSE(CONTROL!$C$21, $C$9, 100%, $E$9)</f>
        <v>15.170299999999999</v>
      </c>
      <c r="G349" s="17">
        <f>CHOOSE(CONTROL!$C$42, 15.1872, 15.1872)*CHOOSE(CONTROL!$C$21, $C$9, 100%, $E$9)</f>
        <v>15.187200000000001</v>
      </c>
      <c r="H349" s="17">
        <f>CHOOSE(CONTROL!$C$42, 15.3185, 15.3185) * CHOOSE(CONTROL!$C$21, $C$9, 100%, $E$9)</f>
        <v>15.3185</v>
      </c>
      <c r="I349" s="17">
        <f>CHOOSE(CONTROL!$C$42, 15.2304, 15.2304)* CHOOSE(CONTROL!$C$21, $C$9, 100%, $E$9)</f>
        <v>15.230399999999999</v>
      </c>
      <c r="J349" s="17">
        <f>CHOOSE(CONTROL!$C$42, 15.1629, 15.1629)* CHOOSE(CONTROL!$C$21, $C$9, 100%, $E$9)</f>
        <v>15.1629</v>
      </c>
      <c r="K349" s="52">
        <f>CHOOSE(CONTROL!$C$42, 15.2244, 15.2244) * CHOOSE(CONTROL!$C$21, $C$9, 100%, $E$9)</f>
        <v>15.224399999999999</v>
      </c>
      <c r="L349" s="17">
        <f>CHOOSE(CONTROL!$C$42, 15.9055, 15.9055) * CHOOSE(CONTROL!$C$21, $C$9, 100%, $E$9)</f>
        <v>15.9055</v>
      </c>
      <c r="M349" s="17">
        <f>CHOOSE(CONTROL!$C$42, 15.0336, 15.0336) * CHOOSE(CONTROL!$C$21, $C$9, 100%, $E$9)</f>
        <v>15.0336</v>
      </c>
      <c r="N349" s="17">
        <f>CHOOSE(CONTROL!$C$42, 15.0503, 15.0503) * CHOOSE(CONTROL!$C$21, $C$9, 100%, $E$9)</f>
        <v>15.0503</v>
      </c>
      <c r="O349" s="17">
        <f>CHOOSE(CONTROL!$C$42, 15.1878, 15.1878) * CHOOSE(CONTROL!$C$21, $C$9, 100%, $E$9)</f>
        <v>15.187799999999999</v>
      </c>
      <c r="P349" s="17">
        <f>CHOOSE(CONTROL!$C$42, 15.1001, 15.1001) * CHOOSE(CONTROL!$C$21, $C$9, 100%, $E$9)</f>
        <v>15.100099999999999</v>
      </c>
      <c r="Q349" s="17">
        <f>CHOOSE(CONTROL!$C$42, 15.7825, 15.7825) * CHOOSE(CONTROL!$C$21, $C$9, 100%, $E$9)</f>
        <v>15.782500000000001</v>
      </c>
      <c r="R349" s="17">
        <f>CHOOSE(CONTROL!$C$42, 16.4089, 16.4089) * CHOOSE(CONTROL!$C$21, $C$9, 100%, $E$9)</f>
        <v>16.408899999999999</v>
      </c>
      <c r="S349" s="17">
        <f>CHOOSE(CONTROL!$C$42, 14.6881, 14.6881) * CHOOSE(CONTROL!$C$21, $C$9, 100%, $E$9)</f>
        <v>14.6881</v>
      </c>
      <c r="T349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349" s="56">
        <f>(1000*CHOOSE(CONTROL!$C$42, 695, 695)*CHOOSE(CONTROL!$C$42, 0.5599, 0.5599)*CHOOSE(CONTROL!$C$42, 31, 31))/1000000</f>
        <v>12.063045499999998</v>
      </c>
      <c r="V349" s="56">
        <f>(1000*CHOOSE(CONTROL!$C$42, 500, 500)*CHOOSE(CONTROL!$C$42, 0.275, 0.275)*CHOOSE(CONTROL!$C$42, 31, 31))/1000000</f>
        <v>4.2625000000000002</v>
      </c>
      <c r="W349" s="56">
        <f>(1000*CHOOSE(CONTROL!$C$42, 0.0916, 0.0916)*CHOOSE(CONTROL!$C$42, 121.5, 121.5)*CHOOSE(CONTROL!$C$42, 31, 31))/1000000</f>
        <v>0.34501139999999997</v>
      </c>
      <c r="X349" s="56">
        <f>(31*0.2374*100000/1000000)</f>
        <v>0.73594000000000004</v>
      </c>
      <c r="Y349" s="56"/>
      <c r="Z349" s="17"/>
      <c r="AA349" s="55"/>
      <c r="AB349" s="48">
        <f>(B349*122.58+C349*297.941+D349*89.177+E349*140.302+F349*40+G349*60+H349*0+I349*100+J349*300)/(122.58+297.941+89.177+140.302+0+40+60+100+300)</f>
        <v>15.200085467565216</v>
      </c>
      <c r="AC349" s="45">
        <f>(M349*'RAP TEMPLATE-GAS AVAILABILITY'!O348+N349*'RAP TEMPLATE-GAS AVAILABILITY'!P348+O349*'RAP TEMPLATE-GAS AVAILABILITY'!Q348+P349*'RAP TEMPLATE-GAS AVAILABILITY'!R348)/('RAP TEMPLATE-GAS AVAILABILITY'!O348+'RAP TEMPLATE-GAS AVAILABILITY'!P348+'RAP TEMPLATE-GAS AVAILABILITY'!Q348+'RAP TEMPLATE-GAS AVAILABILITY'!R348)</f>
        <v>15.114018705035972</v>
      </c>
    </row>
    <row r="350" spans="1:29" ht="15.75" x14ac:dyDescent="0.25">
      <c r="A350" s="14">
        <v>51194</v>
      </c>
      <c r="B350" s="17">
        <f>CHOOSE(CONTROL!$C$42, 15.4265, 15.4265) * CHOOSE(CONTROL!$C$21, $C$9, 100%, $E$9)</f>
        <v>15.426500000000001</v>
      </c>
      <c r="C350" s="17">
        <f>CHOOSE(CONTROL!$C$42, 15.4316, 15.4316) * CHOOSE(CONTROL!$C$21, $C$9, 100%, $E$9)</f>
        <v>15.4316</v>
      </c>
      <c r="D350" s="17">
        <f>CHOOSE(CONTROL!$C$42, 15.5655, 15.5655) * CHOOSE(CONTROL!$C$21, $C$9, 100%, $E$9)</f>
        <v>15.5655</v>
      </c>
      <c r="E350" s="17">
        <f>CHOOSE(CONTROL!$C$42, 15.5993, 15.5993) * CHOOSE(CONTROL!$C$21, $C$9, 100%, $E$9)</f>
        <v>15.599299999999999</v>
      </c>
      <c r="F350" s="17">
        <f>CHOOSE(CONTROL!$C$42, 15.4399, 15.4399)*CHOOSE(CONTROL!$C$21, $C$9, 100%, $E$9)</f>
        <v>15.4399</v>
      </c>
      <c r="G350" s="17">
        <f>CHOOSE(CONTROL!$C$42, 15.4568, 15.4568)*CHOOSE(CONTROL!$C$21, $C$9, 100%, $E$9)</f>
        <v>15.456799999999999</v>
      </c>
      <c r="H350" s="17">
        <f>CHOOSE(CONTROL!$C$42, 15.5882, 15.5882) * CHOOSE(CONTROL!$C$21, $C$9, 100%, $E$9)</f>
        <v>15.588200000000001</v>
      </c>
      <c r="I350" s="17">
        <f>CHOOSE(CONTROL!$C$42, 15.5009, 15.5009)* CHOOSE(CONTROL!$C$21, $C$9, 100%, $E$9)</f>
        <v>15.5009</v>
      </c>
      <c r="J350" s="17">
        <f>CHOOSE(CONTROL!$C$42, 15.4325, 15.4325)* CHOOSE(CONTROL!$C$21, $C$9, 100%, $E$9)</f>
        <v>15.432499999999999</v>
      </c>
      <c r="K350" s="52">
        <f>CHOOSE(CONTROL!$C$42, 15.4948, 15.4948) * CHOOSE(CONTROL!$C$21, $C$9, 100%, $E$9)</f>
        <v>15.4948</v>
      </c>
      <c r="L350" s="17">
        <f>CHOOSE(CONTROL!$C$42, 16.1752, 16.1752) * CHOOSE(CONTROL!$C$21, $C$9, 100%, $E$9)</f>
        <v>16.1752</v>
      </c>
      <c r="M350" s="17">
        <f>CHOOSE(CONTROL!$C$42, 15.3007, 15.3007) * CHOOSE(CONTROL!$C$21, $C$9, 100%, $E$9)</f>
        <v>15.300700000000001</v>
      </c>
      <c r="N350" s="17">
        <f>CHOOSE(CONTROL!$C$42, 15.3174, 15.3174) * CHOOSE(CONTROL!$C$21, $C$9, 100%, $E$9)</f>
        <v>15.317399999999999</v>
      </c>
      <c r="O350" s="17">
        <f>CHOOSE(CONTROL!$C$42, 15.455, 15.455) * CHOOSE(CONTROL!$C$21, $C$9, 100%, $E$9)</f>
        <v>15.455</v>
      </c>
      <c r="P350" s="17">
        <f>CHOOSE(CONTROL!$C$42, 15.3681, 15.3681) * CHOOSE(CONTROL!$C$21, $C$9, 100%, $E$9)</f>
        <v>15.3681</v>
      </c>
      <c r="Q350" s="17">
        <f>CHOOSE(CONTROL!$C$42, 16.0497, 16.0497) * CHOOSE(CONTROL!$C$21, $C$9, 100%, $E$9)</f>
        <v>16.049700000000001</v>
      </c>
      <c r="R350" s="17">
        <f>CHOOSE(CONTROL!$C$42, 16.6768, 16.6768) * CHOOSE(CONTROL!$C$21, $C$9, 100%, $E$9)</f>
        <v>16.6768</v>
      </c>
      <c r="S350" s="17">
        <f>CHOOSE(CONTROL!$C$42, 14.9496, 14.9496) * CHOOSE(CONTROL!$C$21, $C$9, 100%, $E$9)</f>
        <v>14.9496</v>
      </c>
      <c r="T350" s="56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350" s="56">
        <f>(1000*CHOOSE(CONTROL!$C$42, 695, 695)*CHOOSE(CONTROL!$C$42, 0.5599, 0.5599)*CHOOSE(CONTROL!$C$42, 29, 29))/1000000</f>
        <v>11.284784499999999</v>
      </c>
      <c r="V350" s="56">
        <f>(1000*CHOOSE(CONTROL!$C$42, 500, 500)*CHOOSE(CONTROL!$C$42, 0.275, 0.275)*CHOOSE(CONTROL!$C$42, 29, 29))/1000000</f>
        <v>3.9874999999999998</v>
      </c>
      <c r="W350" s="56">
        <f>(1000*CHOOSE(CONTROL!$C$42, 0.0916, 0.0916)*CHOOSE(CONTROL!$C$42, 121.5, 121.5)*CHOOSE(CONTROL!$C$42, 29, 29))/1000000</f>
        <v>0.3227526</v>
      </c>
      <c r="X350" s="56">
        <f>(29*0.2374*100000/1000000)</f>
        <v>0.68845999999999996</v>
      </c>
      <c r="Y350" s="56"/>
      <c r="Z350" s="17"/>
      <c r="AA350" s="55"/>
      <c r="AB350" s="48">
        <f>(B350*122.58+C350*297.941+D350*89.177+E350*140.302+F350*40+G350*60+H350*0+I350*100+J350*300)/(122.58+297.941+89.177+140.302+0+40+60+100+300)</f>
        <v>15.469763728434783</v>
      </c>
      <c r="AC350" s="45">
        <f>(M350*'RAP TEMPLATE-GAS AVAILABILITY'!O349+N350*'RAP TEMPLATE-GAS AVAILABILITY'!P349+O350*'RAP TEMPLATE-GAS AVAILABILITY'!Q349+P350*'RAP TEMPLATE-GAS AVAILABILITY'!R349)/('RAP TEMPLATE-GAS AVAILABILITY'!O349+'RAP TEMPLATE-GAS AVAILABILITY'!P349+'RAP TEMPLATE-GAS AVAILABILITY'!Q349+'RAP TEMPLATE-GAS AVAILABILITY'!R349)</f>
        <v>15.381293525179853</v>
      </c>
    </row>
    <row r="351" spans="1:29" ht="15.75" x14ac:dyDescent="0.25">
      <c r="A351" s="14">
        <v>51226</v>
      </c>
      <c r="B351" s="17">
        <f>CHOOSE(CONTROL!$C$42, 14.9888, 14.9888) * CHOOSE(CONTROL!$C$21, $C$9, 100%, $E$9)</f>
        <v>14.988799999999999</v>
      </c>
      <c r="C351" s="17">
        <f>CHOOSE(CONTROL!$C$42, 14.9939, 14.9939) * CHOOSE(CONTROL!$C$21, $C$9, 100%, $E$9)</f>
        <v>14.9939</v>
      </c>
      <c r="D351" s="17">
        <f>CHOOSE(CONTROL!$C$42, 15.1279, 15.1279) * CHOOSE(CONTROL!$C$21, $C$9, 100%, $E$9)</f>
        <v>15.1279</v>
      </c>
      <c r="E351" s="17">
        <f>CHOOSE(CONTROL!$C$42, 15.1616, 15.1616) * CHOOSE(CONTROL!$C$21, $C$9, 100%, $E$9)</f>
        <v>15.1616</v>
      </c>
      <c r="F351" s="17">
        <f>CHOOSE(CONTROL!$C$42, 15.0015, 15.0015)*CHOOSE(CONTROL!$C$21, $C$9, 100%, $E$9)</f>
        <v>15.0015</v>
      </c>
      <c r="G351" s="17">
        <f>CHOOSE(CONTROL!$C$42, 15.0181, 15.0181)*CHOOSE(CONTROL!$C$21, $C$9, 100%, $E$9)</f>
        <v>15.0181</v>
      </c>
      <c r="H351" s="17">
        <f>CHOOSE(CONTROL!$C$42, 15.1505, 15.1505) * CHOOSE(CONTROL!$C$21, $C$9, 100%, $E$9)</f>
        <v>15.150499999999999</v>
      </c>
      <c r="I351" s="17">
        <f>CHOOSE(CONTROL!$C$42, 15.0618, 15.0618)* CHOOSE(CONTROL!$C$21, $C$9, 100%, $E$9)</f>
        <v>15.0618</v>
      </c>
      <c r="J351" s="17">
        <f>CHOOSE(CONTROL!$C$42, 14.9941, 14.9941)* CHOOSE(CONTROL!$C$21, $C$9, 100%, $E$9)</f>
        <v>14.9941</v>
      </c>
      <c r="K351" s="52">
        <f>CHOOSE(CONTROL!$C$42, 15.0558, 15.0558) * CHOOSE(CONTROL!$C$21, $C$9, 100%, $E$9)</f>
        <v>15.0558</v>
      </c>
      <c r="L351" s="17">
        <f>CHOOSE(CONTROL!$C$42, 15.7375, 15.7375) * CHOOSE(CONTROL!$C$21, $C$9, 100%, $E$9)</f>
        <v>15.737500000000001</v>
      </c>
      <c r="M351" s="17">
        <f>CHOOSE(CONTROL!$C$42, 14.8662, 14.8662) * CHOOSE(CONTROL!$C$21, $C$9, 100%, $E$9)</f>
        <v>14.866199999999999</v>
      </c>
      <c r="N351" s="17">
        <f>CHOOSE(CONTROL!$C$42, 14.8828, 14.8828) * CHOOSE(CONTROL!$C$21, $C$9, 100%, $E$9)</f>
        <v>14.8828</v>
      </c>
      <c r="O351" s="17">
        <f>CHOOSE(CONTROL!$C$42, 15.0213, 15.0213) * CHOOSE(CONTROL!$C$21, $C$9, 100%, $E$9)</f>
        <v>15.0213</v>
      </c>
      <c r="P351" s="17">
        <f>CHOOSE(CONTROL!$C$42, 14.933, 14.933) * CHOOSE(CONTROL!$C$21, $C$9, 100%, $E$9)</f>
        <v>14.933</v>
      </c>
      <c r="Q351" s="17">
        <f>CHOOSE(CONTROL!$C$42, 15.616, 15.616) * CHOOSE(CONTROL!$C$21, $C$9, 100%, $E$9)</f>
        <v>15.616</v>
      </c>
      <c r="R351" s="17">
        <f>CHOOSE(CONTROL!$C$42, 16.242, 16.242) * CHOOSE(CONTROL!$C$21, $C$9, 100%, $E$9)</f>
        <v>16.242000000000001</v>
      </c>
      <c r="S351" s="17">
        <f>CHOOSE(CONTROL!$C$42, 14.5252, 14.5252) * CHOOSE(CONTROL!$C$21, $C$9, 100%, $E$9)</f>
        <v>14.5252</v>
      </c>
      <c r="T351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351" s="56">
        <f>(1000*CHOOSE(CONTROL!$C$42, 695, 695)*CHOOSE(CONTROL!$C$42, 0.5599, 0.5599)*CHOOSE(CONTROL!$C$42, 31, 31))/1000000</f>
        <v>12.063045499999998</v>
      </c>
      <c r="V351" s="56">
        <f>(1000*CHOOSE(CONTROL!$C$42, 500, 500)*CHOOSE(CONTROL!$C$42, 0.275, 0.275)*CHOOSE(CONTROL!$C$42, 31, 31))/1000000</f>
        <v>4.2625000000000002</v>
      </c>
      <c r="W351" s="56">
        <f>(1000*CHOOSE(CONTROL!$C$42, 0.0916, 0.0916)*CHOOSE(CONTROL!$C$42, 121.5, 121.5)*CHOOSE(CONTROL!$C$42, 31, 31))/1000000</f>
        <v>0.34501139999999997</v>
      </c>
      <c r="X351" s="56">
        <f>(31*0.2374*100000/1000000)</f>
        <v>0.73594000000000004</v>
      </c>
      <c r="Y351" s="56"/>
      <c r="Z351" s="17"/>
      <c r="AA351" s="55"/>
      <c r="AB351" s="48">
        <f>(B351*122.58+C351*297.941+D351*89.177+E351*140.302+F351*40+G351*60+H351*0+I351*100+J351*300)/(122.58+297.941+89.177+140.302+0+40+60+100+300)</f>
        <v>15.0316906133913</v>
      </c>
      <c r="AC351" s="45">
        <f>(M351*'RAP TEMPLATE-GAS AVAILABILITY'!O350+N351*'RAP TEMPLATE-GAS AVAILABILITY'!P350+O351*'RAP TEMPLATE-GAS AVAILABILITY'!Q350+P351*'RAP TEMPLATE-GAS AVAILABILITY'!R350)/('RAP TEMPLATE-GAS AVAILABILITY'!O350+'RAP TEMPLATE-GAS AVAILABILITY'!P350+'RAP TEMPLATE-GAS AVAILABILITY'!Q350+'RAP TEMPLATE-GAS AVAILABILITY'!R350)</f>
        <v>14.947064028776976</v>
      </c>
    </row>
    <row r="352" spans="1:29" ht="15.75" x14ac:dyDescent="0.25">
      <c r="A352" s="14">
        <v>51256</v>
      </c>
      <c r="B352" s="17">
        <f>CHOOSE(CONTROL!$C$42, 14.945, 14.945) * CHOOSE(CONTROL!$C$21, $C$9, 100%, $E$9)</f>
        <v>14.945</v>
      </c>
      <c r="C352" s="17">
        <f>CHOOSE(CONTROL!$C$42, 14.9495, 14.9495) * CHOOSE(CONTROL!$C$21, $C$9, 100%, $E$9)</f>
        <v>14.9495</v>
      </c>
      <c r="D352" s="17">
        <f>CHOOSE(CONTROL!$C$42, 15.2125, 15.2125) * CHOOSE(CONTROL!$C$21, $C$9, 100%, $E$9)</f>
        <v>15.2125</v>
      </c>
      <c r="E352" s="17">
        <f>CHOOSE(CONTROL!$C$42, 15.2443, 15.2443) * CHOOSE(CONTROL!$C$21, $C$9, 100%, $E$9)</f>
        <v>15.244300000000001</v>
      </c>
      <c r="F352" s="17">
        <f>CHOOSE(CONTROL!$C$42, 14.9559, 14.9559)*CHOOSE(CONTROL!$C$21, $C$9, 100%, $E$9)</f>
        <v>14.9559</v>
      </c>
      <c r="G352" s="17">
        <f>CHOOSE(CONTROL!$C$42, 14.9721, 14.9721)*CHOOSE(CONTROL!$C$21, $C$9, 100%, $E$9)</f>
        <v>14.972099999999999</v>
      </c>
      <c r="H352" s="17">
        <f>CHOOSE(CONTROL!$C$42, 15.2338, 15.2338) * CHOOSE(CONTROL!$C$21, $C$9, 100%, $E$9)</f>
        <v>15.2338</v>
      </c>
      <c r="I352" s="17">
        <f>CHOOSE(CONTROL!$C$42, 15.0166, 15.0166)* CHOOSE(CONTROL!$C$21, $C$9, 100%, $E$9)</f>
        <v>15.0166</v>
      </c>
      <c r="J352" s="17">
        <f>CHOOSE(CONTROL!$C$42, 14.9485, 14.9485)* CHOOSE(CONTROL!$C$21, $C$9, 100%, $E$9)</f>
        <v>14.948499999999999</v>
      </c>
      <c r="K352" s="52">
        <f>CHOOSE(CONTROL!$C$42, 15.0106, 15.0106) * CHOOSE(CONTROL!$C$21, $C$9, 100%, $E$9)</f>
        <v>15.0106</v>
      </c>
      <c r="L352" s="17">
        <f>CHOOSE(CONTROL!$C$42, 15.8208, 15.8208) * CHOOSE(CONTROL!$C$21, $C$9, 100%, $E$9)</f>
        <v>15.8208</v>
      </c>
      <c r="M352" s="17">
        <f>CHOOSE(CONTROL!$C$42, 14.8211, 14.8211) * CHOOSE(CONTROL!$C$21, $C$9, 100%, $E$9)</f>
        <v>14.821099999999999</v>
      </c>
      <c r="N352" s="17">
        <f>CHOOSE(CONTROL!$C$42, 14.8371, 14.8371) * CHOOSE(CONTROL!$C$21, $C$9, 100%, $E$9)</f>
        <v>14.8371</v>
      </c>
      <c r="O352" s="17">
        <f>CHOOSE(CONTROL!$C$42, 15.1038, 15.1038) * CHOOSE(CONTROL!$C$21, $C$9, 100%, $E$9)</f>
        <v>15.1038</v>
      </c>
      <c r="P352" s="17">
        <f>CHOOSE(CONTROL!$C$42, 14.8882, 14.8882) * CHOOSE(CONTROL!$C$21, $C$9, 100%, $E$9)</f>
        <v>14.888199999999999</v>
      </c>
      <c r="Q352" s="17">
        <f>CHOOSE(CONTROL!$C$42, 15.6985, 15.6985) * CHOOSE(CONTROL!$C$21, $C$9, 100%, $E$9)</f>
        <v>15.698499999999999</v>
      </c>
      <c r="R352" s="17">
        <f>CHOOSE(CONTROL!$C$42, 16.3247, 16.3247) * CHOOSE(CONTROL!$C$21, $C$9, 100%, $E$9)</f>
        <v>16.3247</v>
      </c>
      <c r="S352" s="17">
        <f>CHOOSE(CONTROL!$C$42, 14.4819, 14.4819) * CHOOSE(CONTROL!$C$21, $C$9, 100%, $E$9)</f>
        <v>14.4819</v>
      </c>
      <c r="T352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352" s="56">
        <f>(1000*CHOOSE(CONTROL!$C$42, 695, 695)*CHOOSE(CONTROL!$C$42, 0.5599, 0.5599)*CHOOSE(CONTROL!$C$42, 30, 30))/1000000</f>
        <v>11.673914999999997</v>
      </c>
      <c r="V352" s="56">
        <f>(1000*CHOOSE(CONTROL!$C$42, 500, 500)*CHOOSE(CONTROL!$C$42, 0.275, 0.275)*CHOOSE(CONTROL!$C$42, 30, 30))/1000000</f>
        <v>4.125</v>
      </c>
      <c r="W352" s="56">
        <f>(1000*CHOOSE(CONTROL!$C$42, 0.0916, 0.0916)*CHOOSE(CONTROL!$C$42, 121.5, 121.5)*CHOOSE(CONTROL!$C$42, 30, 30))/1000000</f>
        <v>0.33388200000000001</v>
      </c>
      <c r="X352" s="56">
        <f>(30*0.1790888*145000/1000000)+(30*0.2374*100000/1000000)</f>
        <v>1.4912362799999999</v>
      </c>
      <c r="Y352" s="56"/>
      <c r="Z352" s="17"/>
      <c r="AA352" s="55"/>
      <c r="AB352" s="48">
        <f>(B352*141.293+C352*267.993+D352*115.016+E352*189.698+F352*40+G352*85+H352*0+I352*100+J352*300)/(141.293+267.993+115.016+189.698+0+40+85+100+300)</f>
        <v>15.02546719927361</v>
      </c>
      <c r="AC352" s="45">
        <f>(M352*'RAP TEMPLATE-GAS AVAILABILITY'!O351+N352*'RAP TEMPLATE-GAS AVAILABILITY'!P351+O352*'RAP TEMPLATE-GAS AVAILABILITY'!Q351+P352*'RAP TEMPLATE-GAS AVAILABILITY'!R351)/('RAP TEMPLATE-GAS AVAILABILITY'!O351+'RAP TEMPLATE-GAS AVAILABILITY'!P351+'RAP TEMPLATE-GAS AVAILABILITY'!Q351+'RAP TEMPLATE-GAS AVAILABILITY'!R351)</f>
        <v>14.913756834532373</v>
      </c>
    </row>
    <row r="353" spans="1:29" ht="15.75" x14ac:dyDescent="0.25">
      <c r="A353" s="14">
        <v>51287</v>
      </c>
      <c r="B353" s="17">
        <f>CHOOSE(CONTROL!$C$42, 15.0782, 15.0782) * CHOOSE(CONTROL!$C$21, $C$9, 100%, $E$9)</f>
        <v>15.078200000000001</v>
      </c>
      <c r="C353" s="17">
        <f>CHOOSE(CONTROL!$C$42, 15.0862, 15.0862) * CHOOSE(CONTROL!$C$21, $C$9, 100%, $E$9)</f>
        <v>15.0862</v>
      </c>
      <c r="D353" s="17">
        <f>CHOOSE(CONTROL!$C$42, 15.3461, 15.3461) * CHOOSE(CONTROL!$C$21, $C$9, 100%, $E$9)</f>
        <v>15.3461</v>
      </c>
      <c r="E353" s="17">
        <f>CHOOSE(CONTROL!$C$42, 15.3773, 15.3773) * CHOOSE(CONTROL!$C$21, $C$9, 100%, $E$9)</f>
        <v>15.3773</v>
      </c>
      <c r="F353" s="17">
        <f>CHOOSE(CONTROL!$C$42, 15.0879, 15.0879)*CHOOSE(CONTROL!$C$21, $C$9, 100%, $E$9)</f>
        <v>15.087899999999999</v>
      </c>
      <c r="G353" s="17">
        <f>CHOOSE(CONTROL!$C$42, 15.1043, 15.1043)*CHOOSE(CONTROL!$C$21, $C$9, 100%, $E$9)</f>
        <v>15.1043</v>
      </c>
      <c r="H353" s="17">
        <f>CHOOSE(CONTROL!$C$42, 15.3656, 15.3656) * CHOOSE(CONTROL!$C$21, $C$9, 100%, $E$9)</f>
        <v>15.365600000000001</v>
      </c>
      <c r="I353" s="17">
        <f>CHOOSE(CONTROL!$C$42, 15.1488, 15.1488)* CHOOSE(CONTROL!$C$21, $C$9, 100%, $E$9)</f>
        <v>15.1488</v>
      </c>
      <c r="J353" s="17">
        <f>CHOOSE(CONTROL!$C$42, 15.0805, 15.0805)* CHOOSE(CONTROL!$C$21, $C$9, 100%, $E$9)</f>
        <v>15.080500000000001</v>
      </c>
      <c r="K353" s="52">
        <f>CHOOSE(CONTROL!$C$42, 15.1428, 15.1428) * CHOOSE(CONTROL!$C$21, $C$9, 100%, $E$9)</f>
        <v>15.142799999999999</v>
      </c>
      <c r="L353" s="17">
        <f>CHOOSE(CONTROL!$C$42, 15.9526, 15.9526) * CHOOSE(CONTROL!$C$21, $C$9, 100%, $E$9)</f>
        <v>15.9526</v>
      </c>
      <c r="M353" s="17">
        <f>CHOOSE(CONTROL!$C$42, 14.9518, 14.9518) * CHOOSE(CONTROL!$C$21, $C$9, 100%, $E$9)</f>
        <v>14.9518</v>
      </c>
      <c r="N353" s="17">
        <f>CHOOSE(CONTROL!$C$42, 14.9681, 14.9681) * CHOOSE(CONTROL!$C$21, $C$9, 100%, $E$9)</f>
        <v>14.9681</v>
      </c>
      <c r="O353" s="17">
        <f>CHOOSE(CONTROL!$C$42, 15.2344, 15.2344) * CHOOSE(CONTROL!$C$21, $C$9, 100%, $E$9)</f>
        <v>15.234400000000001</v>
      </c>
      <c r="P353" s="17">
        <f>CHOOSE(CONTROL!$C$42, 15.0192, 15.0192) * CHOOSE(CONTROL!$C$21, $C$9, 100%, $E$9)</f>
        <v>15.0192</v>
      </c>
      <c r="Q353" s="17">
        <f>CHOOSE(CONTROL!$C$42, 15.8291, 15.8291) * CHOOSE(CONTROL!$C$21, $C$9, 100%, $E$9)</f>
        <v>15.8291</v>
      </c>
      <c r="R353" s="17">
        <f>CHOOSE(CONTROL!$C$42, 16.4557, 16.4557) * CHOOSE(CONTROL!$C$21, $C$9, 100%, $E$9)</f>
        <v>16.4557</v>
      </c>
      <c r="S353" s="17">
        <f>CHOOSE(CONTROL!$C$42, 14.6097, 14.6097) * CHOOSE(CONTROL!$C$21, $C$9, 100%, $E$9)</f>
        <v>14.6097</v>
      </c>
      <c r="T353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353" s="56">
        <f>(1000*CHOOSE(CONTROL!$C$42, 695, 695)*CHOOSE(CONTROL!$C$42, 0.5599, 0.5599)*CHOOSE(CONTROL!$C$42, 31, 31))/1000000</f>
        <v>12.063045499999998</v>
      </c>
      <c r="V353" s="56">
        <f>(1000*CHOOSE(CONTROL!$C$42, 500, 500)*CHOOSE(CONTROL!$C$42, 0.275, 0.275)*CHOOSE(CONTROL!$C$42, 31, 31))/1000000</f>
        <v>4.2625000000000002</v>
      </c>
      <c r="W353" s="56">
        <f>(1000*CHOOSE(CONTROL!$C$42, 0.0916, 0.0916)*CHOOSE(CONTROL!$C$42, 121.5, 121.5)*CHOOSE(CONTROL!$C$42, 31, 31))/1000000</f>
        <v>0.34501139999999997</v>
      </c>
      <c r="X353" s="56">
        <f>(31*0.1790888*145000/1000000)+(31*0.2374*100000/1000000)</f>
        <v>1.5409441560000001</v>
      </c>
      <c r="Y353" s="56"/>
      <c r="Z353" s="17"/>
      <c r="AA353" s="55"/>
      <c r="AB353" s="48">
        <f>(B353*194.205+C353*267.466+D353*133.845+E353*153.484+F353*40+G353*85+H353*0+I353*100+J353*300)/(194.205+267.466+133.845+153.484+0+40+85+100+300)</f>
        <v>15.152187729905808</v>
      </c>
      <c r="AC353" s="45">
        <f>(M353*'RAP TEMPLATE-GAS AVAILABILITY'!O352+N353*'RAP TEMPLATE-GAS AVAILABILITY'!P352+O353*'RAP TEMPLATE-GAS AVAILABILITY'!Q352+P353*'RAP TEMPLATE-GAS AVAILABILITY'!R352)/('RAP TEMPLATE-GAS AVAILABILITY'!O352+'RAP TEMPLATE-GAS AVAILABILITY'!P352+'RAP TEMPLATE-GAS AVAILABILITY'!Q352+'RAP TEMPLATE-GAS AVAILABILITY'!R352)</f>
        <v>15.044541007194244</v>
      </c>
    </row>
    <row r="354" spans="1:29" ht="15.75" x14ac:dyDescent="0.25">
      <c r="A354" s="14">
        <v>51317</v>
      </c>
      <c r="B354" s="17">
        <f>CHOOSE(CONTROL!$C$42, 15.5055, 15.5055) * CHOOSE(CONTROL!$C$21, $C$9, 100%, $E$9)</f>
        <v>15.5055</v>
      </c>
      <c r="C354" s="17">
        <f>CHOOSE(CONTROL!$C$42, 15.5135, 15.5135) * CHOOSE(CONTROL!$C$21, $C$9, 100%, $E$9)</f>
        <v>15.513500000000001</v>
      </c>
      <c r="D354" s="17">
        <f>CHOOSE(CONTROL!$C$42, 15.7735, 15.7735) * CHOOSE(CONTROL!$C$21, $C$9, 100%, $E$9)</f>
        <v>15.7735</v>
      </c>
      <c r="E354" s="17">
        <f>CHOOSE(CONTROL!$C$42, 15.8046, 15.8046) * CHOOSE(CONTROL!$C$21, $C$9, 100%, $E$9)</f>
        <v>15.804600000000001</v>
      </c>
      <c r="F354" s="17">
        <f>CHOOSE(CONTROL!$C$42, 15.5155, 15.5155)*CHOOSE(CONTROL!$C$21, $C$9, 100%, $E$9)</f>
        <v>15.515499999999999</v>
      </c>
      <c r="G354" s="17">
        <f>CHOOSE(CONTROL!$C$42, 15.532, 15.532)*CHOOSE(CONTROL!$C$21, $C$9, 100%, $E$9)</f>
        <v>15.532</v>
      </c>
      <c r="H354" s="17">
        <f>CHOOSE(CONTROL!$C$42, 15.793, 15.793) * CHOOSE(CONTROL!$C$21, $C$9, 100%, $E$9)</f>
        <v>15.792999999999999</v>
      </c>
      <c r="I354" s="17">
        <f>CHOOSE(CONTROL!$C$42, 15.5775, 15.5775)* CHOOSE(CONTROL!$C$21, $C$9, 100%, $E$9)</f>
        <v>15.577500000000001</v>
      </c>
      <c r="J354" s="17">
        <f>CHOOSE(CONTROL!$C$42, 15.5081, 15.5081)* CHOOSE(CONTROL!$C$21, $C$9, 100%, $E$9)</f>
        <v>15.508100000000001</v>
      </c>
      <c r="K354" s="52">
        <f>CHOOSE(CONTROL!$C$42, 15.5715, 15.5715) * CHOOSE(CONTROL!$C$21, $C$9, 100%, $E$9)</f>
        <v>15.5715</v>
      </c>
      <c r="L354" s="17">
        <f>CHOOSE(CONTROL!$C$42, 16.38, 16.38) * CHOOSE(CONTROL!$C$21, $C$9, 100%, $E$9)</f>
        <v>16.38</v>
      </c>
      <c r="M354" s="17">
        <f>CHOOSE(CONTROL!$C$42, 15.3756, 15.3756) * CHOOSE(CONTROL!$C$21, $C$9, 100%, $E$9)</f>
        <v>15.3756</v>
      </c>
      <c r="N354" s="17">
        <f>CHOOSE(CONTROL!$C$42, 15.392, 15.392) * CHOOSE(CONTROL!$C$21, $C$9, 100%, $E$9)</f>
        <v>15.391999999999999</v>
      </c>
      <c r="O354" s="17">
        <f>CHOOSE(CONTROL!$C$42, 15.6579, 15.6579) * CHOOSE(CONTROL!$C$21, $C$9, 100%, $E$9)</f>
        <v>15.6579</v>
      </c>
      <c r="P354" s="17">
        <f>CHOOSE(CONTROL!$C$42, 15.444, 15.444) * CHOOSE(CONTROL!$C$21, $C$9, 100%, $E$9)</f>
        <v>15.444000000000001</v>
      </c>
      <c r="Q354" s="17">
        <f>CHOOSE(CONTROL!$C$42, 16.2526, 16.2526) * CHOOSE(CONTROL!$C$21, $C$9, 100%, $E$9)</f>
        <v>16.252600000000001</v>
      </c>
      <c r="R354" s="17">
        <f>CHOOSE(CONTROL!$C$42, 16.8803, 16.8803) * CHOOSE(CONTROL!$C$21, $C$9, 100%, $E$9)</f>
        <v>16.880299999999998</v>
      </c>
      <c r="S354" s="17">
        <f>CHOOSE(CONTROL!$C$42, 15.0241, 15.0241) * CHOOSE(CONTROL!$C$21, $C$9, 100%, $E$9)</f>
        <v>15.024100000000001</v>
      </c>
      <c r="T354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354" s="56">
        <f>(1000*CHOOSE(CONTROL!$C$42, 695, 695)*CHOOSE(CONTROL!$C$42, 0.5599, 0.5599)*CHOOSE(CONTROL!$C$42, 30, 30))/1000000</f>
        <v>11.673914999999997</v>
      </c>
      <c r="V354" s="56">
        <f>(1000*CHOOSE(CONTROL!$C$42, 500, 500)*CHOOSE(CONTROL!$C$42, 0.275, 0.275)*CHOOSE(CONTROL!$C$42, 30, 30))/1000000</f>
        <v>4.125</v>
      </c>
      <c r="W354" s="56">
        <f>(1000*CHOOSE(CONTROL!$C$42, 0.0916, 0.0916)*CHOOSE(CONTROL!$C$42, 121.5, 121.5)*CHOOSE(CONTROL!$C$42, 30, 30))/1000000</f>
        <v>0.33388200000000001</v>
      </c>
      <c r="X354" s="56">
        <f>(30*0.1790888*145000/1000000)+(30*0.2374*100000/1000000)</f>
        <v>1.4912362799999999</v>
      </c>
      <c r="Y354" s="56"/>
      <c r="Z354" s="17"/>
      <c r="AA354" s="55"/>
      <c r="AB354" s="48">
        <f>(B354*194.205+C354*267.466+D354*133.845+E354*153.484+F354*40+G354*85+H354*0+I354*100+J354*300)/(194.205+267.466+133.845+153.484+0+40+85+100+300)</f>
        <v>15.579714876295133</v>
      </c>
      <c r="AC354" s="45">
        <f>(M354*'RAP TEMPLATE-GAS AVAILABILITY'!O353+N354*'RAP TEMPLATE-GAS AVAILABILITY'!P353+O354*'RAP TEMPLATE-GAS AVAILABILITY'!Q353+P354*'RAP TEMPLATE-GAS AVAILABILITY'!R353)/('RAP TEMPLATE-GAS AVAILABILITY'!O353+'RAP TEMPLATE-GAS AVAILABILITY'!P353+'RAP TEMPLATE-GAS AVAILABILITY'!Q353+'RAP TEMPLATE-GAS AVAILABILITY'!R353)</f>
        <v>15.468423741007195</v>
      </c>
    </row>
    <row r="355" spans="1:29" ht="15.75" x14ac:dyDescent="0.25">
      <c r="A355" s="14">
        <v>51348</v>
      </c>
      <c r="B355" s="17">
        <f>CHOOSE(CONTROL!$C$42, 15.2083, 15.2083) * CHOOSE(CONTROL!$C$21, $C$9, 100%, $E$9)</f>
        <v>15.208299999999999</v>
      </c>
      <c r="C355" s="17">
        <f>CHOOSE(CONTROL!$C$42, 15.2163, 15.2163) * CHOOSE(CONTROL!$C$21, $C$9, 100%, $E$9)</f>
        <v>15.2163</v>
      </c>
      <c r="D355" s="17">
        <f>CHOOSE(CONTROL!$C$42, 15.4762, 15.4762) * CHOOSE(CONTROL!$C$21, $C$9, 100%, $E$9)</f>
        <v>15.4762</v>
      </c>
      <c r="E355" s="17">
        <f>CHOOSE(CONTROL!$C$42, 15.5074, 15.5074) * CHOOSE(CONTROL!$C$21, $C$9, 100%, $E$9)</f>
        <v>15.507400000000001</v>
      </c>
      <c r="F355" s="17">
        <f>CHOOSE(CONTROL!$C$42, 15.2187, 15.2187)*CHOOSE(CONTROL!$C$21, $C$9, 100%, $E$9)</f>
        <v>15.2187</v>
      </c>
      <c r="G355" s="17">
        <f>CHOOSE(CONTROL!$C$42, 15.2353, 15.2353)*CHOOSE(CONTROL!$C$21, $C$9, 100%, $E$9)</f>
        <v>15.235300000000001</v>
      </c>
      <c r="H355" s="17">
        <f>CHOOSE(CONTROL!$C$42, 15.4957, 15.4957) * CHOOSE(CONTROL!$C$21, $C$9, 100%, $E$9)</f>
        <v>15.495699999999999</v>
      </c>
      <c r="I355" s="17">
        <f>CHOOSE(CONTROL!$C$42, 15.2794, 15.2794)* CHOOSE(CONTROL!$C$21, $C$9, 100%, $E$9)</f>
        <v>15.279400000000001</v>
      </c>
      <c r="J355" s="17">
        <f>CHOOSE(CONTROL!$C$42, 15.2113, 15.2113)* CHOOSE(CONTROL!$C$21, $C$9, 100%, $E$9)</f>
        <v>15.2113</v>
      </c>
      <c r="K355" s="52">
        <f>CHOOSE(CONTROL!$C$42, 15.2733, 15.2733) * CHOOSE(CONTROL!$C$21, $C$9, 100%, $E$9)</f>
        <v>15.273300000000001</v>
      </c>
      <c r="L355" s="17">
        <f>CHOOSE(CONTROL!$C$42, 16.0827, 16.0827) * CHOOSE(CONTROL!$C$21, $C$9, 100%, $E$9)</f>
        <v>16.082699999999999</v>
      </c>
      <c r="M355" s="17">
        <f>CHOOSE(CONTROL!$C$42, 15.0815, 15.0815) * CHOOSE(CONTROL!$C$21, $C$9, 100%, $E$9)</f>
        <v>15.0815</v>
      </c>
      <c r="N355" s="17">
        <f>CHOOSE(CONTROL!$C$42, 15.098, 15.098) * CHOOSE(CONTROL!$C$21, $C$9, 100%, $E$9)</f>
        <v>15.098000000000001</v>
      </c>
      <c r="O355" s="17">
        <f>CHOOSE(CONTROL!$C$42, 15.3634, 15.3634) * CHOOSE(CONTROL!$C$21, $C$9, 100%, $E$9)</f>
        <v>15.3634</v>
      </c>
      <c r="P355" s="17">
        <f>CHOOSE(CONTROL!$C$42, 15.1486, 15.1486) * CHOOSE(CONTROL!$C$21, $C$9, 100%, $E$9)</f>
        <v>15.1486</v>
      </c>
      <c r="Q355" s="17">
        <f>CHOOSE(CONTROL!$C$42, 15.9581, 15.9581) * CHOOSE(CONTROL!$C$21, $C$9, 100%, $E$9)</f>
        <v>15.9581</v>
      </c>
      <c r="R355" s="17">
        <f>CHOOSE(CONTROL!$C$42, 16.585, 16.585) * CHOOSE(CONTROL!$C$21, $C$9, 100%, $E$9)</f>
        <v>16.585000000000001</v>
      </c>
      <c r="S355" s="17">
        <f>CHOOSE(CONTROL!$C$42, 14.7359, 14.7359) * CHOOSE(CONTROL!$C$21, $C$9, 100%, $E$9)</f>
        <v>14.735900000000001</v>
      </c>
      <c r="T355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355" s="56">
        <f>(1000*CHOOSE(CONTROL!$C$42, 695, 695)*CHOOSE(CONTROL!$C$42, 0.5599, 0.5599)*CHOOSE(CONTROL!$C$42, 31, 31))/1000000</f>
        <v>12.063045499999998</v>
      </c>
      <c r="V355" s="56">
        <f>(1000*CHOOSE(CONTROL!$C$42, 500, 500)*CHOOSE(CONTROL!$C$42, 0.275, 0.275)*CHOOSE(CONTROL!$C$42, 31, 31))/1000000</f>
        <v>4.2625000000000002</v>
      </c>
      <c r="W355" s="56">
        <f>(1000*CHOOSE(CONTROL!$C$42, 0.0916, 0.0916)*CHOOSE(CONTROL!$C$42, 121.5, 121.5)*CHOOSE(CONTROL!$C$42, 31, 31))/1000000</f>
        <v>0.34501139999999997</v>
      </c>
      <c r="X355" s="56">
        <f>(31*0.1790888*145000/1000000)+(31*0.2374*100000/1000000)</f>
        <v>1.5409441560000001</v>
      </c>
      <c r="Y355" s="56"/>
      <c r="Z355" s="17"/>
      <c r="AA355" s="55"/>
      <c r="AB355" s="48">
        <f>(B355*194.205+C355*267.466+D355*133.845+E355*153.484+F355*40+G355*85+H355*0+I355*100+J355*300)/(194.205+267.466+133.845+153.484+0+40+85+100+300)</f>
        <v>15.282573836656201</v>
      </c>
      <c r="AC355" s="45">
        <f>(M355*'RAP TEMPLATE-GAS AVAILABILITY'!O354+N355*'RAP TEMPLATE-GAS AVAILABILITY'!P354+O355*'RAP TEMPLATE-GAS AVAILABILITY'!Q354+P355*'RAP TEMPLATE-GAS AVAILABILITY'!R354)/('RAP TEMPLATE-GAS AVAILABILITY'!O354+'RAP TEMPLATE-GAS AVAILABILITY'!P354+'RAP TEMPLATE-GAS AVAILABILITY'!Q354+'RAP TEMPLATE-GAS AVAILABILITY'!R354)</f>
        <v>15.174047482014387</v>
      </c>
    </row>
    <row r="356" spans="1:29" ht="15.75" x14ac:dyDescent="0.25">
      <c r="A356" s="14">
        <v>51379</v>
      </c>
      <c r="B356" s="17">
        <f>CHOOSE(CONTROL!$C$42, 14.4577, 14.4577) * CHOOSE(CONTROL!$C$21, $C$9, 100%, $E$9)</f>
        <v>14.457700000000001</v>
      </c>
      <c r="C356" s="17">
        <f>CHOOSE(CONTROL!$C$42, 14.4657, 14.4657) * CHOOSE(CONTROL!$C$21, $C$9, 100%, $E$9)</f>
        <v>14.4657</v>
      </c>
      <c r="D356" s="17">
        <f>CHOOSE(CONTROL!$C$42, 14.7256, 14.7256) * CHOOSE(CONTROL!$C$21, $C$9, 100%, $E$9)</f>
        <v>14.7256</v>
      </c>
      <c r="E356" s="17">
        <f>CHOOSE(CONTROL!$C$42, 14.7568, 14.7568) * CHOOSE(CONTROL!$C$21, $C$9, 100%, $E$9)</f>
        <v>14.7568</v>
      </c>
      <c r="F356" s="17">
        <f>CHOOSE(CONTROL!$C$42, 14.4684, 14.4684)*CHOOSE(CONTROL!$C$21, $C$9, 100%, $E$9)</f>
        <v>14.468400000000001</v>
      </c>
      <c r="G356" s="17">
        <f>CHOOSE(CONTROL!$C$42, 14.4851, 14.4851)*CHOOSE(CONTROL!$C$21, $C$9, 100%, $E$9)</f>
        <v>14.485099999999999</v>
      </c>
      <c r="H356" s="17">
        <f>CHOOSE(CONTROL!$C$42, 14.7451, 14.7451) * CHOOSE(CONTROL!$C$21, $C$9, 100%, $E$9)</f>
        <v>14.745100000000001</v>
      </c>
      <c r="I356" s="17">
        <f>CHOOSE(CONTROL!$C$42, 14.5264, 14.5264)* CHOOSE(CONTROL!$C$21, $C$9, 100%, $E$9)</f>
        <v>14.526400000000001</v>
      </c>
      <c r="J356" s="17">
        <f>CHOOSE(CONTROL!$C$42, 14.461, 14.461)* CHOOSE(CONTROL!$C$21, $C$9, 100%, $E$9)</f>
        <v>14.461</v>
      </c>
      <c r="K356" s="52">
        <f>CHOOSE(CONTROL!$C$42, 14.5204, 14.5204) * CHOOSE(CONTROL!$C$21, $C$9, 100%, $E$9)</f>
        <v>14.5204</v>
      </c>
      <c r="L356" s="17">
        <f>CHOOSE(CONTROL!$C$42, 15.3321, 15.3321) * CHOOSE(CONTROL!$C$21, $C$9, 100%, $E$9)</f>
        <v>15.332100000000001</v>
      </c>
      <c r="M356" s="17">
        <f>CHOOSE(CONTROL!$C$42, 14.3379, 14.3379) * CHOOSE(CONTROL!$C$21, $C$9, 100%, $E$9)</f>
        <v>14.337899999999999</v>
      </c>
      <c r="N356" s="17">
        <f>CHOOSE(CONTROL!$C$42, 14.3545, 14.3545) * CHOOSE(CONTROL!$C$21, $C$9, 100%, $E$9)</f>
        <v>14.3545</v>
      </c>
      <c r="O356" s="17">
        <f>CHOOSE(CONTROL!$C$42, 14.6195, 14.6195) * CHOOSE(CONTROL!$C$21, $C$9, 100%, $E$9)</f>
        <v>14.6195</v>
      </c>
      <c r="P356" s="17">
        <f>CHOOSE(CONTROL!$C$42, 14.4025, 14.4025) * CHOOSE(CONTROL!$C$21, $C$9, 100%, $E$9)</f>
        <v>14.4025</v>
      </c>
      <c r="Q356" s="17">
        <f>CHOOSE(CONTROL!$C$42, 15.2142, 15.2142) * CHOOSE(CONTROL!$C$21, $C$9, 100%, $E$9)</f>
        <v>15.2142</v>
      </c>
      <c r="R356" s="17">
        <f>CHOOSE(CONTROL!$C$42, 15.8393, 15.8393) * CHOOSE(CONTROL!$C$21, $C$9, 100%, $E$9)</f>
        <v>15.8393</v>
      </c>
      <c r="S356" s="17">
        <f>CHOOSE(CONTROL!$C$42, 14.0081, 14.0081) * CHOOSE(CONTROL!$C$21, $C$9, 100%, $E$9)</f>
        <v>14.008100000000001</v>
      </c>
      <c r="T356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356" s="56">
        <f>(1000*CHOOSE(CONTROL!$C$42, 695, 695)*CHOOSE(CONTROL!$C$42, 0.5599, 0.5599)*CHOOSE(CONTROL!$C$42, 31, 31))/1000000</f>
        <v>12.063045499999998</v>
      </c>
      <c r="V356" s="56">
        <f>(1000*CHOOSE(CONTROL!$C$42, 500, 500)*CHOOSE(CONTROL!$C$42, 0.275, 0.275)*CHOOSE(CONTROL!$C$42, 31, 31))/1000000</f>
        <v>4.2625000000000002</v>
      </c>
      <c r="W356" s="56">
        <f>(1000*CHOOSE(CONTROL!$C$42, 0.0916, 0.0916)*CHOOSE(CONTROL!$C$42, 121.5, 121.5)*CHOOSE(CONTROL!$C$42, 31, 31))/1000000</f>
        <v>0.34501139999999997</v>
      </c>
      <c r="X356" s="56">
        <f>(31*0.1790888*145000/1000000)+(31*0.2374*100000/1000000)</f>
        <v>1.5409441560000001</v>
      </c>
      <c r="Y356" s="56"/>
      <c r="Z356" s="17"/>
      <c r="AA356" s="55"/>
      <c r="AB356" s="48">
        <f>(B356*194.205+C356*267.466+D356*133.845+E356*153.484+F356*40+G356*85+H356*0+I356*100+J356*300)/(194.205+267.466+133.845+153.484+0+40+85+100+300)</f>
        <v>14.531892204003141</v>
      </c>
      <c r="AC356" s="45">
        <f>(M356*'RAP TEMPLATE-GAS AVAILABILITY'!O355+N356*'RAP TEMPLATE-GAS AVAILABILITY'!P355+O356*'RAP TEMPLATE-GAS AVAILABILITY'!Q355+P356*'RAP TEMPLATE-GAS AVAILABILITY'!R355)/('RAP TEMPLATE-GAS AVAILABILITY'!O355+'RAP TEMPLATE-GAS AVAILABILITY'!P355+'RAP TEMPLATE-GAS AVAILABILITY'!Q355+'RAP TEMPLATE-GAS AVAILABILITY'!R355)</f>
        <v>14.430026618705037</v>
      </c>
    </row>
    <row r="357" spans="1:29" ht="15.75" x14ac:dyDescent="0.25">
      <c r="A357" s="14">
        <v>51409</v>
      </c>
      <c r="B357" s="17">
        <f>CHOOSE(CONTROL!$C$42, 13.5404, 13.5404) * CHOOSE(CONTROL!$C$21, $C$9, 100%, $E$9)</f>
        <v>13.5404</v>
      </c>
      <c r="C357" s="17">
        <f>CHOOSE(CONTROL!$C$42, 13.5484, 13.5484) * CHOOSE(CONTROL!$C$21, $C$9, 100%, $E$9)</f>
        <v>13.548400000000001</v>
      </c>
      <c r="D357" s="17">
        <f>CHOOSE(CONTROL!$C$42, 13.8083, 13.8083) * CHOOSE(CONTROL!$C$21, $C$9, 100%, $E$9)</f>
        <v>13.808299999999999</v>
      </c>
      <c r="E357" s="17">
        <f>CHOOSE(CONTROL!$C$42, 13.8395, 13.8395) * CHOOSE(CONTROL!$C$21, $C$9, 100%, $E$9)</f>
        <v>13.839499999999999</v>
      </c>
      <c r="F357" s="17">
        <f>CHOOSE(CONTROL!$C$42, 13.551, 13.551)*CHOOSE(CONTROL!$C$21, $C$9, 100%, $E$9)</f>
        <v>13.551</v>
      </c>
      <c r="G357" s="17">
        <f>CHOOSE(CONTROL!$C$42, 13.5677, 13.5677)*CHOOSE(CONTROL!$C$21, $C$9, 100%, $E$9)</f>
        <v>13.5677</v>
      </c>
      <c r="H357" s="17">
        <f>CHOOSE(CONTROL!$C$42, 13.8278, 13.8278) * CHOOSE(CONTROL!$C$21, $C$9, 100%, $E$9)</f>
        <v>13.8278</v>
      </c>
      <c r="I357" s="17">
        <f>CHOOSE(CONTROL!$C$42, 13.6062, 13.6062)* CHOOSE(CONTROL!$C$21, $C$9, 100%, $E$9)</f>
        <v>13.606199999999999</v>
      </c>
      <c r="J357" s="17">
        <f>CHOOSE(CONTROL!$C$42, 13.5436, 13.5436)* CHOOSE(CONTROL!$C$21, $C$9, 100%, $E$9)</f>
        <v>13.5436</v>
      </c>
      <c r="K357" s="52">
        <f>CHOOSE(CONTROL!$C$42, 13.6002, 13.6002) * CHOOSE(CONTROL!$C$21, $C$9, 100%, $E$9)</f>
        <v>13.600199999999999</v>
      </c>
      <c r="L357" s="17">
        <f>CHOOSE(CONTROL!$C$42, 14.4148, 14.4148) * CHOOSE(CONTROL!$C$21, $C$9, 100%, $E$9)</f>
        <v>14.4148</v>
      </c>
      <c r="M357" s="17">
        <f>CHOOSE(CONTROL!$C$42, 13.4288, 13.4288) * CHOOSE(CONTROL!$C$21, $C$9, 100%, $E$9)</f>
        <v>13.428800000000001</v>
      </c>
      <c r="N357" s="17">
        <f>CHOOSE(CONTROL!$C$42, 13.4454, 13.4454) * CHOOSE(CONTROL!$C$21, $C$9, 100%, $E$9)</f>
        <v>13.445399999999999</v>
      </c>
      <c r="O357" s="17">
        <f>CHOOSE(CONTROL!$C$42, 13.7105, 13.7105) * CHOOSE(CONTROL!$C$21, $C$9, 100%, $E$9)</f>
        <v>13.7105</v>
      </c>
      <c r="P357" s="17">
        <f>CHOOSE(CONTROL!$C$42, 13.4906, 13.4906) * CHOOSE(CONTROL!$C$21, $C$9, 100%, $E$9)</f>
        <v>13.490600000000001</v>
      </c>
      <c r="Q357" s="17">
        <f>CHOOSE(CONTROL!$C$42, 14.3052, 14.3052) * CHOOSE(CONTROL!$C$21, $C$9, 100%, $E$9)</f>
        <v>14.305199999999999</v>
      </c>
      <c r="R357" s="17">
        <f>CHOOSE(CONTROL!$C$42, 14.9279, 14.9279) * CHOOSE(CONTROL!$C$21, $C$9, 100%, $E$9)</f>
        <v>14.927899999999999</v>
      </c>
      <c r="S357" s="17">
        <f>CHOOSE(CONTROL!$C$42, 13.1185, 13.1185) * CHOOSE(CONTROL!$C$21, $C$9, 100%, $E$9)</f>
        <v>13.118499999999999</v>
      </c>
      <c r="T357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357" s="56">
        <f>(1000*CHOOSE(CONTROL!$C$42, 695, 695)*CHOOSE(CONTROL!$C$42, 0.5599, 0.5599)*CHOOSE(CONTROL!$C$42, 30, 30))/1000000</f>
        <v>11.673914999999997</v>
      </c>
      <c r="V357" s="56">
        <f>(1000*CHOOSE(CONTROL!$C$42, 500, 500)*CHOOSE(CONTROL!$C$42, 0.275, 0.275)*CHOOSE(CONTROL!$C$42, 30, 30))/1000000</f>
        <v>4.125</v>
      </c>
      <c r="W357" s="56">
        <f>(1000*CHOOSE(CONTROL!$C$42, 0.0916, 0.0916)*CHOOSE(CONTROL!$C$42, 121.5, 121.5)*CHOOSE(CONTROL!$C$42, 30, 30))/1000000</f>
        <v>0.33388200000000001</v>
      </c>
      <c r="X357" s="56">
        <f>(30*0.1790888*145000/1000000)+(30*0.2374*100000/1000000)</f>
        <v>1.4912362799999999</v>
      </c>
      <c r="Y357" s="56"/>
      <c r="Z357" s="17"/>
      <c r="AA357" s="55"/>
      <c r="AB357" s="48">
        <f>(B357*194.205+C357*267.466+D357*133.845+E357*153.484+F357*40+G357*85+H357*0+I357*100+J357*300)/(194.205+267.466+133.845+153.484+0+40+85+100+300)</f>
        <v>13.61433121499215</v>
      </c>
      <c r="AC357" s="45">
        <f>(M357*'RAP TEMPLATE-GAS AVAILABILITY'!O356+N357*'RAP TEMPLATE-GAS AVAILABILITY'!P356+O357*'RAP TEMPLATE-GAS AVAILABILITY'!Q356+P357*'RAP TEMPLATE-GAS AVAILABILITY'!R356)/('RAP TEMPLATE-GAS AVAILABILITY'!O356+'RAP TEMPLATE-GAS AVAILABILITY'!P356+'RAP TEMPLATE-GAS AVAILABILITY'!Q356+'RAP TEMPLATE-GAS AVAILABILITY'!R356)</f>
        <v>13.520551798561151</v>
      </c>
    </row>
    <row r="358" spans="1:29" ht="15.75" x14ac:dyDescent="0.25">
      <c r="A358" s="14">
        <v>51440</v>
      </c>
      <c r="B358" s="17">
        <f>CHOOSE(CONTROL!$C$42, 13.264, 13.264) * CHOOSE(CONTROL!$C$21, $C$9, 100%, $E$9)</f>
        <v>13.263999999999999</v>
      </c>
      <c r="C358" s="17">
        <f>CHOOSE(CONTROL!$C$42, 13.2693, 13.2693) * CHOOSE(CONTROL!$C$21, $C$9, 100%, $E$9)</f>
        <v>13.269299999999999</v>
      </c>
      <c r="D358" s="17">
        <f>CHOOSE(CONTROL!$C$42, 13.5341, 13.5341) * CHOOSE(CONTROL!$C$21, $C$9, 100%, $E$9)</f>
        <v>13.5341</v>
      </c>
      <c r="E358" s="17">
        <f>CHOOSE(CONTROL!$C$42, 13.563, 13.563) * CHOOSE(CONTROL!$C$21, $C$9, 100%, $E$9)</f>
        <v>13.563000000000001</v>
      </c>
      <c r="F358" s="17">
        <f>CHOOSE(CONTROL!$C$42, 13.2768, 13.2768)*CHOOSE(CONTROL!$C$21, $C$9, 100%, $E$9)</f>
        <v>13.2768</v>
      </c>
      <c r="G358" s="17">
        <f>CHOOSE(CONTROL!$C$42, 13.2934, 13.2934)*CHOOSE(CONTROL!$C$21, $C$9, 100%, $E$9)</f>
        <v>13.2934</v>
      </c>
      <c r="H358" s="17">
        <f>CHOOSE(CONTROL!$C$42, 13.5531, 13.5531) * CHOOSE(CONTROL!$C$21, $C$9, 100%, $E$9)</f>
        <v>13.553100000000001</v>
      </c>
      <c r="I358" s="17">
        <f>CHOOSE(CONTROL!$C$42, 13.3307, 13.3307)* CHOOSE(CONTROL!$C$21, $C$9, 100%, $E$9)</f>
        <v>13.3307</v>
      </c>
      <c r="J358" s="17">
        <f>CHOOSE(CONTROL!$C$42, 13.2694, 13.2694)* CHOOSE(CONTROL!$C$21, $C$9, 100%, $E$9)</f>
        <v>13.269399999999999</v>
      </c>
      <c r="K358" s="52">
        <f>CHOOSE(CONTROL!$C$42, 13.3247, 13.3247) * CHOOSE(CONTROL!$C$21, $C$9, 100%, $E$9)</f>
        <v>13.3247</v>
      </c>
      <c r="L358" s="17">
        <f>CHOOSE(CONTROL!$C$42, 14.1401, 14.1401) * CHOOSE(CONTROL!$C$21, $C$9, 100%, $E$9)</f>
        <v>14.1401</v>
      </c>
      <c r="M358" s="17">
        <f>CHOOSE(CONTROL!$C$42, 13.1571, 13.1571) * CHOOSE(CONTROL!$C$21, $C$9, 100%, $E$9)</f>
        <v>13.1571</v>
      </c>
      <c r="N358" s="17">
        <f>CHOOSE(CONTROL!$C$42, 13.1735, 13.1735) * CHOOSE(CONTROL!$C$21, $C$9, 100%, $E$9)</f>
        <v>13.173500000000001</v>
      </c>
      <c r="O358" s="17">
        <f>CHOOSE(CONTROL!$C$42, 13.4383, 13.4383) * CHOOSE(CONTROL!$C$21, $C$9, 100%, $E$9)</f>
        <v>13.4383</v>
      </c>
      <c r="P358" s="17">
        <f>CHOOSE(CONTROL!$C$42, 13.2175, 13.2175) * CHOOSE(CONTROL!$C$21, $C$9, 100%, $E$9)</f>
        <v>13.217499999999999</v>
      </c>
      <c r="Q358" s="17">
        <f>CHOOSE(CONTROL!$C$42, 14.033, 14.033) * CHOOSE(CONTROL!$C$21, $C$9, 100%, $E$9)</f>
        <v>14.032999999999999</v>
      </c>
      <c r="R358" s="17">
        <f>CHOOSE(CONTROL!$C$42, 14.655, 14.655) * CHOOSE(CONTROL!$C$21, $C$9, 100%, $E$9)</f>
        <v>14.654999999999999</v>
      </c>
      <c r="S358" s="17">
        <f>CHOOSE(CONTROL!$C$42, 12.8522, 12.8522) * CHOOSE(CONTROL!$C$21, $C$9, 100%, $E$9)</f>
        <v>12.8522</v>
      </c>
      <c r="T358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358" s="56">
        <f>(1000*CHOOSE(CONTROL!$C$42, 695, 695)*CHOOSE(CONTROL!$C$42, 0.5599, 0.5599)*CHOOSE(CONTROL!$C$42, 31, 31))/1000000</f>
        <v>12.063045499999998</v>
      </c>
      <c r="V358" s="56">
        <f>(1000*CHOOSE(CONTROL!$C$42, 500, 500)*CHOOSE(CONTROL!$C$42, 0.275, 0.275)*CHOOSE(CONTROL!$C$42, 31, 31))/1000000</f>
        <v>4.2625000000000002</v>
      </c>
      <c r="W358" s="56">
        <f>(1000*CHOOSE(CONTROL!$C$42, 0.0916, 0.0916)*CHOOSE(CONTROL!$C$42, 121.5, 121.5)*CHOOSE(CONTROL!$C$42, 31, 31))/1000000</f>
        <v>0.34501139999999997</v>
      </c>
      <c r="X358" s="56">
        <f>(31*0.1790888*145000/1000000)+(31*0.2374*100000/1000000)</f>
        <v>1.5409441560000001</v>
      </c>
      <c r="Y358" s="56"/>
      <c r="Z358" s="17"/>
      <c r="AA358" s="55"/>
      <c r="AB358" s="48">
        <f>(B358*131.881+C358*277.167+D358*79.08+E358*225.872+F358*40+G358*85+H358*0+I358*100+J358*300)/(131.881+277.167+79.08+225.872+0+40+85+100+300)</f>
        <v>13.346054254318</v>
      </c>
      <c r="AC358" s="45">
        <f>(M358*'RAP TEMPLATE-GAS AVAILABILITY'!O357+N358*'RAP TEMPLATE-GAS AVAILABILITY'!P357+O358*'RAP TEMPLATE-GAS AVAILABILITY'!Q357+P358*'RAP TEMPLATE-GAS AVAILABILITY'!R357)/('RAP TEMPLATE-GAS AVAILABILITY'!O357+'RAP TEMPLATE-GAS AVAILABILITY'!P357+'RAP TEMPLATE-GAS AVAILABILITY'!Q357+'RAP TEMPLATE-GAS AVAILABILITY'!R357)</f>
        <v>13.248464028776977</v>
      </c>
    </row>
    <row r="359" spans="1:29" ht="15.75" x14ac:dyDescent="0.25">
      <c r="A359" s="14">
        <v>51470</v>
      </c>
      <c r="B359" s="17">
        <f>CHOOSE(CONTROL!$C$42, 13.6127, 13.6127) * CHOOSE(CONTROL!$C$21, $C$9, 100%, $E$9)</f>
        <v>13.6127</v>
      </c>
      <c r="C359" s="17">
        <f>CHOOSE(CONTROL!$C$42, 13.6178, 13.6178) * CHOOSE(CONTROL!$C$21, $C$9, 100%, $E$9)</f>
        <v>13.617800000000001</v>
      </c>
      <c r="D359" s="17">
        <f>CHOOSE(CONTROL!$C$42, 13.7585, 13.7585) * CHOOSE(CONTROL!$C$21, $C$9, 100%, $E$9)</f>
        <v>13.7585</v>
      </c>
      <c r="E359" s="17">
        <f>CHOOSE(CONTROL!$C$42, 13.7922, 13.7922) * CHOOSE(CONTROL!$C$21, $C$9, 100%, $E$9)</f>
        <v>13.792199999999999</v>
      </c>
      <c r="F359" s="17">
        <f>CHOOSE(CONTROL!$C$42, 13.626, 13.626)*CHOOSE(CONTROL!$C$21, $C$9, 100%, $E$9)</f>
        <v>13.625999999999999</v>
      </c>
      <c r="G359" s="17">
        <f>CHOOSE(CONTROL!$C$42, 13.6429, 13.6429)*CHOOSE(CONTROL!$C$21, $C$9, 100%, $E$9)</f>
        <v>13.642899999999999</v>
      </c>
      <c r="H359" s="17">
        <f>CHOOSE(CONTROL!$C$42, 13.7811, 13.7811) * CHOOSE(CONTROL!$C$21, $C$9, 100%, $E$9)</f>
        <v>13.7811</v>
      </c>
      <c r="I359" s="17">
        <f>CHOOSE(CONTROL!$C$42, 13.6773, 13.6773)* CHOOSE(CONTROL!$C$21, $C$9, 100%, $E$9)</f>
        <v>13.677300000000001</v>
      </c>
      <c r="J359" s="17">
        <f>CHOOSE(CONTROL!$C$42, 13.6186, 13.6186)* CHOOSE(CONTROL!$C$21, $C$9, 100%, $E$9)</f>
        <v>13.618600000000001</v>
      </c>
      <c r="K359" s="52">
        <f>CHOOSE(CONTROL!$C$42, 13.6713, 13.6713) * CHOOSE(CONTROL!$C$21, $C$9, 100%, $E$9)</f>
        <v>13.6713</v>
      </c>
      <c r="L359" s="17">
        <f>CHOOSE(CONTROL!$C$42, 14.3681, 14.3681) * CHOOSE(CONTROL!$C$21, $C$9, 100%, $E$9)</f>
        <v>14.3681</v>
      </c>
      <c r="M359" s="17">
        <f>CHOOSE(CONTROL!$C$42, 13.5032, 13.5032) * CHOOSE(CONTROL!$C$21, $C$9, 100%, $E$9)</f>
        <v>13.5032</v>
      </c>
      <c r="N359" s="17">
        <f>CHOOSE(CONTROL!$C$42, 13.5199, 13.5199) * CHOOSE(CONTROL!$C$21, $C$9, 100%, $E$9)</f>
        <v>13.5199</v>
      </c>
      <c r="O359" s="17">
        <f>CHOOSE(CONTROL!$C$42, 13.6642, 13.6642) * CHOOSE(CONTROL!$C$21, $C$9, 100%, $E$9)</f>
        <v>13.664199999999999</v>
      </c>
      <c r="P359" s="17">
        <f>CHOOSE(CONTROL!$C$42, 13.561, 13.561) * CHOOSE(CONTROL!$C$21, $C$9, 100%, $E$9)</f>
        <v>13.561</v>
      </c>
      <c r="Q359" s="17">
        <f>CHOOSE(CONTROL!$C$42, 14.2589, 14.2589) * CHOOSE(CONTROL!$C$21, $C$9, 100%, $E$9)</f>
        <v>14.258900000000001</v>
      </c>
      <c r="R359" s="17">
        <f>CHOOSE(CONTROL!$C$42, 14.8815, 14.8815) * CHOOSE(CONTROL!$C$21, $C$9, 100%, $E$9)</f>
        <v>14.881500000000001</v>
      </c>
      <c r="S359" s="17">
        <f>CHOOSE(CONTROL!$C$42, 13.1908, 13.1908) * CHOOSE(CONTROL!$C$21, $C$9, 100%, $E$9)</f>
        <v>13.190799999999999</v>
      </c>
      <c r="T359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359" s="56">
        <f>(1000*CHOOSE(CONTROL!$C$42, 695, 695)*CHOOSE(CONTROL!$C$42, 0.5599, 0.5599)*CHOOSE(CONTROL!$C$42, 30, 30))/1000000</f>
        <v>11.673914999999997</v>
      </c>
      <c r="V359" s="56">
        <f>(1000*CHOOSE(CONTROL!$C$42, 500, 500)*CHOOSE(CONTROL!$C$42, 0.275, 0.275)*CHOOSE(CONTROL!$C$42, 30, 30))/1000000</f>
        <v>4.125</v>
      </c>
      <c r="W359" s="56">
        <f>(1000*CHOOSE(CONTROL!$C$42, 0.0916, 0.0916)*CHOOSE(CONTROL!$C$42, 121.5, 121.5)*CHOOSE(CONTROL!$C$42, 30, 30))/1000000</f>
        <v>0.33388200000000001</v>
      </c>
      <c r="X359" s="56">
        <f>(30*0.2374*100000/1000000)</f>
        <v>0.71220000000000006</v>
      </c>
      <c r="Y359" s="56"/>
      <c r="Z359" s="17"/>
      <c r="AA359" s="55"/>
      <c r="AB359" s="48">
        <f>(B359*122.58+C359*297.941+D359*89.177+E359*140.302+F359*40+G359*60+H359*0+I359*100+J359*300)/(122.58+297.941+89.177+140.302+0+40+60+100+300)</f>
        <v>13.656421491043478</v>
      </c>
      <c r="AC359" s="45">
        <f>(M359*'RAP TEMPLATE-GAS AVAILABILITY'!O358+N359*'RAP TEMPLATE-GAS AVAILABILITY'!P358+O359*'RAP TEMPLATE-GAS AVAILABILITY'!Q358+P359*'RAP TEMPLATE-GAS AVAILABILITY'!R358)/('RAP TEMPLATE-GAS AVAILABILITY'!O358+'RAP TEMPLATE-GAS AVAILABILITY'!P358+'RAP TEMPLATE-GAS AVAILABILITY'!Q358+'RAP TEMPLATE-GAS AVAILABILITY'!R358)</f>
        <v>13.58544892086331</v>
      </c>
    </row>
    <row r="360" spans="1:29" ht="15.75" x14ac:dyDescent="0.25">
      <c r="A360" s="14">
        <v>51501</v>
      </c>
      <c r="B360" s="17">
        <f>CHOOSE(CONTROL!$C$42, 14.5401, 14.5401) * CHOOSE(CONTROL!$C$21, $C$9, 100%, $E$9)</f>
        <v>14.540100000000001</v>
      </c>
      <c r="C360" s="17">
        <f>CHOOSE(CONTROL!$C$42, 14.5452, 14.5452) * CHOOSE(CONTROL!$C$21, $C$9, 100%, $E$9)</f>
        <v>14.545199999999999</v>
      </c>
      <c r="D360" s="17">
        <f>CHOOSE(CONTROL!$C$42, 14.6859, 14.6859) * CHOOSE(CONTROL!$C$21, $C$9, 100%, $E$9)</f>
        <v>14.6859</v>
      </c>
      <c r="E360" s="17">
        <f>CHOOSE(CONTROL!$C$42, 14.7196, 14.7196) * CHOOSE(CONTROL!$C$21, $C$9, 100%, $E$9)</f>
        <v>14.7196</v>
      </c>
      <c r="F360" s="17">
        <f>CHOOSE(CONTROL!$C$42, 14.5558, 14.5558)*CHOOSE(CONTROL!$C$21, $C$9, 100%, $E$9)</f>
        <v>14.5558</v>
      </c>
      <c r="G360" s="17">
        <f>CHOOSE(CONTROL!$C$42, 14.5733, 14.5733)*CHOOSE(CONTROL!$C$21, $C$9, 100%, $E$9)</f>
        <v>14.5733</v>
      </c>
      <c r="H360" s="17">
        <f>CHOOSE(CONTROL!$C$42, 14.7085, 14.7085) * CHOOSE(CONTROL!$C$21, $C$9, 100%, $E$9)</f>
        <v>14.708500000000001</v>
      </c>
      <c r="I360" s="17">
        <f>CHOOSE(CONTROL!$C$42, 14.6076, 14.6076)* CHOOSE(CONTROL!$C$21, $C$9, 100%, $E$9)</f>
        <v>14.6076</v>
      </c>
      <c r="J360" s="17">
        <f>CHOOSE(CONTROL!$C$42, 14.5484, 14.5484)* CHOOSE(CONTROL!$C$21, $C$9, 100%, $E$9)</f>
        <v>14.548400000000001</v>
      </c>
      <c r="K360" s="52">
        <f>CHOOSE(CONTROL!$C$42, 14.6016, 14.6016) * CHOOSE(CONTROL!$C$21, $C$9, 100%, $E$9)</f>
        <v>14.601599999999999</v>
      </c>
      <c r="L360" s="17">
        <f>CHOOSE(CONTROL!$C$42, 15.2955, 15.2955) * CHOOSE(CONTROL!$C$21, $C$9, 100%, $E$9)</f>
        <v>15.295500000000001</v>
      </c>
      <c r="M360" s="17">
        <f>CHOOSE(CONTROL!$C$42, 14.4246, 14.4246) * CHOOSE(CONTROL!$C$21, $C$9, 100%, $E$9)</f>
        <v>14.4246</v>
      </c>
      <c r="N360" s="17">
        <f>CHOOSE(CONTROL!$C$42, 14.4419, 14.4419) * CHOOSE(CONTROL!$C$21, $C$9, 100%, $E$9)</f>
        <v>14.4419</v>
      </c>
      <c r="O360" s="17">
        <f>CHOOSE(CONTROL!$C$42, 14.5832, 14.5832) * CHOOSE(CONTROL!$C$21, $C$9, 100%, $E$9)</f>
        <v>14.5832</v>
      </c>
      <c r="P360" s="17">
        <f>CHOOSE(CONTROL!$C$42, 14.4829, 14.4829) * CHOOSE(CONTROL!$C$21, $C$9, 100%, $E$9)</f>
        <v>14.482900000000001</v>
      </c>
      <c r="Q360" s="17">
        <f>CHOOSE(CONTROL!$C$42, 15.1779, 15.1779) * CHOOSE(CONTROL!$C$21, $C$9, 100%, $E$9)</f>
        <v>15.177899999999999</v>
      </c>
      <c r="R360" s="17">
        <f>CHOOSE(CONTROL!$C$42, 15.8029, 15.8029) * CHOOSE(CONTROL!$C$21, $C$9, 100%, $E$9)</f>
        <v>15.802899999999999</v>
      </c>
      <c r="S360" s="17">
        <f>CHOOSE(CONTROL!$C$42, 14.0901, 14.0901) * CHOOSE(CONTROL!$C$21, $C$9, 100%, $E$9)</f>
        <v>14.0901</v>
      </c>
      <c r="T360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360" s="56">
        <f>(1000*CHOOSE(CONTROL!$C$42, 695, 695)*CHOOSE(CONTROL!$C$42, 0.5599, 0.5599)*CHOOSE(CONTROL!$C$42, 31, 31))/1000000</f>
        <v>12.063045499999998</v>
      </c>
      <c r="V360" s="56">
        <f>(1000*CHOOSE(CONTROL!$C$42, 500, 500)*CHOOSE(CONTROL!$C$42, 0.275, 0.275)*CHOOSE(CONTROL!$C$42, 31, 31))/1000000</f>
        <v>4.2625000000000002</v>
      </c>
      <c r="W360" s="56">
        <f>(1000*CHOOSE(CONTROL!$C$42, 0.0916, 0.0916)*CHOOSE(CONTROL!$C$42, 121.5, 121.5)*CHOOSE(CONTROL!$C$42, 31, 31))/1000000</f>
        <v>0.34501139999999997</v>
      </c>
      <c r="X360" s="56">
        <f>(31*0.2374*100000/1000000)</f>
        <v>0.73594000000000004</v>
      </c>
      <c r="Y360" s="56"/>
      <c r="Z360" s="17"/>
      <c r="AA360" s="55"/>
      <c r="AB360" s="48">
        <f>(B360*122.58+C360*297.941+D360*89.177+E360*140.302+F360*40+G360*60+H360*0+I360*100+J360*300)/(122.58+297.941+89.177+140.302+0+40+60+100+300)</f>
        <v>14.584939751913044</v>
      </c>
      <c r="AC360" s="45">
        <f>(M360*'RAP TEMPLATE-GAS AVAILABILITY'!O359+N360*'RAP TEMPLATE-GAS AVAILABILITY'!P359+O360*'RAP TEMPLATE-GAS AVAILABILITY'!Q359+P360*'RAP TEMPLATE-GAS AVAILABILITY'!R359)/('RAP TEMPLATE-GAS AVAILABILITY'!O359+'RAP TEMPLATE-GAS AVAILABILITY'!P359+'RAP TEMPLATE-GAS AVAILABILITY'!Q359+'RAP TEMPLATE-GAS AVAILABILITY'!R359)</f>
        <v>14.505867625899283</v>
      </c>
    </row>
    <row r="361" spans="1:29" ht="15.75" x14ac:dyDescent="0.25">
      <c r="A361" s="14">
        <v>51532</v>
      </c>
      <c r="B361" s="17">
        <f>CHOOSE(CONTROL!$C$42, 15.6568, 15.6568) * CHOOSE(CONTROL!$C$21, $C$9, 100%, $E$9)</f>
        <v>15.6568</v>
      </c>
      <c r="C361" s="17">
        <f>CHOOSE(CONTROL!$C$42, 15.6619, 15.6619) * CHOOSE(CONTROL!$C$21, $C$9, 100%, $E$9)</f>
        <v>15.661899999999999</v>
      </c>
      <c r="D361" s="17">
        <f>CHOOSE(CONTROL!$C$42, 15.7958, 15.7958) * CHOOSE(CONTROL!$C$21, $C$9, 100%, $E$9)</f>
        <v>15.7958</v>
      </c>
      <c r="E361" s="17">
        <f>CHOOSE(CONTROL!$C$42, 15.8296, 15.8296) * CHOOSE(CONTROL!$C$21, $C$9, 100%, $E$9)</f>
        <v>15.829599999999999</v>
      </c>
      <c r="F361" s="17">
        <f>CHOOSE(CONTROL!$C$42, 15.6702, 15.6702)*CHOOSE(CONTROL!$C$21, $C$9, 100%, $E$9)</f>
        <v>15.670199999999999</v>
      </c>
      <c r="G361" s="17">
        <f>CHOOSE(CONTROL!$C$42, 15.6871, 15.6871)*CHOOSE(CONTROL!$C$21, $C$9, 100%, $E$9)</f>
        <v>15.687099999999999</v>
      </c>
      <c r="H361" s="17">
        <f>CHOOSE(CONTROL!$C$42, 15.8184, 15.8184) * CHOOSE(CONTROL!$C$21, $C$9, 100%, $E$9)</f>
        <v>15.8184</v>
      </c>
      <c r="I361" s="17">
        <f>CHOOSE(CONTROL!$C$42, 15.7319, 15.7319)* CHOOSE(CONTROL!$C$21, $C$9, 100%, $E$9)</f>
        <v>15.7319</v>
      </c>
      <c r="J361" s="17">
        <f>CHOOSE(CONTROL!$C$42, 15.6628, 15.6628)* CHOOSE(CONTROL!$C$21, $C$9, 100%, $E$9)</f>
        <v>15.662800000000001</v>
      </c>
      <c r="K361" s="52">
        <f>CHOOSE(CONTROL!$C$42, 15.7258, 15.7258) * CHOOSE(CONTROL!$C$21, $C$9, 100%, $E$9)</f>
        <v>15.7258</v>
      </c>
      <c r="L361" s="17">
        <f>CHOOSE(CONTROL!$C$42, 16.4054, 16.4054) * CHOOSE(CONTROL!$C$21, $C$9, 100%, $E$9)</f>
        <v>16.4054</v>
      </c>
      <c r="M361" s="17">
        <f>CHOOSE(CONTROL!$C$42, 15.529, 15.529) * CHOOSE(CONTROL!$C$21, $C$9, 100%, $E$9)</f>
        <v>15.529</v>
      </c>
      <c r="N361" s="17">
        <f>CHOOSE(CONTROL!$C$42, 15.5457, 15.5457) * CHOOSE(CONTROL!$C$21, $C$9, 100%, $E$9)</f>
        <v>15.5457</v>
      </c>
      <c r="O361" s="17">
        <f>CHOOSE(CONTROL!$C$42, 15.6832, 15.6832) * CHOOSE(CONTROL!$C$21, $C$9, 100%, $E$9)</f>
        <v>15.683199999999999</v>
      </c>
      <c r="P361" s="17">
        <f>CHOOSE(CONTROL!$C$42, 15.597, 15.597) * CHOOSE(CONTROL!$C$21, $C$9, 100%, $E$9)</f>
        <v>15.597</v>
      </c>
      <c r="Q361" s="17">
        <f>CHOOSE(CONTROL!$C$42, 16.2779, 16.2779) * CHOOSE(CONTROL!$C$21, $C$9, 100%, $E$9)</f>
        <v>16.277899999999999</v>
      </c>
      <c r="R361" s="17">
        <f>CHOOSE(CONTROL!$C$42, 16.9056, 16.9056) * CHOOSE(CONTROL!$C$21, $C$9, 100%, $E$9)</f>
        <v>16.9056</v>
      </c>
      <c r="S361" s="17">
        <f>CHOOSE(CONTROL!$C$42, 15.1729, 15.1729) * CHOOSE(CONTROL!$C$21, $C$9, 100%, $E$9)</f>
        <v>15.1729</v>
      </c>
      <c r="T361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361" s="56">
        <f>(1000*CHOOSE(CONTROL!$C$42, 695, 695)*CHOOSE(CONTROL!$C$42, 0.5599, 0.5599)*CHOOSE(CONTROL!$C$42, 31, 31))/1000000</f>
        <v>12.063045499999998</v>
      </c>
      <c r="V361" s="56">
        <f>(1000*CHOOSE(CONTROL!$C$42, 500, 500)*CHOOSE(CONTROL!$C$42, 0.275, 0.275)*CHOOSE(CONTROL!$C$42, 31, 31))/1000000</f>
        <v>4.2625000000000002</v>
      </c>
      <c r="W361" s="56">
        <f>(1000*CHOOSE(CONTROL!$C$42, 0.0916, 0.0916)*CHOOSE(CONTROL!$C$42, 121.5, 121.5)*CHOOSE(CONTROL!$C$42, 31, 31))/1000000</f>
        <v>0.34501139999999997</v>
      </c>
      <c r="X361" s="56">
        <f>(31*0.2374*100000/1000000)</f>
        <v>0.73594000000000004</v>
      </c>
      <c r="Y361" s="56"/>
      <c r="Z361" s="17"/>
      <c r="AA361" s="55"/>
      <c r="AB361" s="48">
        <f>(B361*122.58+C361*297.941+D361*89.177+E361*140.302+F361*40+G361*60+H361*0+I361*100+J361*300)/(122.58+297.941+89.177+140.302+0+40+60+100+300)</f>
        <v>15.700124598</v>
      </c>
      <c r="AC361" s="45">
        <f>(M361*'RAP TEMPLATE-GAS AVAILABILITY'!O360+N361*'RAP TEMPLATE-GAS AVAILABILITY'!P360+O361*'RAP TEMPLATE-GAS AVAILABILITY'!Q360+P361*'RAP TEMPLATE-GAS AVAILABILITY'!R360)/('RAP TEMPLATE-GAS AVAILABILITY'!O360+'RAP TEMPLATE-GAS AVAILABILITY'!P360+'RAP TEMPLATE-GAS AVAILABILITY'!Q360+'RAP TEMPLATE-GAS AVAILABILITY'!R360)</f>
        <v>15.6096345323741</v>
      </c>
    </row>
    <row r="362" spans="1:29" ht="15.75" x14ac:dyDescent="0.25">
      <c r="A362" s="14">
        <v>51560</v>
      </c>
      <c r="B362" s="17">
        <f>CHOOSE(CONTROL!$C$42, 15.9353, 15.9353) * CHOOSE(CONTROL!$C$21, $C$9, 100%, $E$9)</f>
        <v>15.9353</v>
      </c>
      <c r="C362" s="17">
        <f>CHOOSE(CONTROL!$C$42, 15.9404, 15.9404) * CHOOSE(CONTROL!$C$21, $C$9, 100%, $E$9)</f>
        <v>15.9404</v>
      </c>
      <c r="D362" s="17">
        <f>CHOOSE(CONTROL!$C$42, 16.0743, 16.0743) * CHOOSE(CONTROL!$C$21, $C$9, 100%, $E$9)</f>
        <v>16.074300000000001</v>
      </c>
      <c r="E362" s="17">
        <f>CHOOSE(CONTROL!$C$42, 16.1081, 16.1081) * CHOOSE(CONTROL!$C$21, $C$9, 100%, $E$9)</f>
        <v>16.1081</v>
      </c>
      <c r="F362" s="17">
        <f>CHOOSE(CONTROL!$C$42, 15.9487, 15.9487)*CHOOSE(CONTROL!$C$21, $C$9, 100%, $E$9)</f>
        <v>15.948700000000001</v>
      </c>
      <c r="G362" s="17">
        <f>CHOOSE(CONTROL!$C$42, 15.9656, 15.9656)*CHOOSE(CONTROL!$C$21, $C$9, 100%, $E$9)</f>
        <v>15.9656</v>
      </c>
      <c r="H362" s="17">
        <f>CHOOSE(CONTROL!$C$42, 16.097, 16.097) * CHOOSE(CONTROL!$C$21, $C$9, 100%, $E$9)</f>
        <v>16.097000000000001</v>
      </c>
      <c r="I362" s="17">
        <f>CHOOSE(CONTROL!$C$42, 16.0112, 16.0112)* CHOOSE(CONTROL!$C$21, $C$9, 100%, $E$9)</f>
        <v>16.011199999999999</v>
      </c>
      <c r="J362" s="17">
        <f>CHOOSE(CONTROL!$C$42, 15.9413, 15.9413)* CHOOSE(CONTROL!$C$21, $C$9, 100%, $E$9)</f>
        <v>15.9413</v>
      </c>
      <c r="K362" s="52">
        <f>CHOOSE(CONTROL!$C$42, 16.0052, 16.0052) * CHOOSE(CONTROL!$C$21, $C$9, 100%, $E$9)</f>
        <v>16.005199999999999</v>
      </c>
      <c r="L362" s="17">
        <f>CHOOSE(CONTROL!$C$42, 16.684, 16.684) * CHOOSE(CONTROL!$C$21, $C$9, 100%, $E$9)</f>
        <v>16.684000000000001</v>
      </c>
      <c r="M362" s="17">
        <f>CHOOSE(CONTROL!$C$42, 15.8049, 15.8049) * CHOOSE(CONTROL!$C$21, $C$9, 100%, $E$9)</f>
        <v>15.8049</v>
      </c>
      <c r="N362" s="17">
        <f>CHOOSE(CONTROL!$C$42, 15.8217, 15.8217) * CHOOSE(CONTROL!$C$21, $C$9, 100%, $E$9)</f>
        <v>15.8217</v>
      </c>
      <c r="O362" s="17">
        <f>CHOOSE(CONTROL!$C$42, 15.9592, 15.9592) * CHOOSE(CONTROL!$C$21, $C$9, 100%, $E$9)</f>
        <v>15.959199999999999</v>
      </c>
      <c r="P362" s="17">
        <f>CHOOSE(CONTROL!$C$42, 15.8739, 15.8739) * CHOOSE(CONTROL!$C$21, $C$9, 100%, $E$9)</f>
        <v>15.873900000000001</v>
      </c>
      <c r="Q362" s="17">
        <f>CHOOSE(CONTROL!$C$42, 16.5539, 16.5539) * CHOOSE(CONTROL!$C$21, $C$9, 100%, $E$9)</f>
        <v>16.553899999999999</v>
      </c>
      <c r="R362" s="17">
        <f>CHOOSE(CONTROL!$C$42, 17.1823, 17.1823) * CHOOSE(CONTROL!$C$21, $C$9, 100%, $E$9)</f>
        <v>17.182300000000001</v>
      </c>
      <c r="S362" s="17">
        <f>CHOOSE(CONTROL!$C$42, 15.4429, 15.4429) * CHOOSE(CONTROL!$C$21, $C$9, 100%, $E$9)</f>
        <v>15.4429</v>
      </c>
      <c r="T362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362" s="56">
        <f>(1000*CHOOSE(CONTROL!$C$42, 695, 695)*CHOOSE(CONTROL!$C$42, 0.5599, 0.5599)*CHOOSE(CONTROL!$C$42, 28, 28))/1000000</f>
        <v>10.895653999999999</v>
      </c>
      <c r="V362" s="56">
        <f>(1000*CHOOSE(CONTROL!$C$42, 500, 500)*CHOOSE(CONTROL!$C$42, 0.275, 0.275)*CHOOSE(CONTROL!$C$42, 28, 28))/1000000</f>
        <v>3.85</v>
      </c>
      <c r="W362" s="56">
        <f>(1000*CHOOSE(CONTROL!$C$42, 0.0916, 0.0916)*CHOOSE(CONTROL!$C$42, 121.5, 121.5)*CHOOSE(CONTROL!$C$42, 28, 28))/1000000</f>
        <v>0.31162319999999999</v>
      </c>
      <c r="X362" s="56">
        <f>(28*0.2374*100000/1000000)</f>
        <v>0.66471999999999998</v>
      </c>
      <c r="Y362" s="56"/>
      <c r="Z362" s="17"/>
      <c r="AA362" s="55"/>
      <c r="AB362" s="48">
        <f>(B362*122.58+C362*297.941+D362*89.177+E362*140.302+F362*40+G362*60+H362*0+I362*100+J362*300)/(122.58+297.941+89.177+140.302+0+40+60+100+300)</f>
        <v>15.978694163217391</v>
      </c>
      <c r="AC362" s="45">
        <f>(M362*'RAP TEMPLATE-GAS AVAILABILITY'!O361+N362*'RAP TEMPLATE-GAS AVAILABILITY'!P361+O362*'RAP TEMPLATE-GAS AVAILABILITY'!Q361+P362*'RAP TEMPLATE-GAS AVAILABILITY'!R361)/('RAP TEMPLATE-GAS AVAILABILITY'!O361+'RAP TEMPLATE-GAS AVAILABILITY'!P361+'RAP TEMPLATE-GAS AVAILABILITY'!Q361+'RAP TEMPLATE-GAS AVAILABILITY'!R361)</f>
        <v>15.885729496402876</v>
      </c>
    </row>
    <row r="363" spans="1:29" ht="15.75" x14ac:dyDescent="0.25">
      <c r="A363" s="14">
        <v>51591</v>
      </c>
      <c r="B363" s="17">
        <f>CHOOSE(CONTROL!$C$42, 15.4832, 15.4832) * CHOOSE(CONTROL!$C$21, $C$9, 100%, $E$9)</f>
        <v>15.4832</v>
      </c>
      <c r="C363" s="17">
        <f>CHOOSE(CONTROL!$C$42, 15.4883, 15.4883) * CHOOSE(CONTROL!$C$21, $C$9, 100%, $E$9)</f>
        <v>15.488300000000001</v>
      </c>
      <c r="D363" s="17">
        <f>CHOOSE(CONTROL!$C$42, 15.6222, 15.6222) * CHOOSE(CONTROL!$C$21, $C$9, 100%, $E$9)</f>
        <v>15.622199999999999</v>
      </c>
      <c r="E363" s="17">
        <f>CHOOSE(CONTROL!$C$42, 15.656, 15.656) * CHOOSE(CONTROL!$C$21, $C$9, 100%, $E$9)</f>
        <v>15.656000000000001</v>
      </c>
      <c r="F363" s="17">
        <f>CHOOSE(CONTROL!$C$42, 15.4958, 15.4958)*CHOOSE(CONTROL!$C$21, $C$9, 100%, $E$9)</f>
        <v>15.495799999999999</v>
      </c>
      <c r="G363" s="17">
        <f>CHOOSE(CONTROL!$C$42, 15.5125, 15.5125)*CHOOSE(CONTROL!$C$21, $C$9, 100%, $E$9)</f>
        <v>15.512499999999999</v>
      </c>
      <c r="H363" s="17">
        <f>CHOOSE(CONTROL!$C$42, 15.6449, 15.6449) * CHOOSE(CONTROL!$C$21, $C$9, 100%, $E$9)</f>
        <v>15.6449</v>
      </c>
      <c r="I363" s="17">
        <f>CHOOSE(CONTROL!$C$42, 15.5577, 15.5577)* CHOOSE(CONTROL!$C$21, $C$9, 100%, $E$9)</f>
        <v>15.557700000000001</v>
      </c>
      <c r="J363" s="17">
        <f>CHOOSE(CONTROL!$C$42, 15.4884, 15.4884)* CHOOSE(CONTROL!$C$21, $C$9, 100%, $E$9)</f>
        <v>15.4884</v>
      </c>
      <c r="K363" s="52">
        <f>CHOOSE(CONTROL!$C$42, 15.5517, 15.5517) * CHOOSE(CONTROL!$C$21, $C$9, 100%, $E$9)</f>
        <v>15.5517</v>
      </c>
      <c r="L363" s="17">
        <f>CHOOSE(CONTROL!$C$42, 16.2319, 16.2319) * CHOOSE(CONTROL!$C$21, $C$9, 100%, $E$9)</f>
        <v>16.2319</v>
      </c>
      <c r="M363" s="17">
        <f>CHOOSE(CONTROL!$C$42, 15.3561, 15.3561) * CHOOSE(CONTROL!$C$21, $C$9, 100%, $E$9)</f>
        <v>15.3561</v>
      </c>
      <c r="N363" s="17">
        <f>CHOOSE(CONTROL!$C$42, 15.3727, 15.3727) * CHOOSE(CONTROL!$C$21, $C$9, 100%, $E$9)</f>
        <v>15.3727</v>
      </c>
      <c r="O363" s="17">
        <f>CHOOSE(CONTROL!$C$42, 15.5112, 15.5112) * CHOOSE(CONTROL!$C$21, $C$9, 100%, $E$9)</f>
        <v>15.511200000000001</v>
      </c>
      <c r="P363" s="17">
        <f>CHOOSE(CONTROL!$C$42, 15.4244, 15.4244) * CHOOSE(CONTROL!$C$21, $C$9, 100%, $E$9)</f>
        <v>15.4244</v>
      </c>
      <c r="Q363" s="17">
        <f>CHOOSE(CONTROL!$C$42, 16.1059, 16.1059) * CHOOSE(CONTROL!$C$21, $C$9, 100%, $E$9)</f>
        <v>16.105899999999998</v>
      </c>
      <c r="R363" s="17">
        <f>CHOOSE(CONTROL!$C$42, 16.7331, 16.7331) * CHOOSE(CONTROL!$C$21, $C$9, 100%, $E$9)</f>
        <v>16.7331</v>
      </c>
      <c r="S363" s="17">
        <f>CHOOSE(CONTROL!$C$42, 15.0045, 15.0045) * CHOOSE(CONTROL!$C$21, $C$9, 100%, $E$9)</f>
        <v>15.0045</v>
      </c>
      <c r="T363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363" s="56">
        <f>(1000*CHOOSE(CONTROL!$C$42, 695, 695)*CHOOSE(CONTROL!$C$42, 0.5599, 0.5599)*CHOOSE(CONTROL!$C$42, 31, 31))/1000000</f>
        <v>12.063045499999998</v>
      </c>
      <c r="V363" s="56">
        <f>(1000*CHOOSE(CONTROL!$C$42, 500, 500)*CHOOSE(CONTROL!$C$42, 0.275, 0.275)*CHOOSE(CONTROL!$C$42, 31, 31))/1000000</f>
        <v>4.2625000000000002</v>
      </c>
      <c r="W363" s="56">
        <f>(1000*CHOOSE(CONTROL!$C$42, 0.0916, 0.0916)*CHOOSE(CONTROL!$C$42, 121.5, 121.5)*CHOOSE(CONTROL!$C$42, 31, 31))/1000000</f>
        <v>0.34501139999999997</v>
      </c>
      <c r="X363" s="56">
        <f>(31*0.2374*100000/1000000)</f>
        <v>0.73594000000000004</v>
      </c>
      <c r="Y363" s="56"/>
      <c r="Z363" s="17"/>
      <c r="AA363" s="55"/>
      <c r="AB363" s="48">
        <f>(B363*122.58+C363*297.941+D363*89.177+E363*140.302+F363*40+G363*60+H363*0+I363*100+J363*300)/(122.58+297.941+89.177+140.302+0+40+60+100+300)</f>
        <v>15.526183728434781</v>
      </c>
      <c r="AC363" s="45">
        <f>(M363*'RAP TEMPLATE-GAS AVAILABILITY'!O362+N363*'RAP TEMPLATE-GAS AVAILABILITY'!P362+O363*'RAP TEMPLATE-GAS AVAILABILITY'!Q362+P363*'RAP TEMPLATE-GAS AVAILABILITY'!R362)/('RAP TEMPLATE-GAS AVAILABILITY'!O362+'RAP TEMPLATE-GAS AVAILABILITY'!P362+'RAP TEMPLATE-GAS AVAILABILITY'!Q362+'RAP TEMPLATE-GAS AVAILABILITY'!R362)</f>
        <v>15.43717985611511</v>
      </c>
    </row>
    <row r="364" spans="1:29" ht="15.75" x14ac:dyDescent="0.25">
      <c r="A364" s="14">
        <v>51621</v>
      </c>
      <c r="B364" s="17">
        <f>CHOOSE(CONTROL!$C$42, 15.4379, 15.4379) * CHOOSE(CONTROL!$C$21, $C$9, 100%, $E$9)</f>
        <v>15.437900000000001</v>
      </c>
      <c r="C364" s="17">
        <f>CHOOSE(CONTROL!$C$42, 15.4424, 15.4424) * CHOOSE(CONTROL!$C$21, $C$9, 100%, $E$9)</f>
        <v>15.442399999999999</v>
      </c>
      <c r="D364" s="17">
        <f>CHOOSE(CONTROL!$C$42, 15.7054, 15.7054) * CHOOSE(CONTROL!$C$21, $C$9, 100%, $E$9)</f>
        <v>15.705399999999999</v>
      </c>
      <c r="E364" s="17">
        <f>CHOOSE(CONTROL!$C$42, 15.7372, 15.7372) * CHOOSE(CONTROL!$C$21, $C$9, 100%, $E$9)</f>
        <v>15.7372</v>
      </c>
      <c r="F364" s="17">
        <f>CHOOSE(CONTROL!$C$42, 15.4488, 15.4488)*CHOOSE(CONTROL!$C$21, $C$9, 100%, $E$9)</f>
        <v>15.4488</v>
      </c>
      <c r="G364" s="17">
        <f>CHOOSE(CONTROL!$C$42, 15.465, 15.465)*CHOOSE(CONTROL!$C$21, $C$9, 100%, $E$9)</f>
        <v>15.465</v>
      </c>
      <c r="H364" s="17">
        <f>CHOOSE(CONTROL!$C$42, 15.7267, 15.7267) * CHOOSE(CONTROL!$C$21, $C$9, 100%, $E$9)</f>
        <v>15.726699999999999</v>
      </c>
      <c r="I364" s="17">
        <f>CHOOSE(CONTROL!$C$42, 15.511, 15.511)* CHOOSE(CONTROL!$C$21, $C$9, 100%, $E$9)</f>
        <v>15.510999999999999</v>
      </c>
      <c r="J364" s="17">
        <f>CHOOSE(CONTROL!$C$42, 15.4414, 15.4414)* CHOOSE(CONTROL!$C$21, $C$9, 100%, $E$9)</f>
        <v>15.4414</v>
      </c>
      <c r="K364" s="52">
        <f>CHOOSE(CONTROL!$C$42, 15.505, 15.505) * CHOOSE(CONTROL!$C$21, $C$9, 100%, $E$9)</f>
        <v>15.505000000000001</v>
      </c>
      <c r="L364" s="17">
        <f>CHOOSE(CONTROL!$C$42, 16.3137, 16.3137) * CHOOSE(CONTROL!$C$21, $C$9, 100%, $E$9)</f>
        <v>16.313700000000001</v>
      </c>
      <c r="M364" s="17">
        <f>CHOOSE(CONTROL!$C$42, 15.3095, 15.3095) * CHOOSE(CONTROL!$C$21, $C$9, 100%, $E$9)</f>
        <v>15.3095</v>
      </c>
      <c r="N364" s="17">
        <f>CHOOSE(CONTROL!$C$42, 15.3256, 15.3256) * CHOOSE(CONTROL!$C$21, $C$9, 100%, $E$9)</f>
        <v>15.3256</v>
      </c>
      <c r="O364" s="17">
        <f>CHOOSE(CONTROL!$C$42, 15.5922, 15.5922) * CHOOSE(CONTROL!$C$21, $C$9, 100%, $E$9)</f>
        <v>15.5922</v>
      </c>
      <c r="P364" s="17">
        <f>CHOOSE(CONTROL!$C$42, 15.3781, 15.3781) * CHOOSE(CONTROL!$C$21, $C$9, 100%, $E$9)</f>
        <v>15.3781</v>
      </c>
      <c r="Q364" s="17">
        <f>CHOOSE(CONTROL!$C$42, 16.1869, 16.1869) * CHOOSE(CONTROL!$C$21, $C$9, 100%, $E$9)</f>
        <v>16.186900000000001</v>
      </c>
      <c r="R364" s="17">
        <f>CHOOSE(CONTROL!$C$42, 16.8144, 16.8144) * CHOOSE(CONTROL!$C$21, $C$9, 100%, $E$9)</f>
        <v>16.814399999999999</v>
      </c>
      <c r="S364" s="17">
        <f>CHOOSE(CONTROL!$C$42, 14.9599, 14.9599) * CHOOSE(CONTROL!$C$21, $C$9, 100%, $E$9)</f>
        <v>14.959899999999999</v>
      </c>
      <c r="T364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364" s="56">
        <f>(1000*CHOOSE(CONTROL!$C$42, 695, 695)*CHOOSE(CONTROL!$C$42, 0.5599, 0.5599)*CHOOSE(CONTROL!$C$42, 30, 30))/1000000</f>
        <v>11.673914999999997</v>
      </c>
      <c r="V364" s="56">
        <f>(1000*CHOOSE(CONTROL!$C$42, 500, 500)*CHOOSE(CONTROL!$C$42, 0.275, 0.275)*CHOOSE(CONTROL!$C$42, 30, 30))/1000000</f>
        <v>4.125</v>
      </c>
      <c r="W364" s="56">
        <f>(1000*CHOOSE(CONTROL!$C$42, 0.0916, 0.0916)*CHOOSE(CONTROL!$C$42, 121.5, 121.5)*CHOOSE(CONTROL!$C$42, 30, 30))/1000000</f>
        <v>0.33388200000000001</v>
      </c>
      <c r="X364" s="56">
        <f>(30*0.1790888*145000/1000000)+(30*0.2374*100000/1000000)</f>
        <v>1.4912362799999999</v>
      </c>
      <c r="Y364" s="56"/>
      <c r="Z364" s="17"/>
      <c r="AA364" s="55"/>
      <c r="AB364" s="48">
        <f>(B364*141.293+C364*267.993+D364*115.016+E364*189.698+F364*40+G364*85+H364*0+I364*100+J364*300)/(141.293+267.993+115.016+189.698+0+40+85+100+300)</f>
        <v>15.51848826464891</v>
      </c>
      <c r="AC364" s="45">
        <f>(M364*'RAP TEMPLATE-GAS AVAILABILITY'!O363+N364*'RAP TEMPLATE-GAS AVAILABILITY'!P363+O364*'RAP TEMPLATE-GAS AVAILABILITY'!Q363+P364*'RAP TEMPLATE-GAS AVAILABILITY'!R363)/('RAP TEMPLATE-GAS AVAILABILITY'!O363+'RAP TEMPLATE-GAS AVAILABILITY'!P363+'RAP TEMPLATE-GAS AVAILABILITY'!Q363+'RAP TEMPLATE-GAS AVAILABILITY'!R363)</f>
        <v>15.402395683453236</v>
      </c>
    </row>
    <row r="365" spans="1:29" ht="15.75" x14ac:dyDescent="0.25">
      <c r="A365" s="14">
        <v>51652</v>
      </c>
      <c r="B365" s="17">
        <f>CHOOSE(CONTROL!$C$42, 15.5754, 15.5754) * CHOOSE(CONTROL!$C$21, $C$9, 100%, $E$9)</f>
        <v>15.5754</v>
      </c>
      <c r="C365" s="17">
        <f>CHOOSE(CONTROL!$C$42, 15.5834, 15.5834) * CHOOSE(CONTROL!$C$21, $C$9, 100%, $E$9)</f>
        <v>15.583399999999999</v>
      </c>
      <c r="D365" s="17">
        <f>CHOOSE(CONTROL!$C$42, 15.8433, 15.8433) * CHOOSE(CONTROL!$C$21, $C$9, 100%, $E$9)</f>
        <v>15.843299999999999</v>
      </c>
      <c r="E365" s="17">
        <f>CHOOSE(CONTROL!$C$42, 15.8745, 15.8745) * CHOOSE(CONTROL!$C$21, $C$9, 100%, $E$9)</f>
        <v>15.874499999999999</v>
      </c>
      <c r="F365" s="17">
        <f>CHOOSE(CONTROL!$C$42, 15.5851, 15.5851)*CHOOSE(CONTROL!$C$21, $C$9, 100%, $E$9)</f>
        <v>15.585100000000001</v>
      </c>
      <c r="G365" s="17">
        <f>CHOOSE(CONTROL!$C$42, 15.6015, 15.6015)*CHOOSE(CONTROL!$C$21, $C$9, 100%, $E$9)</f>
        <v>15.6015</v>
      </c>
      <c r="H365" s="17">
        <f>CHOOSE(CONTROL!$C$42, 15.8628, 15.8628) * CHOOSE(CONTROL!$C$21, $C$9, 100%, $E$9)</f>
        <v>15.8628</v>
      </c>
      <c r="I365" s="17">
        <f>CHOOSE(CONTROL!$C$42, 15.6476, 15.6476)* CHOOSE(CONTROL!$C$21, $C$9, 100%, $E$9)</f>
        <v>15.647600000000001</v>
      </c>
      <c r="J365" s="17">
        <f>CHOOSE(CONTROL!$C$42, 15.5777, 15.5777)* CHOOSE(CONTROL!$C$21, $C$9, 100%, $E$9)</f>
        <v>15.5777</v>
      </c>
      <c r="K365" s="52">
        <f>CHOOSE(CONTROL!$C$42, 15.6416, 15.6416) * CHOOSE(CONTROL!$C$21, $C$9, 100%, $E$9)</f>
        <v>15.6416</v>
      </c>
      <c r="L365" s="17">
        <f>CHOOSE(CONTROL!$C$42, 16.4498, 16.4498) * CHOOSE(CONTROL!$C$21, $C$9, 100%, $E$9)</f>
        <v>16.4498</v>
      </c>
      <c r="M365" s="17">
        <f>CHOOSE(CONTROL!$C$42, 15.4446, 15.4446) * CHOOSE(CONTROL!$C$21, $C$9, 100%, $E$9)</f>
        <v>15.444599999999999</v>
      </c>
      <c r="N365" s="17">
        <f>CHOOSE(CONTROL!$C$42, 15.4609, 15.4609) * CHOOSE(CONTROL!$C$21, $C$9, 100%, $E$9)</f>
        <v>15.460900000000001</v>
      </c>
      <c r="O365" s="17">
        <f>CHOOSE(CONTROL!$C$42, 15.7272, 15.7272) * CHOOSE(CONTROL!$C$21, $C$9, 100%, $E$9)</f>
        <v>15.7272</v>
      </c>
      <c r="P365" s="17">
        <f>CHOOSE(CONTROL!$C$42, 15.5135, 15.5135) * CHOOSE(CONTROL!$C$21, $C$9, 100%, $E$9)</f>
        <v>15.513500000000001</v>
      </c>
      <c r="Q365" s="17">
        <f>CHOOSE(CONTROL!$C$42, 16.3219, 16.3219) * CHOOSE(CONTROL!$C$21, $C$9, 100%, $E$9)</f>
        <v>16.321899999999999</v>
      </c>
      <c r="R365" s="17">
        <f>CHOOSE(CONTROL!$C$42, 16.9497, 16.9497) * CHOOSE(CONTROL!$C$21, $C$9, 100%, $E$9)</f>
        <v>16.9497</v>
      </c>
      <c r="S365" s="17">
        <f>CHOOSE(CONTROL!$C$42, 15.0919, 15.0919) * CHOOSE(CONTROL!$C$21, $C$9, 100%, $E$9)</f>
        <v>15.091900000000001</v>
      </c>
      <c r="T365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365" s="56">
        <f>(1000*CHOOSE(CONTROL!$C$42, 695, 695)*CHOOSE(CONTROL!$C$42, 0.5599, 0.5599)*CHOOSE(CONTROL!$C$42, 31, 31))/1000000</f>
        <v>12.063045499999998</v>
      </c>
      <c r="V365" s="56">
        <f>(1000*CHOOSE(CONTROL!$C$42, 500, 500)*CHOOSE(CONTROL!$C$42, 0.275, 0.275)*CHOOSE(CONTROL!$C$42, 31, 31))/1000000</f>
        <v>4.2625000000000002</v>
      </c>
      <c r="W365" s="56">
        <f>(1000*CHOOSE(CONTROL!$C$42, 0.0916, 0.0916)*CHOOSE(CONTROL!$C$42, 121.5, 121.5)*CHOOSE(CONTROL!$C$42, 31, 31))/1000000</f>
        <v>0.34501139999999997</v>
      </c>
      <c r="X365" s="56">
        <f>(31*0.1790888*145000/1000000)+(31*0.2374*100000/1000000)</f>
        <v>1.5409441560000001</v>
      </c>
      <c r="Y365" s="56"/>
      <c r="Z365" s="17"/>
      <c r="AA365" s="55"/>
      <c r="AB365" s="48">
        <f>(B365*194.205+C365*267.466+D365*133.845+E365*153.484+F365*40+G365*85+H365*0+I365*100+J365*300)/(194.205+267.466+133.845+153.484+0+40+85+100+300)</f>
        <v>15.649513318602828</v>
      </c>
      <c r="AC365" s="45">
        <f>(M365*'RAP TEMPLATE-GAS AVAILABILITY'!O364+N365*'RAP TEMPLATE-GAS AVAILABILITY'!P364+O365*'RAP TEMPLATE-GAS AVAILABILITY'!Q364+P365*'RAP TEMPLATE-GAS AVAILABILITY'!R364)/('RAP TEMPLATE-GAS AVAILABILITY'!O364+'RAP TEMPLATE-GAS AVAILABILITY'!P364+'RAP TEMPLATE-GAS AVAILABILITY'!Q364+'RAP TEMPLATE-GAS AVAILABILITY'!R364)</f>
        <v>15.537556834532376</v>
      </c>
    </row>
    <row r="366" spans="1:29" ht="15.75" x14ac:dyDescent="0.25">
      <c r="A366" s="14">
        <v>51682</v>
      </c>
      <c r="B366" s="17">
        <f>CHOOSE(CONTROL!$C$42, 16.0169, 16.0169) * CHOOSE(CONTROL!$C$21, $C$9, 100%, $E$9)</f>
        <v>16.0169</v>
      </c>
      <c r="C366" s="17">
        <f>CHOOSE(CONTROL!$C$42, 16.0248, 16.0248) * CHOOSE(CONTROL!$C$21, $C$9, 100%, $E$9)</f>
        <v>16.024799999999999</v>
      </c>
      <c r="D366" s="17">
        <f>CHOOSE(CONTROL!$C$42, 16.2848, 16.2848) * CHOOSE(CONTROL!$C$21, $C$9, 100%, $E$9)</f>
        <v>16.284800000000001</v>
      </c>
      <c r="E366" s="17">
        <f>CHOOSE(CONTROL!$C$42, 16.316, 16.316) * CHOOSE(CONTROL!$C$21, $C$9, 100%, $E$9)</f>
        <v>16.315999999999999</v>
      </c>
      <c r="F366" s="17">
        <f>CHOOSE(CONTROL!$C$42, 16.0268, 16.0268)*CHOOSE(CONTROL!$C$21, $C$9, 100%, $E$9)</f>
        <v>16.026800000000001</v>
      </c>
      <c r="G366" s="17">
        <f>CHOOSE(CONTROL!$C$42, 16.0434, 16.0434)*CHOOSE(CONTROL!$C$21, $C$9, 100%, $E$9)</f>
        <v>16.043399999999998</v>
      </c>
      <c r="H366" s="17">
        <f>CHOOSE(CONTROL!$C$42, 16.3043, 16.3043) * CHOOSE(CONTROL!$C$21, $C$9, 100%, $E$9)</f>
        <v>16.304300000000001</v>
      </c>
      <c r="I366" s="17">
        <f>CHOOSE(CONTROL!$C$42, 16.0904, 16.0904)* CHOOSE(CONTROL!$C$21, $C$9, 100%, $E$9)</f>
        <v>16.090399999999999</v>
      </c>
      <c r="J366" s="17">
        <f>CHOOSE(CONTROL!$C$42, 16.0194, 16.0194)* CHOOSE(CONTROL!$C$21, $C$9, 100%, $E$9)</f>
        <v>16.019400000000001</v>
      </c>
      <c r="K366" s="52">
        <f>CHOOSE(CONTROL!$C$42, 16.0844, 16.0844) * CHOOSE(CONTROL!$C$21, $C$9, 100%, $E$9)</f>
        <v>16.084399999999999</v>
      </c>
      <c r="L366" s="17">
        <f>CHOOSE(CONTROL!$C$42, 16.8913, 16.8913) * CHOOSE(CONTROL!$C$21, $C$9, 100%, $E$9)</f>
        <v>16.891300000000001</v>
      </c>
      <c r="M366" s="17">
        <f>CHOOSE(CONTROL!$C$42, 15.8824, 15.8824) * CHOOSE(CONTROL!$C$21, $C$9, 100%, $E$9)</f>
        <v>15.882400000000001</v>
      </c>
      <c r="N366" s="17">
        <f>CHOOSE(CONTROL!$C$42, 15.8988, 15.8988) * CHOOSE(CONTROL!$C$21, $C$9, 100%, $E$9)</f>
        <v>15.8988</v>
      </c>
      <c r="O366" s="17">
        <f>CHOOSE(CONTROL!$C$42, 16.1647, 16.1647) * CHOOSE(CONTROL!$C$21, $C$9, 100%, $E$9)</f>
        <v>16.1647</v>
      </c>
      <c r="P366" s="17">
        <f>CHOOSE(CONTROL!$C$42, 15.9523, 15.9523) * CHOOSE(CONTROL!$C$21, $C$9, 100%, $E$9)</f>
        <v>15.952299999999999</v>
      </c>
      <c r="Q366" s="17">
        <f>CHOOSE(CONTROL!$C$42, 16.7594, 16.7594) * CHOOSE(CONTROL!$C$21, $C$9, 100%, $E$9)</f>
        <v>16.759399999999999</v>
      </c>
      <c r="R366" s="17">
        <f>CHOOSE(CONTROL!$C$42, 17.3883, 17.3883) * CHOOSE(CONTROL!$C$21, $C$9, 100%, $E$9)</f>
        <v>17.388300000000001</v>
      </c>
      <c r="S366" s="17">
        <f>CHOOSE(CONTROL!$C$42, 15.52, 15.52) * CHOOSE(CONTROL!$C$21, $C$9, 100%, $E$9)</f>
        <v>15.52</v>
      </c>
      <c r="T366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366" s="56">
        <f>(1000*CHOOSE(CONTROL!$C$42, 695, 695)*CHOOSE(CONTROL!$C$42, 0.5599, 0.5599)*CHOOSE(CONTROL!$C$42, 30, 30))/1000000</f>
        <v>11.673914999999997</v>
      </c>
      <c r="V366" s="56">
        <f>(1000*CHOOSE(CONTROL!$C$42, 500, 500)*CHOOSE(CONTROL!$C$42, 0.275, 0.275)*CHOOSE(CONTROL!$C$42, 30, 30))/1000000</f>
        <v>4.125</v>
      </c>
      <c r="W366" s="56">
        <f>(1000*CHOOSE(CONTROL!$C$42, 0.0916, 0.0916)*CHOOSE(CONTROL!$C$42, 121.5, 121.5)*CHOOSE(CONTROL!$C$42, 30, 30))/1000000</f>
        <v>0.33388200000000001</v>
      </c>
      <c r="X366" s="56">
        <f>(30*0.1790888*145000/1000000)+(30*0.2374*100000/1000000)</f>
        <v>1.4912362799999999</v>
      </c>
      <c r="Y366" s="56"/>
      <c r="Z366" s="17"/>
      <c r="AA366" s="55"/>
      <c r="AB366" s="48">
        <f>(B366*194.205+C366*267.466+D366*133.845+E366*153.484+F366*40+G366*85+H366*0+I366*100+J366*300)/(194.205+267.466+133.845+153.484+0+40+85+100+300)</f>
        <v>16.091174428021979</v>
      </c>
      <c r="AC366" s="45">
        <f>(M366*'RAP TEMPLATE-GAS AVAILABILITY'!O365+N366*'RAP TEMPLATE-GAS AVAILABILITY'!P365+O366*'RAP TEMPLATE-GAS AVAILABILITY'!Q365+P366*'RAP TEMPLATE-GAS AVAILABILITY'!R365)/('RAP TEMPLATE-GAS AVAILABILITY'!O365+'RAP TEMPLATE-GAS AVAILABILITY'!P365+'RAP TEMPLATE-GAS AVAILABILITY'!Q365+'RAP TEMPLATE-GAS AVAILABILITY'!R365)</f>
        <v>15.975439568345324</v>
      </c>
    </row>
    <row r="367" spans="1:29" ht="15.75" x14ac:dyDescent="0.25">
      <c r="A367" s="14">
        <v>51713</v>
      </c>
      <c r="B367" s="17">
        <f>CHOOSE(CONTROL!$C$42, 15.7098, 15.7098) * CHOOSE(CONTROL!$C$21, $C$9, 100%, $E$9)</f>
        <v>15.7098</v>
      </c>
      <c r="C367" s="17">
        <f>CHOOSE(CONTROL!$C$42, 15.7178, 15.7178) * CHOOSE(CONTROL!$C$21, $C$9, 100%, $E$9)</f>
        <v>15.7178</v>
      </c>
      <c r="D367" s="17">
        <f>CHOOSE(CONTROL!$C$42, 15.9778, 15.9778) * CHOOSE(CONTROL!$C$21, $C$9, 100%, $E$9)</f>
        <v>15.9778</v>
      </c>
      <c r="E367" s="17">
        <f>CHOOSE(CONTROL!$C$42, 16.0089, 16.0089) * CHOOSE(CONTROL!$C$21, $C$9, 100%, $E$9)</f>
        <v>16.008900000000001</v>
      </c>
      <c r="F367" s="17">
        <f>CHOOSE(CONTROL!$C$42, 15.7202, 15.7202)*CHOOSE(CONTROL!$C$21, $C$9, 100%, $E$9)</f>
        <v>15.7202</v>
      </c>
      <c r="G367" s="17">
        <f>CHOOSE(CONTROL!$C$42, 15.7369, 15.7369)*CHOOSE(CONTROL!$C$21, $C$9, 100%, $E$9)</f>
        <v>15.7369</v>
      </c>
      <c r="H367" s="17">
        <f>CHOOSE(CONTROL!$C$42, 15.9973, 15.9973) * CHOOSE(CONTROL!$C$21, $C$9, 100%, $E$9)</f>
        <v>15.997299999999999</v>
      </c>
      <c r="I367" s="17">
        <f>CHOOSE(CONTROL!$C$42, 15.7824, 15.7824)* CHOOSE(CONTROL!$C$21, $C$9, 100%, $E$9)</f>
        <v>15.782400000000001</v>
      </c>
      <c r="J367" s="17">
        <f>CHOOSE(CONTROL!$C$42, 15.7128, 15.7128)* CHOOSE(CONTROL!$C$21, $C$9, 100%, $E$9)</f>
        <v>15.7128</v>
      </c>
      <c r="K367" s="52">
        <f>CHOOSE(CONTROL!$C$42, 15.7764, 15.7764) * CHOOSE(CONTROL!$C$21, $C$9, 100%, $E$9)</f>
        <v>15.776400000000001</v>
      </c>
      <c r="L367" s="17">
        <f>CHOOSE(CONTROL!$C$42, 16.5843, 16.5843) * CHOOSE(CONTROL!$C$21, $C$9, 100%, $E$9)</f>
        <v>16.584299999999999</v>
      </c>
      <c r="M367" s="17">
        <f>CHOOSE(CONTROL!$C$42, 15.5785, 15.5785) * CHOOSE(CONTROL!$C$21, $C$9, 100%, $E$9)</f>
        <v>15.5785</v>
      </c>
      <c r="N367" s="17">
        <f>CHOOSE(CONTROL!$C$42, 15.595, 15.595) * CHOOSE(CONTROL!$C$21, $C$9, 100%, $E$9)</f>
        <v>15.595000000000001</v>
      </c>
      <c r="O367" s="17">
        <f>CHOOSE(CONTROL!$C$42, 15.8604, 15.8604) * CHOOSE(CONTROL!$C$21, $C$9, 100%, $E$9)</f>
        <v>15.8604</v>
      </c>
      <c r="P367" s="17">
        <f>CHOOSE(CONTROL!$C$42, 15.6471, 15.6471) * CHOOSE(CONTROL!$C$21, $C$9, 100%, $E$9)</f>
        <v>15.6471</v>
      </c>
      <c r="Q367" s="17">
        <f>CHOOSE(CONTROL!$C$42, 16.4551, 16.4551) * CHOOSE(CONTROL!$C$21, $C$9, 100%, $E$9)</f>
        <v>16.455100000000002</v>
      </c>
      <c r="R367" s="17">
        <f>CHOOSE(CONTROL!$C$42, 17.0832, 17.0832) * CHOOSE(CONTROL!$C$21, $C$9, 100%, $E$9)</f>
        <v>17.083200000000001</v>
      </c>
      <c r="S367" s="17">
        <f>CHOOSE(CONTROL!$C$42, 15.2222, 15.2222) * CHOOSE(CONTROL!$C$21, $C$9, 100%, $E$9)</f>
        <v>15.222200000000001</v>
      </c>
      <c r="T367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367" s="56">
        <f>(1000*CHOOSE(CONTROL!$C$42, 695, 695)*CHOOSE(CONTROL!$C$42, 0.5599, 0.5599)*CHOOSE(CONTROL!$C$42, 31, 31))/1000000</f>
        <v>12.063045499999998</v>
      </c>
      <c r="V367" s="56">
        <f>(1000*CHOOSE(CONTROL!$C$42, 500, 500)*CHOOSE(CONTROL!$C$42, 0.275, 0.275)*CHOOSE(CONTROL!$C$42, 31, 31))/1000000</f>
        <v>4.2625000000000002</v>
      </c>
      <c r="W367" s="56">
        <f>(1000*CHOOSE(CONTROL!$C$42, 0.0916, 0.0916)*CHOOSE(CONTROL!$C$42, 121.5, 121.5)*CHOOSE(CONTROL!$C$42, 31, 31))/1000000</f>
        <v>0.34501139999999997</v>
      </c>
      <c r="X367" s="56">
        <f>(31*0.1790888*145000/1000000)+(31*0.2374*100000/1000000)</f>
        <v>1.5409441560000001</v>
      </c>
      <c r="Y367" s="56"/>
      <c r="Z367" s="17"/>
      <c r="AA367" s="55"/>
      <c r="AB367" s="48">
        <f>(B367*194.205+C367*267.466+D367*133.845+E367*153.484+F367*40+G367*85+H367*0+I367*100+J367*300)/(194.205+267.466+133.845+153.484+0+40+85+100+300)</f>
        <v>15.784208753846157</v>
      </c>
      <c r="AC367" s="45">
        <f>(M367*'RAP TEMPLATE-GAS AVAILABILITY'!O366+N367*'RAP TEMPLATE-GAS AVAILABILITY'!P366+O367*'RAP TEMPLATE-GAS AVAILABILITY'!Q366+P367*'RAP TEMPLATE-GAS AVAILABILITY'!R366)/('RAP TEMPLATE-GAS AVAILABILITY'!O366+'RAP TEMPLATE-GAS AVAILABILITY'!P366+'RAP TEMPLATE-GAS AVAILABILITY'!Q366+'RAP TEMPLATE-GAS AVAILABILITY'!R366)</f>
        <v>15.67126330935252</v>
      </c>
    </row>
    <row r="368" spans="1:29" ht="15.75" x14ac:dyDescent="0.25">
      <c r="A368" s="14">
        <v>51744</v>
      </c>
      <c r="B368" s="17">
        <f>CHOOSE(CONTROL!$C$42, 14.9345, 14.9345) * CHOOSE(CONTROL!$C$21, $C$9, 100%, $E$9)</f>
        <v>14.9345</v>
      </c>
      <c r="C368" s="17">
        <f>CHOOSE(CONTROL!$C$42, 14.9425, 14.9425) * CHOOSE(CONTROL!$C$21, $C$9, 100%, $E$9)</f>
        <v>14.942500000000001</v>
      </c>
      <c r="D368" s="17">
        <f>CHOOSE(CONTROL!$C$42, 15.2024, 15.2024) * CHOOSE(CONTROL!$C$21, $C$9, 100%, $E$9)</f>
        <v>15.202400000000001</v>
      </c>
      <c r="E368" s="17">
        <f>CHOOSE(CONTROL!$C$42, 15.2336, 15.2336) * CHOOSE(CONTROL!$C$21, $C$9, 100%, $E$9)</f>
        <v>15.233599999999999</v>
      </c>
      <c r="F368" s="17">
        <f>CHOOSE(CONTROL!$C$42, 14.9451, 14.9451)*CHOOSE(CONTROL!$C$21, $C$9, 100%, $E$9)</f>
        <v>14.9451</v>
      </c>
      <c r="G368" s="17">
        <f>CHOOSE(CONTROL!$C$42, 14.9618, 14.9618)*CHOOSE(CONTROL!$C$21, $C$9, 100%, $E$9)</f>
        <v>14.9618</v>
      </c>
      <c r="H368" s="17">
        <f>CHOOSE(CONTROL!$C$42, 15.2219, 15.2219) * CHOOSE(CONTROL!$C$21, $C$9, 100%, $E$9)</f>
        <v>15.2219</v>
      </c>
      <c r="I368" s="17">
        <f>CHOOSE(CONTROL!$C$42, 15.0047, 15.0047)* CHOOSE(CONTROL!$C$21, $C$9, 100%, $E$9)</f>
        <v>15.0047</v>
      </c>
      <c r="J368" s="17">
        <f>CHOOSE(CONTROL!$C$42, 14.9377, 14.9377)* CHOOSE(CONTROL!$C$21, $C$9, 100%, $E$9)</f>
        <v>14.9377</v>
      </c>
      <c r="K368" s="52">
        <f>CHOOSE(CONTROL!$C$42, 14.9986, 14.9986) * CHOOSE(CONTROL!$C$21, $C$9, 100%, $E$9)</f>
        <v>14.9986</v>
      </c>
      <c r="L368" s="17">
        <f>CHOOSE(CONTROL!$C$42, 15.8089, 15.8089) * CHOOSE(CONTROL!$C$21, $C$9, 100%, $E$9)</f>
        <v>15.8089</v>
      </c>
      <c r="M368" s="17">
        <f>CHOOSE(CONTROL!$C$42, 14.8104, 14.8104) * CHOOSE(CONTROL!$C$21, $C$9, 100%, $E$9)</f>
        <v>14.8104</v>
      </c>
      <c r="N368" s="17">
        <f>CHOOSE(CONTROL!$C$42, 14.8269, 14.8269) * CHOOSE(CONTROL!$C$21, $C$9, 100%, $E$9)</f>
        <v>14.8269</v>
      </c>
      <c r="O368" s="17">
        <f>CHOOSE(CONTROL!$C$42, 15.092, 15.092) * CHOOSE(CONTROL!$C$21, $C$9, 100%, $E$9)</f>
        <v>15.092000000000001</v>
      </c>
      <c r="P368" s="17">
        <f>CHOOSE(CONTROL!$C$42, 14.8764, 14.8764) * CHOOSE(CONTROL!$C$21, $C$9, 100%, $E$9)</f>
        <v>14.8764</v>
      </c>
      <c r="Q368" s="17">
        <f>CHOOSE(CONTROL!$C$42, 15.6867, 15.6867) * CHOOSE(CONTROL!$C$21, $C$9, 100%, $E$9)</f>
        <v>15.6867</v>
      </c>
      <c r="R368" s="17">
        <f>CHOOSE(CONTROL!$C$42, 16.3129, 16.3129) * CHOOSE(CONTROL!$C$21, $C$9, 100%, $E$9)</f>
        <v>16.312899999999999</v>
      </c>
      <c r="S368" s="17">
        <f>CHOOSE(CONTROL!$C$42, 14.4704, 14.4704) * CHOOSE(CONTROL!$C$21, $C$9, 100%, $E$9)</f>
        <v>14.4704</v>
      </c>
      <c r="T368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368" s="56">
        <f>(1000*CHOOSE(CONTROL!$C$42, 695, 695)*CHOOSE(CONTROL!$C$42, 0.5599, 0.5599)*CHOOSE(CONTROL!$C$42, 31, 31))/1000000</f>
        <v>12.063045499999998</v>
      </c>
      <c r="V368" s="56">
        <f>(1000*CHOOSE(CONTROL!$C$42, 500, 500)*CHOOSE(CONTROL!$C$42, 0.275, 0.275)*CHOOSE(CONTROL!$C$42, 31, 31))/1000000</f>
        <v>4.2625000000000002</v>
      </c>
      <c r="W368" s="56">
        <f>(1000*CHOOSE(CONTROL!$C$42, 0.0916, 0.0916)*CHOOSE(CONTROL!$C$42, 121.5, 121.5)*CHOOSE(CONTROL!$C$42, 31, 31))/1000000</f>
        <v>0.34501139999999997</v>
      </c>
      <c r="X368" s="56">
        <f>(31*0.1790888*145000/1000000)+(31*0.2374*100000/1000000)</f>
        <v>1.5409441560000001</v>
      </c>
      <c r="Y368" s="56"/>
      <c r="Z368" s="17"/>
      <c r="AA368" s="55"/>
      <c r="AB368" s="48">
        <f>(B368*194.205+C368*267.466+D368*133.845+E368*153.484+F368*40+G368*85+H368*0+I368*100+J368*300)/(194.205+267.466+133.845+153.484+0+40+85+100+300)</f>
        <v>15.008776583908949</v>
      </c>
      <c r="AC368" s="45">
        <f>(M368*'RAP TEMPLATE-GAS AVAILABILITY'!O367+N368*'RAP TEMPLATE-GAS AVAILABILITY'!P367+O368*'RAP TEMPLATE-GAS AVAILABILITY'!Q367+P368*'RAP TEMPLATE-GAS AVAILABILITY'!R367)/('RAP TEMPLATE-GAS AVAILABILITY'!O367+'RAP TEMPLATE-GAS AVAILABILITY'!P367+'RAP TEMPLATE-GAS AVAILABILITY'!Q367+'RAP TEMPLATE-GAS AVAILABILITY'!R367)</f>
        <v>14.902705035971222</v>
      </c>
    </row>
    <row r="369" spans="1:29" ht="15.75" x14ac:dyDescent="0.25">
      <c r="A369" s="14">
        <v>51774</v>
      </c>
      <c r="B369" s="17">
        <f>CHOOSE(CONTROL!$C$42, 13.9869, 13.9869) * CHOOSE(CONTROL!$C$21, $C$9, 100%, $E$9)</f>
        <v>13.9869</v>
      </c>
      <c r="C369" s="17">
        <f>CHOOSE(CONTROL!$C$42, 13.9949, 13.9949) * CHOOSE(CONTROL!$C$21, $C$9, 100%, $E$9)</f>
        <v>13.994899999999999</v>
      </c>
      <c r="D369" s="17">
        <f>CHOOSE(CONTROL!$C$42, 14.2548, 14.2548) * CHOOSE(CONTROL!$C$21, $C$9, 100%, $E$9)</f>
        <v>14.254799999999999</v>
      </c>
      <c r="E369" s="17">
        <f>CHOOSE(CONTROL!$C$42, 14.286, 14.286) * CHOOSE(CONTROL!$C$21, $C$9, 100%, $E$9)</f>
        <v>14.286</v>
      </c>
      <c r="F369" s="17">
        <f>CHOOSE(CONTROL!$C$42, 13.9975, 13.9975)*CHOOSE(CONTROL!$C$21, $C$9, 100%, $E$9)</f>
        <v>13.9975</v>
      </c>
      <c r="G369" s="17">
        <f>CHOOSE(CONTROL!$C$42, 14.0142, 14.0142)*CHOOSE(CONTROL!$C$21, $C$9, 100%, $E$9)</f>
        <v>14.014200000000001</v>
      </c>
      <c r="H369" s="17">
        <f>CHOOSE(CONTROL!$C$42, 14.2743, 14.2743) * CHOOSE(CONTROL!$C$21, $C$9, 100%, $E$9)</f>
        <v>14.2743</v>
      </c>
      <c r="I369" s="17">
        <f>CHOOSE(CONTROL!$C$42, 14.0541, 14.0541)* CHOOSE(CONTROL!$C$21, $C$9, 100%, $E$9)</f>
        <v>14.0541</v>
      </c>
      <c r="J369" s="17">
        <f>CHOOSE(CONTROL!$C$42, 13.9901, 13.9901)* CHOOSE(CONTROL!$C$21, $C$9, 100%, $E$9)</f>
        <v>13.9901</v>
      </c>
      <c r="K369" s="52">
        <f>CHOOSE(CONTROL!$C$42, 14.0481, 14.0481) * CHOOSE(CONTROL!$C$21, $C$9, 100%, $E$9)</f>
        <v>14.0481</v>
      </c>
      <c r="L369" s="17">
        <f>CHOOSE(CONTROL!$C$42, 14.8613, 14.8613) * CHOOSE(CONTROL!$C$21, $C$9, 100%, $E$9)</f>
        <v>14.8613</v>
      </c>
      <c r="M369" s="17">
        <f>CHOOSE(CONTROL!$C$42, 13.8713, 13.8713) * CHOOSE(CONTROL!$C$21, $C$9, 100%, $E$9)</f>
        <v>13.8713</v>
      </c>
      <c r="N369" s="17">
        <f>CHOOSE(CONTROL!$C$42, 13.8879, 13.8879) * CHOOSE(CONTROL!$C$21, $C$9, 100%, $E$9)</f>
        <v>13.8879</v>
      </c>
      <c r="O369" s="17">
        <f>CHOOSE(CONTROL!$C$42, 14.1529, 14.1529) * CHOOSE(CONTROL!$C$21, $C$9, 100%, $E$9)</f>
        <v>14.152900000000001</v>
      </c>
      <c r="P369" s="17">
        <f>CHOOSE(CONTROL!$C$42, 13.9344, 13.9344) * CHOOSE(CONTROL!$C$21, $C$9, 100%, $E$9)</f>
        <v>13.9344</v>
      </c>
      <c r="Q369" s="17">
        <f>CHOOSE(CONTROL!$C$42, 14.7476, 14.7476) * CHOOSE(CONTROL!$C$21, $C$9, 100%, $E$9)</f>
        <v>14.7476</v>
      </c>
      <c r="R369" s="17">
        <f>CHOOSE(CONTROL!$C$42, 15.3715, 15.3715) * CHOOSE(CONTROL!$C$21, $C$9, 100%, $E$9)</f>
        <v>15.371499999999999</v>
      </c>
      <c r="S369" s="17">
        <f>CHOOSE(CONTROL!$C$42, 13.5515, 13.5515) * CHOOSE(CONTROL!$C$21, $C$9, 100%, $E$9)</f>
        <v>13.551500000000001</v>
      </c>
      <c r="T369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369" s="56">
        <f>(1000*CHOOSE(CONTROL!$C$42, 695, 695)*CHOOSE(CONTROL!$C$42, 0.5599, 0.5599)*CHOOSE(CONTROL!$C$42, 30, 30))/1000000</f>
        <v>11.673914999999997</v>
      </c>
      <c r="V369" s="56">
        <f>(1000*CHOOSE(CONTROL!$C$42, 500, 500)*CHOOSE(CONTROL!$C$42, 0.275, 0.275)*CHOOSE(CONTROL!$C$42, 30, 30))/1000000</f>
        <v>4.125</v>
      </c>
      <c r="W369" s="56">
        <f>(1000*CHOOSE(CONTROL!$C$42, 0.0916, 0.0916)*CHOOSE(CONTROL!$C$42, 121.5, 121.5)*CHOOSE(CONTROL!$C$42, 30, 30))/1000000</f>
        <v>0.33388200000000001</v>
      </c>
      <c r="X369" s="56">
        <f>(30*0.1790888*145000/1000000)+(30*0.2374*100000/1000000)</f>
        <v>1.4912362799999999</v>
      </c>
      <c r="Y369" s="56"/>
      <c r="Z369" s="17"/>
      <c r="AA369" s="55"/>
      <c r="AB369" s="48">
        <f>(B369*194.205+C369*267.466+D369*133.845+E369*153.484+F369*40+G369*85+H369*0+I369*100+J369*300)/(194.205+267.466+133.845+153.484+0+40+85+100+300)</f>
        <v>14.060941105102041</v>
      </c>
      <c r="AC369" s="45">
        <f>(M369*'RAP TEMPLATE-GAS AVAILABILITY'!O368+N369*'RAP TEMPLATE-GAS AVAILABILITY'!P368+O369*'RAP TEMPLATE-GAS AVAILABILITY'!Q368+P369*'RAP TEMPLATE-GAS AVAILABILITY'!R368)/('RAP TEMPLATE-GAS AVAILABILITY'!O368+'RAP TEMPLATE-GAS AVAILABILITY'!P368+'RAP TEMPLATE-GAS AVAILABILITY'!Q368+'RAP TEMPLATE-GAS AVAILABILITY'!R368)</f>
        <v>13.963210791366908</v>
      </c>
    </row>
    <row r="370" spans="1:29" ht="15.75" x14ac:dyDescent="0.25">
      <c r="A370" s="14">
        <v>51805</v>
      </c>
      <c r="B370" s="17">
        <f>CHOOSE(CONTROL!$C$42, 13.7014, 13.7014) * CHOOSE(CONTROL!$C$21, $C$9, 100%, $E$9)</f>
        <v>13.7014</v>
      </c>
      <c r="C370" s="17">
        <f>CHOOSE(CONTROL!$C$42, 13.7067, 13.7067) * CHOOSE(CONTROL!$C$21, $C$9, 100%, $E$9)</f>
        <v>13.7067</v>
      </c>
      <c r="D370" s="17">
        <f>CHOOSE(CONTROL!$C$42, 13.9715, 13.9715) * CHOOSE(CONTROL!$C$21, $C$9, 100%, $E$9)</f>
        <v>13.971500000000001</v>
      </c>
      <c r="E370" s="17">
        <f>CHOOSE(CONTROL!$C$42, 14.0004, 14.0004) * CHOOSE(CONTROL!$C$21, $C$9, 100%, $E$9)</f>
        <v>14.000400000000001</v>
      </c>
      <c r="F370" s="17">
        <f>CHOOSE(CONTROL!$C$42, 13.7143, 13.7143)*CHOOSE(CONTROL!$C$21, $C$9, 100%, $E$9)</f>
        <v>13.7143</v>
      </c>
      <c r="G370" s="17">
        <f>CHOOSE(CONTROL!$C$42, 13.7308, 13.7308)*CHOOSE(CONTROL!$C$21, $C$9, 100%, $E$9)</f>
        <v>13.7308</v>
      </c>
      <c r="H370" s="17">
        <f>CHOOSE(CONTROL!$C$42, 13.9906, 13.9906) * CHOOSE(CONTROL!$C$21, $C$9, 100%, $E$9)</f>
        <v>13.990600000000001</v>
      </c>
      <c r="I370" s="17">
        <f>CHOOSE(CONTROL!$C$42, 13.7695, 13.7695)* CHOOSE(CONTROL!$C$21, $C$9, 100%, $E$9)</f>
        <v>13.769500000000001</v>
      </c>
      <c r="J370" s="17">
        <f>CHOOSE(CONTROL!$C$42, 13.7069, 13.7069)* CHOOSE(CONTROL!$C$21, $C$9, 100%, $E$9)</f>
        <v>13.706899999999999</v>
      </c>
      <c r="K370" s="52">
        <f>CHOOSE(CONTROL!$C$42, 13.7635, 13.7635) * CHOOSE(CONTROL!$C$21, $C$9, 100%, $E$9)</f>
        <v>13.763500000000001</v>
      </c>
      <c r="L370" s="17">
        <f>CHOOSE(CONTROL!$C$42, 14.5776, 14.5776) * CHOOSE(CONTROL!$C$21, $C$9, 100%, $E$9)</f>
        <v>14.5776</v>
      </c>
      <c r="M370" s="17">
        <f>CHOOSE(CONTROL!$C$42, 13.5906, 13.5906) * CHOOSE(CONTROL!$C$21, $C$9, 100%, $E$9)</f>
        <v>13.5906</v>
      </c>
      <c r="N370" s="17">
        <f>CHOOSE(CONTROL!$C$42, 13.607, 13.607) * CHOOSE(CONTROL!$C$21, $C$9, 100%, $E$9)</f>
        <v>13.606999999999999</v>
      </c>
      <c r="O370" s="17">
        <f>CHOOSE(CONTROL!$C$42, 13.8717, 13.8717) * CHOOSE(CONTROL!$C$21, $C$9, 100%, $E$9)</f>
        <v>13.871700000000001</v>
      </c>
      <c r="P370" s="17">
        <f>CHOOSE(CONTROL!$C$42, 13.6523, 13.6523) * CHOOSE(CONTROL!$C$21, $C$9, 100%, $E$9)</f>
        <v>13.6523</v>
      </c>
      <c r="Q370" s="17">
        <f>CHOOSE(CONTROL!$C$42, 14.4664, 14.4664) * CHOOSE(CONTROL!$C$21, $C$9, 100%, $E$9)</f>
        <v>14.4664</v>
      </c>
      <c r="R370" s="17">
        <f>CHOOSE(CONTROL!$C$42, 15.0896, 15.0896) * CHOOSE(CONTROL!$C$21, $C$9, 100%, $E$9)</f>
        <v>15.089600000000001</v>
      </c>
      <c r="S370" s="17">
        <f>CHOOSE(CONTROL!$C$42, 13.2764, 13.2764) * CHOOSE(CONTROL!$C$21, $C$9, 100%, $E$9)</f>
        <v>13.276400000000001</v>
      </c>
      <c r="T370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370" s="56">
        <f>(1000*CHOOSE(CONTROL!$C$42, 695, 695)*CHOOSE(CONTROL!$C$42, 0.5599, 0.5599)*CHOOSE(CONTROL!$C$42, 31, 31))/1000000</f>
        <v>12.063045499999998</v>
      </c>
      <c r="V370" s="56">
        <f>(1000*CHOOSE(CONTROL!$C$42, 500, 500)*CHOOSE(CONTROL!$C$42, 0.275, 0.275)*CHOOSE(CONTROL!$C$42, 31, 31))/1000000</f>
        <v>4.2625000000000002</v>
      </c>
      <c r="W370" s="56">
        <f>(1000*CHOOSE(CONTROL!$C$42, 0.0916, 0.0916)*CHOOSE(CONTROL!$C$42, 121.5, 121.5)*CHOOSE(CONTROL!$C$42, 31, 31))/1000000</f>
        <v>0.34501139999999997</v>
      </c>
      <c r="X370" s="56">
        <f>(31*0.1790888*145000/1000000)+(31*0.2374*100000/1000000)</f>
        <v>1.5409441560000001</v>
      </c>
      <c r="Y370" s="56"/>
      <c r="Z370" s="17"/>
      <c r="AA370" s="55"/>
      <c r="AB370" s="48">
        <f>(B370*131.881+C370*277.167+D370*79.08+E370*225.872+F370*40+G370*85+H370*0+I370*100+J370*300)/(131.881+277.167+79.08+225.872+0+40+85+100+300)</f>
        <v>13.78359469015335</v>
      </c>
      <c r="AC370" s="45">
        <f>(M370*'RAP TEMPLATE-GAS AVAILABILITY'!O369+N370*'RAP TEMPLATE-GAS AVAILABILITY'!P369+O370*'RAP TEMPLATE-GAS AVAILABILITY'!Q369+P370*'RAP TEMPLATE-GAS AVAILABILITY'!R369)/('RAP TEMPLATE-GAS AVAILABILITY'!O369+'RAP TEMPLATE-GAS AVAILABILITY'!P369+'RAP TEMPLATE-GAS AVAILABILITY'!Q369+'RAP TEMPLATE-GAS AVAILABILITY'!R369)</f>
        <v>13.682123021582733</v>
      </c>
    </row>
    <row r="371" spans="1:29" ht="15.75" x14ac:dyDescent="0.25">
      <c r="A371" s="14">
        <v>51835</v>
      </c>
      <c r="B371" s="17">
        <f>CHOOSE(CONTROL!$C$42, 14.0617, 14.0617) * CHOOSE(CONTROL!$C$21, $C$9, 100%, $E$9)</f>
        <v>14.0617</v>
      </c>
      <c r="C371" s="17">
        <f>CHOOSE(CONTROL!$C$42, 14.0668, 14.0668) * CHOOSE(CONTROL!$C$21, $C$9, 100%, $E$9)</f>
        <v>14.066800000000001</v>
      </c>
      <c r="D371" s="17">
        <f>CHOOSE(CONTROL!$C$42, 14.2074, 14.2074) * CHOOSE(CONTROL!$C$21, $C$9, 100%, $E$9)</f>
        <v>14.2074</v>
      </c>
      <c r="E371" s="17">
        <f>CHOOSE(CONTROL!$C$42, 14.2412, 14.2412) * CHOOSE(CONTROL!$C$21, $C$9, 100%, $E$9)</f>
        <v>14.241199999999999</v>
      </c>
      <c r="F371" s="17">
        <f>CHOOSE(CONTROL!$C$42, 14.075, 14.075)*CHOOSE(CONTROL!$C$21, $C$9, 100%, $E$9)</f>
        <v>14.074999999999999</v>
      </c>
      <c r="G371" s="17">
        <f>CHOOSE(CONTROL!$C$42, 14.0918, 14.0918)*CHOOSE(CONTROL!$C$21, $C$9, 100%, $E$9)</f>
        <v>14.091799999999999</v>
      </c>
      <c r="H371" s="17">
        <f>CHOOSE(CONTROL!$C$42, 14.2301, 14.2301) * CHOOSE(CONTROL!$C$21, $C$9, 100%, $E$9)</f>
        <v>14.2301</v>
      </c>
      <c r="I371" s="17">
        <f>CHOOSE(CONTROL!$C$42, 14.1277, 14.1277)* CHOOSE(CONTROL!$C$21, $C$9, 100%, $E$9)</f>
        <v>14.127700000000001</v>
      </c>
      <c r="J371" s="17">
        <f>CHOOSE(CONTROL!$C$42, 14.0676, 14.0676)* CHOOSE(CONTROL!$C$21, $C$9, 100%, $E$9)</f>
        <v>14.067600000000001</v>
      </c>
      <c r="K371" s="52">
        <f>CHOOSE(CONTROL!$C$42, 14.1216, 14.1216) * CHOOSE(CONTROL!$C$21, $C$9, 100%, $E$9)</f>
        <v>14.121600000000001</v>
      </c>
      <c r="L371" s="17">
        <f>CHOOSE(CONTROL!$C$42, 14.8171, 14.8171) * CHOOSE(CONTROL!$C$21, $C$9, 100%, $E$9)</f>
        <v>14.8171</v>
      </c>
      <c r="M371" s="17">
        <f>CHOOSE(CONTROL!$C$42, 13.9481, 13.9481) * CHOOSE(CONTROL!$C$21, $C$9, 100%, $E$9)</f>
        <v>13.9481</v>
      </c>
      <c r="N371" s="17">
        <f>CHOOSE(CONTROL!$C$42, 13.9648, 13.9648) * CHOOSE(CONTROL!$C$21, $C$9, 100%, $E$9)</f>
        <v>13.9648</v>
      </c>
      <c r="O371" s="17">
        <f>CHOOSE(CONTROL!$C$42, 14.1091, 14.1091) * CHOOSE(CONTROL!$C$21, $C$9, 100%, $E$9)</f>
        <v>14.1091</v>
      </c>
      <c r="P371" s="17">
        <f>CHOOSE(CONTROL!$C$42, 14.0073, 14.0073) * CHOOSE(CONTROL!$C$21, $C$9, 100%, $E$9)</f>
        <v>14.007300000000001</v>
      </c>
      <c r="Q371" s="17">
        <f>CHOOSE(CONTROL!$C$42, 14.7038, 14.7038) * CHOOSE(CONTROL!$C$21, $C$9, 100%, $E$9)</f>
        <v>14.703799999999999</v>
      </c>
      <c r="R371" s="17">
        <f>CHOOSE(CONTROL!$C$42, 15.3275, 15.3275) * CHOOSE(CONTROL!$C$21, $C$9, 100%, $E$9)</f>
        <v>15.327500000000001</v>
      </c>
      <c r="S371" s="17">
        <f>CHOOSE(CONTROL!$C$42, 13.6261, 13.6261) * CHOOSE(CONTROL!$C$21, $C$9, 100%, $E$9)</f>
        <v>13.626099999999999</v>
      </c>
      <c r="T371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371" s="56">
        <f>(1000*CHOOSE(CONTROL!$C$42, 695, 695)*CHOOSE(CONTROL!$C$42, 0.5599, 0.5599)*CHOOSE(CONTROL!$C$42, 30, 30))/1000000</f>
        <v>11.673914999999997</v>
      </c>
      <c r="V371" s="56">
        <f>(1000*CHOOSE(CONTROL!$C$42, 500, 500)*CHOOSE(CONTROL!$C$42, 0.275, 0.275)*CHOOSE(CONTROL!$C$42, 30, 30))/1000000</f>
        <v>4.125</v>
      </c>
      <c r="W371" s="56">
        <f>(1000*CHOOSE(CONTROL!$C$42, 0.0916, 0.0916)*CHOOSE(CONTROL!$C$42, 121.5, 121.5)*CHOOSE(CONTROL!$C$42, 30, 30))/1000000</f>
        <v>0.33388200000000001</v>
      </c>
      <c r="X371" s="56">
        <f>(30*0.2374*100000/1000000)</f>
        <v>0.71220000000000006</v>
      </c>
      <c r="Y371" s="56"/>
      <c r="Z371" s="17"/>
      <c r="AA371" s="55"/>
      <c r="AB371" s="48">
        <f>(B371*122.58+C371*297.941+D371*89.177+E371*140.302+F371*40+G371*60+H371*0+I371*100+J371*300)/(122.58+297.941+89.177+140.302+0+40+60+100+300)</f>
        <v>14.10553025826087</v>
      </c>
      <c r="AC371" s="45">
        <f>(M371*'RAP TEMPLATE-GAS AVAILABILITY'!O370+N371*'RAP TEMPLATE-GAS AVAILABILITY'!P370+O371*'RAP TEMPLATE-GAS AVAILABILITY'!Q370+P371*'RAP TEMPLATE-GAS AVAILABILITY'!R370)/('RAP TEMPLATE-GAS AVAILABILITY'!O370+'RAP TEMPLATE-GAS AVAILABILITY'!P370+'RAP TEMPLATE-GAS AVAILABILITY'!Q370+'RAP TEMPLATE-GAS AVAILABILITY'!R370)</f>
        <v>14.03055035971223</v>
      </c>
    </row>
    <row r="372" spans="1:29" ht="15.75" x14ac:dyDescent="0.25">
      <c r="A372" s="14">
        <v>51866</v>
      </c>
      <c r="B372" s="17">
        <f>CHOOSE(CONTROL!$C$42, 15.0197, 15.0197) * CHOOSE(CONTROL!$C$21, $C$9, 100%, $E$9)</f>
        <v>15.0197</v>
      </c>
      <c r="C372" s="17">
        <f>CHOOSE(CONTROL!$C$42, 15.0248, 15.0248) * CHOOSE(CONTROL!$C$21, $C$9, 100%, $E$9)</f>
        <v>15.024800000000001</v>
      </c>
      <c r="D372" s="17">
        <f>CHOOSE(CONTROL!$C$42, 15.1654, 15.1654) * CHOOSE(CONTROL!$C$21, $C$9, 100%, $E$9)</f>
        <v>15.1654</v>
      </c>
      <c r="E372" s="17">
        <f>CHOOSE(CONTROL!$C$42, 15.1992, 15.1992) * CHOOSE(CONTROL!$C$21, $C$9, 100%, $E$9)</f>
        <v>15.199199999999999</v>
      </c>
      <c r="F372" s="17">
        <f>CHOOSE(CONTROL!$C$42, 15.0354, 15.0354)*CHOOSE(CONTROL!$C$21, $C$9, 100%, $E$9)</f>
        <v>15.035399999999999</v>
      </c>
      <c r="G372" s="17">
        <f>CHOOSE(CONTROL!$C$42, 15.0529, 15.0529)*CHOOSE(CONTROL!$C$21, $C$9, 100%, $E$9)</f>
        <v>15.052899999999999</v>
      </c>
      <c r="H372" s="17">
        <f>CHOOSE(CONTROL!$C$42, 15.1881, 15.1881) * CHOOSE(CONTROL!$C$21, $C$9, 100%, $E$9)</f>
        <v>15.1881</v>
      </c>
      <c r="I372" s="17">
        <f>CHOOSE(CONTROL!$C$42, 15.0886, 15.0886)* CHOOSE(CONTROL!$C$21, $C$9, 100%, $E$9)</f>
        <v>15.0886</v>
      </c>
      <c r="J372" s="17">
        <f>CHOOSE(CONTROL!$C$42, 15.028, 15.028)* CHOOSE(CONTROL!$C$21, $C$9, 100%, $E$9)</f>
        <v>15.028</v>
      </c>
      <c r="K372" s="52">
        <f>CHOOSE(CONTROL!$C$42, 15.0826, 15.0826) * CHOOSE(CONTROL!$C$21, $C$9, 100%, $E$9)</f>
        <v>15.082599999999999</v>
      </c>
      <c r="L372" s="17">
        <f>CHOOSE(CONTROL!$C$42, 15.7751, 15.7751) * CHOOSE(CONTROL!$C$21, $C$9, 100%, $E$9)</f>
        <v>15.7751</v>
      </c>
      <c r="M372" s="17">
        <f>CHOOSE(CONTROL!$C$42, 14.8998, 14.8998) * CHOOSE(CONTROL!$C$21, $C$9, 100%, $E$9)</f>
        <v>14.899800000000001</v>
      </c>
      <c r="N372" s="17">
        <f>CHOOSE(CONTROL!$C$42, 14.9172, 14.9172) * CHOOSE(CONTROL!$C$21, $C$9, 100%, $E$9)</f>
        <v>14.917199999999999</v>
      </c>
      <c r="O372" s="17">
        <f>CHOOSE(CONTROL!$C$42, 15.0585, 15.0585) * CHOOSE(CONTROL!$C$21, $C$9, 100%, $E$9)</f>
        <v>15.0585</v>
      </c>
      <c r="P372" s="17">
        <f>CHOOSE(CONTROL!$C$42, 14.9596, 14.9596) * CHOOSE(CONTROL!$C$21, $C$9, 100%, $E$9)</f>
        <v>14.9596</v>
      </c>
      <c r="Q372" s="17">
        <f>CHOOSE(CONTROL!$C$42, 15.6532, 15.6532) * CHOOSE(CONTROL!$C$21, $C$9, 100%, $E$9)</f>
        <v>15.6532</v>
      </c>
      <c r="R372" s="17">
        <f>CHOOSE(CONTROL!$C$42, 16.2793, 16.2793) * CHOOSE(CONTROL!$C$21, $C$9, 100%, $E$9)</f>
        <v>16.279299999999999</v>
      </c>
      <c r="S372" s="17">
        <f>CHOOSE(CONTROL!$C$42, 14.5551, 14.5551) * CHOOSE(CONTROL!$C$21, $C$9, 100%, $E$9)</f>
        <v>14.555099999999999</v>
      </c>
      <c r="T372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372" s="56">
        <f>(1000*CHOOSE(CONTROL!$C$42, 695, 695)*CHOOSE(CONTROL!$C$42, 0.5599, 0.5599)*CHOOSE(CONTROL!$C$42, 31, 31))/1000000</f>
        <v>12.063045499999998</v>
      </c>
      <c r="V372" s="56">
        <f>(1000*CHOOSE(CONTROL!$C$42, 500, 500)*CHOOSE(CONTROL!$C$42, 0.275, 0.275)*CHOOSE(CONTROL!$C$42, 31, 31))/1000000</f>
        <v>4.2625000000000002</v>
      </c>
      <c r="W372" s="56">
        <f>(1000*CHOOSE(CONTROL!$C$42, 0.0916, 0.0916)*CHOOSE(CONTROL!$C$42, 121.5, 121.5)*CHOOSE(CONTROL!$C$42, 31, 31))/1000000</f>
        <v>0.34501139999999997</v>
      </c>
      <c r="X372" s="56">
        <f>(31*0.2374*100000/1000000)</f>
        <v>0.73594000000000004</v>
      </c>
      <c r="Y372" s="56"/>
      <c r="Z372" s="17"/>
      <c r="AA372" s="55"/>
      <c r="AB372" s="48">
        <f>(B372*122.58+C372*297.941+D372*89.177+E372*140.302+F372*40+G372*60+H372*0+I372*100+J372*300)/(122.58+297.941+89.177+140.302+0+40+60+100+300)</f>
        <v>15.064653736521739</v>
      </c>
      <c r="AC372" s="45">
        <f>(M372*'RAP TEMPLATE-GAS AVAILABILITY'!O371+N372*'RAP TEMPLATE-GAS AVAILABILITY'!P371+O372*'RAP TEMPLATE-GAS AVAILABILITY'!Q371+P372*'RAP TEMPLATE-GAS AVAILABILITY'!R371)/('RAP TEMPLATE-GAS AVAILABILITY'!O371+'RAP TEMPLATE-GAS AVAILABILITY'!P371+'RAP TEMPLATE-GAS AVAILABILITY'!Q371+'RAP TEMPLATE-GAS AVAILABILITY'!R371)</f>
        <v>14.981334532374101</v>
      </c>
    </row>
    <row r="373" spans="1:29" ht="15.75" x14ac:dyDescent="0.25">
      <c r="A373" s="14">
        <v>51897</v>
      </c>
      <c r="B373" s="17">
        <f>CHOOSE(CONTROL!$C$42, 16.1732, 16.1732) * CHOOSE(CONTROL!$C$21, $C$9, 100%, $E$9)</f>
        <v>16.173200000000001</v>
      </c>
      <c r="C373" s="17">
        <f>CHOOSE(CONTROL!$C$42, 16.1783, 16.1783) * CHOOSE(CONTROL!$C$21, $C$9, 100%, $E$9)</f>
        <v>16.1783</v>
      </c>
      <c r="D373" s="17">
        <f>CHOOSE(CONTROL!$C$42, 16.3122, 16.3122) * CHOOSE(CONTROL!$C$21, $C$9, 100%, $E$9)</f>
        <v>16.312200000000001</v>
      </c>
      <c r="E373" s="17">
        <f>CHOOSE(CONTROL!$C$42, 16.346, 16.346) * CHOOSE(CONTROL!$C$21, $C$9, 100%, $E$9)</f>
        <v>16.346</v>
      </c>
      <c r="F373" s="17">
        <f>CHOOSE(CONTROL!$C$42, 16.1866, 16.1866)*CHOOSE(CONTROL!$C$21, $C$9, 100%, $E$9)</f>
        <v>16.186599999999999</v>
      </c>
      <c r="G373" s="17">
        <f>CHOOSE(CONTROL!$C$42, 16.2035, 16.2035)*CHOOSE(CONTROL!$C$21, $C$9, 100%, $E$9)</f>
        <v>16.203499999999998</v>
      </c>
      <c r="H373" s="17">
        <f>CHOOSE(CONTROL!$C$42, 16.3349, 16.3349) * CHOOSE(CONTROL!$C$21, $C$9, 100%, $E$9)</f>
        <v>16.334900000000001</v>
      </c>
      <c r="I373" s="17">
        <f>CHOOSE(CONTROL!$C$42, 16.2499, 16.2499)* CHOOSE(CONTROL!$C$21, $C$9, 100%, $E$9)</f>
        <v>16.2499</v>
      </c>
      <c r="J373" s="17">
        <f>CHOOSE(CONTROL!$C$42, 16.1792, 16.1792)* CHOOSE(CONTROL!$C$21, $C$9, 100%, $E$9)</f>
        <v>16.179200000000002</v>
      </c>
      <c r="K373" s="52">
        <f>CHOOSE(CONTROL!$C$42, 16.2438, 16.2438) * CHOOSE(CONTROL!$C$21, $C$9, 100%, $E$9)</f>
        <v>16.2438</v>
      </c>
      <c r="L373" s="17">
        <f>CHOOSE(CONTROL!$C$42, 16.9219, 16.9219) * CHOOSE(CONTROL!$C$21, $C$9, 100%, $E$9)</f>
        <v>16.921900000000001</v>
      </c>
      <c r="M373" s="17">
        <f>CHOOSE(CONTROL!$C$42, 16.0407, 16.0407) * CHOOSE(CONTROL!$C$21, $C$9, 100%, $E$9)</f>
        <v>16.040700000000001</v>
      </c>
      <c r="N373" s="17">
        <f>CHOOSE(CONTROL!$C$42, 16.0575, 16.0575) * CHOOSE(CONTROL!$C$21, $C$9, 100%, $E$9)</f>
        <v>16.057500000000001</v>
      </c>
      <c r="O373" s="17">
        <f>CHOOSE(CONTROL!$C$42, 16.195, 16.195) * CHOOSE(CONTROL!$C$21, $C$9, 100%, $E$9)</f>
        <v>16.195</v>
      </c>
      <c r="P373" s="17">
        <f>CHOOSE(CONTROL!$C$42, 16.1103, 16.1103) * CHOOSE(CONTROL!$C$21, $C$9, 100%, $E$9)</f>
        <v>16.110299999999999</v>
      </c>
      <c r="Q373" s="17">
        <f>CHOOSE(CONTROL!$C$42, 16.7897, 16.7897) * CHOOSE(CONTROL!$C$21, $C$9, 100%, $E$9)</f>
        <v>16.7897</v>
      </c>
      <c r="R373" s="17">
        <f>CHOOSE(CONTROL!$C$42, 17.4186, 17.4186) * CHOOSE(CONTROL!$C$21, $C$9, 100%, $E$9)</f>
        <v>17.418600000000001</v>
      </c>
      <c r="S373" s="17">
        <f>CHOOSE(CONTROL!$C$42, 15.6736, 15.6736) * CHOOSE(CONTROL!$C$21, $C$9, 100%, $E$9)</f>
        <v>15.6736</v>
      </c>
      <c r="T373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373" s="56">
        <f>(1000*CHOOSE(CONTROL!$C$42, 695, 695)*CHOOSE(CONTROL!$C$42, 0.5599, 0.5599)*CHOOSE(CONTROL!$C$42, 31, 31))/1000000</f>
        <v>12.063045499999998</v>
      </c>
      <c r="V373" s="56">
        <f>(1000*CHOOSE(CONTROL!$C$42, 500, 500)*CHOOSE(CONTROL!$C$42, 0.275, 0.275)*CHOOSE(CONTROL!$C$42, 31, 31))/1000000</f>
        <v>4.2625000000000002</v>
      </c>
      <c r="W373" s="56">
        <f>(1000*CHOOSE(CONTROL!$C$42, 0.0916, 0.0916)*CHOOSE(CONTROL!$C$42, 121.5, 121.5)*CHOOSE(CONTROL!$C$42, 31, 31))/1000000</f>
        <v>0.34501139999999997</v>
      </c>
      <c r="X373" s="56">
        <f>(31*0.2374*100000/1000000)</f>
        <v>0.73594000000000004</v>
      </c>
      <c r="Y373" s="56"/>
      <c r="Z373" s="17"/>
      <c r="AA373" s="55"/>
      <c r="AB373" s="48">
        <f>(B373*122.58+C373*297.941+D373*89.177+E373*140.302+F373*40+G373*60+H373*0+I373*100+J373*300)/(122.58+297.941+89.177+140.302+0+40+60+100+300)</f>
        <v>16.216663728434785</v>
      </c>
      <c r="AC373" s="45">
        <f>(M373*'RAP TEMPLATE-GAS AVAILABILITY'!O372+N373*'RAP TEMPLATE-GAS AVAILABILITY'!P372+O373*'RAP TEMPLATE-GAS AVAILABILITY'!Q372+P373*'RAP TEMPLATE-GAS AVAILABILITY'!R372)/('RAP TEMPLATE-GAS AVAILABILITY'!O372+'RAP TEMPLATE-GAS AVAILABILITY'!P372+'RAP TEMPLATE-GAS AVAILABILITY'!Q372+'RAP TEMPLATE-GAS AVAILABILITY'!R372)</f>
        <v>16.121615827338132</v>
      </c>
    </row>
    <row r="374" spans="1:29" ht="15.75" x14ac:dyDescent="0.25">
      <c r="A374" s="14">
        <v>51925</v>
      </c>
      <c r="B374" s="17">
        <f>CHOOSE(CONTROL!$C$42, 16.4609, 16.4609) * CHOOSE(CONTROL!$C$21, $C$9, 100%, $E$9)</f>
        <v>16.460899999999999</v>
      </c>
      <c r="C374" s="17">
        <f>CHOOSE(CONTROL!$C$42, 16.466, 16.466) * CHOOSE(CONTROL!$C$21, $C$9, 100%, $E$9)</f>
        <v>16.466000000000001</v>
      </c>
      <c r="D374" s="17">
        <f>CHOOSE(CONTROL!$C$42, 16.5999, 16.5999) * CHOOSE(CONTROL!$C$21, $C$9, 100%, $E$9)</f>
        <v>16.599900000000002</v>
      </c>
      <c r="E374" s="17">
        <f>CHOOSE(CONTROL!$C$42, 16.6337, 16.6337) * CHOOSE(CONTROL!$C$21, $C$9, 100%, $E$9)</f>
        <v>16.633700000000001</v>
      </c>
      <c r="F374" s="17">
        <f>CHOOSE(CONTROL!$C$42, 16.4743, 16.4743)*CHOOSE(CONTROL!$C$21, $C$9, 100%, $E$9)</f>
        <v>16.474299999999999</v>
      </c>
      <c r="G374" s="17">
        <f>CHOOSE(CONTROL!$C$42, 16.4912, 16.4912)*CHOOSE(CONTROL!$C$21, $C$9, 100%, $E$9)</f>
        <v>16.491199999999999</v>
      </c>
      <c r="H374" s="17">
        <f>CHOOSE(CONTROL!$C$42, 16.6226, 16.6226) * CHOOSE(CONTROL!$C$21, $C$9, 100%, $E$9)</f>
        <v>16.622599999999998</v>
      </c>
      <c r="I374" s="17">
        <f>CHOOSE(CONTROL!$C$42, 16.5385, 16.5385)* CHOOSE(CONTROL!$C$21, $C$9, 100%, $E$9)</f>
        <v>16.538499999999999</v>
      </c>
      <c r="J374" s="17">
        <f>CHOOSE(CONTROL!$C$42, 16.4669, 16.4669)* CHOOSE(CONTROL!$C$21, $C$9, 100%, $E$9)</f>
        <v>16.466899999999999</v>
      </c>
      <c r="K374" s="52">
        <f>CHOOSE(CONTROL!$C$42, 16.5324, 16.5324) * CHOOSE(CONTROL!$C$21, $C$9, 100%, $E$9)</f>
        <v>16.532399999999999</v>
      </c>
      <c r="L374" s="17">
        <f>CHOOSE(CONTROL!$C$42, 17.2096, 17.2096) * CHOOSE(CONTROL!$C$21, $C$9, 100%, $E$9)</f>
        <v>17.209599999999998</v>
      </c>
      <c r="M374" s="17">
        <f>CHOOSE(CONTROL!$C$42, 16.3258, 16.3258) * CHOOSE(CONTROL!$C$21, $C$9, 100%, $E$9)</f>
        <v>16.325800000000001</v>
      </c>
      <c r="N374" s="17">
        <f>CHOOSE(CONTROL!$C$42, 16.3425, 16.3425) * CHOOSE(CONTROL!$C$21, $C$9, 100%, $E$9)</f>
        <v>16.342500000000001</v>
      </c>
      <c r="O374" s="17">
        <f>CHOOSE(CONTROL!$C$42, 16.4801, 16.4801) * CHOOSE(CONTROL!$C$21, $C$9, 100%, $E$9)</f>
        <v>16.4801</v>
      </c>
      <c r="P374" s="17">
        <f>CHOOSE(CONTROL!$C$42, 16.3963, 16.3963) * CHOOSE(CONTROL!$C$21, $C$9, 100%, $E$9)</f>
        <v>16.3963</v>
      </c>
      <c r="Q374" s="17">
        <f>CHOOSE(CONTROL!$C$42, 17.0748, 17.0748) * CHOOSE(CONTROL!$C$21, $C$9, 100%, $E$9)</f>
        <v>17.0748</v>
      </c>
      <c r="R374" s="17">
        <f>CHOOSE(CONTROL!$C$42, 17.7045, 17.7045) * CHOOSE(CONTROL!$C$21, $C$9, 100%, $E$9)</f>
        <v>17.704499999999999</v>
      </c>
      <c r="S374" s="17">
        <f>CHOOSE(CONTROL!$C$42, 15.9526, 15.9526) * CHOOSE(CONTROL!$C$21, $C$9, 100%, $E$9)</f>
        <v>15.9526</v>
      </c>
      <c r="T374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374" s="56">
        <f>(1000*CHOOSE(CONTROL!$C$42, 695, 695)*CHOOSE(CONTROL!$C$42, 0.5599, 0.5599)*CHOOSE(CONTROL!$C$42, 28, 28))/1000000</f>
        <v>10.895653999999999</v>
      </c>
      <c r="V374" s="56">
        <f>(1000*CHOOSE(CONTROL!$C$42, 500, 500)*CHOOSE(CONTROL!$C$42, 0.275, 0.275)*CHOOSE(CONTROL!$C$42, 28, 28))/1000000</f>
        <v>3.85</v>
      </c>
      <c r="W374" s="56">
        <f>(1000*CHOOSE(CONTROL!$C$42, 0.0916, 0.0916)*CHOOSE(CONTROL!$C$42, 121.5, 121.5)*CHOOSE(CONTROL!$C$42, 28, 28))/1000000</f>
        <v>0.31162319999999999</v>
      </c>
      <c r="X374" s="56">
        <f>(28*0.2374*100000/1000000)</f>
        <v>0.66471999999999998</v>
      </c>
      <c r="Y374" s="56"/>
      <c r="Z374" s="17"/>
      <c r="AA374" s="55"/>
      <c r="AB374" s="48">
        <f>(B374*122.58+C374*297.941+D374*89.177+E374*140.302+F374*40+G374*60+H374*0+I374*100+J374*300)/(122.58+297.941+89.177+140.302+0+40+60+100+300)</f>
        <v>16.504441989304347</v>
      </c>
      <c r="AC374" s="45">
        <f>(M374*'RAP TEMPLATE-GAS AVAILABILITY'!O373+N374*'RAP TEMPLATE-GAS AVAILABILITY'!P373+O374*'RAP TEMPLATE-GAS AVAILABILITY'!Q373+P374*'RAP TEMPLATE-GAS AVAILABILITY'!R373)/('RAP TEMPLATE-GAS AVAILABILITY'!O373+'RAP TEMPLATE-GAS AVAILABILITY'!P373+'RAP TEMPLATE-GAS AVAILABILITY'!Q373+'RAP TEMPLATE-GAS AVAILABILITY'!R373)</f>
        <v>16.406839568345323</v>
      </c>
    </row>
    <row r="375" spans="1:29" ht="15.75" x14ac:dyDescent="0.25">
      <c r="A375" s="14">
        <v>51956</v>
      </c>
      <c r="B375" s="17">
        <f>CHOOSE(CONTROL!$C$42, 15.9939, 15.9939) * CHOOSE(CONTROL!$C$21, $C$9, 100%, $E$9)</f>
        <v>15.9939</v>
      </c>
      <c r="C375" s="17">
        <f>CHOOSE(CONTROL!$C$42, 15.9989, 15.9989) * CHOOSE(CONTROL!$C$21, $C$9, 100%, $E$9)</f>
        <v>15.998900000000001</v>
      </c>
      <c r="D375" s="17">
        <f>CHOOSE(CONTROL!$C$42, 16.1329, 16.1329) * CHOOSE(CONTROL!$C$21, $C$9, 100%, $E$9)</f>
        <v>16.132899999999999</v>
      </c>
      <c r="E375" s="17">
        <f>CHOOSE(CONTROL!$C$42, 16.1667, 16.1667) * CHOOSE(CONTROL!$C$21, $C$9, 100%, $E$9)</f>
        <v>16.166699999999999</v>
      </c>
      <c r="F375" s="17">
        <f>CHOOSE(CONTROL!$C$42, 16.0065, 16.0065)*CHOOSE(CONTROL!$C$21, $C$9, 100%, $E$9)</f>
        <v>16.006499999999999</v>
      </c>
      <c r="G375" s="17">
        <f>CHOOSE(CONTROL!$C$42, 16.0232, 16.0232)*CHOOSE(CONTROL!$C$21, $C$9, 100%, $E$9)</f>
        <v>16.023199999999999</v>
      </c>
      <c r="H375" s="17">
        <f>CHOOSE(CONTROL!$C$42, 16.1555, 16.1555) * CHOOSE(CONTROL!$C$21, $C$9, 100%, $E$9)</f>
        <v>16.1555</v>
      </c>
      <c r="I375" s="17">
        <f>CHOOSE(CONTROL!$C$42, 16.07, 16.07)* CHOOSE(CONTROL!$C$21, $C$9, 100%, $E$9)</f>
        <v>16.07</v>
      </c>
      <c r="J375" s="17">
        <f>CHOOSE(CONTROL!$C$42, 15.9991, 15.9991)* CHOOSE(CONTROL!$C$21, $C$9, 100%, $E$9)</f>
        <v>15.9991</v>
      </c>
      <c r="K375" s="52">
        <f>CHOOSE(CONTROL!$C$42, 16.064, 16.064) * CHOOSE(CONTROL!$C$21, $C$9, 100%, $E$9)</f>
        <v>16.064</v>
      </c>
      <c r="L375" s="17">
        <f>CHOOSE(CONTROL!$C$42, 16.7425, 16.7425) * CHOOSE(CONTROL!$C$21, $C$9, 100%, $E$9)</f>
        <v>16.7425</v>
      </c>
      <c r="M375" s="17">
        <f>CHOOSE(CONTROL!$C$42, 15.8622, 15.8622) * CHOOSE(CONTROL!$C$21, $C$9, 100%, $E$9)</f>
        <v>15.8622</v>
      </c>
      <c r="N375" s="17">
        <f>CHOOSE(CONTROL!$C$42, 15.8787, 15.8787) * CHOOSE(CONTROL!$C$21, $C$9, 100%, $E$9)</f>
        <v>15.8787</v>
      </c>
      <c r="O375" s="17">
        <f>CHOOSE(CONTROL!$C$42, 16.0172, 16.0172) * CHOOSE(CONTROL!$C$21, $C$9, 100%, $E$9)</f>
        <v>16.017199999999999</v>
      </c>
      <c r="P375" s="17">
        <f>CHOOSE(CONTROL!$C$42, 15.9321, 15.9321) * CHOOSE(CONTROL!$C$21, $C$9, 100%, $E$9)</f>
        <v>15.9321</v>
      </c>
      <c r="Q375" s="17">
        <f>CHOOSE(CONTROL!$C$42, 16.6119, 16.6119) * CHOOSE(CONTROL!$C$21, $C$9, 100%, $E$9)</f>
        <v>16.611899999999999</v>
      </c>
      <c r="R375" s="17">
        <f>CHOOSE(CONTROL!$C$42, 17.2405, 17.2405) * CHOOSE(CONTROL!$C$21, $C$9, 100%, $E$9)</f>
        <v>17.240500000000001</v>
      </c>
      <c r="S375" s="17">
        <f>CHOOSE(CONTROL!$C$42, 15.4997, 15.4997) * CHOOSE(CONTROL!$C$21, $C$9, 100%, $E$9)</f>
        <v>15.499700000000001</v>
      </c>
      <c r="T375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375" s="56">
        <f>(1000*CHOOSE(CONTROL!$C$42, 695, 695)*CHOOSE(CONTROL!$C$42, 0.5599, 0.5599)*CHOOSE(CONTROL!$C$42, 31, 31))/1000000</f>
        <v>12.063045499999998</v>
      </c>
      <c r="V375" s="56">
        <f>(1000*CHOOSE(CONTROL!$C$42, 500, 500)*CHOOSE(CONTROL!$C$42, 0.275, 0.275)*CHOOSE(CONTROL!$C$42, 31, 31))/1000000</f>
        <v>4.2625000000000002</v>
      </c>
      <c r="W375" s="56">
        <f>(1000*CHOOSE(CONTROL!$C$42, 0.0916, 0.0916)*CHOOSE(CONTROL!$C$42, 121.5, 121.5)*CHOOSE(CONTROL!$C$42, 31, 31))/1000000</f>
        <v>0.34501139999999997</v>
      </c>
      <c r="X375" s="56">
        <f>(31*0.2374*100000/1000000)</f>
        <v>0.73594000000000004</v>
      </c>
      <c r="Y375" s="56"/>
      <c r="Z375" s="17"/>
      <c r="AA375" s="55"/>
      <c r="AB375" s="48">
        <f>(B375*122.58+C375*297.941+D375*89.177+E375*140.302+F375*40+G375*60+H375*0+I375*100+J375*300)/(122.58+297.941+89.177+140.302+0+40+60+100+300)</f>
        <v>16.036996950956521</v>
      </c>
      <c r="AC375" s="45">
        <f>(M375*'RAP TEMPLATE-GAS AVAILABILITY'!O374+N375*'RAP TEMPLATE-GAS AVAILABILITY'!P374+O375*'RAP TEMPLATE-GAS AVAILABILITY'!Q374+P375*'RAP TEMPLATE-GAS AVAILABILITY'!R374)/('RAP TEMPLATE-GAS AVAILABILITY'!O374+'RAP TEMPLATE-GAS AVAILABILITY'!P374+'RAP TEMPLATE-GAS AVAILABILITY'!Q374+'RAP TEMPLATE-GAS AVAILABILITY'!R374)</f>
        <v>15.943458992805752</v>
      </c>
    </row>
    <row r="376" spans="1:29" ht="15.75" x14ac:dyDescent="0.25">
      <c r="A376" s="14">
        <v>51986</v>
      </c>
      <c r="B376" s="17">
        <f>CHOOSE(CONTROL!$C$42, 15.947, 15.947) * CHOOSE(CONTROL!$C$21, $C$9, 100%, $E$9)</f>
        <v>15.946999999999999</v>
      </c>
      <c r="C376" s="17">
        <f>CHOOSE(CONTROL!$C$42, 15.9516, 15.9516) * CHOOSE(CONTROL!$C$21, $C$9, 100%, $E$9)</f>
        <v>15.951599999999999</v>
      </c>
      <c r="D376" s="17">
        <f>CHOOSE(CONTROL!$C$42, 16.2146, 16.2146) * CHOOSE(CONTROL!$C$21, $C$9, 100%, $E$9)</f>
        <v>16.214600000000001</v>
      </c>
      <c r="E376" s="17">
        <f>CHOOSE(CONTROL!$C$42, 16.2464, 16.2464) * CHOOSE(CONTROL!$C$21, $C$9, 100%, $E$9)</f>
        <v>16.246400000000001</v>
      </c>
      <c r="F376" s="17">
        <f>CHOOSE(CONTROL!$C$42, 15.958, 15.958)*CHOOSE(CONTROL!$C$21, $C$9, 100%, $E$9)</f>
        <v>15.958</v>
      </c>
      <c r="G376" s="17">
        <f>CHOOSE(CONTROL!$C$42, 15.9741, 15.9741)*CHOOSE(CONTROL!$C$21, $C$9, 100%, $E$9)</f>
        <v>15.9741</v>
      </c>
      <c r="H376" s="17">
        <f>CHOOSE(CONTROL!$C$42, 16.2358, 16.2358) * CHOOSE(CONTROL!$C$21, $C$9, 100%, $E$9)</f>
        <v>16.235800000000001</v>
      </c>
      <c r="I376" s="17">
        <f>CHOOSE(CONTROL!$C$42, 16.0217, 16.0217)* CHOOSE(CONTROL!$C$21, $C$9, 100%, $E$9)</f>
        <v>16.021699999999999</v>
      </c>
      <c r="J376" s="17">
        <f>CHOOSE(CONTROL!$C$42, 15.9506, 15.9506)* CHOOSE(CONTROL!$C$21, $C$9, 100%, $E$9)</f>
        <v>15.9506</v>
      </c>
      <c r="K376" s="52">
        <f>CHOOSE(CONTROL!$C$42, 16.0157, 16.0157) * CHOOSE(CONTROL!$C$21, $C$9, 100%, $E$9)</f>
        <v>16.015699999999999</v>
      </c>
      <c r="L376" s="17">
        <f>CHOOSE(CONTROL!$C$42, 16.8228, 16.8228) * CHOOSE(CONTROL!$C$21, $C$9, 100%, $E$9)</f>
        <v>16.822800000000001</v>
      </c>
      <c r="M376" s="17">
        <f>CHOOSE(CONTROL!$C$42, 15.8141, 15.8141) * CHOOSE(CONTROL!$C$21, $C$9, 100%, $E$9)</f>
        <v>15.8141</v>
      </c>
      <c r="N376" s="17">
        <f>CHOOSE(CONTROL!$C$42, 15.8301, 15.8301) * CHOOSE(CONTROL!$C$21, $C$9, 100%, $E$9)</f>
        <v>15.8301</v>
      </c>
      <c r="O376" s="17">
        <f>CHOOSE(CONTROL!$C$42, 16.0968, 16.0968) * CHOOSE(CONTROL!$C$21, $C$9, 100%, $E$9)</f>
        <v>16.096800000000002</v>
      </c>
      <c r="P376" s="17">
        <f>CHOOSE(CONTROL!$C$42, 15.8843, 15.8843) * CHOOSE(CONTROL!$C$21, $C$9, 100%, $E$9)</f>
        <v>15.8843</v>
      </c>
      <c r="Q376" s="17">
        <f>CHOOSE(CONTROL!$C$42, 16.6915, 16.6915) * CHOOSE(CONTROL!$C$21, $C$9, 100%, $E$9)</f>
        <v>16.691500000000001</v>
      </c>
      <c r="R376" s="17">
        <f>CHOOSE(CONTROL!$C$42, 17.3202, 17.3202) * CHOOSE(CONTROL!$C$21, $C$9, 100%, $E$9)</f>
        <v>17.3202</v>
      </c>
      <c r="S376" s="17">
        <f>CHOOSE(CONTROL!$C$42, 15.4536, 15.4536) * CHOOSE(CONTROL!$C$21, $C$9, 100%, $E$9)</f>
        <v>15.4536</v>
      </c>
      <c r="T376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376" s="56">
        <f>(1000*CHOOSE(CONTROL!$C$42, 695, 695)*CHOOSE(CONTROL!$C$42, 0.5599, 0.5599)*CHOOSE(CONTROL!$C$42, 30, 30))/1000000</f>
        <v>11.673914999999997</v>
      </c>
      <c r="V376" s="56">
        <f>(1000*CHOOSE(CONTROL!$C$42, 500, 500)*CHOOSE(CONTROL!$C$42, 0.275, 0.275)*CHOOSE(CONTROL!$C$42, 30, 30))/1000000</f>
        <v>4.125</v>
      </c>
      <c r="W376" s="56">
        <f>(1000*CHOOSE(CONTROL!$C$42, 0.0916, 0.0916)*CHOOSE(CONTROL!$C$42, 121.5, 121.5)*CHOOSE(CONTROL!$C$42, 30, 30))/1000000</f>
        <v>0.33388200000000001</v>
      </c>
      <c r="X376" s="56">
        <f>(30*0.1790888*145000/1000000)+(30*0.2374*100000/1000000)</f>
        <v>1.4912362799999999</v>
      </c>
      <c r="Y376" s="56"/>
      <c r="Z376" s="17"/>
      <c r="AA376" s="55"/>
      <c r="AB376" s="48">
        <f>(B376*141.293+C376*267.993+D376*115.016+E376*189.698+F376*40+G376*85+H376*0+I376*100+J376*300)/(141.293+267.993+115.016+189.698+0+40+85+100+300)</f>
        <v>16.027791065859567</v>
      </c>
      <c r="AC376" s="45">
        <f>(M376*'RAP TEMPLATE-GAS AVAILABILITY'!O375+N376*'RAP TEMPLATE-GAS AVAILABILITY'!P375+O376*'RAP TEMPLATE-GAS AVAILABILITY'!Q375+P376*'RAP TEMPLATE-GAS AVAILABILITY'!R375)/('RAP TEMPLATE-GAS AVAILABILITY'!O375+'RAP TEMPLATE-GAS AVAILABILITY'!P375+'RAP TEMPLATE-GAS AVAILABILITY'!Q375+'RAP TEMPLATE-GAS AVAILABILITY'!R375)</f>
        <v>15.907202877697843</v>
      </c>
    </row>
    <row r="377" spans="1:29" ht="15.75" x14ac:dyDescent="0.25">
      <c r="A377" s="14">
        <v>52017</v>
      </c>
      <c r="B377" s="17">
        <f>CHOOSE(CONTROL!$C$42, 16.0891, 16.0891) * CHOOSE(CONTROL!$C$21, $C$9, 100%, $E$9)</f>
        <v>16.089099999999998</v>
      </c>
      <c r="C377" s="17">
        <f>CHOOSE(CONTROL!$C$42, 16.097, 16.097) * CHOOSE(CONTROL!$C$21, $C$9, 100%, $E$9)</f>
        <v>16.097000000000001</v>
      </c>
      <c r="D377" s="17">
        <f>CHOOSE(CONTROL!$C$42, 16.357, 16.357) * CHOOSE(CONTROL!$C$21, $C$9, 100%, $E$9)</f>
        <v>16.356999999999999</v>
      </c>
      <c r="E377" s="17">
        <f>CHOOSE(CONTROL!$C$42, 16.3881, 16.3881) * CHOOSE(CONTROL!$C$21, $C$9, 100%, $E$9)</f>
        <v>16.388100000000001</v>
      </c>
      <c r="F377" s="17">
        <f>CHOOSE(CONTROL!$C$42, 16.0987, 16.0987)*CHOOSE(CONTROL!$C$21, $C$9, 100%, $E$9)</f>
        <v>16.098700000000001</v>
      </c>
      <c r="G377" s="17">
        <f>CHOOSE(CONTROL!$C$42, 16.1152, 16.1152)*CHOOSE(CONTROL!$C$21, $C$9, 100%, $E$9)</f>
        <v>16.115200000000002</v>
      </c>
      <c r="H377" s="17">
        <f>CHOOSE(CONTROL!$C$42, 16.3765, 16.3765) * CHOOSE(CONTROL!$C$21, $C$9, 100%, $E$9)</f>
        <v>16.3765</v>
      </c>
      <c r="I377" s="17">
        <f>CHOOSE(CONTROL!$C$42, 16.1628, 16.1628)* CHOOSE(CONTROL!$C$21, $C$9, 100%, $E$9)</f>
        <v>16.162800000000001</v>
      </c>
      <c r="J377" s="17">
        <f>CHOOSE(CONTROL!$C$42, 16.0913, 16.0913)* CHOOSE(CONTROL!$C$21, $C$9, 100%, $E$9)</f>
        <v>16.0913</v>
      </c>
      <c r="K377" s="52">
        <f>CHOOSE(CONTROL!$C$42, 16.1568, 16.1568) * CHOOSE(CONTROL!$C$21, $C$9, 100%, $E$9)</f>
        <v>16.1568</v>
      </c>
      <c r="L377" s="17">
        <f>CHOOSE(CONTROL!$C$42, 16.9635, 16.9635) * CHOOSE(CONTROL!$C$21, $C$9, 100%, $E$9)</f>
        <v>16.9635</v>
      </c>
      <c r="M377" s="17">
        <f>CHOOSE(CONTROL!$C$42, 15.9536, 15.9536) * CHOOSE(CONTROL!$C$21, $C$9, 100%, $E$9)</f>
        <v>15.9536</v>
      </c>
      <c r="N377" s="17">
        <f>CHOOSE(CONTROL!$C$42, 15.9699, 15.9699) * CHOOSE(CONTROL!$C$21, $C$9, 100%, $E$9)</f>
        <v>15.969900000000001</v>
      </c>
      <c r="O377" s="17">
        <f>CHOOSE(CONTROL!$C$42, 16.2362, 16.2362) * CHOOSE(CONTROL!$C$21, $C$9, 100%, $E$9)</f>
        <v>16.2362</v>
      </c>
      <c r="P377" s="17">
        <f>CHOOSE(CONTROL!$C$42, 16.0241, 16.0241) * CHOOSE(CONTROL!$C$21, $C$9, 100%, $E$9)</f>
        <v>16.024100000000001</v>
      </c>
      <c r="Q377" s="17">
        <f>CHOOSE(CONTROL!$C$42, 16.8309, 16.8309) * CHOOSE(CONTROL!$C$21, $C$9, 100%, $E$9)</f>
        <v>16.8309</v>
      </c>
      <c r="R377" s="17">
        <f>CHOOSE(CONTROL!$C$42, 17.46, 17.46) * CHOOSE(CONTROL!$C$21, $C$9, 100%, $E$9)</f>
        <v>17.46</v>
      </c>
      <c r="S377" s="17">
        <f>CHOOSE(CONTROL!$C$42, 15.59, 15.59) * CHOOSE(CONTROL!$C$21, $C$9, 100%, $E$9)</f>
        <v>15.59</v>
      </c>
      <c r="T377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377" s="56">
        <f>(1000*CHOOSE(CONTROL!$C$42, 695, 695)*CHOOSE(CONTROL!$C$42, 0.5599, 0.5599)*CHOOSE(CONTROL!$C$42, 31, 31))/1000000</f>
        <v>12.063045499999998</v>
      </c>
      <c r="V377" s="56">
        <f>(1000*CHOOSE(CONTROL!$C$42, 500, 500)*CHOOSE(CONTROL!$C$42, 0.275, 0.275)*CHOOSE(CONTROL!$C$42, 31, 31))/1000000</f>
        <v>4.2625000000000002</v>
      </c>
      <c r="W377" s="56">
        <f>(1000*CHOOSE(CONTROL!$C$42, 0.0916, 0.0916)*CHOOSE(CONTROL!$C$42, 121.5, 121.5)*CHOOSE(CONTROL!$C$42, 31, 31))/1000000</f>
        <v>0.34501139999999997</v>
      </c>
      <c r="X377" s="56">
        <f>(31*0.1790888*145000/1000000)+(31*0.2374*100000/1000000)</f>
        <v>1.5409441560000001</v>
      </c>
      <c r="Y377" s="56"/>
      <c r="Z377" s="17"/>
      <c r="AA377" s="55"/>
      <c r="AB377" s="48">
        <f>(B377*194.205+C377*267.466+D377*133.845+E377*153.484+F377*40+G377*85+H377*0+I377*100+J377*300)/(194.205+267.466+133.845+153.484+0+40+85+100+300)</f>
        <v>16.163271328806911</v>
      </c>
      <c r="AC377" s="45">
        <f>(M377*'RAP TEMPLATE-GAS AVAILABILITY'!O376+N377*'RAP TEMPLATE-GAS AVAILABILITY'!P376+O377*'RAP TEMPLATE-GAS AVAILABILITY'!Q376+P377*'RAP TEMPLATE-GAS AVAILABILITY'!R376)/('RAP TEMPLATE-GAS AVAILABILITY'!O376+'RAP TEMPLATE-GAS AVAILABILITY'!P376+'RAP TEMPLATE-GAS AVAILABILITY'!Q376+'RAP TEMPLATE-GAS AVAILABILITY'!R376)</f>
        <v>16.046787050359711</v>
      </c>
    </row>
    <row r="378" spans="1:29" ht="15.75" x14ac:dyDescent="0.25">
      <c r="A378" s="14">
        <v>52047</v>
      </c>
      <c r="B378" s="17">
        <f>CHOOSE(CONTROL!$C$42, 16.5451, 16.5451) * CHOOSE(CONTROL!$C$21, $C$9, 100%, $E$9)</f>
        <v>16.545100000000001</v>
      </c>
      <c r="C378" s="17">
        <f>CHOOSE(CONTROL!$C$42, 16.5531, 16.5531) * CHOOSE(CONTROL!$C$21, $C$9, 100%, $E$9)</f>
        <v>16.553100000000001</v>
      </c>
      <c r="D378" s="17">
        <f>CHOOSE(CONTROL!$C$42, 16.813, 16.813) * CHOOSE(CONTROL!$C$21, $C$9, 100%, $E$9)</f>
        <v>16.812999999999999</v>
      </c>
      <c r="E378" s="17">
        <f>CHOOSE(CONTROL!$C$42, 16.8442, 16.8442) * CHOOSE(CONTROL!$C$21, $C$9, 100%, $E$9)</f>
        <v>16.844200000000001</v>
      </c>
      <c r="F378" s="17">
        <f>CHOOSE(CONTROL!$C$42, 16.555, 16.555)*CHOOSE(CONTROL!$C$21, $C$9, 100%, $E$9)</f>
        <v>16.555</v>
      </c>
      <c r="G378" s="17">
        <f>CHOOSE(CONTROL!$C$42, 16.5716, 16.5716)*CHOOSE(CONTROL!$C$21, $C$9, 100%, $E$9)</f>
        <v>16.5716</v>
      </c>
      <c r="H378" s="17">
        <f>CHOOSE(CONTROL!$C$42, 16.8325, 16.8325) * CHOOSE(CONTROL!$C$21, $C$9, 100%, $E$9)</f>
        <v>16.8325</v>
      </c>
      <c r="I378" s="17">
        <f>CHOOSE(CONTROL!$C$42, 16.6203, 16.6203)* CHOOSE(CONTROL!$C$21, $C$9, 100%, $E$9)</f>
        <v>16.6203</v>
      </c>
      <c r="J378" s="17">
        <f>CHOOSE(CONTROL!$C$42, 16.5476, 16.5476)* CHOOSE(CONTROL!$C$21, $C$9, 100%, $E$9)</f>
        <v>16.547599999999999</v>
      </c>
      <c r="K378" s="52">
        <f>CHOOSE(CONTROL!$C$42, 16.6142, 16.6142) * CHOOSE(CONTROL!$C$21, $C$9, 100%, $E$9)</f>
        <v>16.6142</v>
      </c>
      <c r="L378" s="17">
        <f>CHOOSE(CONTROL!$C$42, 17.4195, 17.4195) * CHOOSE(CONTROL!$C$21, $C$9, 100%, $E$9)</f>
        <v>17.419499999999999</v>
      </c>
      <c r="M378" s="17">
        <f>CHOOSE(CONTROL!$C$42, 16.4058, 16.4058) * CHOOSE(CONTROL!$C$21, $C$9, 100%, $E$9)</f>
        <v>16.405799999999999</v>
      </c>
      <c r="N378" s="17">
        <f>CHOOSE(CONTROL!$C$42, 16.4222, 16.4222) * CHOOSE(CONTROL!$C$21, $C$9, 100%, $E$9)</f>
        <v>16.4222</v>
      </c>
      <c r="O378" s="17">
        <f>CHOOSE(CONTROL!$C$42, 16.6881, 16.6881) * CHOOSE(CONTROL!$C$21, $C$9, 100%, $E$9)</f>
        <v>16.688099999999999</v>
      </c>
      <c r="P378" s="17">
        <f>CHOOSE(CONTROL!$C$42, 16.4774, 16.4774) * CHOOSE(CONTROL!$C$21, $C$9, 100%, $E$9)</f>
        <v>16.477399999999999</v>
      </c>
      <c r="Q378" s="17">
        <f>CHOOSE(CONTROL!$C$42, 17.2828, 17.2828) * CHOOSE(CONTROL!$C$21, $C$9, 100%, $E$9)</f>
        <v>17.282800000000002</v>
      </c>
      <c r="R378" s="17">
        <f>CHOOSE(CONTROL!$C$42, 17.913, 17.913) * CHOOSE(CONTROL!$C$21, $C$9, 100%, $E$9)</f>
        <v>17.913</v>
      </c>
      <c r="S378" s="17">
        <f>CHOOSE(CONTROL!$C$42, 16.0322, 16.0322) * CHOOSE(CONTROL!$C$21, $C$9, 100%, $E$9)</f>
        <v>16.0322</v>
      </c>
      <c r="T378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378" s="56">
        <f>(1000*CHOOSE(CONTROL!$C$42, 695, 695)*CHOOSE(CONTROL!$C$42, 0.5599, 0.5599)*CHOOSE(CONTROL!$C$42, 30, 30))/1000000</f>
        <v>11.673914999999997</v>
      </c>
      <c r="V378" s="56">
        <f>(1000*CHOOSE(CONTROL!$C$42, 500, 500)*CHOOSE(CONTROL!$C$42, 0.275, 0.275)*CHOOSE(CONTROL!$C$42, 30, 30))/1000000</f>
        <v>4.125</v>
      </c>
      <c r="W378" s="56">
        <f>(1000*CHOOSE(CONTROL!$C$42, 0.0916, 0.0916)*CHOOSE(CONTROL!$C$42, 121.5, 121.5)*CHOOSE(CONTROL!$C$42, 30, 30))/1000000</f>
        <v>0.33388200000000001</v>
      </c>
      <c r="X378" s="56">
        <f>(30*0.1790888*145000/1000000)+(30*0.2374*100000/1000000)</f>
        <v>1.4912362799999999</v>
      </c>
      <c r="Y378" s="56"/>
      <c r="Z378" s="17"/>
      <c r="AA378" s="55"/>
      <c r="AB378" s="48">
        <f>(B378*194.205+C378*267.466+D378*133.845+E378*153.484+F378*40+G378*85+H378*0+I378*100+J378*300)/(194.205+267.466+133.845+153.484+0+40+85+100+300)</f>
        <v>16.619528860204085</v>
      </c>
      <c r="AC378" s="45">
        <f>(M378*'RAP TEMPLATE-GAS AVAILABILITY'!O377+N378*'RAP TEMPLATE-GAS AVAILABILITY'!P377+O378*'RAP TEMPLATE-GAS AVAILABILITY'!Q377+P378*'RAP TEMPLATE-GAS AVAILABILITY'!R377)/('RAP TEMPLATE-GAS AVAILABILITY'!O377+'RAP TEMPLATE-GAS AVAILABILITY'!P377+'RAP TEMPLATE-GAS AVAILABILITY'!Q377+'RAP TEMPLATE-GAS AVAILABILITY'!R377)</f>
        <v>16.49908417266187</v>
      </c>
    </row>
    <row r="379" spans="1:29" ht="15.75" x14ac:dyDescent="0.25">
      <c r="A379" s="14">
        <v>52078</v>
      </c>
      <c r="B379" s="17">
        <f>CHOOSE(CONTROL!$C$42, 16.2279, 16.2279) * CHOOSE(CONTROL!$C$21, $C$9, 100%, $E$9)</f>
        <v>16.227900000000002</v>
      </c>
      <c r="C379" s="17">
        <f>CHOOSE(CONTROL!$C$42, 16.2359, 16.2359) * CHOOSE(CONTROL!$C$21, $C$9, 100%, $E$9)</f>
        <v>16.235900000000001</v>
      </c>
      <c r="D379" s="17">
        <f>CHOOSE(CONTROL!$C$42, 16.4958, 16.4958) * CHOOSE(CONTROL!$C$21, $C$9, 100%, $E$9)</f>
        <v>16.495799999999999</v>
      </c>
      <c r="E379" s="17">
        <f>CHOOSE(CONTROL!$C$42, 16.527, 16.527) * CHOOSE(CONTROL!$C$21, $C$9, 100%, $E$9)</f>
        <v>16.527000000000001</v>
      </c>
      <c r="F379" s="17">
        <f>CHOOSE(CONTROL!$C$42, 16.2383, 16.2383)*CHOOSE(CONTROL!$C$21, $C$9, 100%, $E$9)</f>
        <v>16.238299999999999</v>
      </c>
      <c r="G379" s="17">
        <f>CHOOSE(CONTROL!$C$42, 16.2549, 16.2549)*CHOOSE(CONTROL!$C$21, $C$9, 100%, $E$9)</f>
        <v>16.254899999999999</v>
      </c>
      <c r="H379" s="17">
        <f>CHOOSE(CONTROL!$C$42, 16.5153, 16.5153) * CHOOSE(CONTROL!$C$21, $C$9, 100%, $E$9)</f>
        <v>16.5153</v>
      </c>
      <c r="I379" s="17">
        <f>CHOOSE(CONTROL!$C$42, 16.3021, 16.3021)* CHOOSE(CONTROL!$C$21, $C$9, 100%, $E$9)</f>
        <v>16.302099999999999</v>
      </c>
      <c r="J379" s="17">
        <f>CHOOSE(CONTROL!$C$42, 16.2309, 16.2309)* CHOOSE(CONTROL!$C$21, $C$9, 100%, $E$9)</f>
        <v>16.230899999999998</v>
      </c>
      <c r="K379" s="52">
        <f>CHOOSE(CONTROL!$C$42, 16.2961, 16.2961) * CHOOSE(CONTROL!$C$21, $C$9, 100%, $E$9)</f>
        <v>16.296099999999999</v>
      </c>
      <c r="L379" s="17">
        <f>CHOOSE(CONTROL!$C$42, 17.1023, 17.1023) * CHOOSE(CONTROL!$C$21, $C$9, 100%, $E$9)</f>
        <v>17.1023</v>
      </c>
      <c r="M379" s="17">
        <f>CHOOSE(CONTROL!$C$42, 16.0919, 16.0919) * CHOOSE(CONTROL!$C$21, $C$9, 100%, $E$9)</f>
        <v>16.091899999999999</v>
      </c>
      <c r="N379" s="17">
        <f>CHOOSE(CONTROL!$C$42, 16.1084, 16.1084) * CHOOSE(CONTROL!$C$21, $C$9, 100%, $E$9)</f>
        <v>16.1084</v>
      </c>
      <c r="O379" s="17">
        <f>CHOOSE(CONTROL!$C$42, 16.3738, 16.3738) * CHOOSE(CONTROL!$C$21, $C$9, 100%, $E$9)</f>
        <v>16.373799999999999</v>
      </c>
      <c r="P379" s="17">
        <f>CHOOSE(CONTROL!$C$42, 16.1621, 16.1621) * CHOOSE(CONTROL!$C$21, $C$9, 100%, $E$9)</f>
        <v>16.162099999999999</v>
      </c>
      <c r="Q379" s="17">
        <f>CHOOSE(CONTROL!$C$42, 16.9685, 16.9685) * CHOOSE(CONTROL!$C$21, $C$9, 100%, $E$9)</f>
        <v>16.968499999999999</v>
      </c>
      <c r="R379" s="17">
        <f>CHOOSE(CONTROL!$C$42, 17.5979, 17.5979) * CHOOSE(CONTROL!$C$21, $C$9, 100%, $E$9)</f>
        <v>17.597899999999999</v>
      </c>
      <c r="S379" s="17">
        <f>CHOOSE(CONTROL!$C$42, 15.7246, 15.7246) * CHOOSE(CONTROL!$C$21, $C$9, 100%, $E$9)</f>
        <v>15.724600000000001</v>
      </c>
      <c r="T379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379" s="56">
        <f>(1000*CHOOSE(CONTROL!$C$42, 695, 695)*CHOOSE(CONTROL!$C$42, 0.5599, 0.5599)*CHOOSE(CONTROL!$C$42, 31, 31))/1000000</f>
        <v>12.063045499999998</v>
      </c>
      <c r="V379" s="56">
        <f>(1000*CHOOSE(CONTROL!$C$42, 500, 500)*CHOOSE(CONTROL!$C$42, 0.275, 0.275)*CHOOSE(CONTROL!$C$42, 31, 31))/1000000</f>
        <v>4.2625000000000002</v>
      </c>
      <c r="W379" s="56">
        <f>(1000*CHOOSE(CONTROL!$C$42, 0.0916, 0.0916)*CHOOSE(CONTROL!$C$42, 121.5, 121.5)*CHOOSE(CONTROL!$C$42, 31, 31))/1000000</f>
        <v>0.34501139999999997</v>
      </c>
      <c r="X379" s="56">
        <f>(31*0.1790888*145000/1000000)+(31*0.2374*100000/1000000)</f>
        <v>1.5409441560000001</v>
      </c>
      <c r="Y379" s="56"/>
      <c r="Z379" s="17"/>
      <c r="AA379" s="55"/>
      <c r="AB379" s="48">
        <f>(B379*194.205+C379*267.466+D379*133.845+E379*153.484+F379*40+G379*85+H379*0+I379*100+J379*300)/(194.205+267.466+133.845+153.484+0+40+85+100+300)</f>
        <v>16.302417164756672</v>
      </c>
      <c r="AC379" s="45">
        <f>(M379*'RAP TEMPLATE-GAS AVAILABILITY'!O378+N379*'RAP TEMPLATE-GAS AVAILABILITY'!P378+O379*'RAP TEMPLATE-GAS AVAILABILITY'!Q378+P379*'RAP TEMPLATE-GAS AVAILABILITY'!R378)/('RAP TEMPLATE-GAS AVAILABILITY'!O378+'RAP TEMPLATE-GAS AVAILABILITY'!P378+'RAP TEMPLATE-GAS AVAILABILITY'!Q378+'RAP TEMPLATE-GAS AVAILABILITY'!R378)</f>
        <v>16.184893525179852</v>
      </c>
    </row>
    <row r="380" spans="1:29" ht="15.75" x14ac:dyDescent="0.25">
      <c r="A380" s="14">
        <v>52109</v>
      </c>
      <c r="B380" s="17">
        <f>CHOOSE(CONTROL!$C$42, 15.427, 15.427) * CHOOSE(CONTROL!$C$21, $C$9, 100%, $E$9)</f>
        <v>15.427</v>
      </c>
      <c r="C380" s="17">
        <f>CHOOSE(CONTROL!$C$42, 15.4349, 15.4349) * CHOOSE(CONTROL!$C$21, $C$9, 100%, $E$9)</f>
        <v>15.434900000000001</v>
      </c>
      <c r="D380" s="17">
        <f>CHOOSE(CONTROL!$C$42, 15.6949, 15.6949) * CHOOSE(CONTROL!$C$21, $C$9, 100%, $E$9)</f>
        <v>15.694900000000001</v>
      </c>
      <c r="E380" s="17">
        <f>CHOOSE(CONTROL!$C$42, 15.7261, 15.7261) * CHOOSE(CONTROL!$C$21, $C$9, 100%, $E$9)</f>
        <v>15.726100000000001</v>
      </c>
      <c r="F380" s="17">
        <f>CHOOSE(CONTROL!$C$42, 15.4376, 15.4376)*CHOOSE(CONTROL!$C$21, $C$9, 100%, $E$9)</f>
        <v>15.4376</v>
      </c>
      <c r="G380" s="17">
        <f>CHOOSE(CONTROL!$C$42, 15.4543, 15.4543)*CHOOSE(CONTROL!$C$21, $C$9, 100%, $E$9)</f>
        <v>15.4543</v>
      </c>
      <c r="H380" s="17">
        <f>CHOOSE(CONTROL!$C$42, 15.7144, 15.7144) * CHOOSE(CONTROL!$C$21, $C$9, 100%, $E$9)</f>
        <v>15.714399999999999</v>
      </c>
      <c r="I380" s="17">
        <f>CHOOSE(CONTROL!$C$42, 15.4987, 15.4987)* CHOOSE(CONTROL!$C$21, $C$9, 100%, $E$9)</f>
        <v>15.498699999999999</v>
      </c>
      <c r="J380" s="17">
        <f>CHOOSE(CONTROL!$C$42, 15.4302, 15.4302)* CHOOSE(CONTROL!$C$21, $C$9, 100%, $E$9)</f>
        <v>15.430199999999999</v>
      </c>
      <c r="K380" s="52">
        <f>CHOOSE(CONTROL!$C$42, 15.4926, 15.4926) * CHOOSE(CONTROL!$C$21, $C$9, 100%, $E$9)</f>
        <v>15.492599999999999</v>
      </c>
      <c r="L380" s="17">
        <f>CHOOSE(CONTROL!$C$42, 16.3014, 16.3014) * CHOOSE(CONTROL!$C$21, $C$9, 100%, $E$9)</f>
        <v>16.301400000000001</v>
      </c>
      <c r="M380" s="17">
        <f>CHOOSE(CONTROL!$C$42, 15.2984, 15.2984) * CHOOSE(CONTROL!$C$21, $C$9, 100%, $E$9)</f>
        <v>15.298400000000001</v>
      </c>
      <c r="N380" s="17">
        <f>CHOOSE(CONTROL!$C$42, 15.315, 15.315) * CHOOSE(CONTROL!$C$21, $C$9, 100%, $E$9)</f>
        <v>15.315</v>
      </c>
      <c r="O380" s="17">
        <f>CHOOSE(CONTROL!$C$42, 15.5801, 15.5801) * CHOOSE(CONTROL!$C$21, $C$9, 100%, $E$9)</f>
        <v>15.5801</v>
      </c>
      <c r="P380" s="17">
        <f>CHOOSE(CONTROL!$C$42, 15.3659, 15.3659) * CHOOSE(CONTROL!$C$21, $C$9, 100%, $E$9)</f>
        <v>15.3659</v>
      </c>
      <c r="Q380" s="17">
        <f>CHOOSE(CONTROL!$C$42, 16.1748, 16.1748) * CHOOSE(CONTROL!$C$21, $C$9, 100%, $E$9)</f>
        <v>16.174800000000001</v>
      </c>
      <c r="R380" s="17">
        <f>CHOOSE(CONTROL!$C$42, 16.8022, 16.8022) * CHOOSE(CONTROL!$C$21, $C$9, 100%, $E$9)</f>
        <v>16.802199999999999</v>
      </c>
      <c r="S380" s="17">
        <f>CHOOSE(CONTROL!$C$42, 14.9479, 14.9479) * CHOOSE(CONTROL!$C$21, $C$9, 100%, $E$9)</f>
        <v>14.947900000000001</v>
      </c>
      <c r="T380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380" s="56">
        <f>(1000*CHOOSE(CONTROL!$C$42, 695, 695)*CHOOSE(CONTROL!$C$42, 0.5599, 0.5599)*CHOOSE(CONTROL!$C$42, 31, 31))/1000000</f>
        <v>12.063045499999998</v>
      </c>
      <c r="V380" s="56">
        <f>(1000*CHOOSE(CONTROL!$C$42, 500, 500)*CHOOSE(CONTROL!$C$42, 0.275, 0.275)*CHOOSE(CONTROL!$C$42, 31, 31))/1000000</f>
        <v>4.2625000000000002</v>
      </c>
      <c r="W380" s="56">
        <f>(1000*CHOOSE(CONTROL!$C$42, 0.0916, 0.0916)*CHOOSE(CONTROL!$C$42, 121.5, 121.5)*CHOOSE(CONTROL!$C$42, 31, 31))/1000000</f>
        <v>0.34501139999999997</v>
      </c>
      <c r="X380" s="56">
        <f>(31*0.1790888*145000/1000000)+(31*0.2374*100000/1000000)</f>
        <v>1.5409441560000001</v>
      </c>
      <c r="Y380" s="56"/>
      <c r="Z380" s="17"/>
      <c r="AA380" s="55"/>
      <c r="AB380" s="48">
        <f>(B380*194.205+C380*267.466+D380*133.845+E380*153.484+F380*40+G380*85+H380*0+I380*100+J380*300)/(194.205+267.466+133.845+153.484+0+40+85+100+300)</f>
        <v>15.501373329120877</v>
      </c>
      <c r="AC380" s="45">
        <f>(M380*'RAP TEMPLATE-GAS AVAILABILITY'!O379+N380*'RAP TEMPLATE-GAS AVAILABILITY'!P379+O380*'RAP TEMPLATE-GAS AVAILABILITY'!Q379+P380*'RAP TEMPLATE-GAS AVAILABILITY'!R379)/('RAP TEMPLATE-GAS AVAILABILITY'!O379+'RAP TEMPLATE-GAS AVAILABILITY'!P379+'RAP TEMPLATE-GAS AVAILABILITY'!Q379+'RAP TEMPLATE-GAS AVAILABILITY'!R379)</f>
        <v>15.390971942446043</v>
      </c>
    </row>
    <row r="381" spans="1:29" ht="15.75" x14ac:dyDescent="0.25">
      <c r="A381" s="14">
        <v>52139</v>
      </c>
      <c r="B381" s="17">
        <f>CHOOSE(CONTROL!$C$42, 14.4481, 14.4481) * CHOOSE(CONTROL!$C$21, $C$9, 100%, $E$9)</f>
        <v>14.4481</v>
      </c>
      <c r="C381" s="17">
        <f>CHOOSE(CONTROL!$C$42, 14.4561, 14.4561) * CHOOSE(CONTROL!$C$21, $C$9, 100%, $E$9)</f>
        <v>14.456099999999999</v>
      </c>
      <c r="D381" s="17">
        <f>CHOOSE(CONTROL!$C$42, 14.716, 14.716) * CHOOSE(CONTROL!$C$21, $C$9, 100%, $E$9)</f>
        <v>14.715999999999999</v>
      </c>
      <c r="E381" s="17">
        <f>CHOOSE(CONTROL!$C$42, 14.7472, 14.7472) * CHOOSE(CONTROL!$C$21, $C$9, 100%, $E$9)</f>
        <v>14.747199999999999</v>
      </c>
      <c r="F381" s="17">
        <f>CHOOSE(CONTROL!$C$42, 14.4587, 14.4587)*CHOOSE(CONTROL!$C$21, $C$9, 100%, $E$9)</f>
        <v>14.4587</v>
      </c>
      <c r="G381" s="17">
        <f>CHOOSE(CONTROL!$C$42, 14.4754, 14.4754)*CHOOSE(CONTROL!$C$21, $C$9, 100%, $E$9)</f>
        <v>14.4754</v>
      </c>
      <c r="H381" s="17">
        <f>CHOOSE(CONTROL!$C$42, 14.7355, 14.7355) * CHOOSE(CONTROL!$C$21, $C$9, 100%, $E$9)</f>
        <v>14.7355</v>
      </c>
      <c r="I381" s="17">
        <f>CHOOSE(CONTROL!$C$42, 14.5168, 14.5168)* CHOOSE(CONTROL!$C$21, $C$9, 100%, $E$9)</f>
        <v>14.5168</v>
      </c>
      <c r="J381" s="17">
        <f>CHOOSE(CONTROL!$C$42, 14.4513, 14.4513)* CHOOSE(CONTROL!$C$21, $C$9, 100%, $E$9)</f>
        <v>14.4513</v>
      </c>
      <c r="K381" s="52">
        <f>CHOOSE(CONTROL!$C$42, 14.5107, 14.5107) * CHOOSE(CONTROL!$C$21, $C$9, 100%, $E$9)</f>
        <v>14.5107</v>
      </c>
      <c r="L381" s="17">
        <f>CHOOSE(CONTROL!$C$42, 15.3225, 15.3225) * CHOOSE(CONTROL!$C$21, $C$9, 100%, $E$9)</f>
        <v>15.3225</v>
      </c>
      <c r="M381" s="17">
        <f>CHOOSE(CONTROL!$C$42, 14.3284, 14.3284) * CHOOSE(CONTROL!$C$21, $C$9, 100%, $E$9)</f>
        <v>14.3284</v>
      </c>
      <c r="N381" s="17">
        <f>CHOOSE(CONTROL!$C$42, 14.3449, 14.3449) * CHOOSE(CONTROL!$C$21, $C$9, 100%, $E$9)</f>
        <v>14.344900000000001</v>
      </c>
      <c r="O381" s="17">
        <f>CHOOSE(CONTROL!$C$42, 14.61, 14.61) * CHOOSE(CONTROL!$C$21, $C$9, 100%, $E$9)</f>
        <v>14.61</v>
      </c>
      <c r="P381" s="17">
        <f>CHOOSE(CONTROL!$C$42, 14.3929, 14.3929) * CHOOSE(CONTROL!$C$21, $C$9, 100%, $E$9)</f>
        <v>14.392899999999999</v>
      </c>
      <c r="Q381" s="17">
        <f>CHOOSE(CONTROL!$C$42, 15.2047, 15.2047) * CHOOSE(CONTROL!$C$21, $C$9, 100%, $E$9)</f>
        <v>15.204700000000001</v>
      </c>
      <c r="R381" s="17">
        <f>CHOOSE(CONTROL!$C$42, 15.8297, 15.8297) * CHOOSE(CONTROL!$C$21, $C$9, 100%, $E$9)</f>
        <v>15.829700000000001</v>
      </c>
      <c r="S381" s="17">
        <f>CHOOSE(CONTROL!$C$42, 13.9987, 13.9987) * CHOOSE(CONTROL!$C$21, $C$9, 100%, $E$9)</f>
        <v>13.998699999999999</v>
      </c>
      <c r="T381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381" s="56">
        <f>(1000*CHOOSE(CONTROL!$C$42, 695, 695)*CHOOSE(CONTROL!$C$42, 0.5599, 0.5599)*CHOOSE(CONTROL!$C$42, 30, 30))/1000000</f>
        <v>11.673914999999997</v>
      </c>
      <c r="V381" s="56">
        <f>(1000*CHOOSE(CONTROL!$C$42, 500, 500)*CHOOSE(CONTROL!$C$42, 0.275, 0.275)*CHOOSE(CONTROL!$C$42, 30, 30))/1000000</f>
        <v>4.125</v>
      </c>
      <c r="W381" s="56">
        <f>(1000*CHOOSE(CONTROL!$C$42, 0.0916, 0.0916)*CHOOSE(CONTROL!$C$42, 121.5, 121.5)*CHOOSE(CONTROL!$C$42, 30, 30))/1000000</f>
        <v>0.33388200000000001</v>
      </c>
      <c r="X381" s="56">
        <f>(30*0.1790888*145000/1000000)+(30*0.2374*100000/1000000)</f>
        <v>1.4912362799999999</v>
      </c>
      <c r="Y381" s="56"/>
      <c r="Z381" s="17"/>
      <c r="AA381" s="55"/>
      <c r="AB381" s="48">
        <f>(B381*194.205+C381*267.466+D381*133.845+E381*153.484+F381*40+G381*85+H381*0+I381*100+J381*300)/(194.205+267.466+133.845+153.484+0+40+85+100+300)</f>
        <v>14.522258844505496</v>
      </c>
      <c r="AC381" s="45">
        <f>(M381*'RAP TEMPLATE-GAS AVAILABILITY'!O380+N381*'RAP TEMPLATE-GAS AVAILABILITY'!P380+O381*'RAP TEMPLATE-GAS AVAILABILITY'!Q380+P381*'RAP TEMPLATE-GAS AVAILABILITY'!R380)/('RAP TEMPLATE-GAS AVAILABILITY'!O380+'RAP TEMPLATE-GAS AVAILABILITY'!P380+'RAP TEMPLATE-GAS AVAILABILITY'!Q380+'RAP TEMPLATE-GAS AVAILABILITY'!R380)</f>
        <v>14.420489208633096</v>
      </c>
    </row>
    <row r="382" spans="1:29" ht="15.75" x14ac:dyDescent="0.25">
      <c r="A382" s="14">
        <v>52170</v>
      </c>
      <c r="B382" s="17">
        <f>CHOOSE(CONTROL!$C$42, 14.1533, 14.1533) * CHOOSE(CONTROL!$C$21, $C$9, 100%, $E$9)</f>
        <v>14.1533</v>
      </c>
      <c r="C382" s="17">
        <f>CHOOSE(CONTROL!$C$42, 14.1586, 14.1586) * CHOOSE(CONTROL!$C$21, $C$9, 100%, $E$9)</f>
        <v>14.1586</v>
      </c>
      <c r="D382" s="17">
        <f>CHOOSE(CONTROL!$C$42, 14.4234, 14.4234) * CHOOSE(CONTROL!$C$21, $C$9, 100%, $E$9)</f>
        <v>14.423400000000001</v>
      </c>
      <c r="E382" s="17">
        <f>CHOOSE(CONTROL!$C$42, 14.4523, 14.4523) * CHOOSE(CONTROL!$C$21, $C$9, 100%, $E$9)</f>
        <v>14.452299999999999</v>
      </c>
      <c r="F382" s="17">
        <f>CHOOSE(CONTROL!$C$42, 14.1661, 14.1661)*CHOOSE(CONTROL!$C$21, $C$9, 100%, $E$9)</f>
        <v>14.1661</v>
      </c>
      <c r="G382" s="17">
        <f>CHOOSE(CONTROL!$C$42, 14.1827, 14.1827)*CHOOSE(CONTROL!$C$21, $C$9, 100%, $E$9)</f>
        <v>14.182700000000001</v>
      </c>
      <c r="H382" s="17">
        <f>CHOOSE(CONTROL!$C$42, 14.4424, 14.4424) * CHOOSE(CONTROL!$C$21, $C$9, 100%, $E$9)</f>
        <v>14.442399999999999</v>
      </c>
      <c r="I382" s="17">
        <f>CHOOSE(CONTROL!$C$42, 14.2228, 14.2228)* CHOOSE(CONTROL!$C$21, $C$9, 100%, $E$9)</f>
        <v>14.222799999999999</v>
      </c>
      <c r="J382" s="17">
        <f>CHOOSE(CONTROL!$C$42, 14.1587, 14.1587)* CHOOSE(CONTROL!$C$21, $C$9, 100%, $E$9)</f>
        <v>14.1587</v>
      </c>
      <c r="K382" s="52">
        <f>CHOOSE(CONTROL!$C$42, 14.2167, 14.2167) * CHOOSE(CONTROL!$C$21, $C$9, 100%, $E$9)</f>
        <v>14.216699999999999</v>
      </c>
      <c r="L382" s="17">
        <f>CHOOSE(CONTROL!$C$42, 15.0294, 15.0294) * CHOOSE(CONTROL!$C$21, $C$9, 100%, $E$9)</f>
        <v>15.029400000000001</v>
      </c>
      <c r="M382" s="17">
        <f>CHOOSE(CONTROL!$C$42, 14.0384, 14.0384) * CHOOSE(CONTROL!$C$21, $C$9, 100%, $E$9)</f>
        <v>14.038399999999999</v>
      </c>
      <c r="N382" s="17">
        <f>CHOOSE(CONTROL!$C$42, 14.0548, 14.0548) * CHOOSE(CONTROL!$C$21, $C$9, 100%, $E$9)</f>
        <v>14.0548</v>
      </c>
      <c r="O382" s="17">
        <f>CHOOSE(CONTROL!$C$42, 14.3195, 14.3195) * CHOOSE(CONTROL!$C$21, $C$9, 100%, $E$9)</f>
        <v>14.3195</v>
      </c>
      <c r="P382" s="17">
        <f>CHOOSE(CONTROL!$C$42, 14.1015, 14.1015) * CHOOSE(CONTROL!$C$21, $C$9, 100%, $E$9)</f>
        <v>14.1015</v>
      </c>
      <c r="Q382" s="17">
        <f>CHOOSE(CONTROL!$C$42, 14.9142, 14.9142) * CHOOSE(CONTROL!$C$21, $C$9, 100%, $E$9)</f>
        <v>14.914199999999999</v>
      </c>
      <c r="R382" s="17">
        <f>CHOOSE(CONTROL!$C$42, 15.5385, 15.5385) * CHOOSE(CONTROL!$C$21, $C$9, 100%, $E$9)</f>
        <v>15.538500000000001</v>
      </c>
      <c r="S382" s="17">
        <f>CHOOSE(CONTROL!$C$42, 13.7145, 13.7145) * CHOOSE(CONTROL!$C$21, $C$9, 100%, $E$9)</f>
        <v>13.714499999999999</v>
      </c>
      <c r="T382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382" s="56">
        <f>(1000*CHOOSE(CONTROL!$C$42, 695, 695)*CHOOSE(CONTROL!$C$42, 0.5599, 0.5599)*CHOOSE(CONTROL!$C$42, 31, 31))/1000000</f>
        <v>12.063045499999998</v>
      </c>
      <c r="V382" s="56">
        <f>(1000*CHOOSE(CONTROL!$C$42, 500, 500)*CHOOSE(CONTROL!$C$42, 0.275, 0.275)*CHOOSE(CONTROL!$C$42, 31, 31))/1000000</f>
        <v>4.2625000000000002</v>
      </c>
      <c r="W382" s="56">
        <f>(1000*CHOOSE(CONTROL!$C$42, 0.0916, 0.0916)*CHOOSE(CONTROL!$C$42, 121.5, 121.5)*CHOOSE(CONTROL!$C$42, 31, 31))/1000000</f>
        <v>0.34501139999999997</v>
      </c>
      <c r="X382" s="56">
        <f>(31*0.1790888*145000/1000000)+(31*0.2374*100000/1000000)</f>
        <v>1.5409441560000001</v>
      </c>
      <c r="Y382" s="56"/>
      <c r="Z382" s="17"/>
      <c r="AA382" s="55"/>
      <c r="AB382" s="48">
        <f>(B382*131.881+C382*277.167+D382*79.08+E382*225.872+F382*40+G382*85+H382*0+I382*100+J382*300)/(131.881+277.167+79.08+225.872+0+40+85+100+300)</f>
        <v>14.235580243018564</v>
      </c>
      <c r="AC382" s="45">
        <f>(M382*'RAP TEMPLATE-GAS AVAILABILITY'!O381+N382*'RAP TEMPLATE-GAS AVAILABILITY'!P381+O382*'RAP TEMPLATE-GAS AVAILABILITY'!Q381+P382*'RAP TEMPLATE-GAS AVAILABILITY'!R381)/('RAP TEMPLATE-GAS AVAILABILITY'!O381+'RAP TEMPLATE-GAS AVAILABILITY'!P381+'RAP TEMPLATE-GAS AVAILABILITY'!Q381+'RAP TEMPLATE-GAS AVAILABILITY'!R381)</f>
        <v>14.130124460431654</v>
      </c>
    </row>
    <row r="383" spans="1:29" ht="15.75" x14ac:dyDescent="0.25">
      <c r="A383" s="14">
        <v>52200</v>
      </c>
      <c r="B383" s="17">
        <f>CHOOSE(CONTROL!$C$42, 14.5254, 14.5254) * CHOOSE(CONTROL!$C$21, $C$9, 100%, $E$9)</f>
        <v>14.525399999999999</v>
      </c>
      <c r="C383" s="17">
        <f>CHOOSE(CONTROL!$C$42, 14.5305, 14.5305) * CHOOSE(CONTROL!$C$21, $C$9, 100%, $E$9)</f>
        <v>14.5305</v>
      </c>
      <c r="D383" s="17">
        <f>CHOOSE(CONTROL!$C$42, 14.6712, 14.6712) * CHOOSE(CONTROL!$C$21, $C$9, 100%, $E$9)</f>
        <v>14.671200000000001</v>
      </c>
      <c r="E383" s="17">
        <f>CHOOSE(CONTROL!$C$42, 14.7049, 14.7049) * CHOOSE(CONTROL!$C$21, $C$9, 100%, $E$9)</f>
        <v>14.7049</v>
      </c>
      <c r="F383" s="17">
        <f>CHOOSE(CONTROL!$C$42, 14.5387, 14.5387)*CHOOSE(CONTROL!$C$21, $C$9, 100%, $E$9)</f>
        <v>14.5387</v>
      </c>
      <c r="G383" s="17">
        <f>CHOOSE(CONTROL!$C$42, 14.5556, 14.5556)*CHOOSE(CONTROL!$C$21, $C$9, 100%, $E$9)</f>
        <v>14.5556</v>
      </c>
      <c r="H383" s="17">
        <f>CHOOSE(CONTROL!$C$42, 14.6938, 14.6938) * CHOOSE(CONTROL!$C$21, $C$9, 100%, $E$9)</f>
        <v>14.6938</v>
      </c>
      <c r="I383" s="17">
        <f>CHOOSE(CONTROL!$C$42, 14.5929, 14.5929)* CHOOSE(CONTROL!$C$21, $C$9, 100%, $E$9)</f>
        <v>14.5929</v>
      </c>
      <c r="J383" s="17">
        <f>CHOOSE(CONTROL!$C$42, 14.5313, 14.5313)* CHOOSE(CONTROL!$C$21, $C$9, 100%, $E$9)</f>
        <v>14.5313</v>
      </c>
      <c r="K383" s="52">
        <f>CHOOSE(CONTROL!$C$42, 14.5868, 14.5868) * CHOOSE(CONTROL!$C$21, $C$9, 100%, $E$9)</f>
        <v>14.5868</v>
      </c>
      <c r="L383" s="17">
        <f>CHOOSE(CONTROL!$C$42, 15.2808, 15.2808) * CHOOSE(CONTROL!$C$21, $C$9, 100%, $E$9)</f>
        <v>15.280799999999999</v>
      </c>
      <c r="M383" s="17">
        <f>CHOOSE(CONTROL!$C$42, 14.4076, 14.4076) * CHOOSE(CONTROL!$C$21, $C$9, 100%, $E$9)</f>
        <v>14.4076</v>
      </c>
      <c r="N383" s="17">
        <f>CHOOSE(CONTROL!$C$42, 14.4243, 14.4243) * CHOOSE(CONTROL!$C$21, $C$9, 100%, $E$9)</f>
        <v>14.424300000000001</v>
      </c>
      <c r="O383" s="17">
        <f>CHOOSE(CONTROL!$C$42, 14.5687, 14.5687) * CHOOSE(CONTROL!$C$21, $C$9, 100%, $E$9)</f>
        <v>14.5687</v>
      </c>
      <c r="P383" s="17">
        <f>CHOOSE(CONTROL!$C$42, 14.4683, 14.4683) * CHOOSE(CONTROL!$C$21, $C$9, 100%, $E$9)</f>
        <v>14.468299999999999</v>
      </c>
      <c r="Q383" s="17">
        <f>CHOOSE(CONTROL!$C$42, 15.1634, 15.1634) * CHOOSE(CONTROL!$C$21, $C$9, 100%, $E$9)</f>
        <v>15.163399999999999</v>
      </c>
      <c r="R383" s="17">
        <f>CHOOSE(CONTROL!$C$42, 15.7883, 15.7883) * CHOOSE(CONTROL!$C$21, $C$9, 100%, $E$9)</f>
        <v>15.7883</v>
      </c>
      <c r="S383" s="17">
        <f>CHOOSE(CONTROL!$C$42, 14.0758, 14.0758) * CHOOSE(CONTROL!$C$21, $C$9, 100%, $E$9)</f>
        <v>14.075799999999999</v>
      </c>
      <c r="T383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383" s="56">
        <f>(1000*CHOOSE(CONTROL!$C$42, 695, 695)*CHOOSE(CONTROL!$C$42, 0.5599, 0.5599)*CHOOSE(CONTROL!$C$42, 30, 30))/1000000</f>
        <v>11.673914999999997</v>
      </c>
      <c r="V383" s="56">
        <f>(1000*CHOOSE(CONTROL!$C$42, 500, 500)*CHOOSE(CONTROL!$C$42, 0.275, 0.275)*CHOOSE(CONTROL!$C$42, 30, 30))/1000000</f>
        <v>4.125</v>
      </c>
      <c r="W383" s="56">
        <f>(1000*CHOOSE(CONTROL!$C$42, 0.0916, 0.0916)*CHOOSE(CONTROL!$C$42, 121.5, 121.5)*CHOOSE(CONTROL!$C$42, 30, 30))/1000000</f>
        <v>0.33388200000000001</v>
      </c>
      <c r="X383" s="56">
        <f>(30*0.2374*100000/1000000)</f>
        <v>0.71220000000000006</v>
      </c>
      <c r="Y383" s="56"/>
      <c r="Z383" s="17"/>
      <c r="AA383" s="55"/>
      <c r="AB383" s="48">
        <f>(B383*122.58+C383*297.941+D383*89.177+E383*140.302+F383*40+G383*60+H383*0+I383*100+J383*300)/(122.58+297.941+89.177+140.302+0+40+60+100+300)</f>
        <v>14.569373664956521</v>
      </c>
      <c r="AC383" s="45">
        <f>(M383*'RAP TEMPLATE-GAS AVAILABILITY'!O382+N383*'RAP TEMPLATE-GAS AVAILABILITY'!P382+O383*'RAP TEMPLATE-GAS AVAILABILITY'!Q382+P383*'RAP TEMPLATE-GAS AVAILABILITY'!R382)/('RAP TEMPLATE-GAS AVAILABILITY'!O382+'RAP TEMPLATE-GAS AVAILABILITY'!P382+'RAP TEMPLATE-GAS AVAILABILITY'!Q382+'RAP TEMPLATE-GAS AVAILABILITY'!R382)</f>
        <v>14.490311510791367</v>
      </c>
    </row>
    <row r="384" spans="1:29" ht="15.75" x14ac:dyDescent="0.25">
      <c r="A384" s="14">
        <v>52231</v>
      </c>
      <c r="B384" s="17">
        <f>CHOOSE(CONTROL!$C$42, 15.5151, 15.5151) * CHOOSE(CONTROL!$C$21, $C$9, 100%, $E$9)</f>
        <v>15.5151</v>
      </c>
      <c r="C384" s="17">
        <f>CHOOSE(CONTROL!$C$42, 15.5201, 15.5201) * CHOOSE(CONTROL!$C$21, $C$9, 100%, $E$9)</f>
        <v>15.520099999999999</v>
      </c>
      <c r="D384" s="17">
        <f>CHOOSE(CONTROL!$C$42, 15.6608, 15.6608) * CHOOSE(CONTROL!$C$21, $C$9, 100%, $E$9)</f>
        <v>15.6608</v>
      </c>
      <c r="E384" s="17">
        <f>CHOOSE(CONTROL!$C$42, 15.6946, 15.6946) * CHOOSE(CONTROL!$C$21, $C$9, 100%, $E$9)</f>
        <v>15.694599999999999</v>
      </c>
      <c r="F384" s="17">
        <f>CHOOSE(CONTROL!$C$42, 15.5308, 15.5308)*CHOOSE(CONTROL!$C$21, $C$9, 100%, $E$9)</f>
        <v>15.530799999999999</v>
      </c>
      <c r="G384" s="17">
        <f>CHOOSE(CONTROL!$C$42, 15.5483, 15.5483)*CHOOSE(CONTROL!$C$21, $C$9, 100%, $E$9)</f>
        <v>15.548299999999999</v>
      </c>
      <c r="H384" s="17">
        <f>CHOOSE(CONTROL!$C$42, 15.6834, 15.6834) * CHOOSE(CONTROL!$C$21, $C$9, 100%, $E$9)</f>
        <v>15.683400000000001</v>
      </c>
      <c r="I384" s="17">
        <f>CHOOSE(CONTROL!$C$42, 15.5856, 15.5856)* CHOOSE(CONTROL!$C$21, $C$9, 100%, $E$9)</f>
        <v>15.585599999999999</v>
      </c>
      <c r="J384" s="17">
        <f>CHOOSE(CONTROL!$C$42, 15.5234, 15.5234)* CHOOSE(CONTROL!$C$21, $C$9, 100%, $E$9)</f>
        <v>15.523400000000001</v>
      </c>
      <c r="K384" s="52">
        <f>CHOOSE(CONTROL!$C$42, 15.5795, 15.5795) * CHOOSE(CONTROL!$C$21, $C$9, 100%, $E$9)</f>
        <v>15.579499999999999</v>
      </c>
      <c r="L384" s="17">
        <f>CHOOSE(CONTROL!$C$42, 16.2704, 16.2704) * CHOOSE(CONTROL!$C$21, $C$9, 100%, $E$9)</f>
        <v>16.270399999999999</v>
      </c>
      <c r="M384" s="17">
        <f>CHOOSE(CONTROL!$C$42, 15.3908, 15.3908) * CHOOSE(CONTROL!$C$21, $C$9, 100%, $E$9)</f>
        <v>15.3908</v>
      </c>
      <c r="N384" s="17">
        <f>CHOOSE(CONTROL!$C$42, 15.4081, 15.4081) * CHOOSE(CONTROL!$C$21, $C$9, 100%, $E$9)</f>
        <v>15.408099999999999</v>
      </c>
      <c r="O384" s="17">
        <f>CHOOSE(CONTROL!$C$42, 15.5494, 15.5494) * CHOOSE(CONTROL!$C$21, $C$9, 100%, $E$9)</f>
        <v>15.5494</v>
      </c>
      <c r="P384" s="17">
        <f>CHOOSE(CONTROL!$C$42, 15.452, 15.452) * CHOOSE(CONTROL!$C$21, $C$9, 100%, $E$9)</f>
        <v>15.452</v>
      </c>
      <c r="Q384" s="17">
        <f>CHOOSE(CONTROL!$C$42, 16.1441, 16.1441) * CHOOSE(CONTROL!$C$21, $C$9, 100%, $E$9)</f>
        <v>16.144100000000002</v>
      </c>
      <c r="R384" s="17">
        <f>CHOOSE(CONTROL!$C$42, 16.7715, 16.7715) * CHOOSE(CONTROL!$C$21, $C$9, 100%, $E$9)</f>
        <v>16.7715</v>
      </c>
      <c r="S384" s="17">
        <f>CHOOSE(CONTROL!$C$42, 15.0354, 15.0354) * CHOOSE(CONTROL!$C$21, $C$9, 100%, $E$9)</f>
        <v>15.035399999999999</v>
      </c>
      <c r="T384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384" s="56">
        <f>(1000*CHOOSE(CONTROL!$C$42, 695, 695)*CHOOSE(CONTROL!$C$42, 0.5599, 0.5599)*CHOOSE(CONTROL!$C$42, 31, 31))/1000000</f>
        <v>12.063045499999998</v>
      </c>
      <c r="V384" s="56">
        <f>(1000*CHOOSE(CONTROL!$C$42, 500, 500)*CHOOSE(CONTROL!$C$42, 0.275, 0.275)*CHOOSE(CONTROL!$C$42, 31, 31))/1000000</f>
        <v>4.2625000000000002</v>
      </c>
      <c r="W384" s="56">
        <f>(1000*CHOOSE(CONTROL!$C$42, 0.0916, 0.0916)*CHOOSE(CONTROL!$C$42, 121.5, 121.5)*CHOOSE(CONTROL!$C$42, 31, 31))/1000000</f>
        <v>0.34501139999999997</v>
      </c>
      <c r="X384" s="56">
        <f>(31*0.2374*100000/1000000)</f>
        <v>0.73594000000000004</v>
      </c>
      <c r="Y384" s="56"/>
      <c r="Z384" s="17"/>
      <c r="AA384" s="55"/>
      <c r="AB384" s="48">
        <f>(B384*122.58+C384*297.941+D384*89.177+E384*140.302+F384*40+G384*60+H384*0+I384*100+J384*300)/(122.58+297.941+89.177+140.302+0+40+60+100+300)</f>
        <v>15.560166959043475</v>
      </c>
      <c r="AC384" s="45">
        <f>(M384*'RAP TEMPLATE-GAS AVAILABILITY'!O383+N384*'RAP TEMPLATE-GAS AVAILABILITY'!P383+O384*'RAP TEMPLATE-GAS AVAILABILITY'!Q383+P384*'RAP TEMPLATE-GAS AVAILABILITY'!R383)/('RAP TEMPLATE-GAS AVAILABILITY'!O383+'RAP TEMPLATE-GAS AVAILABILITY'!P383+'RAP TEMPLATE-GAS AVAILABILITY'!Q383+'RAP TEMPLATE-GAS AVAILABILITY'!R383)</f>
        <v>15.472484892086332</v>
      </c>
    </row>
    <row r="385" spans="1:29" ht="15.75" x14ac:dyDescent="0.25">
      <c r="A385" s="14">
        <v>52262</v>
      </c>
      <c r="B385" s="17">
        <f>CHOOSE(CONTROL!$C$42, 16.7066, 16.7066) * CHOOSE(CONTROL!$C$21, $C$9, 100%, $E$9)</f>
        <v>16.706600000000002</v>
      </c>
      <c r="C385" s="17">
        <f>CHOOSE(CONTROL!$C$42, 16.7117, 16.7117) * CHOOSE(CONTROL!$C$21, $C$9, 100%, $E$9)</f>
        <v>16.7117</v>
      </c>
      <c r="D385" s="17">
        <f>CHOOSE(CONTROL!$C$42, 16.8457, 16.8457) * CHOOSE(CONTROL!$C$21, $C$9, 100%, $E$9)</f>
        <v>16.845700000000001</v>
      </c>
      <c r="E385" s="17">
        <f>CHOOSE(CONTROL!$C$42, 16.8794, 16.8794) * CHOOSE(CONTROL!$C$21, $C$9, 100%, $E$9)</f>
        <v>16.8794</v>
      </c>
      <c r="F385" s="17">
        <f>CHOOSE(CONTROL!$C$42, 16.7201, 16.7201)*CHOOSE(CONTROL!$C$21, $C$9, 100%, $E$9)</f>
        <v>16.720099999999999</v>
      </c>
      <c r="G385" s="17">
        <f>CHOOSE(CONTROL!$C$42, 16.737, 16.737)*CHOOSE(CONTROL!$C$21, $C$9, 100%, $E$9)</f>
        <v>16.736999999999998</v>
      </c>
      <c r="H385" s="17">
        <f>CHOOSE(CONTROL!$C$42, 16.8683, 16.8683) * CHOOSE(CONTROL!$C$21, $C$9, 100%, $E$9)</f>
        <v>16.868300000000001</v>
      </c>
      <c r="I385" s="17">
        <f>CHOOSE(CONTROL!$C$42, 16.785, 16.785)* CHOOSE(CONTROL!$C$21, $C$9, 100%, $E$9)</f>
        <v>16.785</v>
      </c>
      <c r="J385" s="17">
        <f>CHOOSE(CONTROL!$C$42, 16.7127, 16.7127)* CHOOSE(CONTROL!$C$21, $C$9, 100%, $E$9)</f>
        <v>16.712700000000002</v>
      </c>
      <c r="K385" s="52">
        <f>CHOOSE(CONTROL!$C$42, 16.7789, 16.7789) * CHOOSE(CONTROL!$C$21, $C$9, 100%, $E$9)</f>
        <v>16.7789</v>
      </c>
      <c r="L385" s="17">
        <f>CHOOSE(CONTROL!$C$42, 17.4553, 17.4553) * CHOOSE(CONTROL!$C$21, $C$9, 100%, $E$9)</f>
        <v>17.455300000000001</v>
      </c>
      <c r="M385" s="17">
        <f>CHOOSE(CONTROL!$C$42, 16.5694, 16.5694) * CHOOSE(CONTROL!$C$21, $C$9, 100%, $E$9)</f>
        <v>16.569400000000002</v>
      </c>
      <c r="N385" s="17">
        <f>CHOOSE(CONTROL!$C$42, 16.5861, 16.5861) * CHOOSE(CONTROL!$C$21, $C$9, 100%, $E$9)</f>
        <v>16.586099999999998</v>
      </c>
      <c r="O385" s="17">
        <f>CHOOSE(CONTROL!$C$42, 16.7236, 16.7236) * CHOOSE(CONTROL!$C$21, $C$9, 100%, $E$9)</f>
        <v>16.723600000000001</v>
      </c>
      <c r="P385" s="17">
        <f>CHOOSE(CONTROL!$C$42, 16.6406, 16.6406) * CHOOSE(CONTROL!$C$21, $C$9, 100%, $E$9)</f>
        <v>16.640599999999999</v>
      </c>
      <c r="Q385" s="17">
        <f>CHOOSE(CONTROL!$C$42, 17.3183, 17.3183) * CHOOSE(CONTROL!$C$21, $C$9, 100%, $E$9)</f>
        <v>17.318300000000001</v>
      </c>
      <c r="R385" s="17">
        <f>CHOOSE(CONTROL!$C$42, 17.9486, 17.9486) * CHOOSE(CONTROL!$C$21, $C$9, 100%, $E$9)</f>
        <v>17.948599999999999</v>
      </c>
      <c r="S385" s="17">
        <f>CHOOSE(CONTROL!$C$42, 16.1909, 16.1909) * CHOOSE(CONTROL!$C$21, $C$9, 100%, $E$9)</f>
        <v>16.190899999999999</v>
      </c>
      <c r="T385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385" s="56">
        <f>(1000*CHOOSE(CONTROL!$C$42, 695, 695)*CHOOSE(CONTROL!$C$42, 0.5599, 0.5599)*CHOOSE(CONTROL!$C$42, 31, 31))/1000000</f>
        <v>12.063045499999998</v>
      </c>
      <c r="V385" s="56">
        <f>(1000*CHOOSE(CONTROL!$C$42, 500, 500)*CHOOSE(CONTROL!$C$42, 0.275, 0.275)*CHOOSE(CONTROL!$C$42, 31, 31))/1000000</f>
        <v>4.2625000000000002</v>
      </c>
      <c r="W385" s="56">
        <f>(1000*CHOOSE(CONTROL!$C$42, 0.0916, 0.0916)*CHOOSE(CONTROL!$C$42, 121.5, 121.5)*CHOOSE(CONTROL!$C$42, 31, 31))/1000000</f>
        <v>0.34501139999999997</v>
      </c>
      <c r="X385" s="56">
        <f>(31*0.2374*100000/1000000)</f>
        <v>0.73594000000000004</v>
      </c>
      <c r="Y385" s="56"/>
      <c r="Z385" s="17"/>
      <c r="AA385" s="55"/>
      <c r="AB385" s="48">
        <f>(B385*122.58+C385*297.941+D385*89.177+E385*140.302+F385*40+G385*60+H385*0+I385*100+J385*300)/(122.58+297.941+89.177+140.302+0+40+60+100+300)</f>
        <v>16.750254091652174</v>
      </c>
      <c r="AC385" s="45">
        <f>(M385*'RAP TEMPLATE-GAS AVAILABILITY'!O384+N385*'RAP TEMPLATE-GAS AVAILABILITY'!P384+O385*'RAP TEMPLATE-GAS AVAILABILITY'!Q384+P385*'RAP TEMPLATE-GAS AVAILABILITY'!R384)/('RAP TEMPLATE-GAS AVAILABILITY'!O384+'RAP TEMPLATE-GAS AVAILABILITY'!P384+'RAP TEMPLATE-GAS AVAILABILITY'!Q384+'RAP TEMPLATE-GAS AVAILABILITY'!R384)</f>
        <v>16.650494964028777</v>
      </c>
    </row>
    <row r="386" spans="1:29" ht="15.75" x14ac:dyDescent="0.25">
      <c r="A386" s="14">
        <v>52290</v>
      </c>
      <c r="B386" s="17">
        <f>CHOOSE(CONTROL!$C$42, 17.0038, 17.0038) * CHOOSE(CONTROL!$C$21, $C$9, 100%, $E$9)</f>
        <v>17.003799999999998</v>
      </c>
      <c r="C386" s="17">
        <f>CHOOSE(CONTROL!$C$42, 17.0089, 17.0089) * CHOOSE(CONTROL!$C$21, $C$9, 100%, $E$9)</f>
        <v>17.008900000000001</v>
      </c>
      <c r="D386" s="17">
        <f>CHOOSE(CONTROL!$C$42, 17.1429, 17.1429) * CHOOSE(CONTROL!$C$21, $C$9, 100%, $E$9)</f>
        <v>17.142900000000001</v>
      </c>
      <c r="E386" s="17">
        <f>CHOOSE(CONTROL!$C$42, 17.1766, 17.1766) * CHOOSE(CONTROL!$C$21, $C$9, 100%, $E$9)</f>
        <v>17.176600000000001</v>
      </c>
      <c r="F386" s="17">
        <f>CHOOSE(CONTROL!$C$42, 17.0172, 17.0172)*CHOOSE(CONTROL!$C$21, $C$9, 100%, $E$9)</f>
        <v>17.017199999999999</v>
      </c>
      <c r="G386" s="17">
        <f>CHOOSE(CONTROL!$C$42, 17.0341, 17.0341)*CHOOSE(CONTROL!$C$21, $C$9, 100%, $E$9)</f>
        <v>17.034099999999999</v>
      </c>
      <c r="H386" s="17">
        <f>CHOOSE(CONTROL!$C$42, 17.1655, 17.1655) * CHOOSE(CONTROL!$C$21, $C$9, 100%, $E$9)</f>
        <v>17.165500000000002</v>
      </c>
      <c r="I386" s="17">
        <f>CHOOSE(CONTROL!$C$42, 17.0831, 17.0831)* CHOOSE(CONTROL!$C$21, $C$9, 100%, $E$9)</f>
        <v>17.083100000000002</v>
      </c>
      <c r="J386" s="17">
        <f>CHOOSE(CONTROL!$C$42, 17.0098, 17.0098)* CHOOSE(CONTROL!$C$21, $C$9, 100%, $E$9)</f>
        <v>17.009799999999998</v>
      </c>
      <c r="K386" s="52">
        <f>CHOOSE(CONTROL!$C$42, 17.0771, 17.0771) * CHOOSE(CONTROL!$C$21, $C$9, 100%, $E$9)</f>
        <v>17.077100000000002</v>
      </c>
      <c r="L386" s="17">
        <f>CHOOSE(CONTROL!$C$42, 17.7525, 17.7525) * CHOOSE(CONTROL!$C$21, $C$9, 100%, $E$9)</f>
        <v>17.752500000000001</v>
      </c>
      <c r="M386" s="17">
        <f>CHOOSE(CONTROL!$C$42, 16.8639, 16.8639) * CHOOSE(CONTROL!$C$21, $C$9, 100%, $E$9)</f>
        <v>16.863900000000001</v>
      </c>
      <c r="N386" s="17">
        <f>CHOOSE(CONTROL!$C$42, 16.8806, 16.8806) * CHOOSE(CONTROL!$C$21, $C$9, 100%, $E$9)</f>
        <v>16.880600000000001</v>
      </c>
      <c r="O386" s="17">
        <f>CHOOSE(CONTROL!$C$42, 17.0181, 17.0181) * CHOOSE(CONTROL!$C$21, $C$9, 100%, $E$9)</f>
        <v>17.0181</v>
      </c>
      <c r="P386" s="17">
        <f>CHOOSE(CONTROL!$C$42, 16.9361, 16.9361) * CHOOSE(CONTROL!$C$21, $C$9, 100%, $E$9)</f>
        <v>16.9361</v>
      </c>
      <c r="Q386" s="17">
        <f>CHOOSE(CONTROL!$C$42, 17.6128, 17.6128) * CHOOSE(CONTROL!$C$21, $C$9, 100%, $E$9)</f>
        <v>17.6128</v>
      </c>
      <c r="R386" s="17">
        <f>CHOOSE(CONTROL!$C$42, 18.2439, 18.2439) * CHOOSE(CONTROL!$C$21, $C$9, 100%, $E$9)</f>
        <v>18.2439</v>
      </c>
      <c r="S386" s="17">
        <f>CHOOSE(CONTROL!$C$42, 16.4791, 16.4791) * CHOOSE(CONTROL!$C$21, $C$9, 100%, $E$9)</f>
        <v>16.479099999999999</v>
      </c>
      <c r="T386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386" s="56">
        <f>(1000*CHOOSE(CONTROL!$C$42, 695, 695)*CHOOSE(CONTROL!$C$42, 0.5599, 0.5599)*CHOOSE(CONTROL!$C$42, 28, 28))/1000000</f>
        <v>10.895653999999999</v>
      </c>
      <c r="V386" s="56">
        <f>(1000*CHOOSE(CONTROL!$C$42, 500, 500)*CHOOSE(CONTROL!$C$42, 0.275, 0.275)*CHOOSE(CONTROL!$C$42, 28, 28))/1000000</f>
        <v>3.85</v>
      </c>
      <c r="W386" s="56">
        <f>(1000*CHOOSE(CONTROL!$C$42, 0.0916, 0.0916)*CHOOSE(CONTROL!$C$42, 121.5, 121.5)*CHOOSE(CONTROL!$C$42, 28, 28))/1000000</f>
        <v>0.31162319999999999</v>
      </c>
      <c r="X386" s="56">
        <f>(28*0.2374*100000/1000000)</f>
        <v>0.66471999999999998</v>
      </c>
      <c r="Y386" s="56"/>
      <c r="Z386" s="17"/>
      <c r="AA386" s="55"/>
      <c r="AB386" s="48">
        <f>(B386*122.58+C386*297.941+D386*89.177+E386*140.302+F386*40+G386*60+H386*0+I386*100+J386*300)/(122.58+297.941+89.177+140.302+0+40+60+100+300)</f>
        <v>17.047497569913041</v>
      </c>
      <c r="AC386" s="45">
        <f>(M386*'RAP TEMPLATE-GAS AVAILABILITY'!O385+N386*'RAP TEMPLATE-GAS AVAILABILITY'!P385+O386*'RAP TEMPLATE-GAS AVAILABILITY'!Q385+P386*'RAP TEMPLATE-GAS AVAILABILITY'!R385)/('RAP TEMPLATE-GAS AVAILABILITY'!O385+'RAP TEMPLATE-GAS AVAILABILITY'!P385+'RAP TEMPLATE-GAS AVAILABILITY'!Q385+'RAP TEMPLATE-GAS AVAILABILITY'!R385)</f>
        <v>16.945138848920866</v>
      </c>
    </row>
    <row r="387" spans="1:29" ht="15.75" x14ac:dyDescent="0.25">
      <c r="A387" s="14">
        <v>52321</v>
      </c>
      <c r="B387" s="17">
        <f>CHOOSE(CONTROL!$C$42, 16.5214, 16.5214) * CHOOSE(CONTROL!$C$21, $C$9, 100%, $E$9)</f>
        <v>16.5214</v>
      </c>
      <c r="C387" s="17">
        <f>CHOOSE(CONTROL!$C$42, 16.5265, 16.5265) * CHOOSE(CONTROL!$C$21, $C$9, 100%, $E$9)</f>
        <v>16.526499999999999</v>
      </c>
      <c r="D387" s="17">
        <f>CHOOSE(CONTROL!$C$42, 16.6604, 16.6604) * CHOOSE(CONTROL!$C$21, $C$9, 100%, $E$9)</f>
        <v>16.660399999999999</v>
      </c>
      <c r="E387" s="17">
        <f>CHOOSE(CONTROL!$C$42, 16.6942, 16.6942) * CHOOSE(CONTROL!$C$21, $C$9, 100%, $E$9)</f>
        <v>16.694199999999999</v>
      </c>
      <c r="F387" s="17">
        <f>CHOOSE(CONTROL!$C$42, 16.534, 16.534)*CHOOSE(CONTROL!$C$21, $C$9, 100%, $E$9)</f>
        <v>16.533999999999999</v>
      </c>
      <c r="G387" s="17">
        <f>CHOOSE(CONTROL!$C$42, 16.5507, 16.5507)*CHOOSE(CONTROL!$C$21, $C$9, 100%, $E$9)</f>
        <v>16.550699999999999</v>
      </c>
      <c r="H387" s="17">
        <f>CHOOSE(CONTROL!$C$42, 16.6831, 16.6831) * CHOOSE(CONTROL!$C$21, $C$9, 100%, $E$9)</f>
        <v>16.6831</v>
      </c>
      <c r="I387" s="17">
        <f>CHOOSE(CONTROL!$C$42, 16.5992, 16.5992)* CHOOSE(CONTROL!$C$21, $C$9, 100%, $E$9)</f>
        <v>16.5992</v>
      </c>
      <c r="J387" s="17">
        <f>CHOOSE(CONTROL!$C$42, 16.5266, 16.5266)* CHOOSE(CONTROL!$C$21, $C$9, 100%, $E$9)</f>
        <v>16.526599999999998</v>
      </c>
      <c r="K387" s="52">
        <f>CHOOSE(CONTROL!$C$42, 16.5931, 16.5931) * CHOOSE(CONTROL!$C$21, $C$9, 100%, $E$9)</f>
        <v>16.5931</v>
      </c>
      <c r="L387" s="17">
        <f>CHOOSE(CONTROL!$C$42, 17.2701, 17.2701) * CHOOSE(CONTROL!$C$21, $C$9, 100%, $E$9)</f>
        <v>17.270099999999999</v>
      </c>
      <c r="M387" s="17">
        <f>CHOOSE(CONTROL!$C$42, 16.385, 16.385) * CHOOSE(CONTROL!$C$21, $C$9, 100%, $E$9)</f>
        <v>16.385000000000002</v>
      </c>
      <c r="N387" s="17">
        <f>CHOOSE(CONTROL!$C$42, 16.4015, 16.4015) * CHOOSE(CONTROL!$C$21, $C$9, 100%, $E$9)</f>
        <v>16.401499999999999</v>
      </c>
      <c r="O387" s="17">
        <f>CHOOSE(CONTROL!$C$42, 16.54, 16.54) * CHOOSE(CONTROL!$C$21, $C$9, 100%, $E$9)</f>
        <v>16.54</v>
      </c>
      <c r="P387" s="17">
        <f>CHOOSE(CONTROL!$C$42, 16.4565, 16.4565) * CHOOSE(CONTROL!$C$21, $C$9, 100%, $E$9)</f>
        <v>16.456499999999998</v>
      </c>
      <c r="Q387" s="17">
        <f>CHOOSE(CONTROL!$C$42, 17.1347, 17.1347) * CHOOSE(CONTROL!$C$21, $C$9, 100%, $E$9)</f>
        <v>17.134699999999999</v>
      </c>
      <c r="R387" s="17">
        <f>CHOOSE(CONTROL!$C$42, 17.7646, 17.7646) * CHOOSE(CONTROL!$C$21, $C$9, 100%, $E$9)</f>
        <v>17.764600000000002</v>
      </c>
      <c r="S387" s="17">
        <f>CHOOSE(CONTROL!$C$42, 16.0113, 16.0113) * CHOOSE(CONTROL!$C$21, $C$9, 100%, $E$9)</f>
        <v>16.011299999999999</v>
      </c>
      <c r="T387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387" s="56">
        <f>(1000*CHOOSE(CONTROL!$C$42, 695, 695)*CHOOSE(CONTROL!$C$42, 0.5599, 0.5599)*CHOOSE(CONTROL!$C$42, 31, 31))/1000000</f>
        <v>12.063045499999998</v>
      </c>
      <c r="V387" s="56">
        <f>(1000*CHOOSE(CONTROL!$C$42, 500, 500)*CHOOSE(CONTROL!$C$42, 0.275, 0.275)*CHOOSE(CONTROL!$C$42, 31, 31))/1000000</f>
        <v>4.2625000000000002</v>
      </c>
      <c r="W387" s="56">
        <f>(1000*CHOOSE(CONTROL!$C$42, 0.0916, 0.0916)*CHOOSE(CONTROL!$C$42, 121.5, 121.5)*CHOOSE(CONTROL!$C$42, 31, 31))/1000000</f>
        <v>0.34501139999999997</v>
      </c>
      <c r="X387" s="56">
        <f>(31*0.2374*100000/1000000)</f>
        <v>0.73594000000000004</v>
      </c>
      <c r="Y387" s="56"/>
      <c r="Z387" s="17"/>
      <c r="AA387" s="55"/>
      <c r="AB387" s="48">
        <f>(B387*122.58+C387*297.941+D387*89.177+E387*140.302+F387*40+G387*60+H387*0+I387*100+J387*300)/(122.58+297.941+89.177+140.302+0+40+60+100+300)</f>
        <v>16.564670684956521</v>
      </c>
      <c r="AC387" s="45">
        <f>(M387*'RAP TEMPLATE-GAS AVAILABILITY'!O386+N387*'RAP TEMPLATE-GAS AVAILABILITY'!P386+O387*'RAP TEMPLATE-GAS AVAILABILITY'!Q386+P387*'RAP TEMPLATE-GAS AVAILABILITY'!R386)/('RAP TEMPLATE-GAS AVAILABILITY'!O386+'RAP TEMPLATE-GAS AVAILABILITY'!P386+'RAP TEMPLATE-GAS AVAILABILITY'!Q386+'RAP TEMPLATE-GAS AVAILABILITY'!R386)</f>
        <v>16.466489208633096</v>
      </c>
    </row>
    <row r="388" spans="1:29" ht="15.75" x14ac:dyDescent="0.25">
      <c r="A388" s="14">
        <v>52351</v>
      </c>
      <c r="B388" s="17">
        <f>CHOOSE(CONTROL!$C$42, 16.473, 16.473) * CHOOSE(CONTROL!$C$21, $C$9, 100%, $E$9)</f>
        <v>16.472999999999999</v>
      </c>
      <c r="C388" s="17">
        <f>CHOOSE(CONTROL!$C$42, 16.4775, 16.4775) * CHOOSE(CONTROL!$C$21, $C$9, 100%, $E$9)</f>
        <v>16.477499999999999</v>
      </c>
      <c r="D388" s="17">
        <f>CHOOSE(CONTROL!$C$42, 16.7405, 16.7405) * CHOOSE(CONTROL!$C$21, $C$9, 100%, $E$9)</f>
        <v>16.740500000000001</v>
      </c>
      <c r="E388" s="17">
        <f>CHOOSE(CONTROL!$C$42, 16.7723, 16.7723) * CHOOSE(CONTROL!$C$21, $C$9, 100%, $E$9)</f>
        <v>16.772300000000001</v>
      </c>
      <c r="F388" s="17">
        <f>CHOOSE(CONTROL!$C$42, 16.4839, 16.4839)*CHOOSE(CONTROL!$C$21, $C$9, 100%, $E$9)</f>
        <v>16.483899999999998</v>
      </c>
      <c r="G388" s="17">
        <f>CHOOSE(CONTROL!$C$42, 16.5001, 16.5001)*CHOOSE(CONTROL!$C$21, $C$9, 100%, $E$9)</f>
        <v>16.5001</v>
      </c>
      <c r="H388" s="17">
        <f>CHOOSE(CONTROL!$C$42, 16.7618, 16.7618) * CHOOSE(CONTROL!$C$21, $C$9, 100%, $E$9)</f>
        <v>16.761800000000001</v>
      </c>
      <c r="I388" s="17">
        <f>CHOOSE(CONTROL!$C$42, 16.5493, 16.5493)* CHOOSE(CONTROL!$C$21, $C$9, 100%, $E$9)</f>
        <v>16.549299999999999</v>
      </c>
      <c r="J388" s="17">
        <f>CHOOSE(CONTROL!$C$42, 16.4765, 16.4765)* CHOOSE(CONTROL!$C$21, $C$9, 100%, $E$9)</f>
        <v>16.476500000000001</v>
      </c>
      <c r="K388" s="52">
        <f>CHOOSE(CONTROL!$C$42, 16.5433, 16.5433) * CHOOSE(CONTROL!$C$21, $C$9, 100%, $E$9)</f>
        <v>16.543299999999999</v>
      </c>
      <c r="L388" s="17">
        <f>CHOOSE(CONTROL!$C$42, 17.3488, 17.3488) * CHOOSE(CONTROL!$C$21, $C$9, 100%, $E$9)</f>
        <v>17.348800000000001</v>
      </c>
      <c r="M388" s="17">
        <f>CHOOSE(CONTROL!$C$42, 16.3353, 16.3353) * CHOOSE(CONTROL!$C$21, $C$9, 100%, $E$9)</f>
        <v>16.3353</v>
      </c>
      <c r="N388" s="17">
        <f>CHOOSE(CONTROL!$C$42, 16.3513, 16.3513) * CHOOSE(CONTROL!$C$21, $C$9, 100%, $E$9)</f>
        <v>16.351299999999998</v>
      </c>
      <c r="O388" s="17">
        <f>CHOOSE(CONTROL!$C$42, 16.618, 16.618) * CHOOSE(CONTROL!$C$21, $C$9, 100%, $E$9)</f>
        <v>16.617999999999999</v>
      </c>
      <c r="P388" s="17">
        <f>CHOOSE(CONTROL!$C$42, 16.4071, 16.4071) * CHOOSE(CONTROL!$C$21, $C$9, 100%, $E$9)</f>
        <v>16.4071</v>
      </c>
      <c r="Q388" s="17">
        <f>CHOOSE(CONTROL!$C$42, 17.2127, 17.2127) * CHOOSE(CONTROL!$C$21, $C$9, 100%, $E$9)</f>
        <v>17.212700000000002</v>
      </c>
      <c r="R388" s="17">
        <f>CHOOSE(CONTROL!$C$42, 17.8428, 17.8428) * CHOOSE(CONTROL!$C$21, $C$9, 100%, $E$9)</f>
        <v>17.8428</v>
      </c>
      <c r="S388" s="17">
        <f>CHOOSE(CONTROL!$C$42, 15.9636, 15.9636) * CHOOSE(CONTROL!$C$21, $C$9, 100%, $E$9)</f>
        <v>15.9636</v>
      </c>
      <c r="T388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388" s="56">
        <f>(1000*CHOOSE(CONTROL!$C$42, 695, 695)*CHOOSE(CONTROL!$C$42, 0.5599, 0.5599)*CHOOSE(CONTROL!$C$42, 30, 30))/1000000</f>
        <v>11.673914999999997</v>
      </c>
      <c r="V388" s="56">
        <f>(1000*CHOOSE(CONTROL!$C$42, 500, 500)*CHOOSE(CONTROL!$C$42, 0.275, 0.275)*CHOOSE(CONTROL!$C$42, 30, 30))/1000000</f>
        <v>4.125</v>
      </c>
      <c r="W388" s="56">
        <f>(1000*CHOOSE(CONTROL!$C$42, 0.0916, 0.0916)*CHOOSE(CONTROL!$C$42, 121.5, 121.5)*CHOOSE(CONTROL!$C$42, 30, 30))/1000000</f>
        <v>0.33388200000000001</v>
      </c>
      <c r="X388" s="56">
        <f>(30*0.1790888*145000/1000000)+(30*0.2374*100000/1000000)</f>
        <v>1.4912362799999999</v>
      </c>
      <c r="Y388" s="56"/>
      <c r="Z388" s="17"/>
      <c r="AA388" s="55"/>
      <c r="AB388" s="48">
        <f>(B388*141.293+C388*267.993+D388*115.016+E388*189.698+F388*40+G388*85+H388*0+I388*100+J388*300)/(141.293+267.993+115.016+189.698+0+40+85+100+300)</f>
        <v>16.553846537449559</v>
      </c>
      <c r="AC388" s="45">
        <f>(M388*'RAP TEMPLATE-GAS AVAILABILITY'!O387+N388*'RAP TEMPLATE-GAS AVAILABILITY'!P387+O388*'RAP TEMPLATE-GAS AVAILABILITY'!Q387+P388*'RAP TEMPLATE-GAS AVAILABILITY'!R387)/('RAP TEMPLATE-GAS AVAILABILITY'!O387+'RAP TEMPLATE-GAS AVAILABILITY'!P387+'RAP TEMPLATE-GAS AVAILABILITY'!Q387+'RAP TEMPLATE-GAS AVAILABILITY'!R387)</f>
        <v>16.428633093525182</v>
      </c>
    </row>
    <row r="389" spans="1:29" ht="15.75" x14ac:dyDescent="0.25">
      <c r="A389" s="14">
        <v>52382</v>
      </c>
      <c r="B389" s="17">
        <f>CHOOSE(CONTROL!$C$42, 16.6196, 16.6196) * CHOOSE(CONTROL!$C$21, $C$9, 100%, $E$9)</f>
        <v>16.619599999999998</v>
      </c>
      <c r="C389" s="17">
        <f>CHOOSE(CONTROL!$C$42, 16.6276, 16.6276) * CHOOSE(CONTROL!$C$21, $C$9, 100%, $E$9)</f>
        <v>16.627600000000001</v>
      </c>
      <c r="D389" s="17">
        <f>CHOOSE(CONTROL!$C$42, 16.8876, 16.8876) * CHOOSE(CONTROL!$C$21, $C$9, 100%, $E$9)</f>
        <v>16.887599999999999</v>
      </c>
      <c r="E389" s="17">
        <f>CHOOSE(CONTROL!$C$42, 16.9187, 16.9187) * CHOOSE(CONTROL!$C$21, $C$9, 100%, $E$9)</f>
        <v>16.918700000000001</v>
      </c>
      <c r="F389" s="17">
        <f>CHOOSE(CONTROL!$C$42, 16.6293, 16.6293)*CHOOSE(CONTROL!$C$21, $C$9, 100%, $E$9)</f>
        <v>16.629300000000001</v>
      </c>
      <c r="G389" s="17">
        <f>CHOOSE(CONTROL!$C$42, 16.6458, 16.6458)*CHOOSE(CONTROL!$C$21, $C$9, 100%, $E$9)</f>
        <v>16.645800000000001</v>
      </c>
      <c r="H389" s="17">
        <f>CHOOSE(CONTROL!$C$42, 16.9071, 16.9071) * CHOOSE(CONTROL!$C$21, $C$9, 100%, $E$9)</f>
        <v>16.9071</v>
      </c>
      <c r="I389" s="17">
        <f>CHOOSE(CONTROL!$C$42, 16.6951, 16.6951)* CHOOSE(CONTROL!$C$21, $C$9, 100%, $E$9)</f>
        <v>16.6951</v>
      </c>
      <c r="J389" s="17">
        <f>CHOOSE(CONTROL!$C$42, 16.6219, 16.6219)* CHOOSE(CONTROL!$C$21, $C$9, 100%, $E$9)</f>
        <v>16.6219</v>
      </c>
      <c r="K389" s="52">
        <f>CHOOSE(CONTROL!$C$42, 16.689, 16.689) * CHOOSE(CONTROL!$C$21, $C$9, 100%, $E$9)</f>
        <v>16.689</v>
      </c>
      <c r="L389" s="17">
        <f>CHOOSE(CONTROL!$C$42, 17.4941, 17.4941) * CHOOSE(CONTROL!$C$21, $C$9, 100%, $E$9)</f>
        <v>17.4941</v>
      </c>
      <c r="M389" s="17">
        <f>CHOOSE(CONTROL!$C$42, 16.4794, 16.4794) * CHOOSE(CONTROL!$C$21, $C$9, 100%, $E$9)</f>
        <v>16.479399999999998</v>
      </c>
      <c r="N389" s="17">
        <f>CHOOSE(CONTROL!$C$42, 16.4957, 16.4957) * CHOOSE(CONTROL!$C$21, $C$9, 100%, $E$9)</f>
        <v>16.495699999999999</v>
      </c>
      <c r="O389" s="17">
        <f>CHOOSE(CONTROL!$C$42, 16.762, 16.762) * CHOOSE(CONTROL!$C$21, $C$9, 100%, $E$9)</f>
        <v>16.762</v>
      </c>
      <c r="P389" s="17">
        <f>CHOOSE(CONTROL!$C$42, 16.5515, 16.5515) * CHOOSE(CONTROL!$C$21, $C$9, 100%, $E$9)</f>
        <v>16.551500000000001</v>
      </c>
      <c r="Q389" s="17">
        <f>CHOOSE(CONTROL!$C$42, 17.3567, 17.3567) * CHOOSE(CONTROL!$C$21, $C$9, 100%, $E$9)</f>
        <v>17.3567</v>
      </c>
      <c r="R389" s="17">
        <f>CHOOSE(CONTROL!$C$42, 17.9871, 17.9871) * CHOOSE(CONTROL!$C$21, $C$9, 100%, $E$9)</f>
        <v>17.987100000000002</v>
      </c>
      <c r="S389" s="17">
        <f>CHOOSE(CONTROL!$C$42, 16.1045, 16.1045) * CHOOSE(CONTROL!$C$21, $C$9, 100%, $E$9)</f>
        <v>16.104500000000002</v>
      </c>
      <c r="T389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389" s="56">
        <f>(1000*CHOOSE(CONTROL!$C$42, 695, 695)*CHOOSE(CONTROL!$C$42, 0.5599, 0.5599)*CHOOSE(CONTROL!$C$42, 31, 31))/1000000</f>
        <v>12.063045499999998</v>
      </c>
      <c r="V389" s="56">
        <f>(1000*CHOOSE(CONTROL!$C$42, 500, 500)*CHOOSE(CONTROL!$C$42, 0.275, 0.275)*CHOOSE(CONTROL!$C$42, 31, 31))/1000000</f>
        <v>4.2625000000000002</v>
      </c>
      <c r="W389" s="56">
        <f>(1000*CHOOSE(CONTROL!$C$42, 0.0916, 0.0916)*CHOOSE(CONTROL!$C$42, 121.5, 121.5)*CHOOSE(CONTROL!$C$42, 31, 31))/1000000</f>
        <v>0.34501139999999997</v>
      </c>
      <c r="X389" s="56">
        <f>(31*0.1790888*145000/1000000)+(31*0.2374*100000/1000000)</f>
        <v>1.5409441560000001</v>
      </c>
      <c r="Y389" s="56"/>
      <c r="Z389" s="17"/>
      <c r="AA389" s="55"/>
      <c r="AB389" s="48">
        <f>(B389*194.205+C389*267.466+D389*133.845+E389*153.484+F389*40+G389*85+H389*0+I389*100+J389*300)/(194.205+267.466+133.845+153.484+0+40+85+100+300)</f>
        <v>16.693989523076922</v>
      </c>
      <c r="AC389" s="45">
        <f>(M389*'RAP TEMPLATE-GAS AVAILABILITY'!O388+N389*'RAP TEMPLATE-GAS AVAILABILITY'!P388+O389*'RAP TEMPLATE-GAS AVAILABILITY'!Q388+P389*'RAP TEMPLATE-GAS AVAILABILITY'!R388)/('RAP TEMPLATE-GAS AVAILABILITY'!O388+'RAP TEMPLATE-GAS AVAILABILITY'!P388+'RAP TEMPLATE-GAS AVAILABILITY'!Q388+'RAP TEMPLATE-GAS AVAILABILITY'!R388)</f>
        <v>16.572817266187048</v>
      </c>
    </row>
    <row r="390" spans="1:29" ht="15.75" x14ac:dyDescent="0.25">
      <c r="A390" s="14">
        <v>52412</v>
      </c>
      <c r="B390" s="17">
        <f>CHOOSE(CONTROL!$C$42, 17.0907, 17.0907) * CHOOSE(CONTROL!$C$21, $C$9, 100%, $E$9)</f>
        <v>17.090699999999998</v>
      </c>
      <c r="C390" s="17">
        <f>CHOOSE(CONTROL!$C$42, 17.0987, 17.0987) * CHOOSE(CONTROL!$C$21, $C$9, 100%, $E$9)</f>
        <v>17.098700000000001</v>
      </c>
      <c r="D390" s="17">
        <f>CHOOSE(CONTROL!$C$42, 17.3586, 17.3586) * CHOOSE(CONTROL!$C$21, $C$9, 100%, $E$9)</f>
        <v>17.358599999999999</v>
      </c>
      <c r="E390" s="17">
        <f>CHOOSE(CONTROL!$C$42, 17.3898, 17.3898) * CHOOSE(CONTROL!$C$21, $C$9, 100%, $E$9)</f>
        <v>17.389800000000001</v>
      </c>
      <c r="F390" s="17">
        <f>CHOOSE(CONTROL!$C$42, 17.1007, 17.1007)*CHOOSE(CONTROL!$C$21, $C$9, 100%, $E$9)</f>
        <v>17.1007</v>
      </c>
      <c r="G390" s="17">
        <f>CHOOSE(CONTROL!$C$42, 17.1172, 17.1172)*CHOOSE(CONTROL!$C$21, $C$9, 100%, $E$9)</f>
        <v>17.1172</v>
      </c>
      <c r="H390" s="17">
        <f>CHOOSE(CONTROL!$C$42, 17.3781, 17.3781) * CHOOSE(CONTROL!$C$21, $C$9, 100%, $E$9)</f>
        <v>17.3781</v>
      </c>
      <c r="I390" s="17">
        <f>CHOOSE(CONTROL!$C$42, 17.1676, 17.1676)* CHOOSE(CONTROL!$C$21, $C$9, 100%, $E$9)</f>
        <v>17.1676</v>
      </c>
      <c r="J390" s="17">
        <f>CHOOSE(CONTROL!$C$42, 17.0933, 17.0933)* CHOOSE(CONTROL!$C$21, $C$9, 100%, $E$9)</f>
        <v>17.093299999999999</v>
      </c>
      <c r="K390" s="52">
        <f>CHOOSE(CONTROL!$C$42, 17.1616, 17.1616) * CHOOSE(CONTROL!$C$21, $C$9, 100%, $E$9)</f>
        <v>17.1616</v>
      </c>
      <c r="L390" s="17">
        <f>CHOOSE(CONTROL!$C$42, 17.9651, 17.9651) * CHOOSE(CONTROL!$C$21, $C$9, 100%, $E$9)</f>
        <v>17.9651</v>
      </c>
      <c r="M390" s="17">
        <f>CHOOSE(CONTROL!$C$42, 16.9466, 16.9466) * CHOOSE(CONTROL!$C$21, $C$9, 100%, $E$9)</f>
        <v>16.9466</v>
      </c>
      <c r="N390" s="17">
        <f>CHOOSE(CONTROL!$C$42, 16.9629, 16.9629) * CHOOSE(CONTROL!$C$21, $C$9, 100%, $E$9)</f>
        <v>16.962900000000001</v>
      </c>
      <c r="O390" s="17">
        <f>CHOOSE(CONTROL!$C$42, 17.2289, 17.2289) * CHOOSE(CONTROL!$C$21, $C$9, 100%, $E$9)</f>
        <v>17.228899999999999</v>
      </c>
      <c r="P390" s="17">
        <f>CHOOSE(CONTROL!$C$42, 17.0198, 17.0198) * CHOOSE(CONTROL!$C$21, $C$9, 100%, $E$9)</f>
        <v>17.0198</v>
      </c>
      <c r="Q390" s="17">
        <f>CHOOSE(CONTROL!$C$42, 17.8236, 17.8236) * CHOOSE(CONTROL!$C$21, $C$9, 100%, $E$9)</f>
        <v>17.823599999999999</v>
      </c>
      <c r="R390" s="17">
        <f>CHOOSE(CONTROL!$C$42, 18.4551, 18.4551) * CHOOSE(CONTROL!$C$21, $C$9, 100%, $E$9)</f>
        <v>18.455100000000002</v>
      </c>
      <c r="S390" s="17">
        <f>CHOOSE(CONTROL!$C$42, 16.5613, 16.5613) * CHOOSE(CONTROL!$C$21, $C$9, 100%, $E$9)</f>
        <v>16.561299999999999</v>
      </c>
      <c r="T390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390" s="56">
        <f>(1000*CHOOSE(CONTROL!$C$42, 695, 695)*CHOOSE(CONTROL!$C$42, 0.5599, 0.5599)*CHOOSE(CONTROL!$C$42, 30, 30))/1000000</f>
        <v>11.673914999999997</v>
      </c>
      <c r="V390" s="56">
        <f>(1000*CHOOSE(CONTROL!$C$42, 500, 500)*CHOOSE(CONTROL!$C$42, 0.275, 0.275)*CHOOSE(CONTROL!$C$42, 30, 30))/1000000</f>
        <v>4.125</v>
      </c>
      <c r="W390" s="56">
        <f>(1000*CHOOSE(CONTROL!$C$42, 0.0916, 0.0916)*CHOOSE(CONTROL!$C$42, 121.5, 121.5)*CHOOSE(CONTROL!$C$42, 30, 30))/1000000</f>
        <v>0.33388200000000001</v>
      </c>
      <c r="X390" s="56">
        <f>(30*0.1790888*145000/1000000)+(30*0.2374*100000/1000000)</f>
        <v>1.4912362799999999</v>
      </c>
      <c r="Y390" s="56"/>
      <c r="Z390" s="17"/>
      <c r="AA390" s="55"/>
      <c r="AB390" s="48">
        <f>(B390*194.205+C390*267.466+D390*133.845+E390*153.484+F390*40+G390*85+H390*0+I390*100+J390*300)/(194.205+267.466+133.845+153.484+0+40+85+100+300)</f>
        <v>17.165288985792778</v>
      </c>
      <c r="AC390" s="45">
        <f>(M390*'RAP TEMPLATE-GAS AVAILABILITY'!O389+N390*'RAP TEMPLATE-GAS AVAILABILITY'!P389+O390*'RAP TEMPLATE-GAS AVAILABILITY'!Q389+P390*'RAP TEMPLATE-GAS AVAILABILITY'!R389)/('RAP TEMPLATE-GAS AVAILABILITY'!O389+'RAP TEMPLATE-GAS AVAILABILITY'!P389+'RAP TEMPLATE-GAS AVAILABILITY'!Q389+'RAP TEMPLATE-GAS AVAILABILITY'!R389)</f>
        <v>17.040091366906474</v>
      </c>
    </row>
    <row r="391" spans="1:29" ht="15.75" x14ac:dyDescent="0.25">
      <c r="A391" s="14">
        <v>52443</v>
      </c>
      <c r="B391" s="17">
        <f>CHOOSE(CONTROL!$C$42, 16.7631, 16.7631) * CHOOSE(CONTROL!$C$21, $C$9, 100%, $E$9)</f>
        <v>16.763100000000001</v>
      </c>
      <c r="C391" s="17">
        <f>CHOOSE(CONTROL!$C$42, 16.7711, 16.7711) * CHOOSE(CONTROL!$C$21, $C$9, 100%, $E$9)</f>
        <v>16.771100000000001</v>
      </c>
      <c r="D391" s="17">
        <f>CHOOSE(CONTROL!$C$42, 17.031, 17.031) * CHOOSE(CONTROL!$C$21, $C$9, 100%, $E$9)</f>
        <v>17.030999999999999</v>
      </c>
      <c r="E391" s="17">
        <f>CHOOSE(CONTROL!$C$42, 17.0622, 17.0622) * CHOOSE(CONTROL!$C$21, $C$9, 100%, $E$9)</f>
        <v>17.062200000000001</v>
      </c>
      <c r="F391" s="17">
        <f>CHOOSE(CONTROL!$C$42, 16.7735, 16.7735)*CHOOSE(CONTROL!$C$21, $C$9, 100%, $E$9)</f>
        <v>16.773499999999999</v>
      </c>
      <c r="G391" s="17">
        <f>CHOOSE(CONTROL!$C$42, 16.7901, 16.7901)*CHOOSE(CONTROL!$C$21, $C$9, 100%, $E$9)</f>
        <v>16.790099999999999</v>
      </c>
      <c r="H391" s="17">
        <f>CHOOSE(CONTROL!$C$42, 17.0505, 17.0505) * CHOOSE(CONTROL!$C$21, $C$9, 100%, $E$9)</f>
        <v>17.0505</v>
      </c>
      <c r="I391" s="17">
        <f>CHOOSE(CONTROL!$C$42, 16.8389, 16.8389)* CHOOSE(CONTROL!$C$21, $C$9, 100%, $E$9)</f>
        <v>16.838899999999999</v>
      </c>
      <c r="J391" s="17">
        <f>CHOOSE(CONTROL!$C$42, 16.7661, 16.7661)* CHOOSE(CONTROL!$C$21, $C$9, 100%, $E$9)</f>
        <v>16.766100000000002</v>
      </c>
      <c r="K391" s="52">
        <f>CHOOSE(CONTROL!$C$42, 16.8329, 16.8329) * CHOOSE(CONTROL!$C$21, $C$9, 100%, $E$9)</f>
        <v>16.832899999999999</v>
      </c>
      <c r="L391" s="17">
        <f>CHOOSE(CONTROL!$C$42, 17.6375, 17.6375) * CHOOSE(CONTROL!$C$21, $C$9, 100%, $E$9)</f>
        <v>17.637499999999999</v>
      </c>
      <c r="M391" s="17">
        <f>CHOOSE(CONTROL!$C$42, 16.6223, 16.6223) * CHOOSE(CONTROL!$C$21, $C$9, 100%, $E$9)</f>
        <v>16.622299999999999</v>
      </c>
      <c r="N391" s="17">
        <f>CHOOSE(CONTROL!$C$42, 16.6388, 16.6388) * CHOOSE(CONTROL!$C$21, $C$9, 100%, $E$9)</f>
        <v>16.6388</v>
      </c>
      <c r="O391" s="17">
        <f>CHOOSE(CONTROL!$C$42, 16.9042, 16.9042) * CHOOSE(CONTROL!$C$21, $C$9, 100%, $E$9)</f>
        <v>16.904199999999999</v>
      </c>
      <c r="P391" s="17">
        <f>CHOOSE(CONTROL!$C$42, 16.6941, 16.6941) * CHOOSE(CONTROL!$C$21, $C$9, 100%, $E$9)</f>
        <v>16.694099999999999</v>
      </c>
      <c r="Q391" s="17">
        <f>CHOOSE(CONTROL!$C$42, 17.4989, 17.4989) * CHOOSE(CONTROL!$C$21, $C$9, 100%, $E$9)</f>
        <v>17.498899999999999</v>
      </c>
      <c r="R391" s="17">
        <f>CHOOSE(CONTROL!$C$42, 18.1296, 18.1296) * CHOOSE(CONTROL!$C$21, $C$9, 100%, $E$9)</f>
        <v>18.1296</v>
      </c>
      <c r="S391" s="17">
        <f>CHOOSE(CONTROL!$C$42, 16.2436, 16.2436) * CHOOSE(CONTROL!$C$21, $C$9, 100%, $E$9)</f>
        <v>16.243600000000001</v>
      </c>
      <c r="T391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391" s="56">
        <f>(1000*CHOOSE(CONTROL!$C$42, 695, 695)*CHOOSE(CONTROL!$C$42, 0.5599, 0.5599)*CHOOSE(CONTROL!$C$42, 31, 31))/1000000</f>
        <v>12.063045499999998</v>
      </c>
      <c r="V391" s="56">
        <f>(1000*CHOOSE(CONTROL!$C$42, 500, 500)*CHOOSE(CONTROL!$C$42, 0.275, 0.275)*CHOOSE(CONTROL!$C$42, 31, 31))/1000000</f>
        <v>4.2625000000000002</v>
      </c>
      <c r="W391" s="56">
        <f>(1000*CHOOSE(CONTROL!$C$42, 0.0916, 0.0916)*CHOOSE(CONTROL!$C$42, 121.5, 121.5)*CHOOSE(CONTROL!$C$42, 31, 31))/1000000</f>
        <v>0.34501139999999997</v>
      </c>
      <c r="X391" s="56">
        <f>(31*0.1790888*145000/1000000)+(31*0.2374*100000/1000000)</f>
        <v>1.5409441560000001</v>
      </c>
      <c r="Y391" s="56"/>
      <c r="Z391" s="17"/>
      <c r="AA391" s="55"/>
      <c r="AB391" s="48">
        <f>(B391*194.205+C391*267.466+D391*133.845+E391*153.484+F391*40+G391*85+H391*0+I391*100+J391*300)/(194.205+267.466+133.845+153.484+0+40+85+100+300)</f>
        <v>16.837742753453689</v>
      </c>
      <c r="AC391" s="45">
        <f>(M391*'RAP TEMPLATE-GAS AVAILABILITY'!O390+N391*'RAP TEMPLATE-GAS AVAILABILITY'!P390+O391*'RAP TEMPLATE-GAS AVAILABILITY'!Q390+P391*'RAP TEMPLATE-GAS AVAILABILITY'!R390)/('RAP TEMPLATE-GAS AVAILABILITY'!O390+'RAP TEMPLATE-GAS AVAILABILITY'!P390+'RAP TEMPLATE-GAS AVAILABILITY'!Q390+'RAP TEMPLATE-GAS AVAILABILITY'!R390)</f>
        <v>16.715523741007193</v>
      </c>
    </row>
    <row r="392" spans="1:29" ht="15.75" x14ac:dyDescent="0.25">
      <c r="A392" s="14">
        <v>52474</v>
      </c>
      <c r="B392" s="17">
        <f>CHOOSE(CONTROL!$C$42, 15.9357, 15.9357) * CHOOSE(CONTROL!$C$21, $C$9, 100%, $E$9)</f>
        <v>15.935700000000001</v>
      </c>
      <c r="C392" s="17">
        <f>CHOOSE(CONTROL!$C$42, 15.9437, 15.9437) * CHOOSE(CONTROL!$C$21, $C$9, 100%, $E$9)</f>
        <v>15.9437</v>
      </c>
      <c r="D392" s="17">
        <f>CHOOSE(CONTROL!$C$42, 16.2036, 16.2036) * CHOOSE(CONTROL!$C$21, $C$9, 100%, $E$9)</f>
        <v>16.203600000000002</v>
      </c>
      <c r="E392" s="17">
        <f>CHOOSE(CONTROL!$C$42, 16.2348, 16.2348) * CHOOSE(CONTROL!$C$21, $C$9, 100%, $E$9)</f>
        <v>16.2348</v>
      </c>
      <c r="F392" s="17">
        <f>CHOOSE(CONTROL!$C$42, 15.9463, 15.9463)*CHOOSE(CONTROL!$C$21, $C$9, 100%, $E$9)</f>
        <v>15.946300000000001</v>
      </c>
      <c r="G392" s="17">
        <f>CHOOSE(CONTROL!$C$42, 15.963, 15.963)*CHOOSE(CONTROL!$C$21, $C$9, 100%, $E$9)</f>
        <v>15.962999999999999</v>
      </c>
      <c r="H392" s="17">
        <f>CHOOSE(CONTROL!$C$42, 16.2231, 16.2231) * CHOOSE(CONTROL!$C$21, $C$9, 100%, $E$9)</f>
        <v>16.223099999999999</v>
      </c>
      <c r="I392" s="17">
        <f>CHOOSE(CONTROL!$C$42, 16.009, 16.009)* CHOOSE(CONTROL!$C$21, $C$9, 100%, $E$9)</f>
        <v>16.009</v>
      </c>
      <c r="J392" s="17">
        <f>CHOOSE(CONTROL!$C$42, 15.9389, 15.9389)* CHOOSE(CONTROL!$C$21, $C$9, 100%, $E$9)</f>
        <v>15.9389</v>
      </c>
      <c r="K392" s="52">
        <f>CHOOSE(CONTROL!$C$42, 16.003, 16.003) * CHOOSE(CONTROL!$C$21, $C$9, 100%, $E$9)</f>
        <v>16.003</v>
      </c>
      <c r="L392" s="17">
        <f>CHOOSE(CONTROL!$C$42, 16.8101, 16.8101) * CHOOSE(CONTROL!$C$21, $C$9, 100%, $E$9)</f>
        <v>16.810099999999998</v>
      </c>
      <c r="M392" s="17">
        <f>CHOOSE(CONTROL!$C$42, 15.8026, 15.8026) * CHOOSE(CONTROL!$C$21, $C$9, 100%, $E$9)</f>
        <v>15.8026</v>
      </c>
      <c r="N392" s="17">
        <f>CHOOSE(CONTROL!$C$42, 15.8192, 15.8192) * CHOOSE(CONTROL!$C$21, $C$9, 100%, $E$9)</f>
        <v>15.8192</v>
      </c>
      <c r="O392" s="17">
        <f>CHOOSE(CONTROL!$C$42, 16.0842, 16.0842) * CHOOSE(CONTROL!$C$21, $C$9, 100%, $E$9)</f>
        <v>16.084199999999999</v>
      </c>
      <c r="P392" s="17">
        <f>CHOOSE(CONTROL!$C$42, 15.8716, 15.8716) * CHOOSE(CONTROL!$C$21, $C$9, 100%, $E$9)</f>
        <v>15.871600000000001</v>
      </c>
      <c r="Q392" s="17">
        <f>CHOOSE(CONTROL!$C$42, 16.6789, 16.6789) * CHOOSE(CONTROL!$C$21, $C$9, 100%, $E$9)</f>
        <v>16.678899999999999</v>
      </c>
      <c r="R392" s="17">
        <f>CHOOSE(CONTROL!$C$42, 17.3076, 17.3076) * CHOOSE(CONTROL!$C$21, $C$9, 100%, $E$9)</f>
        <v>17.307600000000001</v>
      </c>
      <c r="S392" s="17">
        <f>CHOOSE(CONTROL!$C$42, 15.4413, 15.4413) * CHOOSE(CONTROL!$C$21, $C$9, 100%, $E$9)</f>
        <v>15.4413</v>
      </c>
      <c r="T392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392" s="56">
        <f>(1000*CHOOSE(CONTROL!$C$42, 695, 695)*CHOOSE(CONTROL!$C$42, 0.5599, 0.5599)*CHOOSE(CONTROL!$C$42, 31, 31))/1000000</f>
        <v>12.063045499999998</v>
      </c>
      <c r="V392" s="56">
        <f>(1000*CHOOSE(CONTROL!$C$42, 500, 500)*CHOOSE(CONTROL!$C$42, 0.275, 0.275)*CHOOSE(CONTROL!$C$42, 31, 31))/1000000</f>
        <v>4.2625000000000002</v>
      </c>
      <c r="W392" s="56">
        <f>(1000*CHOOSE(CONTROL!$C$42, 0.0916, 0.0916)*CHOOSE(CONTROL!$C$42, 121.5, 121.5)*CHOOSE(CONTROL!$C$42, 31, 31))/1000000</f>
        <v>0.34501139999999997</v>
      </c>
      <c r="X392" s="56">
        <f>(31*0.1790888*145000/1000000)+(31*0.2374*100000/1000000)</f>
        <v>1.5409441560000001</v>
      </c>
      <c r="Y392" s="56"/>
      <c r="Z392" s="17"/>
      <c r="AA392" s="55"/>
      <c r="AB392" s="48">
        <f>(B392*194.205+C392*267.466+D392*133.845+E392*153.484+F392*40+G392*85+H392*0+I392*100+J392*300)/(194.205+267.466+133.845+153.484+0+40+85+100+300)</f>
        <v>16.010219912009422</v>
      </c>
      <c r="AC392" s="45">
        <f>(M392*'RAP TEMPLATE-GAS AVAILABILITY'!O391+N392*'RAP TEMPLATE-GAS AVAILABILITY'!P391+O392*'RAP TEMPLATE-GAS AVAILABILITY'!Q391+P392*'RAP TEMPLATE-GAS AVAILABILITY'!R391)/('RAP TEMPLATE-GAS AVAILABILITY'!O391+'RAP TEMPLATE-GAS AVAILABILITY'!P391+'RAP TEMPLATE-GAS AVAILABILITY'!Q391+'RAP TEMPLATE-GAS AVAILABILITY'!R391)</f>
        <v>15.895359712230215</v>
      </c>
    </row>
    <row r="393" spans="1:29" ht="15.75" x14ac:dyDescent="0.25">
      <c r="A393" s="14">
        <v>52504</v>
      </c>
      <c r="B393" s="17">
        <f>CHOOSE(CONTROL!$C$42, 14.9245, 14.9245) * CHOOSE(CONTROL!$C$21, $C$9, 100%, $E$9)</f>
        <v>14.9245</v>
      </c>
      <c r="C393" s="17">
        <f>CHOOSE(CONTROL!$C$42, 14.9325, 14.9325) * CHOOSE(CONTROL!$C$21, $C$9, 100%, $E$9)</f>
        <v>14.932499999999999</v>
      </c>
      <c r="D393" s="17">
        <f>CHOOSE(CONTROL!$C$42, 15.1924, 15.1924) * CHOOSE(CONTROL!$C$21, $C$9, 100%, $E$9)</f>
        <v>15.192399999999999</v>
      </c>
      <c r="E393" s="17">
        <f>CHOOSE(CONTROL!$C$42, 15.2236, 15.2236) * CHOOSE(CONTROL!$C$21, $C$9, 100%, $E$9)</f>
        <v>15.223599999999999</v>
      </c>
      <c r="F393" s="17">
        <f>CHOOSE(CONTROL!$C$42, 14.9352, 14.9352)*CHOOSE(CONTROL!$C$21, $C$9, 100%, $E$9)</f>
        <v>14.9352</v>
      </c>
      <c r="G393" s="17">
        <f>CHOOSE(CONTROL!$C$42, 14.9519, 14.9519)*CHOOSE(CONTROL!$C$21, $C$9, 100%, $E$9)</f>
        <v>14.9519</v>
      </c>
      <c r="H393" s="17">
        <f>CHOOSE(CONTROL!$C$42, 15.2119, 15.2119) * CHOOSE(CONTROL!$C$21, $C$9, 100%, $E$9)</f>
        <v>15.2119</v>
      </c>
      <c r="I393" s="17">
        <f>CHOOSE(CONTROL!$C$42, 14.9947, 14.9947)* CHOOSE(CONTROL!$C$21, $C$9, 100%, $E$9)</f>
        <v>14.9947</v>
      </c>
      <c r="J393" s="17">
        <f>CHOOSE(CONTROL!$C$42, 14.9278, 14.9278)* CHOOSE(CONTROL!$C$21, $C$9, 100%, $E$9)</f>
        <v>14.9278</v>
      </c>
      <c r="K393" s="52">
        <f>CHOOSE(CONTROL!$C$42, 14.9886, 14.9886) * CHOOSE(CONTROL!$C$21, $C$9, 100%, $E$9)</f>
        <v>14.9886</v>
      </c>
      <c r="L393" s="17">
        <f>CHOOSE(CONTROL!$C$42, 15.7989, 15.7989) * CHOOSE(CONTROL!$C$21, $C$9, 100%, $E$9)</f>
        <v>15.7989</v>
      </c>
      <c r="M393" s="17">
        <f>CHOOSE(CONTROL!$C$42, 14.8005, 14.8005) * CHOOSE(CONTROL!$C$21, $C$9, 100%, $E$9)</f>
        <v>14.8005</v>
      </c>
      <c r="N393" s="17">
        <f>CHOOSE(CONTROL!$C$42, 14.8171, 14.8171) * CHOOSE(CONTROL!$C$21, $C$9, 100%, $E$9)</f>
        <v>14.8171</v>
      </c>
      <c r="O393" s="17">
        <f>CHOOSE(CONTROL!$C$42, 15.0821, 15.0821) * CHOOSE(CONTROL!$C$21, $C$9, 100%, $E$9)</f>
        <v>15.082100000000001</v>
      </c>
      <c r="P393" s="17">
        <f>CHOOSE(CONTROL!$C$42, 14.8665, 14.8665) * CHOOSE(CONTROL!$C$21, $C$9, 100%, $E$9)</f>
        <v>14.8665</v>
      </c>
      <c r="Q393" s="17">
        <f>CHOOSE(CONTROL!$C$42, 15.6768, 15.6768) * CHOOSE(CONTROL!$C$21, $C$9, 100%, $E$9)</f>
        <v>15.6768</v>
      </c>
      <c r="R393" s="17">
        <f>CHOOSE(CONTROL!$C$42, 16.303, 16.303) * CHOOSE(CONTROL!$C$21, $C$9, 100%, $E$9)</f>
        <v>16.303000000000001</v>
      </c>
      <c r="S393" s="17">
        <f>CHOOSE(CONTROL!$C$42, 14.4607, 14.4607) * CHOOSE(CONTROL!$C$21, $C$9, 100%, $E$9)</f>
        <v>14.460699999999999</v>
      </c>
      <c r="T393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393" s="56">
        <f>(1000*CHOOSE(CONTROL!$C$42, 695, 695)*CHOOSE(CONTROL!$C$42, 0.5599, 0.5599)*CHOOSE(CONTROL!$C$42, 30, 30))/1000000</f>
        <v>11.673914999999997</v>
      </c>
      <c r="V393" s="56">
        <f>(1000*CHOOSE(CONTROL!$C$42, 500, 500)*CHOOSE(CONTROL!$C$42, 0.275, 0.275)*CHOOSE(CONTROL!$C$42, 30, 30))/1000000</f>
        <v>4.125</v>
      </c>
      <c r="W393" s="56">
        <f>(1000*CHOOSE(CONTROL!$C$42, 0.0916, 0.0916)*CHOOSE(CONTROL!$C$42, 121.5, 121.5)*CHOOSE(CONTROL!$C$42, 30, 30))/1000000</f>
        <v>0.33388200000000001</v>
      </c>
      <c r="X393" s="56">
        <f>(30*0.1790888*145000/1000000)+(30*0.2374*100000/1000000)</f>
        <v>1.4912362799999999</v>
      </c>
      <c r="Y393" s="56"/>
      <c r="Z393" s="17"/>
      <c r="AA393" s="55"/>
      <c r="AB393" s="48">
        <f>(B393*194.205+C393*267.466+D393*133.845+E393*153.484+F393*40+G393*85+H393*0+I393*100+J393*300)/(194.205+267.466+133.845+153.484+0+40+85+100+300)</f>
        <v>14.998809943406592</v>
      </c>
      <c r="AC393" s="45">
        <f>(M393*'RAP TEMPLATE-GAS AVAILABILITY'!O392+N393*'RAP TEMPLATE-GAS AVAILABILITY'!P392+O393*'RAP TEMPLATE-GAS AVAILABILITY'!Q392+P393*'RAP TEMPLATE-GAS AVAILABILITY'!R392)/('RAP TEMPLATE-GAS AVAILABILITY'!O392+'RAP TEMPLATE-GAS AVAILABILITY'!P392+'RAP TEMPLATE-GAS AVAILABILITY'!Q392+'RAP TEMPLATE-GAS AVAILABILITY'!R392)</f>
        <v>14.892828057553956</v>
      </c>
    </row>
    <row r="394" spans="1:29" ht="15.75" x14ac:dyDescent="0.25">
      <c r="A394" s="14">
        <v>52535</v>
      </c>
      <c r="B394" s="17">
        <f>CHOOSE(CONTROL!$C$42, 14.62, 14.62) * CHOOSE(CONTROL!$C$21, $C$9, 100%, $E$9)</f>
        <v>14.62</v>
      </c>
      <c r="C394" s="17">
        <f>CHOOSE(CONTROL!$C$42, 14.6254, 14.6254) * CHOOSE(CONTROL!$C$21, $C$9, 100%, $E$9)</f>
        <v>14.625400000000001</v>
      </c>
      <c r="D394" s="17">
        <f>CHOOSE(CONTROL!$C$42, 14.8902, 14.8902) * CHOOSE(CONTROL!$C$21, $C$9, 100%, $E$9)</f>
        <v>14.8902</v>
      </c>
      <c r="E394" s="17">
        <f>CHOOSE(CONTROL!$C$42, 14.9191, 14.9191) * CHOOSE(CONTROL!$C$21, $C$9, 100%, $E$9)</f>
        <v>14.9191</v>
      </c>
      <c r="F394" s="17">
        <f>CHOOSE(CONTROL!$C$42, 14.6329, 14.6329)*CHOOSE(CONTROL!$C$21, $C$9, 100%, $E$9)</f>
        <v>14.632899999999999</v>
      </c>
      <c r="G394" s="17">
        <f>CHOOSE(CONTROL!$C$42, 14.6494, 14.6494)*CHOOSE(CONTROL!$C$21, $C$9, 100%, $E$9)</f>
        <v>14.6494</v>
      </c>
      <c r="H394" s="17">
        <f>CHOOSE(CONTROL!$C$42, 14.9092, 14.9092) * CHOOSE(CONTROL!$C$21, $C$9, 100%, $E$9)</f>
        <v>14.9092</v>
      </c>
      <c r="I394" s="17">
        <f>CHOOSE(CONTROL!$C$42, 14.691, 14.691)* CHOOSE(CONTROL!$C$21, $C$9, 100%, $E$9)</f>
        <v>14.691000000000001</v>
      </c>
      <c r="J394" s="17">
        <f>CHOOSE(CONTROL!$C$42, 14.6255, 14.6255)* CHOOSE(CONTROL!$C$21, $C$9, 100%, $E$9)</f>
        <v>14.625500000000001</v>
      </c>
      <c r="K394" s="52">
        <f>CHOOSE(CONTROL!$C$42, 14.6849, 14.6849) * CHOOSE(CONTROL!$C$21, $C$9, 100%, $E$9)</f>
        <v>14.684900000000001</v>
      </c>
      <c r="L394" s="17">
        <f>CHOOSE(CONTROL!$C$42, 15.4962, 15.4962) * CHOOSE(CONTROL!$C$21, $C$9, 100%, $E$9)</f>
        <v>15.4962</v>
      </c>
      <c r="M394" s="17">
        <f>CHOOSE(CONTROL!$C$42, 14.5009, 14.5009) * CHOOSE(CONTROL!$C$21, $C$9, 100%, $E$9)</f>
        <v>14.5009</v>
      </c>
      <c r="N394" s="17">
        <f>CHOOSE(CONTROL!$C$42, 14.5174, 14.5174) * CHOOSE(CONTROL!$C$21, $C$9, 100%, $E$9)</f>
        <v>14.5174</v>
      </c>
      <c r="O394" s="17">
        <f>CHOOSE(CONTROL!$C$42, 14.7821, 14.7821) * CHOOSE(CONTROL!$C$21, $C$9, 100%, $E$9)</f>
        <v>14.7821</v>
      </c>
      <c r="P394" s="17">
        <f>CHOOSE(CONTROL!$C$42, 14.5655, 14.5655) * CHOOSE(CONTROL!$C$21, $C$9, 100%, $E$9)</f>
        <v>14.5655</v>
      </c>
      <c r="Q394" s="17">
        <f>CHOOSE(CONTROL!$C$42, 15.3768, 15.3768) * CHOOSE(CONTROL!$C$21, $C$9, 100%, $E$9)</f>
        <v>15.376799999999999</v>
      </c>
      <c r="R394" s="17">
        <f>CHOOSE(CONTROL!$C$42, 16.0022, 16.0022) * CHOOSE(CONTROL!$C$21, $C$9, 100%, $E$9)</f>
        <v>16.002199999999998</v>
      </c>
      <c r="S394" s="17">
        <f>CHOOSE(CONTROL!$C$42, 14.1671, 14.1671) * CHOOSE(CONTROL!$C$21, $C$9, 100%, $E$9)</f>
        <v>14.1671</v>
      </c>
      <c r="T394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394" s="56">
        <f>(1000*CHOOSE(CONTROL!$C$42, 695, 695)*CHOOSE(CONTROL!$C$42, 0.5599, 0.5599)*CHOOSE(CONTROL!$C$42, 31, 31))/1000000</f>
        <v>12.063045499999998</v>
      </c>
      <c r="V394" s="56">
        <f>(1000*CHOOSE(CONTROL!$C$42, 500, 500)*CHOOSE(CONTROL!$C$42, 0.275, 0.275)*CHOOSE(CONTROL!$C$42, 31, 31))/1000000</f>
        <v>4.2625000000000002</v>
      </c>
      <c r="W394" s="56">
        <f>(1000*CHOOSE(CONTROL!$C$42, 0.0916, 0.0916)*CHOOSE(CONTROL!$C$42, 121.5, 121.5)*CHOOSE(CONTROL!$C$42, 31, 31))/1000000</f>
        <v>0.34501139999999997</v>
      </c>
      <c r="X394" s="56">
        <f>(31*0.1790888*145000/1000000)+(31*0.2374*100000/1000000)</f>
        <v>1.5409441560000001</v>
      </c>
      <c r="Y394" s="56"/>
      <c r="Z394" s="17"/>
      <c r="AA394" s="55"/>
      <c r="AB394" s="48">
        <f>(B394*131.881+C394*277.167+D394*79.08+E394*225.872+F394*40+G394*85+H394*0+I394*100+J394*300)/(131.881+277.167+79.08+225.872+0+40+85+100+300)</f>
        <v>14.702475732849074</v>
      </c>
      <c r="AC394" s="45">
        <f>(M394*'RAP TEMPLATE-GAS AVAILABILITY'!O393+N394*'RAP TEMPLATE-GAS AVAILABILITY'!P393+O394*'RAP TEMPLATE-GAS AVAILABILITY'!Q393+P394*'RAP TEMPLATE-GAS AVAILABILITY'!R393)/('RAP TEMPLATE-GAS AVAILABILITY'!O393+'RAP TEMPLATE-GAS AVAILABILITY'!P393+'RAP TEMPLATE-GAS AVAILABILITY'!Q393+'RAP TEMPLATE-GAS AVAILABILITY'!R393)</f>
        <v>14.592891366906475</v>
      </c>
    </row>
    <row r="395" spans="1:29" ht="15.75" x14ac:dyDescent="0.25">
      <c r="A395" s="14">
        <v>52565</v>
      </c>
      <c r="B395" s="17">
        <f>CHOOSE(CONTROL!$C$42, 15.0045, 15.0045) * CHOOSE(CONTROL!$C$21, $C$9, 100%, $E$9)</f>
        <v>15.0045</v>
      </c>
      <c r="C395" s="17">
        <f>CHOOSE(CONTROL!$C$42, 15.0096, 15.0096) * CHOOSE(CONTROL!$C$21, $C$9, 100%, $E$9)</f>
        <v>15.009600000000001</v>
      </c>
      <c r="D395" s="17">
        <f>CHOOSE(CONTROL!$C$42, 15.1502, 15.1502) * CHOOSE(CONTROL!$C$21, $C$9, 100%, $E$9)</f>
        <v>15.1502</v>
      </c>
      <c r="E395" s="17">
        <f>CHOOSE(CONTROL!$C$42, 15.184, 15.184) * CHOOSE(CONTROL!$C$21, $C$9, 100%, $E$9)</f>
        <v>15.183999999999999</v>
      </c>
      <c r="F395" s="17">
        <f>CHOOSE(CONTROL!$C$42, 15.0178, 15.0178)*CHOOSE(CONTROL!$C$21, $C$9, 100%, $E$9)</f>
        <v>15.017799999999999</v>
      </c>
      <c r="G395" s="17">
        <f>CHOOSE(CONTROL!$C$42, 15.0346, 15.0346)*CHOOSE(CONTROL!$C$21, $C$9, 100%, $E$9)</f>
        <v>15.034599999999999</v>
      </c>
      <c r="H395" s="17">
        <f>CHOOSE(CONTROL!$C$42, 15.1729, 15.1729) * CHOOSE(CONTROL!$C$21, $C$9, 100%, $E$9)</f>
        <v>15.1729</v>
      </c>
      <c r="I395" s="17">
        <f>CHOOSE(CONTROL!$C$42, 15.0734, 15.0734)* CHOOSE(CONTROL!$C$21, $C$9, 100%, $E$9)</f>
        <v>15.073399999999999</v>
      </c>
      <c r="J395" s="17">
        <f>CHOOSE(CONTROL!$C$42, 15.0104, 15.0104)* CHOOSE(CONTROL!$C$21, $C$9, 100%, $E$9)</f>
        <v>15.010400000000001</v>
      </c>
      <c r="K395" s="52">
        <f>CHOOSE(CONTROL!$C$42, 15.0674, 15.0674) * CHOOSE(CONTROL!$C$21, $C$9, 100%, $E$9)</f>
        <v>15.067399999999999</v>
      </c>
      <c r="L395" s="17">
        <f>CHOOSE(CONTROL!$C$42, 15.7599, 15.7599) * CHOOSE(CONTROL!$C$21, $C$9, 100%, $E$9)</f>
        <v>15.7599</v>
      </c>
      <c r="M395" s="17">
        <f>CHOOSE(CONTROL!$C$42, 14.8824, 14.8824) * CHOOSE(CONTROL!$C$21, $C$9, 100%, $E$9)</f>
        <v>14.882400000000001</v>
      </c>
      <c r="N395" s="17">
        <f>CHOOSE(CONTROL!$C$42, 14.8991, 14.8991) * CHOOSE(CONTROL!$C$21, $C$9, 100%, $E$9)</f>
        <v>14.899100000000001</v>
      </c>
      <c r="O395" s="17">
        <f>CHOOSE(CONTROL!$C$42, 15.0434, 15.0434) * CHOOSE(CONTROL!$C$21, $C$9, 100%, $E$9)</f>
        <v>15.0434</v>
      </c>
      <c r="P395" s="17">
        <f>CHOOSE(CONTROL!$C$42, 14.9445, 14.9445) * CHOOSE(CONTROL!$C$21, $C$9, 100%, $E$9)</f>
        <v>14.9445</v>
      </c>
      <c r="Q395" s="17">
        <f>CHOOSE(CONTROL!$C$42, 15.6381, 15.6381) * CHOOSE(CONTROL!$C$21, $C$9, 100%, $E$9)</f>
        <v>15.6381</v>
      </c>
      <c r="R395" s="17">
        <f>CHOOSE(CONTROL!$C$42, 16.2642, 16.2642) * CHOOSE(CONTROL!$C$21, $C$9, 100%, $E$9)</f>
        <v>16.264199999999999</v>
      </c>
      <c r="S395" s="17">
        <f>CHOOSE(CONTROL!$C$42, 14.5403, 14.5403) * CHOOSE(CONTROL!$C$21, $C$9, 100%, $E$9)</f>
        <v>14.5403</v>
      </c>
      <c r="T395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395" s="56">
        <f>(1000*CHOOSE(CONTROL!$C$42, 695, 695)*CHOOSE(CONTROL!$C$42, 0.5599, 0.5599)*CHOOSE(CONTROL!$C$42, 30, 30))/1000000</f>
        <v>11.673914999999997</v>
      </c>
      <c r="V395" s="56">
        <f>(1000*CHOOSE(CONTROL!$C$42, 500, 500)*CHOOSE(CONTROL!$C$42, 0.275, 0.275)*CHOOSE(CONTROL!$C$42, 30, 30))/1000000</f>
        <v>4.125</v>
      </c>
      <c r="W395" s="56">
        <f>(1000*CHOOSE(CONTROL!$C$42, 0.0916, 0.0916)*CHOOSE(CONTROL!$C$42, 121.5, 121.5)*CHOOSE(CONTROL!$C$42, 30, 30))/1000000</f>
        <v>0.33388200000000001</v>
      </c>
      <c r="X395" s="56">
        <f>(30*0.2374*100000/1000000)</f>
        <v>0.71220000000000006</v>
      </c>
      <c r="Y395" s="56"/>
      <c r="Z395" s="17"/>
      <c r="AA395" s="55"/>
      <c r="AB395" s="48">
        <f>(B395*122.58+C395*297.941+D395*89.177+E395*140.302+F395*40+G395*60+H395*0+I395*100+J395*300)/(122.58+297.941+89.177+140.302+0+40+60+100+300)</f>
        <v>15.048582432173912</v>
      </c>
      <c r="AC395" s="45">
        <f>(M395*'RAP TEMPLATE-GAS AVAILABILITY'!O394+N395*'RAP TEMPLATE-GAS AVAILABILITY'!P394+O395*'RAP TEMPLATE-GAS AVAILABILITY'!Q394+P395*'RAP TEMPLATE-GAS AVAILABILITY'!R394)/('RAP TEMPLATE-GAS AVAILABILITY'!O394+'RAP TEMPLATE-GAS AVAILABILITY'!P394+'RAP TEMPLATE-GAS AVAILABILITY'!Q394+'RAP TEMPLATE-GAS AVAILABILITY'!R394)</f>
        <v>14.965267625899282</v>
      </c>
    </row>
    <row r="396" spans="1:29" ht="15.75" x14ac:dyDescent="0.25">
      <c r="A396" s="14">
        <v>52596</v>
      </c>
      <c r="B396" s="17">
        <f>CHOOSE(CONTROL!$C$42, 16.0268, 16.0268) * CHOOSE(CONTROL!$C$21, $C$9, 100%, $E$9)</f>
        <v>16.026800000000001</v>
      </c>
      <c r="C396" s="17">
        <f>CHOOSE(CONTROL!$C$42, 16.0319, 16.0319) * CHOOSE(CONTROL!$C$21, $C$9, 100%, $E$9)</f>
        <v>16.0319</v>
      </c>
      <c r="D396" s="17">
        <f>CHOOSE(CONTROL!$C$42, 16.1725, 16.1725) * CHOOSE(CONTROL!$C$21, $C$9, 100%, $E$9)</f>
        <v>16.172499999999999</v>
      </c>
      <c r="E396" s="17">
        <f>CHOOSE(CONTROL!$C$42, 16.2063, 16.2063) * CHOOSE(CONTROL!$C$21, $C$9, 100%, $E$9)</f>
        <v>16.206299999999999</v>
      </c>
      <c r="F396" s="17">
        <f>CHOOSE(CONTROL!$C$42, 16.0425, 16.0425)*CHOOSE(CONTROL!$C$21, $C$9, 100%, $E$9)</f>
        <v>16.0425</v>
      </c>
      <c r="G396" s="17">
        <f>CHOOSE(CONTROL!$C$42, 16.06, 16.06)*CHOOSE(CONTROL!$C$21, $C$9, 100%, $E$9)</f>
        <v>16.059999999999999</v>
      </c>
      <c r="H396" s="17">
        <f>CHOOSE(CONTROL!$C$42, 16.1952, 16.1952) * CHOOSE(CONTROL!$C$21, $C$9, 100%, $E$9)</f>
        <v>16.1952</v>
      </c>
      <c r="I396" s="17">
        <f>CHOOSE(CONTROL!$C$42, 16.0989, 16.0989)* CHOOSE(CONTROL!$C$21, $C$9, 100%, $E$9)</f>
        <v>16.0989</v>
      </c>
      <c r="J396" s="17">
        <f>CHOOSE(CONTROL!$C$42, 16.0351, 16.0351)* CHOOSE(CONTROL!$C$21, $C$9, 100%, $E$9)</f>
        <v>16.0351</v>
      </c>
      <c r="K396" s="52">
        <f>CHOOSE(CONTROL!$C$42, 16.0928, 16.0928) * CHOOSE(CONTROL!$C$21, $C$9, 100%, $E$9)</f>
        <v>16.0928</v>
      </c>
      <c r="L396" s="17">
        <f>CHOOSE(CONTROL!$C$42, 16.7822, 16.7822) * CHOOSE(CONTROL!$C$21, $C$9, 100%, $E$9)</f>
        <v>16.7822</v>
      </c>
      <c r="M396" s="17">
        <f>CHOOSE(CONTROL!$C$42, 15.8979, 15.8979) * CHOOSE(CONTROL!$C$21, $C$9, 100%, $E$9)</f>
        <v>15.8979</v>
      </c>
      <c r="N396" s="17">
        <f>CHOOSE(CONTROL!$C$42, 15.9152, 15.9152) * CHOOSE(CONTROL!$C$21, $C$9, 100%, $E$9)</f>
        <v>15.9152</v>
      </c>
      <c r="O396" s="17">
        <f>CHOOSE(CONTROL!$C$42, 16.0565, 16.0565) * CHOOSE(CONTROL!$C$21, $C$9, 100%, $E$9)</f>
        <v>16.0565</v>
      </c>
      <c r="P396" s="17">
        <f>CHOOSE(CONTROL!$C$42, 15.9607, 15.9607) * CHOOSE(CONTROL!$C$21, $C$9, 100%, $E$9)</f>
        <v>15.960699999999999</v>
      </c>
      <c r="Q396" s="17">
        <f>CHOOSE(CONTROL!$C$42, 16.6512, 16.6512) * CHOOSE(CONTROL!$C$21, $C$9, 100%, $E$9)</f>
        <v>16.651199999999999</v>
      </c>
      <c r="R396" s="17">
        <f>CHOOSE(CONTROL!$C$42, 17.2798, 17.2798) * CHOOSE(CONTROL!$C$21, $C$9, 100%, $E$9)</f>
        <v>17.279800000000002</v>
      </c>
      <c r="S396" s="17">
        <f>CHOOSE(CONTROL!$C$42, 15.5317, 15.5317) * CHOOSE(CONTROL!$C$21, $C$9, 100%, $E$9)</f>
        <v>15.531700000000001</v>
      </c>
      <c r="T396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396" s="56">
        <f>(1000*CHOOSE(CONTROL!$C$42, 695, 695)*CHOOSE(CONTROL!$C$42, 0.5599, 0.5599)*CHOOSE(CONTROL!$C$42, 31, 31))/1000000</f>
        <v>12.063045499999998</v>
      </c>
      <c r="V396" s="56">
        <f>(1000*CHOOSE(CONTROL!$C$42, 500, 500)*CHOOSE(CONTROL!$C$42, 0.275, 0.275)*CHOOSE(CONTROL!$C$42, 31, 31))/1000000</f>
        <v>4.2625000000000002</v>
      </c>
      <c r="W396" s="56">
        <f>(1000*CHOOSE(CONTROL!$C$42, 0.0916, 0.0916)*CHOOSE(CONTROL!$C$42, 121.5, 121.5)*CHOOSE(CONTROL!$C$42, 31, 31))/1000000</f>
        <v>0.34501139999999997</v>
      </c>
      <c r="X396" s="56">
        <f>(31*0.2374*100000/1000000)</f>
        <v>0.73594000000000004</v>
      </c>
      <c r="Y396" s="56"/>
      <c r="Z396" s="17"/>
      <c r="AA396" s="55"/>
      <c r="AB396" s="48">
        <f>(B396*122.58+C396*297.941+D396*89.177+E396*140.302+F396*40+G396*60+H396*0+I396*100+J396*300)/(122.58+297.941+89.177+140.302+0+40+60+100+300)</f>
        <v>16.072031997391303</v>
      </c>
      <c r="AC396" s="45">
        <f>(M396*'RAP TEMPLATE-GAS AVAILABILITY'!O395+N396*'RAP TEMPLATE-GAS AVAILABILITY'!P395+O396*'RAP TEMPLATE-GAS AVAILABILITY'!Q395+P396*'RAP TEMPLATE-GAS AVAILABILITY'!R395)/('RAP TEMPLATE-GAS AVAILABILITY'!O395+'RAP TEMPLATE-GAS AVAILABILITY'!P395+'RAP TEMPLATE-GAS AVAILABILITY'!Q395+'RAP TEMPLATE-GAS AVAILABILITY'!R395)</f>
        <v>15.979815107913669</v>
      </c>
    </row>
    <row r="397" spans="1:29" ht="15.75" x14ac:dyDescent="0.25">
      <c r="A397" s="14">
        <v>52627</v>
      </c>
      <c r="B397" s="17">
        <f>CHOOSE(CONTROL!$C$42, 17.2577, 17.2577) * CHOOSE(CONTROL!$C$21, $C$9, 100%, $E$9)</f>
        <v>17.2577</v>
      </c>
      <c r="C397" s="17">
        <f>CHOOSE(CONTROL!$C$42, 17.2628, 17.2628) * CHOOSE(CONTROL!$C$21, $C$9, 100%, $E$9)</f>
        <v>17.262799999999999</v>
      </c>
      <c r="D397" s="17">
        <f>CHOOSE(CONTROL!$C$42, 17.3967, 17.3967) * CHOOSE(CONTROL!$C$21, $C$9, 100%, $E$9)</f>
        <v>17.396699999999999</v>
      </c>
      <c r="E397" s="17">
        <f>CHOOSE(CONTROL!$C$42, 17.4305, 17.4305) * CHOOSE(CONTROL!$C$21, $C$9, 100%, $E$9)</f>
        <v>17.430499999999999</v>
      </c>
      <c r="F397" s="17">
        <f>CHOOSE(CONTROL!$C$42, 17.2711, 17.2711)*CHOOSE(CONTROL!$C$21, $C$9, 100%, $E$9)</f>
        <v>17.271100000000001</v>
      </c>
      <c r="G397" s="17">
        <f>CHOOSE(CONTROL!$C$42, 17.288, 17.288)*CHOOSE(CONTROL!$C$21, $C$9, 100%, $E$9)</f>
        <v>17.288</v>
      </c>
      <c r="H397" s="17">
        <f>CHOOSE(CONTROL!$C$42, 17.4194, 17.4194) * CHOOSE(CONTROL!$C$21, $C$9, 100%, $E$9)</f>
        <v>17.4194</v>
      </c>
      <c r="I397" s="17">
        <f>CHOOSE(CONTROL!$C$42, 17.3377, 17.3377)* CHOOSE(CONTROL!$C$21, $C$9, 100%, $E$9)</f>
        <v>17.337700000000002</v>
      </c>
      <c r="J397" s="17">
        <f>CHOOSE(CONTROL!$C$42, 17.2637, 17.2637)* CHOOSE(CONTROL!$C$21, $C$9, 100%, $E$9)</f>
        <v>17.2637</v>
      </c>
      <c r="K397" s="52">
        <f>CHOOSE(CONTROL!$C$42, 17.3317, 17.3317) * CHOOSE(CONTROL!$C$21, $C$9, 100%, $E$9)</f>
        <v>17.331700000000001</v>
      </c>
      <c r="L397" s="17">
        <f>CHOOSE(CONTROL!$C$42, 18.0064, 18.0064) * CHOOSE(CONTROL!$C$21, $C$9, 100%, $E$9)</f>
        <v>18.006399999999999</v>
      </c>
      <c r="M397" s="17">
        <f>CHOOSE(CONTROL!$C$42, 17.1155, 17.1155) * CHOOSE(CONTROL!$C$21, $C$9, 100%, $E$9)</f>
        <v>17.115500000000001</v>
      </c>
      <c r="N397" s="17">
        <f>CHOOSE(CONTROL!$C$42, 17.1322, 17.1322) * CHOOSE(CONTROL!$C$21, $C$9, 100%, $E$9)</f>
        <v>17.132200000000001</v>
      </c>
      <c r="O397" s="17">
        <f>CHOOSE(CONTROL!$C$42, 17.2697, 17.2697) * CHOOSE(CONTROL!$C$21, $C$9, 100%, $E$9)</f>
        <v>17.2697</v>
      </c>
      <c r="P397" s="17">
        <f>CHOOSE(CONTROL!$C$42, 17.1884, 17.1884) * CHOOSE(CONTROL!$C$21, $C$9, 100%, $E$9)</f>
        <v>17.188400000000001</v>
      </c>
      <c r="Q397" s="17">
        <f>CHOOSE(CONTROL!$C$42, 17.8644, 17.8644) * CHOOSE(CONTROL!$C$21, $C$9, 100%, $E$9)</f>
        <v>17.8644</v>
      </c>
      <c r="R397" s="17">
        <f>CHOOSE(CONTROL!$C$42, 18.4961, 18.4961) * CHOOSE(CONTROL!$C$21, $C$9, 100%, $E$9)</f>
        <v>18.496099999999998</v>
      </c>
      <c r="S397" s="17">
        <f>CHOOSE(CONTROL!$C$42, 16.7253, 16.7253) * CHOOSE(CONTROL!$C$21, $C$9, 100%, $E$9)</f>
        <v>16.725300000000001</v>
      </c>
      <c r="T397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397" s="56">
        <f>(1000*CHOOSE(CONTROL!$C$42, 695, 695)*CHOOSE(CONTROL!$C$42, 0.5599, 0.5599)*CHOOSE(CONTROL!$C$42, 31, 31))/1000000</f>
        <v>12.063045499999998</v>
      </c>
      <c r="V397" s="56">
        <f>(1000*CHOOSE(CONTROL!$C$42, 500, 500)*CHOOSE(CONTROL!$C$42, 0.275, 0.275)*CHOOSE(CONTROL!$C$42, 31, 31))/1000000</f>
        <v>4.2625000000000002</v>
      </c>
      <c r="W397" s="56">
        <f>(1000*CHOOSE(CONTROL!$C$42, 0.0916, 0.0916)*CHOOSE(CONTROL!$C$42, 121.5, 121.5)*CHOOSE(CONTROL!$C$42, 31, 31))/1000000</f>
        <v>0.34501139999999997</v>
      </c>
      <c r="X397" s="56">
        <f>(31*0.2374*100000/1000000)</f>
        <v>0.73594000000000004</v>
      </c>
      <c r="Y397" s="56"/>
      <c r="Z397" s="17"/>
      <c r="AA397" s="55"/>
      <c r="AB397" s="48">
        <f>(B397*122.58+C397*297.941+D397*89.177+E397*140.302+F397*40+G397*60+H397*0+I397*100+J397*300)/(122.58+297.941+89.177+140.302+0+40+60+100+300)</f>
        <v>17.301450684956521</v>
      </c>
      <c r="AC397" s="45">
        <f>(M397*'RAP TEMPLATE-GAS AVAILABILITY'!O396+N397*'RAP TEMPLATE-GAS AVAILABILITY'!P396+O397*'RAP TEMPLATE-GAS AVAILABILITY'!Q396+P397*'RAP TEMPLATE-GAS AVAILABILITY'!R396)/('RAP TEMPLATE-GAS AVAILABILITY'!O396+'RAP TEMPLATE-GAS AVAILABILITY'!P396+'RAP TEMPLATE-GAS AVAILABILITY'!Q396+'RAP TEMPLATE-GAS AVAILABILITY'!R396)</f>
        <v>17.196839568345325</v>
      </c>
    </row>
    <row r="398" spans="1:29" ht="15.75" x14ac:dyDescent="0.25">
      <c r="A398" s="14">
        <v>52655</v>
      </c>
      <c r="B398" s="17">
        <f>CHOOSE(CONTROL!$C$42, 17.5647, 17.5647) * CHOOSE(CONTROL!$C$21, $C$9, 100%, $E$9)</f>
        <v>17.564699999999998</v>
      </c>
      <c r="C398" s="17">
        <f>CHOOSE(CONTROL!$C$42, 17.5698, 17.5698) * CHOOSE(CONTROL!$C$21, $C$9, 100%, $E$9)</f>
        <v>17.569800000000001</v>
      </c>
      <c r="D398" s="17">
        <f>CHOOSE(CONTROL!$C$42, 17.7037, 17.7037) * CHOOSE(CONTROL!$C$21, $C$9, 100%, $E$9)</f>
        <v>17.703700000000001</v>
      </c>
      <c r="E398" s="17">
        <f>CHOOSE(CONTROL!$C$42, 17.7375, 17.7375) * CHOOSE(CONTROL!$C$21, $C$9, 100%, $E$9)</f>
        <v>17.737500000000001</v>
      </c>
      <c r="F398" s="17">
        <f>CHOOSE(CONTROL!$C$42, 17.5781, 17.5781)*CHOOSE(CONTROL!$C$21, $C$9, 100%, $E$9)</f>
        <v>17.578099999999999</v>
      </c>
      <c r="G398" s="17">
        <f>CHOOSE(CONTROL!$C$42, 17.595, 17.595)*CHOOSE(CONTROL!$C$21, $C$9, 100%, $E$9)</f>
        <v>17.594999999999999</v>
      </c>
      <c r="H398" s="17">
        <f>CHOOSE(CONTROL!$C$42, 17.7264, 17.7264) * CHOOSE(CONTROL!$C$21, $C$9, 100%, $E$9)</f>
        <v>17.726400000000002</v>
      </c>
      <c r="I398" s="17">
        <f>CHOOSE(CONTROL!$C$42, 17.6457, 17.6457)* CHOOSE(CONTROL!$C$21, $C$9, 100%, $E$9)</f>
        <v>17.645700000000001</v>
      </c>
      <c r="J398" s="17">
        <f>CHOOSE(CONTROL!$C$42, 17.5707, 17.5707)* CHOOSE(CONTROL!$C$21, $C$9, 100%, $E$9)</f>
        <v>17.570699999999999</v>
      </c>
      <c r="K398" s="52">
        <f>CHOOSE(CONTROL!$C$42, 17.6397, 17.6397) * CHOOSE(CONTROL!$C$21, $C$9, 100%, $E$9)</f>
        <v>17.639700000000001</v>
      </c>
      <c r="L398" s="17">
        <f>CHOOSE(CONTROL!$C$42, 18.3134, 18.3134) * CHOOSE(CONTROL!$C$21, $C$9, 100%, $E$9)</f>
        <v>18.313400000000001</v>
      </c>
      <c r="M398" s="17">
        <f>CHOOSE(CONTROL!$C$42, 17.4197, 17.4197) * CHOOSE(CONTROL!$C$21, $C$9, 100%, $E$9)</f>
        <v>17.419699999999999</v>
      </c>
      <c r="N398" s="17">
        <f>CHOOSE(CONTROL!$C$42, 17.4364, 17.4364) * CHOOSE(CONTROL!$C$21, $C$9, 100%, $E$9)</f>
        <v>17.436399999999999</v>
      </c>
      <c r="O398" s="17">
        <f>CHOOSE(CONTROL!$C$42, 17.574, 17.574) * CHOOSE(CONTROL!$C$21, $C$9, 100%, $E$9)</f>
        <v>17.574000000000002</v>
      </c>
      <c r="P398" s="17">
        <f>CHOOSE(CONTROL!$C$42, 17.4936, 17.4936) * CHOOSE(CONTROL!$C$21, $C$9, 100%, $E$9)</f>
        <v>17.493600000000001</v>
      </c>
      <c r="Q398" s="17">
        <f>CHOOSE(CONTROL!$C$42, 18.1687, 18.1687) * CHOOSE(CONTROL!$C$21, $C$9, 100%, $E$9)</f>
        <v>18.168700000000001</v>
      </c>
      <c r="R398" s="17">
        <f>CHOOSE(CONTROL!$C$42, 18.8011, 18.8011) * CHOOSE(CONTROL!$C$21, $C$9, 100%, $E$9)</f>
        <v>18.801100000000002</v>
      </c>
      <c r="S398" s="17">
        <f>CHOOSE(CONTROL!$C$42, 17.023, 17.023) * CHOOSE(CONTROL!$C$21, $C$9, 100%, $E$9)</f>
        <v>17.023</v>
      </c>
      <c r="T398" s="56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398" s="56">
        <f>(1000*CHOOSE(CONTROL!$C$42, 695, 695)*CHOOSE(CONTROL!$C$42, 0.5599, 0.5599)*CHOOSE(CONTROL!$C$42, 29, 29))/1000000</f>
        <v>11.284784499999999</v>
      </c>
      <c r="V398" s="56">
        <f>(1000*CHOOSE(CONTROL!$C$42, 500, 500)*CHOOSE(CONTROL!$C$42, 0.275, 0.275)*CHOOSE(CONTROL!$C$42, 29, 29))/1000000</f>
        <v>3.9874999999999998</v>
      </c>
      <c r="W398" s="56">
        <f>(1000*CHOOSE(CONTROL!$C$42, 0.0916, 0.0916)*CHOOSE(CONTROL!$C$42, 121.5, 121.5)*CHOOSE(CONTROL!$C$42, 29, 29))/1000000</f>
        <v>0.3227526</v>
      </c>
      <c r="X398" s="56">
        <f>(29*0.2374*100000/1000000)</f>
        <v>0.68845999999999996</v>
      </c>
      <c r="Y398" s="56"/>
      <c r="Z398" s="17"/>
      <c r="AA398" s="55"/>
      <c r="AB398" s="48">
        <f>(B398*122.58+C398*297.941+D398*89.177+E398*140.302+F398*40+G398*60+H398*0+I398*100+J398*300)/(122.58+297.941+89.177+140.302+0+40+60+100+300)</f>
        <v>17.608537641478257</v>
      </c>
      <c r="AC398" s="45">
        <f>(M398*'RAP TEMPLATE-GAS AVAILABILITY'!O397+N398*'RAP TEMPLATE-GAS AVAILABILITY'!P397+O398*'RAP TEMPLATE-GAS AVAILABILITY'!Q397+P398*'RAP TEMPLATE-GAS AVAILABILITY'!R397)/('RAP TEMPLATE-GAS AVAILABILITY'!O397+'RAP TEMPLATE-GAS AVAILABILITY'!P397+'RAP TEMPLATE-GAS AVAILABILITY'!Q397+'RAP TEMPLATE-GAS AVAILABILITY'!R397)</f>
        <v>17.501228776978419</v>
      </c>
    </row>
    <row r="399" spans="1:29" ht="15.75" x14ac:dyDescent="0.25">
      <c r="A399" s="14">
        <v>52687</v>
      </c>
      <c r="B399" s="17">
        <f>CHOOSE(CONTROL!$C$42, 17.0663, 17.0663) * CHOOSE(CONTROL!$C$21, $C$9, 100%, $E$9)</f>
        <v>17.066299999999998</v>
      </c>
      <c r="C399" s="17">
        <f>CHOOSE(CONTROL!$C$42, 17.0714, 17.0714) * CHOOSE(CONTROL!$C$21, $C$9, 100%, $E$9)</f>
        <v>17.071400000000001</v>
      </c>
      <c r="D399" s="17">
        <f>CHOOSE(CONTROL!$C$42, 17.2054, 17.2054) * CHOOSE(CONTROL!$C$21, $C$9, 100%, $E$9)</f>
        <v>17.205400000000001</v>
      </c>
      <c r="E399" s="17">
        <f>CHOOSE(CONTROL!$C$42, 17.2391, 17.2391) * CHOOSE(CONTROL!$C$21, $C$9, 100%, $E$9)</f>
        <v>17.239100000000001</v>
      </c>
      <c r="F399" s="17">
        <f>CHOOSE(CONTROL!$C$42, 17.079, 17.079)*CHOOSE(CONTROL!$C$21, $C$9, 100%, $E$9)</f>
        <v>17.079000000000001</v>
      </c>
      <c r="G399" s="17">
        <f>CHOOSE(CONTROL!$C$42, 17.0957, 17.0957)*CHOOSE(CONTROL!$C$21, $C$9, 100%, $E$9)</f>
        <v>17.095700000000001</v>
      </c>
      <c r="H399" s="17">
        <f>CHOOSE(CONTROL!$C$42, 17.228, 17.228) * CHOOSE(CONTROL!$C$21, $C$9, 100%, $E$9)</f>
        <v>17.228000000000002</v>
      </c>
      <c r="I399" s="17">
        <f>CHOOSE(CONTROL!$C$42, 17.1458, 17.1458)* CHOOSE(CONTROL!$C$21, $C$9, 100%, $E$9)</f>
        <v>17.145800000000001</v>
      </c>
      <c r="J399" s="17">
        <f>CHOOSE(CONTROL!$C$42, 17.0716, 17.0716)* CHOOSE(CONTROL!$C$21, $C$9, 100%, $E$9)</f>
        <v>17.0716</v>
      </c>
      <c r="K399" s="52">
        <f>CHOOSE(CONTROL!$C$42, 17.1397, 17.1397) * CHOOSE(CONTROL!$C$21, $C$9, 100%, $E$9)</f>
        <v>17.139700000000001</v>
      </c>
      <c r="L399" s="17">
        <f>CHOOSE(CONTROL!$C$42, 17.815, 17.815) * CHOOSE(CONTROL!$C$21, $C$9, 100%, $E$9)</f>
        <v>17.815000000000001</v>
      </c>
      <c r="M399" s="17">
        <f>CHOOSE(CONTROL!$C$42, 16.925, 16.925) * CHOOSE(CONTROL!$C$21, $C$9, 100%, $E$9)</f>
        <v>16.925000000000001</v>
      </c>
      <c r="N399" s="17">
        <f>CHOOSE(CONTROL!$C$42, 16.9416, 16.9416) * CHOOSE(CONTROL!$C$21, $C$9, 100%, $E$9)</f>
        <v>16.941600000000001</v>
      </c>
      <c r="O399" s="17">
        <f>CHOOSE(CONTROL!$C$42, 17.0801, 17.0801) * CHOOSE(CONTROL!$C$21, $C$9, 100%, $E$9)</f>
        <v>17.080100000000002</v>
      </c>
      <c r="P399" s="17">
        <f>CHOOSE(CONTROL!$C$42, 16.9982, 16.9982) * CHOOSE(CONTROL!$C$21, $C$9, 100%, $E$9)</f>
        <v>16.998200000000001</v>
      </c>
      <c r="Q399" s="17">
        <f>CHOOSE(CONTROL!$C$42, 17.6748, 17.6748) * CHOOSE(CONTROL!$C$21, $C$9, 100%, $E$9)</f>
        <v>17.674800000000001</v>
      </c>
      <c r="R399" s="17">
        <f>CHOOSE(CONTROL!$C$42, 18.306, 18.306) * CHOOSE(CONTROL!$C$21, $C$9, 100%, $E$9)</f>
        <v>18.306000000000001</v>
      </c>
      <c r="S399" s="17">
        <f>CHOOSE(CONTROL!$C$42, 16.5397, 16.5397) * CHOOSE(CONTROL!$C$21, $C$9, 100%, $E$9)</f>
        <v>16.5397</v>
      </c>
      <c r="T399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399" s="56">
        <f>(1000*CHOOSE(CONTROL!$C$42, 695, 695)*CHOOSE(CONTROL!$C$42, 0.5599, 0.5599)*CHOOSE(CONTROL!$C$42, 31, 31))/1000000</f>
        <v>12.063045499999998</v>
      </c>
      <c r="V399" s="56">
        <f>(1000*CHOOSE(CONTROL!$C$42, 500, 500)*CHOOSE(CONTROL!$C$42, 0.275, 0.275)*CHOOSE(CONTROL!$C$42, 31, 31))/1000000</f>
        <v>4.2625000000000002</v>
      </c>
      <c r="W399" s="56">
        <f>(1000*CHOOSE(CONTROL!$C$42, 0.0916, 0.0916)*CHOOSE(CONTROL!$C$42, 121.5, 121.5)*CHOOSE(CONTROL!$C$42, 31, 31))/1000000</f>
        <v>0.34501139999999997</v>
      </c>
      <c r="X399" s="56">
        <f>(31*0.2374*100000/1000000)</f>
        <v>0.73594000000000004</v>
      </c>
      <c r="Y399" s="56"/>
      <c r="Z399" s="17"/>
      <c r="AA399" s="55"/>
      <c r="AB399" s="48">
        <f>(B399*122.58+C399*297.941+D399*89.177+E399*140.302+F399*40+G399*60+H399*0+I399*100+J399*300)/(122.58+297.941+89.177+140.302+0+40+60+100+300)</f>
        <v>17.109761048173915</v>
      </c>
      <c r="AC399" s="45">
        <f>(M399*'RAP TEMPLATE-GAS AVAILABILITY'!O398+N399*'RAP TEMPLATE-GAS AVAILABILITY'!P398+O399*'RAP TEMPLATE-GAS AVAILABILITY'!Q398+P399*'RAP TEMPLATE-GAS AVAILABILITY'!R398)/('RAP TEMPLATE-GAS AVAILABILITY'!O398+'RAP TEMPLATE-GAS AVAILABILITY'!P398+'RAP TEMPLATE-GAS AVAILABILITY'!Q398+'RAP TEMPLATE-GAS AVAILABILITY'!R398)</f>
        <v>17.00678489208633</v>
      </c>
    </row>
    <row r="400" spans="1:29" ht="15.75" x14ac:dyDescent="0.25">
      <c r="A400" s="14">
        <v>52717</v>
      </c>
      <c r="B400" s="17">
        <f>CHOOSE(CONTROL!$C$42, 17.0163, 17.0163) * CHOOSE(CONTROL!$C$21, $C$9, 100%, $E$9)</f>
        <v>17.016300000000001</v>
      </c>
      <c r="C400" s="17">
        <f>CHOOSE(CONTROL!$C$42, 17.0208, 17.0208) * CHOOSE(CONTROL!$C$21, $C$9, 100%, $E$9)</f>
        <v>17.020800000000001</v>
      </c>
      <c r="D400" s="17">
        <f>CHOOSE(CONTROL!$C$42, 17.2838, 17.2838) * CHOOSE(CONTROL!$C$21, $C$9, 100%, $E$9)</f>
        <v>17.283799999999999</v>
      </c>
      <c r="E400" s="17">
        <f>CHOOSE(CONTROL!$C$42, 17.3156, 17.3156) * CHOOSE(CONTROL!$C$21, $C$9, 100%, $E$9)</f>
        <v>17.3156</v>
      </c>
      <c r="F400" s="17">
        <f>CHOOSE(CONTROL!$C$42, 17.0272, 17.0272)*CHOOSE(CONTROL!$C$21, $C$9, 100%, $E$9)</f>
        <v>17.027200000000001</v>
      </c>
      <c r="G400" s="17">
        <f>CHOOSE(CONTROL!$C$42, 17.0434, 17.0434)*CHOOSE(CONTROL!$C$21, $C$9, 100%, $E$9)</f>
        <v>17.043399999999998</v>
      </c>
      <c r="H400" s="17">
        <f>CHOOSE(CONTROL!$C$42, 17.3051, 17.3051) * CHOOSE(CONTROL!$C$21, $C$9, 100%, $E$9)</f>
        <v>17.305099999999999</v>
      </c>
      <c r="I400" s="17">
        <f>CHOOSE(CONTROL!$C$42, 17.0943, 17.0943)* CHOOSE(CONTROL!$C$21, $C$9, 100%, $E$9)</f>
        <v>17.0943</v>
      </c>
      <c r="J400" s="17">
        <f>CHOOSE(CONTROL!$C$42, 17.0198, 17.0198)* CHOOSE(CONTROL!$C$21, $C$9, 100%, $E$9)</f>
        <v>17.0198</v>
      </c>
      <c r="K400" s="52">
        <f>CHOOSE(CONTROL!$C$42, 17.0883, 17.0883) * CHOOSE(CONTROL!$C$21, $C$9, 100%, $E$9)</f>
        <v>17.0883</v>
      </c>
      <c r="L400" s="17">
        <f>CHOOSE(CONTROL!$C$42, 17.8921, 17.8921) * CHOOSE(CONTROL!$C$21, $C$9, 100%, $E$9)</f>
        <v>17.892099999999999</v>
      </c>
      <c r="M400" s="17">
        <f>CHOOSE(CONTROL!$C$42, 16.8738, 16.8738) * CHOOSE(CONTROL!$C$21, $C$9, 100%, $E$9)</f>
        <v>16.873799999999999</v>
      </c>
      <c r="N400" s="17">
        <f>CHOOSE(CONTROL!$C$42, 16.8898, 16.8898) * CHOOSE(CONTROL!$C$21, $C$9, 100%, $E$9)</f>
        <v>16.889800000000001</v>
      </c>
      <c r="O400" s="17">
        <f>CHOOSE(CONTROL!$C$42, 17.1565, 17.1565) * CHOOSE(CONTROL!$C$21, $C$9, 100%, $E$9)</f>
        <v>17.156500000000001</v>
      </c>
      <c r="P400" s="17">
        <f>CHOOSE(CONTROL!$C$42, 16.9472, 16.9472) * CHOOSE(CONTROL!$C$21, $C$9, 100%, $E$9)</f>
        <v>16.947199999999999</v>
      </c>
      <c r="Q400" s="17">
        <f>CHOOSE(CONTROL!$C$42, 17.7512, 17.7512) * CHOOSE(CONTROL!$C$21, $C$9, 100%, $E$9)</f>
        <v>17.751200000000001</v>
      </c>
      <c r="R400" s="17">
        <f>CHOOSE(CONTROL!$C$42, 18.3825, 18.3825) * CHOOSE(CONTROL!$C$21, $C$9, 100%, $E$9)</f>
        <v>18.3825</v>
      </c>
      <c r="S400" s="17">
        <f>CHOOSE(CONTROL!$C$42, 16.4904, 16.4904) * CHOOSE(CONTROL!$C$21, $C$9, 100%, $E$9)</f>
        <v>16.490400000000001</v>
      </c>
      <c r="T400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400" s="56">
        <f>(1000*CHOOSE(CONTROL!$C$42, 695, 695)*CHOOSE(CONTROL!$C$42, 0.5599, 0.5599)*CHOOSE(CONTROL!$C$42, 30, 30))/1000000</f>
        <v>11.673914999999997</v>
      </c>
      <c r="V400" s="56">
        <f>(1000*CHOOSE(CONTROL!$C$42, 500, 500)*CHOOSE(CONTROL!$C$42, 0.275, 0.275)*CHOOSE(CONTROL!$C$42, 30, 30))/1000000</f>
        <v>4.125</v>
      </c>
      <c r="W400" s="56">
        <f>(1000*CHOOSE(CONTROL!$C$42, 0.0916, 0.0916)*CHOOSE(CONTROL!$C$42, 121.5, 121.5)*CHOOSE(CONTROL!$C$42, 30, 30))/1000000</f>
        <v>0.33388200000000001</v>
      </c>
      <c r="X400" s="56">
        <f>(30*0.1790888*145000/1000000)+(30*0.2374*100000/1000000)</f>
        <v>1.4912362799999999</v>
      </c>
      <c r="Y400" s="56"/>
      <c r="Z400" s="17"/>
      <c r="AA400" s="55"/>
      <c r="AB400" s="48">
        <f>(B400*141.293+C400*267.993+D400*115.016+E400*189.698+F400*40+G400*85+H400*0+I400*100+J400*300)/(141.293+267.993+115.016+189.698+0+40+85+100+300)</f>
        <v>17.097283744874897</v>
      </c>
      <c r="AC400" s="45">
        <f>(M400*'RAP TEMPLATE-GAS AVAILABILITY'!O399+N400*'RAP TEMPLATE-GAS AVAILABILITY'!P399+O400*'RAP TEMPLATE-GAS AVAILABILITY'!Q399+P400*'RAP TEMPLATE-GAS AVAILABILITY'!R399)/('RAP TEMPLATE-GAS AVAILABILITY'!O399+'RAP TEMPLATE-GAS AVAILABILITY'!P399+'RAP TEMPLATE-GAS AVAILABILITY'!Q399+'RAP TEMPLATE-GAS AVAILABILITY'!R399)</f>
        <v>16.967363309352518</v>
      </c>
    </row>
    <row r="401" spans="1:29" ht="15.75" x14ac:dyDescent="0.25">
      <c r="A401" s="14">
        <v>52748</v>
      </c>
      <c r="B401" s="17">
        <f>CHOOSE(CONTROL!$C$42, 17.1677, 17.1677) * CHOOSE(CONTROL!$C$21, $C$9, 100%, $E$9)</f>
        <v>17.1677</v>
      </c>
      <c r="C401" s="17">
        <f>CHOOSE(CONTROL!$C$42, 17.1757, 17.1757) * CHOOSE(CONTROL!$C$21, $C$9, 100%, $E$9)</f>
        <v>17.175699999999999</v>
      </c>
      <c r="D401" s="17">
        <f>CHOOSE(CONTROL!$C$42, 17.4357, 17.4357) * CHOOSE(CONTROL!$C$21, $C$9, 100%, $E$9)</f>
        <v>17.435700000000001</v>
      </c>
      <c r="E401" s="17">
        <f>CHOOSE(CONTROL!$C$42, 17.4668, 17.4668) * CHOOSE(CONTROL!$C$21, $C$9, 100%, $E$9)</f>
        <v>17.466799999999999</v>
      </c>
      <c r="F401" s="17">
        <f>CHOOSE(CONTROL!$C$42, 17.1774, 17.1774)*CHOOSE(CONTROL!$C$21, $C$9, 100%, $E$9)</f>
        <v>17.177399999999999</v>
      </c>
      <c r="G401" s="17">
        <f>CHOOSE(CONTROL!$C$42, 17.1939, 17.1939)*CHOOSE(CONTROL!$C$21, $C$9, 100%, $E$9)</f>
        <v>17.193899999999999</v>
      </c>
      <c r="H401" s="17">
        <f>CHOOSE(CONTROL!$C$42, 17.4552, 17.4552) * CHOOSE(CONTROL!$C$21, $C$9, 100%, $E$9)</f>
        <v>17.455200000000001</v>
      </c>
      <c r="I401" s="17">
        <f>CHOOSE(CONTROL!$C$42, 17.2449, 17.2449)* CHOOSE(CONTROL!$C$21, $C$9, 100%, $E$9)</f>
        <v>17.244900000000001</v>
      </c>
      <c r="J401" s="17">
        <f>CHOOSE(CONTROL!$C$42, 17.17, 17.17)* CHOOSE(CONTROL!$C$21, $C$9, 100%, $E$9)</f>
        <v>17.170000000000002</v>
      </c>
      <c r="K401" s="52">
        <f>CHOOSE(CONTROL!$C$42, 17.2388, 17.2388) * CHOOSE(CONTROL!$C$21, $C$9, 100%, $E$9)</f>
        <v>17.238800000000001</v>
      </c>
      <c r="L401" s="17">
        <f>CHOOSE(CONTROL!$C$42, 18.0422, 18.0422) * CHOOSE(CONTROL!$C$21, $C$9, 100%, $E$9)</f>
        <v>18.042200000000001</v>
      </c>
      <c r="M401" s="17">
        <f>CHOOSE(CONTROL!$C$42, 17.0226, 17.0226) * CHOOSE(CONTROL!$C$21, $C$9, 100%, $E$9)</f>
        <v>17.022600000000001</v>
      </c>
      <c r="N401" s="17">
        <f>CHOOSE(CONTROL!$C$42, 17.0389, 17.0389) * CHOOSE(CONTROL!$C$21, $C$9, 100%, $E$9)</f>
        <v>17.038900000000002</v>
      </c>
      <c r="O401" s="17">
        <f>CHOOSE(CONTROL!$C$42, 17.3052, 17.3052) * CHOOSE(CONTROL!$C$21, $C$9, 100%, $E$9)</f>
        <v>17.305199999999999</v>
      </c>
      <c r="P401" s="17">
        <f>CHOOSE(CONTROL!$C$42, 17.0964, 17.0964) * CHOOSE(CONTROL!$C$21, $C$9, 100%, $E$9)</f>
        <v>17.096399999999999</v>
      </c>
      <c r="Q401" s="17">
        <f>CHOOSE(CONTROL!$C$42, 17.8999, 17.8999) * CHOOSE(CONTROL!$C$21, $C$9, 100%, $E$9)</f>
        <v>17.899899999999999</v>
      </c>
      <c r="R401" s="17">
        <f>CHOOSE(CONTROL!$C$42, 18.5316, 18.5316) * CHOOSE(CONTROL!$C$21, $C$9, 100%, $E$9)</f>
        <v>18.531600000000001</v>
      </c>
      <c r="S401" s="17">
        <f>CHOOSE(CONTROL!$C$42, 16.636, 16.636) * CHOOSE(CONTROL!$C$21, $C$9, 100%, $E$9)</f>
        <v>16.635999999999999</v>
      </c>
      <c r="T401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401" s="56">
        <f>(1000*CHOOSE(CONTROL!$C$42, 695, 695)*CHOOSE(CONTROL!$C$42, 0.5599, 0.5599)*CHOOSE(CONTROL!$C$42, 31, 31))/1000000</f>
        <v>12.063045499999998</v>
      </c>
      <c r="V401" s="56">
        <f>(1000*CHOOSE(CONTROL!$C$42, 500, 500)*CHOOSE(CONTROL!$C$42, 0.275, 0.275)*CHOOSE(CONTROL!$C$42, 31, 31))/1000000</f>
        <v>4.2625000000000002</v>
      </c>
      <c r="W401" s="56">
        <f>(1000*CHOOSE(CONTROL!$C$42, 0.0916, 0.0916)*CHOOSE(CONTROL!$C$42, 121.5, 121.5)*CHOOSE(CONTROL!$C$42, 31, 31))/1000000</f>
        <v>0.34501139999999997</v>
      </c>
      <c r="X401" s="56">
        <f>(31*0.1790888*145000/1000000)+(31*0.2374*100000/1000000)</f>
        <v>1.5409441560000001</v>
      </c>
      <c r="Y401" s="56"/>
      <c r="Z401" s="17"/>
      <c r="AA401" s="55"/>
      <c r="AB401" s="48">
        <f>(B401*194.205+C401*267.466+D401*133.845+E401*153.484+F401*40+G401*85+H401*0+I401*100+J401*300)/(194.205+267.466+133.845+153.484+0+40+85+100+300)</f>
        <v>17.242222961067505</v>
      </c>
      <c r="AC401" s="45">
        <f>(M401*'RAP TEMPLATE-GAS AVAILABILITY'!O400+N401*'RAP TEMPLATE-GAS AVAILABILITY'!P400+O401*'RAP TEMPLATE-GAS AVAILABILITY'!Q400+P401*'RAP TEMPLATE-GAS AVAILABILITY'!R400)/('RAP TEMPLATE-GAS AVAILABILITY'!O400+'RAP TEMPLATE-GAS AVAILABILITY'!P400+'RAP TEMPLATE-GAS AVAILABILITY'!Q400+'RAP TEMPLATE-GAS AVAILABILITY'!R400)</f>
        <v>17.116261870503596</v>
      </c>
    </row>
    <row r="402" spans="1:29" ht="15.75" x14ac:dyDescent="0.25">
      <c r="A402" s="14">
        <v>52778</v>
      </c>
      <c r="B402" s="17">
        <f>CHOOSE(CONTROL!$C$42, 17.6544, 17.6544) * CHOOSE(CONTROL!$C$21, $C$9, 100%, $E$9)</f>
        <v>17.654399999999999</v>
      </c>
      <c r="C402" s="17">
        <f>CHOOSE(CONTROL!$C$42, 17.6624, 17.6624) * CHOOSE(CONTROL!$C$21, $C$9, 100%, $E$9)</f>
        <v>17.662400000000002</v>
      </c>
      <c r="D402" s="17">
        <f>CHOOSE(CONTROL!$C$42, 17.9223, 17.9223) * CHOOSE(CONTROL!$C$21, $C$9, 100%, $E$9)</f>
        <v>17.9223</v>
      </c>
      <c r="E402" s="17">
        <f>CHOOSE(CONTROL!$C$42, 17.9535, 17.9535) * CHOOSE(CONTROL!$C$21, $C$9, 100%, $E$9)</f>
        <v>17.953499999999998</v>
      </c>
      <c r="F402" s="17">
        <f>CHOOSE(CONTROL!$C$42, 17.6643, 17.6643)*CHOOSE(CONTROL!$C$21, $C$9, 100%, $E$9)</f>
        <v>17.664300000000001</v>
      </c>
      <c r="G402" s="17">
        <f>CHOOSE(CONTROL!$C$42, 17.6809, 17.6809)*CHOOSE(CONTROL!$C$21, $C$9, 100%, $E$9)</f>
        <v>17.680900000000001</v>
      </c>
      <c r="H402" s="17">
        <f>CHOOSE(CONTROL!$C$42, 17.9418, 17.9418) * CHOOSE(CONTROL!$C$21, $C$9, 100%, $E$9)</f>
        <v>17.941800000000001</v>
      </c>
      <c r="I402" s="17">
        <f>CHOOSE(CONTROL!$C$42, 17.733, 17.733)* CHOOSE(CONTROL!$C$21, $C$9, 100%, $E$9)</f>
        <v>17.733000000000001</v>
      </c>
      <c r="J402" s="17">
        <f>CHOOSE(CONTROL!$C$42, 17.6569, 17.6569)* CHOOSE(CONTROL!$C$21, $C$9, 100%, $E$9)</f>
        <v>17.6569</v>
      </c>
      <c r="K402" s="52">
        <f>CHOOSE(CONTROL!$C$42, 17.727, 17.727) * CHOOSE(CONTROL!$C$21, $C$9, 100%, $E$9)</f>
        <v>17.727</v>
      </c>
      <c r="L402" s="17">
        <f>CHOOSE(CONTROL!$C$42, 18.5288, 18.5288) * CHOOSE(CONTROL!$C$21, $C$9, 100%, $E$9)</f>
        <v>18.5288</v>
      </c>
      <c r="M402" s="17">
        <f>CHOOSE(CONTROL!$C$42, 17.5051, 17.5051) * CHOOSE(CONTROL!$C$21, $C$9, 100%, $E$9)</f>
        <v>17.505099999999999</v>
      </c>
      <c r="N402" s="17">
        <f>CHOOSE(CONTROL!$C$42, 17.5215, 17.5215) * CHOOSE(CONTROL!$C$21, $C$9, 100%, $E$9)</f>
        <v>17.5215</v>
      </c>
      <c r="O402" s="17">
        <f>CHOOSE(CONTROL!$C$42, 17.7874, 17.7874) * CHOOSE(CONTROL!$C$21, $C$9, 100%, $E$9)</f>
        <v>17.787400000000002</v>
      </c>
      <c r="P402" s="17">
        <f>CHOOSE(CONTROL!$C$42, 17.5801, 17.5801) * CHOOSE(CONTROL!$C$21, $C$9, 100%, $E$9)</f>
        <v>17.580100000000002</v>
      </c>
      <c r="Q402" s="17">
        <f>CHOOSE(CONTROL!$C$42, 18.3821, 18.3821) * CHOOSE(CONTROL!$C$21, $C$9, 100%, $E$9)</f>
        <v>18.382100000000001</v>
      </c>
      <c r="R402" s="17">
        <f>CHOOSE(CONTROL!$C$42, 19.0151, 19.0151) * CHOOSE(CONTROL!$C$21, $C$9, 100%, $E$9)</f>
        <v>19.0151</v>
      </c>
      <c r="S402" s="17">
        <f>CHOOSE(CONTROL!$C$42, 17.1079, 17.1079) * CHOOSE(CONTROL!$C$21, $C$9, 100%, $E$9)</f>
        <v>17.107900000000001</v>
      </c>
      <c r="T402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402" s="56">
        <f>(1000*CHOOSE(CONTROL!$C$42, 695, 695)*CHOOSE(CONTROL!$C$42, 0.5599, 0.5599)*CHOOSE(CONTROL!$C$42, 30, 30))/1000000</f>
        <v>11.673914999999997</v>
      </c>
      <c r="V402" s="56">
        <f>(1000*CHOOSE(CONTROL!$C$42, 500, 500)*CHOOSE(CONTROL!$C$42, 0.275, 0.275)*CHOOSE(CONTROL!$C$42, 30, 30))/1000000</f>
        <v>4.125</v>
      </c>
      <c r="W402" s="56">
        <f>(1000*CHOOSE(CONTROL!$C$42, 0.0916, 0.0916)*CHOOSE(CONTROL!$C$42, 121.5, 121.5)*CHOOSE(CONTROL!$C$42, 30, 30))/1000000</f>
        <v>0.33388200000000001</v>
      </c>
      <c r="X402" s="56">
        <f>(30*0.1790888*145000/1000000)+(30*0.2374*100000/1000000)</f>
        <v>1.4912362799999999</v>
      </c>
      <c r="Y402" s="56"/>
      <c r="Z402" s="17"/>
      <c r="AA402" s="55"/>
      <c r="AB402" s="48">
        <f>(B402*194.205+C402*267.466+D402*133.845+E402*153.484+F402*40+G402*85+H402*0+I402*100+J402*300)/(194.205+267.466+133.845+153.484+0+40+85+100+300)</f>
        <v>17.729095736185243</v>
      </c>
      <c r="AC402" s="45">
        <f>(M402*'RAP TEMPLATE-GAS AVAILABILITY'!O401+N402*'RAP TEMPLATE-GAS AVAILABILITY'!P401+O402*'RAP TEMPLATE-GAS AVAILABILITY'!Q401+P402*'RAP TEMPLATE-GAS AVAILABILITY'!R401)/('RAP TEMPLATE-GAS AVAILABILITY'!O401+'RAP TEMPLATE-GAS AVAILABILITY'!P401+'RAP TEMPLATE-GAS AVAILABILITY'!Q401+'RAP TEMPLATE-GAS AVAILABILITY'!R401)</f>
        <v>17.598873381294965</v>
      </c>
    </row>
    <row r="403" spans="1:29" ht="15.75" x14ac:dyDescent="0.25">
      <c r="A403" s="14">
        <v>52809</v>
      </c>
      <c r="B403" s="17">
        <f>CHOOSE(CONTROL!$C$42, 17.3159, 17.3159) * CHOOSE(CONTROL!$C$21, $C$9, 100%, $E$9)</f>
        <v>17.315899999999999</v>
      </c>
      <c r="C403" s="17">
        <f>CHOOSE(CONTROL!$C$42, 17.3239, 17.3239) * CHOOSE(CONTROL!$C$21, $C$9, 100%, $E$9)</f>
        <v>17.323899999999998</v>
      </c>
      <c r="D403" s="17">
        <f>CHOOSE(CONTROL!$C$42, 17.5838, 17.5838) * CHOOSE(CONTROL!$C$21, $C$9, 100%, $E$9)</f>
        <v>17.5838</v>
      </c>
      <c r="E403" s="17">
        <f>CHOOSE(CONTROL!$C$42, 17.615, 17.615) * CHOOSE(CONTROL!$C$21, $C$9, 100%, $E$9)</f>
        <v>17.614999999999998</v>
      </c>
      <c r="F403" s="17">
        <f>CHOOSE(CONTROL!$C$42, 17.3263, 17.3263)*CHOOSE(CONTROL!$C$21, $C$9, 100%, $E$9)</f>
        <v>17.3263</v>
      </c>
      <c r="G403" s="17">
        <f>CHOOSE(CONTROL!$C$42, 17.343, 17.343)*CHOOSE(CONTROL!$C$21, $C$9, 100%, $E$9)</f>
        <v>17.343</v>
      </c>
      <c r="H403" s="17">
        <f>CHOOSE(CONTROL!$C$42, 17.6033, 17.6033) * CHOOSE(CONTROL!$C$21, $C$9, 100%, $E$9)</f>
        <v>17.603300000000001</v>
      </c>
      <c r="I403" s="17">
        <f>CHOOSE(CONTROL!$C$42, 17.3935, 17.3935)* CHOOSE(CONTROL!$C$21, $C$9, 100%, $E$9)</f>
        <v>17.3935</v>
      </c>
      <c r="J403" s="17">
        <f>CHOOSE(CONTROL!$C$42, 17.3189, 17.3189)* CHOOSE(CONTROL!$C$21, $C$9, 100%, $E$9)</f>
        <v>17.318899999999999</v>
      </c>
      <c r="K403" s="52">
        <f>CHOOSE(CONTROL!$C$42, 17.3875, 17.3875) * CHOOSE(CONTROL!$C$21, $C$9, 100%, $E$9)</f>
        <v>17.387499999999999</v>
      </c>
      <c r="L403" s="17">
        <f>CHOOSE(CONTROL!$C$42, 18.1903, 18.1903) * CHOOSE(CONTROL!$C$21, $C$9, 100%, $E$9)</f>
        <v>18.190300000000001</v>
      </c>
      <c r="M403" s="17">
        <f>CHOOSE(CONTROL!$C$42, 17.1702, 17.1702) * CHOOSE(CONTROL!$C$21, $C$9, 100%, $E$9)</f>
        <v>17.170200000000001</v>
      </c>
      <c r="N403" s="17">
        <f>CHOOSE(CONTROL!$C$42, 17.1867, 17.1867) * CHOOSE(CONTROL!$C$21, $C$9, 100%, $E$9)</f>
        <v>17.186699999999998</v>
      </c>
      <c r="O403" s="17">
        <f>CHOOSE(CONTROL!$C$42, 17.452, 17.452) * CHOOSE(CONTROL!$C$21, $C$9, 100%, $E$9)</f>
        <v>17.452000000000002</v>
      </c>
      <c r="P403" s="17">
        <f>CHOOSE(CONTROL!$C$42, 17.2437, 17.2437) * CHOOSE(CONTROL!$C$21, $C$9, 100%, $E$9)</f>
        <v>17.2437</v>
      </c>
      <c r="Q403" s="17">
        <f>CHOOSE(CONTROL!$C$42, 18.0467, 18.0467) * CHOOSE(CONTROL!$C$21, $C$9, 100%, $E$9)</f>
        <v>18.046700000000001</v>
      </c>
      <c r="R403" s="17">
        <f>CHOOSE(CONTROL!$C$42, 18.6788, 18.6788) * CHOOSE(CONTROL!$C$21, $C$9, 100%, $E$9)</f>
        <v>18.678799999999999</v>
      </c>
      <c r="S403" s="17">
        <f>CHOOSE(CONTROL!$C$42, 16.7797, 16.7797) * CHOOSE(CONTROL!$C$21, $C$9, 100%, $E$9)</f>
        <v>16.779699999999998</v>
      </c>
      <c r="T403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403" s="56">
        <f>(1000*CHOOSE(CONTROL!$C$42, 695, 695)*CHOOSE(CONTROL!$C$42, 0.5599, 0.5599)*CHOOSE(CONTROL!$C$42, 31, 31))/1000000</f>
        <v>12.063045499999998</v>
      </c>
      <c r="V403" s="56">
        <f>(1000*CHOOSE(CONTROL!$C$42, 500, 500)*CHOOSE(CONTROL!$C$42, 0.275, 0.275)*CHOOSE(CONTROL!$C$42, 31, 31))/1000000</f>
        <v>4.2625000000000002</v>
      </c>
      <c r="W403" s="56">
        <f>(1000*CHOOSE(CONTROL!$C$42, 0.0916, 0.0916)*CHOOSE(CONTROL!$C$42, 121.5, 121.5)*CHOOSE(CONTROL!$C$42, 31, 31))/1000000</f>
        <v>0.34501139999999997</v>
      </c>
      <c r="X403" s="56">
        <f>(31*0.1790888*145000/1000000)+(31*0.2374*100000/1000000)</f>
        <v>1.5409441560000001</v>
      </c>
      <c r="Y403" s="56"/>
      <c r="Z403" s="17"/>
      <c r="AA403" s="55"/>
      <c r="AB403" s="48">
        <f>(B403*194.205+C403*267.466+D403*133.845+E403*153.484+F403*40+G403*85+H403*0+I403*100+J403*300)/(194.205+267.466+133.845+153.484+0+40+85+100+300)</f>
        <v>17.390690712637362</v>
      </c>
      <c r="AC403" s="45">
        <f>(M403*'RAP TEMPLATE-GAS AVAILABILITY'!O402+N403*'RAP TEMPLATE-GAS AVAILABILITY'!P402+O403*'RAP TEMPLATE-GAS AVAILABILITY'!Q402+P403*'RAP TEMPLATE-GAS AVAILABILITY'!R402)/('RAP TEMPLATE-GAS AVAILABILITY'!O402+'RAP TEMPLATE-GAS AVAILABILITY'!P402+'RAP TEMPLATE-GAS AVAILABILITY'!Q402+'RAP TEMPLATE-GAS AVAILABILITY'!R402)</f>
        <v>17.263640287769785</v>
      </c>
    </row>
    <row r="404" spans="1:29" ht="15.75" x14ac:dyDescent="0.25">
      <c r="A404" s="14">
        <v>52840</v>
      </c>
      <c r="B404" s="17">
        <f>CHOOSE(CONTROL!$C$42, 16.4612, 16.4612) * CHOOSE(CONTROL!$C$21, $C$9, 100%, $E$9)</f>
        <v>16.461200000000002</v>
      </c>
      <c r="C404" s="17">
        <f>CHOOSE(CONTROL!$C$42, 16.4692, 16.4692) * CHOOSE(CONTROL!$C$21, $C$9, 100%, $E$9)</f>
        <v>16.469200000000001</v>
      </c>
      <c r="D404" s="17">
        <f>CHOOSE(CONTROL!$C$42, 16.7292, 16.7292) * CHOOSE(CONTROL!$C$21, $C$9, 100%, $E$9)</f>
        <v>16.729199999999999</v>
      </c>
      <c r="E404" s="17">
        <f>CHOOSE(CONTROL!$C$42, 16.7603, 16.7603) * CHOOSE(CONTROL!$C$21, $C$9, 100%, $E$9)</f>
        <v>16.760300000000001</v>
      </c>
      <c r="F404" s="17">
        <f>CHOOSE(CONTROL!$C$42, 16.4719, 16.4719)*CHOOSE(CONTROL!$C$21, $C$9, 100%, $E$9)</f>
        <v>16.471900000000002</v>
      </c>
      <c r="G404" s="17">
        <f>CHOOSE(CONTROL!$C$42, 16.4886, 16.4886)*CHOOSE(CONTROL!$C$21, $C$9, 100%, $E$9)</f>
        <v>16.488600000000002</v>
      </c>
      <c r="H404" s="17">
        <f>CHOOSE(CONTROL!$C$42, 16.7487, 16.7487) * CHOOSE(CONTROL!$C$21, $C$9, 100%, $E$9)</f>
        <v>16.748699999999999</v>
      </c>
      <c r="I404" s="17">
        <f>CHOOSE(CONTROL!$C$42, 16.5362, 16.5362)* CHOOSE(CONTROL!$C$21, $C$9, 100%, $E$9)</f>
        <v>16.536200000000001</v>
      </c>
      <c r="J404" s="17">
        <f>CHOOSE(CONTROL!$C$42, 16.4645, 16.4645)* CHOOSE(CONTROL!$C$21, $C$9, 100%, $E$9)</f>
        <v>16.464500000000001</v>
      </c>
      <c r="K404" s="52">
        <f>CHOOSE(CONTROL!$C$42, 16.5301, 16.5301) * CHOOSE(CONTROL!$C$21, $C$9, 100%, $E$9)</f>
        <v>16.530100000000001</v>
      </c>
      <c r="L404" s="17">
        <f>CHOOSE(CONTROL!$C$42, 17.3357, 17.3357) * CHOOSE(CONTROL!$C$21, $C$9, 100%, $E$9)</f>
        <v>17.335699999999999</v>
      </c>
      <c r="M404" s="17">
        <f>CHOOSE(CONTROL!$C$42, 16.3234, 16.3234) * CHOOSE(CONTROL!$C$21, $C$9, 100%, $E$9)</f>
        <v>16.323399999999999</v>
      </c>
      <c r="N404" s="17">
        <f>CHOOSE(CONTROL!$C$42, 16.34, 16.34) * CHOOSE(CONTROL!$C$21, $C$9, 100%, $E$9)</f>
        <v>16.34</v>
      </c>
      <c r="O404" s="17">
        <f>CHOOSE(CONTROL!$C$42, 16.605, 16.605) * CHOOSE(CONTROL!$C$21, $C$9, 100%, $E$9)</f>
        <v>16.605</v>
      </c>
      <c r="P404" s="17">
        <f>CHOOSE(CONTROL!$C$42, 16.394, 16.394) * CHOOSE(CONTROL!$C$21, $C$9, 100%, $E$9)</f>
        <v>16.393999999999998</v>
      </c>
      <c r="Q404" s="17">
        <f>CHOOSE(CONTROL!$C$42, 17.1997, 17.1997) * CHOOSE(CONTROL!$C$21, $C$9, 100%, $E$9)</f>
        <v>17.1997</v>
      </c>
      <c r="R404" s="17">
        <f>CHOOSE(CONTROL!$C$42, 17.8297, 17.8297) * CHOOSE(CONTROL!$C$21, $C$9, 100%, $E$9)</f>
        <v>17.829699999999999</v>
      </c>
      <c r="S404" s="17">
        <f>CHOOSE(CONTROL!$C$42, 15.9509, 15.9509) * CHOOSE(CONTROL!$C$21, $C$9, 100%, $E$9)</f>
        <v>15.950900000000001</v>
      </c>
      <c r="T404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404" s="56">
        <f>(1000*CHOOSE(CONTROL!$C$42, 695, 695)*CHOOSE(CONTROL!$C$42, 0.5599, 0.5599)*CHOOSE(CONTROL!$C$42, 31, 31))/1000000</f>
        <v>12.063045499999998</v>
      </c>
      <c r="V404" s="56">
        <f>(1000*CHOOSE(CONTROL!$C$42, 500, 500)*CHOOSE(CONTROL!$C$42, 0.275, 0.275)*CHOOSE(CONTROL!$C$42, 31, 31))/1000000</f>
        <v>4.2625000000000002</v>
      </c>
      <c r="W404" s="56">
        <f>(1000*CHOOSE(CONTROL!$C$42, 0.0916, 0.0916)*CHOOSE(CONTROL!$C$42, 121.5, 121.5)*CHOOSE(CONTROL!$C$42, 31, 31))/1000000</f>
        <v>0.34501139999999997</v>
      </c>
      <c r="X404" s="56">
        <f>(31*0.1790888*145000/1000000)+(31*0.2374*100000/1000000)</f>
        <v>1.5409441560000001</v>
      </c>
      <c r="Y404" s="56"/>
      <c r="Z404" s="17"/>
      <c r="AA404" s="55"/>
      <c r="AB404" s="48">
        <f>(B404*194.205+C404*267.466+D404*133.845+E404*153.484+F404*40+G404*85+H404*0+I404*100+J404*300)/(194.205+267.466+133.845+153.484+0+40+85+100+300)</f>
        <v>16.535897215384619</v>
      </c>
      <c r="AC404" s="45">
        <f>(M404*'RAP TEMPLATE-GAS AVAILABILITY'!O403+N404*'RAP TEMPLATE-GAS AVAILABILITY'!P403+O404*'RAP TEMPLATE-GAS AVAILABILITY'!Q403+P404*'RAP TEMPLATE-GAS AVAILABILITY'!R403)/('RAP TEMPLATE-GAS AVAILABILITY'!O403+'RAP TEMPLATE-GAS AVAILABILITY'!P403+'RAP TEMPLATE-GAS AVAILABILITY'!Q403+'RAP TEMPLATE-GAS AVAILABILITY'!R403)</f>
        <v>16.416389928057555</v>
      </c>
    </row>
    <row r="405" spans="1:29" ht="15.75" x14ac:dyDescent="0.25">
      <c r="A405" s="14">
        <v>52870</v>
      </c>
      <c r="B405" s="17">
        <f>CHOOSE(CONTROL!$C$42, 15.4167, 15.4167) * CHOOSE(CONTROL!$C$21, $C$9, 100%, $E$9)</f>
        <v>15.416700000000001</v>
      </c>
      <c r="C405" s="17">
        <f>CHOOSE(CONTROL!$C$42, 15.4247, 15.4247) * CHOOSE(CONTROL!$C$21, $C$9, 100%, $E$9)</f>
        <v>15.4247</v>
      </c>
      <c r="D405" s="17">
        <f>CHOOSE(CONTROL!$C$42, 15.6846, 15.6846) * CHOOSE(CONTROL!$C$21, $C$9, 100%, $E$9)</f>
        <v>15.6846</v>
      </c>
      <c r="E405" s="17">
        <f>CHOOSE(CONTROL!$C$42, 15.7158, 15.7158) * CHOOSE(CONTROL!$C$21, $C$9, 100%, $E$9)</f>
        <v>15.7158</v>
      </c>
      <c r="F405" s="17">
        <f>CHOOSE(CONTROL!$C$42, 15.4273, 15.4273)*CHOOSE(CONTROL!$C$21, $C$9, 100%, $E$9)</f>
        <v>15.427300000000001</v>
      </c>
      <c r="G405" s="17">
        <f>CHOOSE(CONTROL!$C$42, 15.444, 15.444)*CHOOSE(CONTROL!$C$21, $C$9, 100%, $E$9)</f>
        <v>15.444000000000001</v>
      </c>
      <c r="H405" s="17">
        <f>CHOOSE(CONTROL!$C$42, 15.7041, 15.7041) * CHOOSE(CONTROL!$C$21, $C$9, 100%, $E$9)</f>
        <v>15.7041</v>
      </c>
      <c r="I405" s="17">
        <f>CHOOSE(CONTROL!$C$42, 15.4884, 15.4884)* CHOOSE(CONTROL!$C$21, $C$9, 100%, $E$9)</f>
        <v>15.4884</v>
      </c>
      <c r="J405" s="17">
        <f>CHOOSE(CONTROL!$C$42, 15.4199, 15.4199)* CHOOSE(CONTROL!$C$21, $C$9, 100%, $E$9)</f>
        <v>15.4199</v>
      </c>
      <c r="K405" s="52">
        <f>CHOOSE(CONTROL!$C$42, 15.4823, 15.4823) * CHOOSE(CONTROL!$C$21, $C$9, 100%, $E$9)</f>
        <v>15.4823</v>
      </c>
      <c r="L405" s="17">
        <f>CHOOSE(CONTROL!$C$42, 16.2911, 16.2911) * CHOOSE(CONTROL!$C$21, $C$9, 100%, $E$9)</f>
        <v>16.2911</v>
      </c>
      <c r="M405" s="17">
        <f>CHOOSE(CONTROL!$C$42, 15.2883, 15.2883) * CHOOSE(CONTROL!$C$21, $C$9, 100%, $E$9)</f>
        <v>15.2883</v>
      </c>
      <c r="N405" s="17">
        <f>CHOOSE(CONTROL!$C$42, 15.3048, 15.3048) * CHOOSE(CONTROL!$C$21, $C$9, 100%, $E$9)</f>
        <v>15.3048</v>
      </c>
      <c r="O405" s="17">
        <f>CHOOSE(CONTROL!$C$42, 15.5699, 15.5699) * CHOOSE(CONTROL!$C$21, $C$9, 100%, $E$9)</f>
        <v>15.569900000000001</v>
      </c>
      <c r="P405" s="17">
        <f>CHOOSE(CONTROL!$C$42, 15.3557, 15.3557) * CHOOSE(CONTROL!$C$21, $C$9, 100%, $E$9)</f>
        <v>15.355700000000001</v>
      </c>
      <c r="Q405" s="17">
        <f>CHOOSE(CONTROL!$C$42, 16.1646, 16.1646) * CHOOSE(CONTROL!$C$21, $C$9, 100%, $E$9)</f>
        <v>16.1646</v>
      </c>
      <c r="R405" s="17">
        <f>CHOOSE(CONTROL!$C$42, 16.792, 16.792) * CHOOSE(CONTROL!$C$21, $C$9, 100%, $E$9)</f>
        <v>16.792000000000002</v>
      </c>
      <c r="S405" s="17">
        <f>CHOOSE(CONTROL!$C$42, 14.938, 14.938) * CHOOSE(CONTROL!$C$21, $C$9, 100%, $E$9)</f>
        <v>14.938000000000001</v>
      </c>
      <c r="T405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405" s="56">
        <f>(1000*CHOOSE(CONTROL!$C$42, 695, 695)*CHOOSE(CONTROL!$C$42, 0.5599, 0.5599)*CHOOSE(CONTROL!$C$42, 30, 30))/1000000</f>
        <v>11.673914999999997</v>
      </c>
      <c r="V405" s="56">
        <f>(1000*CHOOSE(CONTROL!$C$42, 500, 500)*CHOOSE(CONTROL!$C$42, 0.275, 0.275)*CHOOSE(CONTROL!$C$42, 30, 30))/1000000</f>
        <v>4.125</v>
      </c>
      <c r="W405" s="56">
        <f>(1000*CHOOSE(CONTROL!$C$42, 0.0916, 0.0916)*CHOOSE(CONTROL!$C$42, 121.5, 121.5)*CHOOSE(CONTROL!$C$42, 30, 30))/1000000</f>
        <v>0.33388200000000001</v>
      </c>
      <c r="X405" s="56">
        <f>(30*0.1790888*145000/1000000)+(30*0.2374*100000/1000000)</f>
        <v>1.4912362799999999</v>
      </c>
      <c r="Y405" s="56"/>
      <c r="Z405" s="17"/>
      <c r="AA405" s="55"/>
      <c r="AB405" s="48">
        <f>(B405*194.205+C405*267.466+D405*133.845+E405*153.484+F405*40+G405*85+H405*0+I405*100+J405*300)/(194.205+267.466+133.845+153.484+0+40+85+100+300)</f>
        <v>15.491094323312401</v>
      </c>
      <c r="AC405" s="45">
        <f>(M405*'RAP TEMPLATE-GAS AVAILABILITY'!O404+N405*'RAP TEMPLATE-GAS AVAILABILITY'!P404+O405*'RAP TEMPLATE-GAS AVAILABILITY'!Q404+P405*'RAP TEMPLATE-GAS AVAILABILITY'!R404)/('RAP TEMPLATE-GAS AVAILABILITY'!O404+'RAP TEMPLATE-GAS AVAILABILITY'!P404+'RAP TEMPLATE-GAS AVAILABILITY'!Q404+'RAP TEMPLATE-GAS AVAILABILITY'!R404)</f>
        <v>15.380806474820144</v>
      </c>
    </row>
    <row r="406" spans="1:29" ht="15.75" x14ac:dyDescent="0.25">
      <c r="A406" s="14">
        <v>52901</v>
      </c>
      <c r="B406" s="17">
        <f>CHOOSE(CONTROL!$C$42, 15.1022, 15.1022) * CHOOSE(CONTROL!$C$21, $C$9, 100%, $E$9)</f>
        <v>15.1022</v>
      </c>
      <c r="C406" s="17">
        <f>CHOOSE(CONTROL!$C$42, 15.1075, 15.1075) * CHOOSE(CONTROL!$C$21, $C$9, 100%, $E$9)</f>
        <v>15.1075</v>
      </c>
      <c r="D406" s="17">
        <f>CHOOSE(CONTROL!$C$42, 15.3723, 15.3723) * CHOOSE(CONTROL!$C$21, $C$9, 100%, $E$9)</f>
        <v>15.372299999999999</v>
      </c>
      <c r="E406" s="17">
        <f>CHOOSE(CONTROL!$C$42, 15.4012, 15.4012) * CHOOSE(CONTROL!$C$21, $C$9, 100%, $E$9)</f>
        <v>15.401199999999999</v>
      </c>
      <c r="F406" s="17">
        <f>CHOOSE(CONTROL!$C$42, 15.1151, 15.1151)*CHOOSE(CONTROL!$C$21, $C$9, 100%, $E$9)</f>
        <v>15.1151</v>
      </c>
      <c r="G406" s="17">
        <f>CHOOSE(CONTROL!$C$42, 15.1316, 15.1316)*CHOOSE(CONTROL!$C$21, $C$9, 100%, $E$9)</f>
        <v>15.131600000000001</v>
      </c>
      <c r="H406" s="17">
        <f>CHOOSE(CONTROL!$C$42, 15.3913, 15.3913) * CHOOSE(CONTROL!$C$21, $C$9, 100%, $E$9)</f>
        <v>15.391299999999999</v>
      </c>
      <c r="I406" s="17">
        <f>CHOOSE(CONTROL!$C$42, 15.1746, 15.1746)* CHOOSE(CONTROL!$C$21, $C$9, 100%, $E$9)</f>
        <v>15.1746</v>
      </c>
      <c r="J406" s="17">
        <f>CHOOSE(CONTROL!$C$42, 15.1077, 15.1077)* CHOOSE(CONTROL!$C$21, $C$9, 100%, $E$9)</f>
        <v>15.107699999999999</v>
      </c>
      <c r="K406" s="52">
        <f>CHOOSE(CONTROL!$C$42, 15.1686, 15.1686) * CHOOSE(CONTROL!$C$21, $C$9, 100%, $E$9)</f>
        <v>15.1686</v>
      </c>
      <c r="L406" s="17">
        <f>CHOOSE(CONTROL!$C$42, 15.9783, 15.9783) * CHOOSE(CONTROL!$C$21, $C$9, 100%, $E$9)</f>
        <v>15.978300000000001</v>
      </c>
      <c r="M406" s="17">
        <f>CHOOSE(CONTROL!$C$42, 14.9788, 14.9788) * CHOOSE(CONTROL!$C$21, $C$9, 100%, $E$9)</f>
        <v>14.9788</v>
      </c>
      <c r="N406" s="17">
        <f>CHOOSE(CONTROL!$C$42, 14.9952, 14.9952) * CHOOSE(CONTROL!$C$21, $C$9, 100%, $E$9)</f>
        <v>14.995200000000001</v>
      </c>
      <c r="O406" s="17">
        <f>CHOOSE(CONTROL!$C$42, 15.2599, 15.2599) * CHOOSE(CONTROL!$C$21, $C$9, 100%, $E$9)</f>
        <v>15.2599</v>
      </c>
      <c r="P406" s="17">
        <f>CHOOSE(CONTROL!$C$42, 15.0448, 15.0448) * CHOOSE(CONTROL!$C$21, $C$9, 100%, $E$9)</f>
        <v>15.0448</v>
      </c>
      <c r="Q406" s="17">
        <f>CHOOSE(CONTROL!$C$42, 15.8546, 15.8546) * CHOOSE(CONTROL!$C$21, $C$9, 100%, $E$9)</f>
        <v>15.8546</v>
      </c>
      <c r="R406" s="17">
        <f>CHOOSE(CONTROL!$C$42, 16.4813, 16.4813) * CHOOSE(CONTROL!$C$21, $C$9, 100%, $E$9)</f>
        <v>16.481300000000001</v>
      </c>
      <c r="S406" s="17">
        <f>CHOOSE(CONTROL!$C$42, 14.6347, 14.6347) * CHOOSE(CONTROL!$C$21, $C$9, 100%, $E$9)</f>
        <v>14.6347</v>
      </c>
      <c r="T406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406" s="56">
        <f>(1000*CHOOSE(CONTROL!$C$42, 695, 695)*CHOOSE(CONTROL!$C$42, 0.5599, 0.5599)*CHOOSE(CONTROL!$C$42, 31, 31))/1000000</f>
        <v>12.063045499999998</v>
      </c>
      <c r="V406" s="56">
        <f>(1000*CHOOSE(CONTROL!$C$42, 500, 500)*CHOOSE(CONTROL!$C$42, 0.275, 0.275)*CHOOSE(CONTROL!$C$42, 31, 31))/1000000</f>
        <v>4.2625000000000002</v>
      </c>
      <c r="W406" s="56">
        <f>(1000*CHOOSE(CONTROL!$C$42, 0.0916, 0.0916)*CHOOSE(CONTROL!$C$42, 121.5, 121.5)*CHOOSE(CONTROL!$C$42, 31, 31))/1000000</f>
        <v>0.34501139999999997</v>
      </c>
      <c r="X406" s="56">
        <f>(31*0.1790888*145000/1000000)+(31*0.2374*100000/1000000)</f>
        <v>1.5409441560000001</v>
      </c>
      <c r="Y406" s="56"/>
      <c r="Z406" s="17"/>
      <c r="AA406" s="55"/>
      <c r="AB406" s="48">
        <f>(B406*131.881+C406*277.167+D406*79.08+E406*225.872+F406*40+G406*85+H406*0+I406*100+J406*300)/(131.881+277.167+79.08+225.872+0+40+85+100+300)</f>
        <v>15.184741744229216</v>
      </c>
      <c r="AC406" s="45">
        <f>(M406*'RAP TEMPLATE-GAS AVAILABILITY'!O405+N406*'RAP TEMPLATE-GAS AVAILABILITY'!P405+O406*'RAP TEMPLATE-GAS AVAILABILITY'!Q405+P406*'RAP TEMPLATE-GAS AVAILABILITY'!R405)/('RAP TEMPLATE-GAS AVAILABILITY'!O405+'RAP TEMPLATE-GAS AVAILABILITY'!P405+'RAP TEMPLATE-GAS AVAILABILITY'!Q405+'RAP TEMPLATE-GAS AVAILABILITY'!R405)</f>
        <v>15.070941726618706</v>
      </c>
    </row>
    <row r="407" spans="1:29" ht="15.75" x14ac:dyDescent="0.25">
      <c r="A407" s="14">
        <v>52931</v>
      </c>
      <c r="B407" s="17">
        <f>CHOOSE(CONTROL!$C$42, 15.4994, 15.4994) * CHOOSE(CONTROL!$C$21, $C$9, 100%, $E$9)</f>
        <v>15.4994</v>
      </c>
      <c r="C407" s="17">
        <f>CHOOSE(CONTROL!$C$42, 15.5045, 15.5045) * CHOOSE(CONTROL!$C$21, $C$9, 100%, $E$9)</f>
        <v>15.5045</v>
      </c>
      <c r="D407" s="17">
        <f>CHOOSE(CONTROL!$C$42, 15.6451, 15.6451) * CHOOSE(CONTROL!$C$21, $C$9, 100%, $E$9)</f>
        <v>15.645099999999999</v>
      </c>
      <c r="E407" s="17">
        <f>CHOOSE(CONTROL!$C$42, 15.6789, 15.6789) * CHOOSE(CONTROL!$C$21, $C$9, 100%, $E$9)</f>
        <v>15.678900000000001</v>
      </c>
      <c r="F407" s="17">
        <f>CHOOSE(CONTROL!$C$42, 15.5127, 15.5127)*CHOOSE(CONTROL!$C$21, $C$9, 100%, $E$9)</f>
        <v>15.512700000000001</v>
      </c>
      <c r="G407" s="17">
        <f>CHOOSE(CONTROL!$C$42, 15.5295, 15.5295)*CHOOSE(CONTROL!$C$21, $C$9, 100%, $E$9)</f>
        <v>15.529500000000001</v>
      </c>
      <c r="H407" s="17">
        <f>CHOOSE(CONTROL!$C$42, 15.6678, 15.6678) * CHOOSE(CONTROL!$C$21, $C$9, 100%, $E$9)</f>
        <v>15.6678</v>
      </c>
      <c r="I407" s="17">
        <f>CHOOSE(CONTROL!$C$42, 15.5698, 15.5698)* CHOOSE(CONTROL!$C$21, $C$9, 100%, $E$9)</f>
        <v>15.569800000000001</v>
      </c>
      <c r="J407" s="17">
        <f>CHOOSE(CONTROL!$C$42, 15.5053, 15.5053)* CHOOSE(CONTROL!$C$21, $C$9, 100%, $E$9)</f>
        <v>15.5053</v>
      </c>
      <c r="K407" s="52">
        <f>CHOOSE(CONTROL!$C$42, 15.5638, 15.5638) * CHOOSE(CONTROL!$C$21, $C$9, 100%, $E$9)</f>
        <v>15.563800000000001</v>
      </c>
      <c r="L407" s="17">
        <f>CHOOSE(CONTROL!$C$42, 16.2548, 16.2548) * CHOOSE(CONTROL!$C$21, $C$9, 100%, $E$9)</f>
        <v>16.254799999999999</v>
      </c>
      <c r="M407" s="17">
        <f>CHOOSE(CONTROL!$C$42, 15.3728, 15.3728) * CHOOSE(CONTROL!$C$21, $C$9, 100%, $E$9)</f>
        <v>15.3728</v>
      </c>
      <c r="N407" s="17">
        <f>CHOOSE(CONTROL!$C$42, 15.3895, 15.3895) * CHOOSE(CONTROL!$C$21, $C$9, 100%, $E$9)</f>
        <v>15.3895</v>
      </c>
      <c r="O407" s="17">
        <f>CHOOSE(CONTROL!$C$42, 15.5339, 15.5339) * CHOOSE(CONTROL!$C$21, $C$9, 100%, $E$9)</f>
        <v>15.533899999999999</v>
      </c>
      <c r="P407" s="17">
        <f>CHOOSE(CONTROL!$C$42, 15.4364, 15.4364) * CHOOSE(CONTROL!$C$21, $C$9, 100%, $E$9)</f>
        <v>15.436400000000001</v>
      </c>
      <c r="Q407" s="17">
        <f>CHOOSE(CONTROL!$C$42, 16.1286, 16.1286) * CHOOSE(CONTROL!$C$21, $C$9, 100%, $E$9)</f>
        <v>16.128599999999999</v>
      </c>
      <c r="R407" s="17">
        <f>CHOOSE(CONTROL!$C$42, 16.7559, 16.7559) * CHOOSE(CONTROL!$C$21, $C$9, 100%, $E$9)</f>
        <v>16.7559</v>
      </c>
      <c r="S407" s="17">
        <f>CHOOSE(CONTROL!$C$42, 15.0202, 15.0202) * CHOOSE(CONTROL!$C$21, $C$9, 100%, $E$9)</f>
        <v>15.020200000000001</v>
      </c>
      <c r="T407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407" s="56">
        <f>(1000*CHOOSE(CONTROL!$C$42, 695, 695)*CHOOSE(CONTROL!$C$42, 0.5599, 0.5599)*CHOOSE(CONTROL!$C$42, 30, 30))/1000000</f>
        <v>11.673914999999997</v>
      </c>
      <c r="V407" s="56">
        <f>(1000*CHOOSE(CONTROL!$C$42, 500, 500)*CHOOSE(CONTROL!$C$42, 0.275, 0.275)*CHOOSE(CONTROL!$C$42, 30, 30))/1000000</f>
        <v>4.125</v>
      </c>
      <c r="W407" s="56">
        <f>(1000*CHOOSE(CONTROL!$C$42, 0.0916, 0.0916)*CHOOSE(CONTROL!$C$42, 121.5, 121.5)*CHOOSE(CONTROL!$C$42, 30, 30))/1000000</f>
        <v>0.33388200000000001</v>
      </c>
      <c r="X407" s="56">
        <f>(30*0.2374*100000/1000000)</f>
        <v>0.71220000000000006</v>
      </c>
      <c r="Y407" s="56"/>
      <c r="Z407" s="17"/>
      <c r="AA407" s="55"/>
      <c r="AB407" s="48">
        <f>(B407*122.58+C407*297.941+D407*89.177+E407*140.302+F407*40+G407*60+H407*0+I407*100+J407*300)/(122.58+297.941+89.177+140.302+0+40+60+100+300)</f>
        <v>15.543612866956524</v>
      </c>
      <c r="AC407" s="45">
        <f>(M407*'RAP TEMPLATE-GAS AVAILABILITY'!O406+N407*'RAP TEMPLATE-GAS AVAILABILITY'!P406+O407*'RAP TEMPLATE-GAS AVAILABILITY'!Q406+P407*'RAP TEMPLATE-GAS AVAILABILITY'!R406)/('RAP TEMPLATE-GAS AVAILABILITY'!O406+'RAP TEMPLATE-GAS AVAILABILITY'!P406+'RAP TEMPLATE-GAS AVAILABILITY'!Q406+'RAP TEMPLATE-GAS AVAILABILITY'!R406)</f>
        <v>15.455928776978416</v>
      </c>
    </row>
    <row r="408" spans="1:29" ht="15.75" x14ac:dyDescent="0.25">
      <c r="A408" s="14">
        <v>52962</v>
      </c>
      <c r="B408" s="17">
        <f>CHOOSE(CONTROL!$C$42, 16.5554, 16.5554) * CHOOSE(CONTROL!$C$21, $C$9, 100%, $E$9)</f>
        <v>16.555399999999999</v>
      </c>
      <c r="C408" s="17">
        <f>CHOOSE(CONTROL!$C$42, 16.5605, 16.5605) * CHOOSE(CONTROL!$C$21, $C$9, 100%, $E$9)</f>
        <v>16.560500000000001</v>
      </c>
      <c r="D408" s="17">
        <f>CHOOSE(CONTROL!$C$42, 16.7011, 16.7011) * CHOOSE(CONTROL!$C$21, $C$9, 100%, $E$9)</f>
        <v>16.7011</v>
      </c>
      <c r="E408" s="17">
        <f>CHOOSE(CONTROL!$C$42, 16.7349, 16.7349) * CHOOSE(CONTROL!$C$21, $C$9, 100%, $E$9)</f>
        <v>16.7349</v>
      </c>
      <c r="F408" s="17">
        <f>CHOOSE(CONTROL!$C$42, 16.5711, 16.5711)*CHOOSE(CONTROL!$C$21, $C$9, 100%, $E$9)</f>
        <v>16.571100000000001</v>
      </c>
      <c r="G408" s="17">
        <f>CHOOSE(CONTROL!$C$42, 16.5886, 16.5886)*CHOOSE(CONTROL!$C$21, $C$9, 100%, $E$9)</f>
        <v>16.5886</v>
      </c>
      <c r="H408" s="17">
        <f>CHOOSE(CONTROL!$C$42, 16.7238, 16.7238) * CHOOSE(CONTROL!$C$21, $C$9, 100%, $E$9)</f>
        <v>16.723800000000001</v>
      </c>
      <c r="I408" s="17">
        <f>CHOOSE(CONTROL!$C$42, 16.6291, 16.6291)* CHOOSE(CONTROL!$C$21, $C$9, 100%, $E$9)</f>
        <v>16.629100000000001</v>
      </c>
      <c r="J408" s="17">
        <f>CHOOSE(CONTROL!$C$42, 16.5637, 16.5637)* CHOOSE(CONTROL!$C$21, $C$9, 100%, $E$9)</f>
        <v>16.563700000000001</v>
      </c>
      <c r="K408" s="52">
        <f>CHOOSE(CONTROL!$C$42, 16.6231, 16.6231) * CHOOSE(CONTROL!$C$21, $C$9, 100%, $E$9)</f>
        <v>16.623100000000001</v>
      </c>
      <c r="L408" s="17">
        <f>CHOOSE(CONTROL!$C$42, 17.3108, 17.3108) * CHOOSE(CONTROL!$C$21, $C$9, 100%, $E$9)</f>
        <v>17.3108</v>
      </c>
      <c r="M408" s="17">
        <f>CHOOSE(CONTROL!$C$42, 16.4217, 16.4217) * CHOOSE(CONTROL!$C$21, $C$9, 100%, $E$9)</f>
        <v>16.421700000000001</v>
      </c>
      <c r="N408" s="17">
        <f>CHOOSE(CONTROL!$C$42, 16.4391, 16.4391) * CHOOSE(CONTROL!$C$21, $C$9, 100%, $E$9)</f>
        <v>16.4391</v>
      </c>
      <c r="O408" s="17">
        <f>CHOOSE(CONTROL!$C$42, 16.5804, 16.5804) * CHOOSE(CONTROL!$C$21, $C$9, 100%, $E$9)</f>
        <v>16.580400000000001</v>
      </c>
      <c r="P408" s="17">
        <f>CHOOSE(CONTROL!$C$42, 16.4862, 16.4862) * CHOOSE(CONTROL!$C$21, $C$9, 100%, $E$9)</f>
        <v>16.4862</v>
      </c>
      <c r="Q408" s="17">
        <f>CHOOSE(CONTROL!$C$42, 17.1751, 17.1751) * CHOOSE(CONTROL!$C$21, $C$9, 100%, $E$9)</f>
        <v>17.1751</v>
      </c>
      <c r="R408" s="17">
        <f>CHOOSE(CONTROL!$C$42, 17.805, 17.805) * CHOOSE(CONTROL!$C$21, $C$9, 100%, $E$9)</f>
        <v>17.805</v>
      </c>
      <c r="S408" s="17">
        <f>CHOOSE(CONTROL!$C$42, 16.0443, 16.0443) * CHOOSE(CONTROL!$C$21, $C$9, 100%, $E$9)</f>
        <v>16.0443</v>
      </c>
      <c r="T408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408" s="56">
        <f>(1000*CHOOSE(CONTROL!$C$42, 695, 695)*CHOOSE(CONTROL!$C$42, 0.5599, 0.5599)*CHOOSE(CONTROL!$C$42, 31, 31))/1000000</f>
        <v>12.063045499999998</v>
      </c>
      <c r="V408" s="56">
        <f>(1000*CHOOSE(CONTROL!$C$42, 500, 500)*CHOOSE(CONTROL!$C$42, 0.275, 0.275)*CHOOSE(CONTROL!$C$42, 31, 31))/1000000</f>
        <v>4.2625000000000002</v>
      </c>
      <c r="W408" s="56">
        <f>(1000*CHOOSE(CONTROL!$C$42, 0.0916, 0.0916)*CHOOSE(CONTROL!$C$42, 121.5, 121.5)*CHOOSE(CONTROL!$C$42, 31, 31))/1000000</f>
        <v>0.34501139999999997</v>
      </c>
      <c r="X408" s="56">
        <f>(31*0.2374*100000/1000000)</f>
        <v>0.73594000000000004</v>
      </c>
      <c r="Y408" s="56"/>
      <c r="Z408" s="17"/>
      <c r="AA408" s="55"/>
      <c r="AB408" s="48">
        <f>(B408*122.58+C408*297.941+D408*89.177+E408*140.302+F408*40+G408*60+H408*0+I408*100+J408*300)/(122.58+297.941+89.177+140.302+0+40+60+100+300)</f>
        <v>16.600771127826086</v>
      </c>
      <c r="AC408" s="45">
        <f>(M408*'RAP TEMPLATE-GAS AVAILABILITY'!O407+N408*'RAP TEMPLATE-GAS AVAILABILITY'!P407+O408*'RAP TEMPLATE-GAS AVAILABILITY'!Q407+P408*'RAP TEMPLATE-GAS AVAILABILITY'!R407)/('RAP TEMPLATE-GAS AVAILABILITY'!O407+'RAP TEMPLATE-GAS AVAILABILITY'!P407+'RAP TEMPLATE-GAS AVAILABILITY'!Q407+'RAP TEMPLATE-GAS AVAILABILITY'!R407)</f>
        <v>16.503910791366909</v>
      </c>
    </row>
    <row r="409" spans="1:29" ht="15.75" x14ac:dyDescent="0.25">
      <c r="A409" s="14">
        <v>52993</v>
      </c>
      <c r="B409" s="17">
        <f>CHOOSE(CONTROL!$C$42, 17.8269, 17.8269) * CHOOSE(CONTROL!$C$21, $C$9, 100%, $E$9)</f>
        <v>17.826899999999998</v>
      </c>
      <c r="C409" s="17">
        <f>CHOOSE(CONTROL!$C$42, 17.832, 17.832) * CHOOSE(CONTROL!$C$21, $C$9, 100%, $E$9)</f>
        <v>17.832000000000001</v>
      </c>
      <c r="D409" s="17">
        <f>CHOOSE(CONTROL!$C$42, 17.966, 17.966) * CHOOSE(CONTROL!$C$21, $C$9, 100%, $E$9)</f>
        <v>17.966000000000001</v>
      </c>
      <c r="E409" s="17">
        <f>CHOOSE(CONTROL!$C$42, 17.9997, 17.9997) * CHOOSE(CONTROL!$C$21, $C$9, 100%, $E$9)</f>
        <v>17.999700000000001</v>
      </c>
      <c r="F409" s="17">
        <f>CHOOSE(CONTROL!$C$42, 17.8404, 17.8404)*CHOOSE(CONTROL!$C$21, $C$9, 100%, $E$9)</f>
        <v>17.840399999999999</v>
      </c>
      <c r="G409" s="17">
        <f>CHOOSE(CONTROL!$C$42, 17.8573, 17.8573)*CHOOSE(CONTROL!$C$21, $C$9, 100%, $E$9)</f>
        <v>17.857299999999999</v>
      </c>
      <c r="H409" s="17">
        <f>CHOOSE(CONTROL!$C$42, 17.9886, 17.9886) * CHOOSE(CONTROL!$C$21, $C$9, 100%, $E$9)</f>
        <v>17.988600000000002</v>
      </c>
      <c r="I409" s="17">
        <f>CHOOSE(CONTROL!$C$42, 17.9087, 17.9087)* CHOOSE(CONTROL!$C$21, $C$9, 100%, $E$9)</f>
        <v>17.9087</v>
      </c>
      <c r="J409" s="17">
        <f>CHOOSE(CONTROL!$C$42, 17.833, 17.833)* CHOOSE(CONTROL!$C$21, $C$9, 100%, $E$9)</f>
        <v>17.832999999999998</v>
      </c>
      <c r="K409" s="52">
        <f>CHOOSE(CONTROL!$C$42, 17.9027, 17.9027) * CHOOSE(CONTROL!$C$21, $C$9, 100%, $E$9)</f>
        <v>17.902699999999999</v>
      </c>
      <c r="L409" s="17">
        <f>CHOOSE(CONTROL!$C$42, 18.5756, 18.5756) * CHOOSE(CONTROL!$C$21, $C$9, 100%, $E$9)</f>
        <v>18.575600000000001</v>
      </c>
      <c r="M409" s="17">
        <f>CHOOSE(CONTROL!$C$42, 17.6796, 17.6796) * CHOOSE(CONTROL!$C$21, $C$9, 100%, $E$9)</f>
        <v>17.679600000000001</v>
      </c>
      <c r="N409" s="17">
        <f>CHOOSE(CONTROL!$C$42, 17.6963, 17.6963) * CHOOSE(CONTROL!$C$21, $C$9, 100%, $E$9)</f>
        <v>17.696300000000001</v>
      </c>
      <c r="O409" s="17">
        <f>CHOOSE(CONTROL!$C$42, 17.8338, 17.8338) * CHOOSE(CONTROL!$C$21, $C$9, 100%, $E$9)</f>
        <v>17.8338</v>
      </c>
      <c r="P409" s="17">
        <f>CHOOSE(CONTROL!$C$42, 17.7542, 17.7542) * CHOOSE(CONTROL!$C$21, $C$9, 100%, $E$9)</f>
        <v>17.754200000000001</v>
      </c>
      <c r="Q409" s="17">
        <f>CHOOSE(CONTROL!$C$42, 18.4285, 18.4285) * CHOOSE(CONTROL!$C$21, $C$9, 100%, $E$9)</f>
        <v>18.4285</v>
      </c>
      <c r="R409" s="17">
        <f>CHOOSE(CONTROL!$C$42, 19.0616, 19.0616) * CHOOSE(CONTROL!$C$21, $C$9, 100%, $E$9)</f>
        <v>19.061599999999999</v>
      </c>
      <c r="S409" s="17">
        <f>CHOOSE(CONTROL!$C$42, 17.2773, 17.2773) * CHOOSE(CONTROL!$C$21, $C$9, 100%, $E$9)</f>
        <v>17.2773</v>
      </c>
      <c r="T409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409" s="56">
        <f>(1000*CHOOSE(CONTROL!$C$42, 695, 695)*CHOOSE(CONTROL!$C$42, 0.5599, 0.5599)*CHOOSE(CONTROL!$C$42, 31, 31))/1000000</f>
        <v>12.063045499999998</v>
      </c>
      <c r="V409" s="56">
        <f>(1000*CHOOSE(CONTROL!$C$42, 500, 500)*CHOOSE(CONTROL!$C$42, 0.275, 0.275)*CHOOSE(CONTROL!$C$42, 31, 31))/1000000</f>
        <v>4.2625000000000002</v>
      </c>
      <c r="W409" s="56">
        <f>(1000*CHOOSE(CONTROL!$C$42, 0.0916, 0.0916)*CHOOSE(CONTROL!$C$42, 121.5, 121.5)*CHOOSE(CONTROL!$C$42, 31, 31))/1000000</f>
        <v>0.34501139999999997</v>
      </c>
      <c r="X409" s="56">
        <f>(31*0.2374*100000/1000000)</f>
        <v>0.73594000000000004</v>
      </c>
      <c r="Y409" s="56"/>
      <c r="Z409" s="17"/>
      <c r="AA409" s="55"/>
      <c r="AB409" s="48">
        <f>(B409*122.58+C409*297.941+D409*89.177+E409*140.302+F409*40+G409*60+H409*0+I409*100+J409*300)/(122.58+297.941+89.177+140.302+0+40+60+100+300)</f>
        <v>17.870849743826085</v>
      </c>
      <c r="AC409" s="45">
        <f>(M409*'RAP TEMPLATE-GAS AVAILABILITY'!O408+N409*'RAP TEMPLATE-GAS AVAILABILITY'!P408+O409*'RAP TEMPLATE-GAS AVAILABILITY'!Q408+P409*'RAP TEMPLATE-GAS AVAILABILITY'!R408)/('RAP TEMPLATE-GAS AVAILABILITY'!O408+'RAP TEMPLATE-GAS AVAILABILITY'!P408+'RAP TEMPLATE-GAS AVAILABILITY'!Q408+'RAP TEMPLATE-GAS AVAILABILITY'!R408)</f>
        <v>17.761184172661871</v>
      </c>
    </row>
    <row r="410" spans="1:29" ht="15.75" x14ac:dyDescent="0.25">
      <c r="A410" s="14">
        <v>53021</v>
      </c>
      <c r="B410" s="17">
        <f>CHOOSE(CONTROL!$C$42, 18.1441, 18.1441) * CHOOSE(CONTROL!$C$21, $C$9, 100%, $E$9)</f>
        <v>18.144100000000002</v>
      </c>
      <c r="C410" s="17">
        <f>CHOOSE(CONTROL!$C$42, 18.1492, 18.1492) * CHOOSE(CONTROL!$C$21, $C$9, 100%, $E$9)</f>
        <v>18.1492</v>
      </c>
      <c r="D410" s="17">
        <f>CHOOSE(CONTROL!$C$42, 18.2831, 18.2831) * CHOOSE(CONTROL!$C$21, $C$9, 100%, $E$9)</f>
        <v>18.283100000000001</v>
      </c>
      <c r="E410" s="17">
        <f>CHOOSE(CONTROL!$C$42, 18.3169, 18.3169) * CHOOSE(CONTROL!$C$21, $C$9, 100%, $E$9)</f>
        <v>18.3169</v>
      </c>
      <c r="F410" s="17">
        <f>CHOOSE(CONTROL!$C$42, 18.1575, 18.1575)*CHOOSE(CONTROL!$C$21, $C$9, 100%, $E$9)</f>
        <v>18.157499999999999</v>
      </c>
      <c r="G410" s="17">
        <f>CHOOSE(CONTROL!$C$42, 18.1744, 18.1744)*CHOOSE(CONTROL!$C$21, $C$9, 100%, $E$9)</f>
        <v>18.174399999999999</v>
      </c>
      <c r="H410" s="17">
        <f>CHOOSE(CONTROL!$C$42, 18.3058, 18.3058) * CHOOSE(CONTROL!$C$21, $C$9, 100%, $E$9)</f>
        <v>18.305800000000001</v>
      </c>
      <c r="I410" s="17">
        <f>CHOOSE(CONTROL!$C$42, 18.2269, 18.2269)* CHOOSE(CONTROL!$C$21, $C$9, 100%, $E$9)</f>
        <v>18.226900000000001</v>
      </c>
      <c r="J410" s="17">
        <f>CHOOSE(CONTROL!$C$42, 18.1501, 18.1501)* CHOOSE(CONTROL!$C$21, $C$9, 100%, $E$9)</f>
        <v>18.150099999999998</v>
      </c>
      <c r="K410" s="52">
        <f>CHOOSE(CONTROL!$C$42, 18.2208, 18.2208) * CHOOSE(CONTROL!$C$21, $C$9, 100%, $E$9)</f>
        <v>18.220800000000001</v>
      </c>
      <c r="L410" s="17">
        <f>CHOOSE(CONTROL!$C$42, 18.8928, 18.8928) * CHOOSE(CONTROL!$C$21, $C$9, 100%, $E$9)</f>
        <v>18.892800000000001</v>
      </c>
      <c r="M410" s="17">
        <f>CHOOSE(CONTROL!$C$42, 17.9939, 17.9939) * CHOOSE(CONTROL!$C$21, $C$9, 100%, $E$9)</f>
        <v>17.9939</v>
      </c>
      <c r="N410" s="17">
        <f>CHOOSE(CONTROL!$C$42, 18.0106, 18.0106) * CHOOSE(CONTROL!$C$21, $C$9, 100%, $E$9)</f>
        <v>18.0106</v>
      </c>
      <c r="O410" s="17">
        <f>CHOOSE(CONTROL!$C$42, 18.1481, 18.1481) * CHOOSE(CONTROL!$C$21, $C$9, 100%, $E$9)</f>
        <v>18.148099999999999</v>
      </c>
      <c r="P410" s="17">
        <f>CHOOSE(CONTROL!$C$42, 18.0695, 18.0695) * CHOOSE(CONTROL!$C$21, $C$9, 100%, $E$9)</f>
        <v>18.069500000000001</v>
      </c>
      <c r="Q410" s="17">
        <f>CHOOSE(CONTROL!$C$42, 18.7428, 18.7428) * CHOOSE(CONTROL!$C$21, $C$9, 100%, $E$9)</f>
        <v>18.742799999999999</v>
      </c>
      <c r="R410" s="17">
        <f>CHOOSE(CONTROL!$C$42, 19.3767, 19.3767) * CHOOSE(CONTROL!$C$21, $C$9, 100%, $E$9)</f>
        <v>19.3767</v>
      </c>
      <c r="S410" s="17">
        <f>CHOOSE(CONTROL!$C$42, 17.5848, 17.5848) * CHOOSE(CONTROL!$C$21, $C$9, 100%, $E$9)</f>
        <v>17.584800000000001</v>
      </c>
      <c r="T410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410" s="56">
        <f>(1000*CHOOSE(CONTROL!$C$42, 695, 695)*CHOOSE(CONTROL!$C$42, 0.5599, 0.5599)*CHOOSE(CONTROL!$C$42, 28, 28))/1000000</f>
        <v>10.895653999999999</v>
      </c>
      <c r="V410" s="56">
        <f>(1000*CHOOSE(CONTROL!$C$42, 500, 500)*CHOOSE(CONTROL!$C$42, 0.275, 0.275)*CHOOSE(CONTROL!$C$42, 28, 28))/1000000</f>
        <v>3.85</v>
      </c>
      <c r="W410" s="56">
        <f>(1000*CHOOSE(CONTROL!$C$42, 0.0916, 0.0916)*CHOOSE(CONTROL!$C$42, 121.5, 121.5)*CHOOSE(CONTROL!$C$42, 28, 28))/1000000</f>
        <v>0.31162319999999999</v>
      </c>
      <c r="X410" s="56">
        <f>(28*0.2374*100000/1000000)</f>
        <v>0.66471999999999998</v>
      </c>
      <c r="Y410" s="56"/>
      <c r="Z410" s="17"/>
      <c r="AA410" s="55"/>
      <c r="AB410" s="48">
        <f>(B410*122.58+C410*297.941+D410*89.177+E410*140.302+F410*40+G410*60+H410*0+I410*100+J410*300)/(122.58+297.941+89.177+140.302+0+40+60+100+300)</f>
        <v>18.188094163217389</v>
      </c>
      <c r="AC410" s="45">
        <f>(M410*'RAP TEMPLATE-GAS AVAILABILITY'!O409+N410*'RAP TEMPLATE-GAS AVAILABILITY'!P409+O410*'RAP TEMPLATE-GAS AVAILABILITY'!Q409+P410*'RAP TEMPLATE-GAS AVAILABILITY'!R409)/('RAP TEMPLATE-GAS AVAILABILITY'!O409+'RAP TEMPLATE-GAS AVAILABILITY'!P409+'RAP TEMPLATE-GAS AVAILABILITY'!Q409+'RAP TEMPLATE-GAS AVAILABILITY'!R409)</f>
        <v>18.075628057553956</v>
      </c>
    </row>
    <row r="411" spans="1:29" ht="15.75" x14ac:dyDescent="0.25">
      <c r="A411" s="14">
        <v>53052</v>
      </c>
      <c r="B411" s="17">
        <f>CHOOSE(CONTROL!$C$42, 17.6293, 17.6293) * CHOOSE(CONTROL!$C$21, $C$9, 100%, $E$9)</f>
        <v>17.629300000000001</v>
      </c>
      <c r="C411" s="17">
        <f>CHOOSE(CONTROL!$C$42, 17.6343, 17.6343) * CHOOSE(CONTROL!$C$21, $C$9, 100%, $E$9)</f>
        <v>17.6343</v>
      </c>
      <c r="D411" s="17">
        <f>CHOOSE(CONTROL!$C$42, 17.7683, 17.7683) * CHOOSE(CONTROL!$C$21, $C$9, 100%, $E$9)</f>
        <v>17.7683</v>
      </c>
      <c r="E411" s="17">
        <f>CHOOSE(CONTROL!$C$42, 17.8021, 17.8021) * CHOOSE(CONTROL!$C$21, $C$9, 100%, $E$9)</f>
        <v>17.802099999999999</v>
      </c>
      <c r="F411" s="17">
        <f>CHOOSE(CONTROL!$C$42, 17.6419, 17.6419)*CHOOSE(CONTROL!$C$21, $C$9, 100%, $E$9)</f>
        <v>17.6419</v>
      </c>
      <c r="G411" s="17">
        <f>CHOOSE(CONTROL!$C$42, 17.6586, 17.6586)*CHOOSE(CONTROL!$C$21, $C$9, 100%, $E$9)</f>
        <v>17.6586</v>
      </c>
      <c r="H411" s="17">
        <f>CHOOSE(CONTROL!$C$42, 17.7909, 17.7909) * CHOOSE(CONTROL!$C$21, $C$9, 100%, $E$9)</f>
        <v>17.790900000000001</v>
      </c>
      <c r="I411" s="17">
        <f>CHOOSE(CONTROL!$C$42, 17.7105, 17.7105)* CHOOSE(CONTROL!$C$21, $C$9, 100%, $E$9)</f>
        <v>17.7105</v>
      </c>
      <c r="J411" s="17">
        <f>CHOOSE(CONTROL!$C$42, 17.6345, 17.6345)* CHOOSE(CONTROL!$C$21, $C$9, 100%, $E$9)</f>
        <v>17.634499999999999</v>
      </c>
      <c r="K411" s="52">
        <f>CHOOSE(CONTROL!$C$42, 17.7044, 17.7044) * CHOOSE(CONTROL!$C$21, $C$9, 100%, $E$9)</f>
        <v>17.7044</v>
      </c>
      <c r="L411" s="17">
        <f>CHOOSE(CONTROL!$C$42, 18.3779, 18.3779) * CHOOSE(CONTROL!$C$21, $C$9, 100%, $E$9)</f>
        <v>18.3779</v>
      </c>
      <c r="M411" s="17">
        <f>CHOOSE(CONTROL!$C$42, 17.4829, 17.4829) * CHOOSE(CONTROL!$C$21, $C$9, 100%, $E$9)</f>
        <v>17.482900000000001</v>
      </c>
      <c r="N411" s="17">
        <f>CHOOSE(CONTROL!$C$42, 17.4994, 17.4994) * CHOOSE(CONTROL!$C$21, $C$9, 100%, $E$9)</f>
        <v>17.499400000000001</v>
      </c>
      <c r="O411" s="17">
        <f>CHOOSE(CONTROL!$C$42, 17.6379, 17.6379) * CHOOSE(CONTROL!$C$21, $C$9, 100%, $E$9)</f>
        <v>17.637899999999998</v>
      </c>
      <c r="P411" s="17">
        <f>CHOOSE(CONTROL!$C$42, 17.5578, 17.5578) * CHOOSE(CONTROL!$C$21, $C$9, 100%, $E$9)</f>
        <v>17.5578</v>
      </c>
      <c r="Q411" s="17">
        <f>CHOOSE(CONTROL!$C$42, 18.2326, 18.2326) * CHOOSE(CONTROL!$C$21, $C$9, 100%, $E$9)</f>
        <v>18.232600000000001</v>
      </c>
      <c r="R411" s="17">
        <f>CHOOSE(CONTROL!$C$42, 18.8652, 18.8652) * CHOOSE(CONTROL!$C$21, $C$9, 100%, $E$9)</f>
        <v>18.865200000000002</v>
      </c>
      <c r="S411" s="17">
        <f>CHOOSE(CONTROL!$C$42, 17.0856, 17.0856) * CHOOSE(CONTROL!$C$21, $C$9, 100%, $E$9)</f>
        <v>17.085599999999999</v>
      </c>
      <c r="T411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411" s="56">
        <f>(1000*CHOOSE(CONTROL!$C$42, 695, 695)*CHOOSE(CONTROL!$C$42, 0.5599, 0.5599)*CHOOSE(CONTROL!$C$42, 31, 31))/1000000</f>
        <v>12.063045499999998</v>
      </c>
      <c r="V411" s="56">
        <f>(1000*CHOOSE(CONTROL!$C$42, 500, 500)*CHOOSE(CONTROL!$C$42, 0.275, 0.275)*CHOOSE(CONTROL!$C$42, 31, 31))/1000000</f>
        <v>4.2625000000000002</v>
      </c>
      <c r="W411" s="56">
        <f>(1000*CHOOSE(CONTROL!$C$42, 0.0916, 0.0916)*CHOOSE(CONTROL!$C$42, 121.5, 121.5)*CHOOSE(CONTROL!$C$42, 31, 31))/1000000</f>
        <v>0.34501139999999997</v>
      </c>
      <c r="X411" s="56">
        <f>(31*0.2374*100000/1000000)</f>
        <v>0.73594000000000004</v>
      </c>
      <c r="Y411" s="56"/>
      <c r="Z411" s="17"/>
      <c r="AA411" s="55"/>
      <c r="AB411" s="48">
        <f>(B411*122.58+C411*297.941+D411*89.177+E411*140.302+F411*40+G411*60+H411*0+I411*100+J411*300)/(122.58+297.941+89.177+140.302+0+40+60+100+300)</f>
        <v>17.672840429217388</v>
      </c>
      <c r="AC411" s="45">
        <f>(M411*'RAP TEMPLATE-GAS AVAILABILITY'!O410+N411*'RAP TEMPLATE-GAS AVAILABILITY'!P410+O411*'RAP TEMPLATE-GAS AVAILABILITY'!Q410+P411*'RAP TEMPLATE-GAS AVAILABILITY'!R410)/('RAP TEMPLATE-GAS AVAILABILITY'!O410+'RAP TEMPLATE-GAS AVAILABILITY'!P410+'RAP TEMPLATE-GAS AVAILABILITY'!Q410+'RAP TEMPLATE-GAS AVAILABILITY'!R410)</f>
        <v>17.564878417266186</v>
      </c>
    </row>
    <row r="412" spans="1:29" ht="15.75" x14ac:dyDescent="0.25">
      <c r="A412" s="14">
        <v>53082</v>
      </c>
      <c r="B412" s="17">
        <f>CHOOSE(CONTROL!$C$42, 17.5775, 17.5775) * CHOOSE(CONTROL!$C$21, $C$9, 100%, $E$9)</f>
        <v>17.577500000000001</v>
      </c>
      <c r="C412" s="17">
        <f>CHOOSE(CONTROL!$C$42, 17.5821, 17.5821) * CHOOSE(CONTROL!$C$21, $C$9, 100%, $E$9)</f>
        <v>17.582100000000001</v>
      </c>
      <c r="D412" s="17">
        <f>CHOOSE(CONTROL!$C$42, 17.8451, 17.8451) * CHOOSE(CONTROL!$C$21, $C$9, 100%, $E$9)</f>
        <v>17.845099999999999</v>
      </c>
      <c r="E412" s="17">
        <f>CHOOSE(CONTROL!$C$42, 17.8769, 17.8769) * CHOOSE(CONTROL!$C$21, $C$9, 100%, $E$9)</f>
        <v>17.876899999999999</v>
      </c>
      <c r="F412" s="17">
        <f>CHOOSE(CONTROL!$C$42, 17.5885, 17.5885)*CHOOSE(CONTROL!$C$21, $C$9, 100%, $E$9)</f>
        <v>17.5885</v>
      </c>
      <c r="G412" s="17">
        <f>CHOOSE(CONTROL!$C$42, 17.6046, 17.6046)*CHOOSE(CONTROL!$C$21, $C$9, 100%, $E$9)</f>
        <v>17.604600000000001</v>
      </c>
      <c r="H412" s="17">
        <f>CHOOSE(CONTROL!$C$42, 17.8663, 17.8663) * CHOOSE(CONTROL!$C$21, $C$9, 100%, $E$9)</f>
        <v>17.866299999999999</v>
      </c>
      <c r="I412" s="17">
        <f>CHOOSE(CONTROL!$C$42, 17.6573, 17.6573)* CHOOSE(CONTROL!$C$21, $C$9, 100%, $E$9)</f>
        <v>17.657299999999999</v>
      </c>
      <c r="J412" s="17">
        <f>CHOOSE(CONTROL!$C$42, 17.5811, 17.5811)* CHOOSE(CONTROL!$C$21, $C$9, 100%, $E$9)</f>
        <v>17.581099999999999</v>
      </c>
      <c r="K412" s="52">
        <f>CHOOSE(CONTROL!$C$42, 17.6513, 17.6513) * CHOOSE(CONTROL!$C$21, $C$9, 100%, $E$9)</f>
        <v>17.651299999999999</v>
      </c>
      <c r="L412" s="17">
        <f>CHOOSE(CONTROL!$C$42, 18.4533, 18.4533) * CHOOSE(CONTROL!$C$21, $C$9, 100%, $E$9)</f>
        <v>18.453299999999999</v>
      </c>
      <c r="M412" s="17">
        <f>CHOOSE(CONTROL!$C$42, 17.4299, 17.4299) * CHOOSE(CONTROL!$C$21, $C$9, 100%, $E$9)</f>
        <v>17.4299</v>
      </c>
      <c r="N412" s="17">
        <f>CHOOSE(CONTROL!$C$42, 17.446, 17.446) * CHOOSE(CONTROL!$C$21, $C$9, 100%, $E$9)</f>
        <v>17.446000000000002</v>
      </c>
      <c r="O412" s="17">
        <f>CHOOSE(CONTROL!$C$42, 17.7126, 17.7126) * CHOOSE(CONTROL!$C$21, $C$9, 100%, $E$9)</f>
        <v>17.712599999999998</v>
      </c>
      <c r="P412" s="17">
        <f>CHOOSE(CONTROL!$C$42, 17.5051, 17.5051) * CHOOSE(CONTROL!$C$21, $C$9, 100%, $E$9)</f>
        <v>17.505099999999999</v>
      </c>
      <c r="Q412" s="17">
        <f>CHOOSE(CONTROL!$C$42, 18.3073, 18.3073) * CHOOSE(CONTROL!$C$21, $C$9, 100%, $E$9)</f>
        <v>18.307300000000001</v>
      </c>
      <c r="R412" s="17">
        <f>CHOOSE(CONTROL!$C$42, 18.9401, 18.9401) * CHOOSE(CONTROL!$C$21, $C$9, 100%, $E$9)</f>
        <v>18.940100000000001</v>
      </c>
      <c r="S412" s="17">
        <f>CHOOSE(CONTROL!$C$42, 17.0347, 17.0347) * CHOOSE(CONTROL!$C$21, $C$9, 100%, $E$9)</f>
        <v>17.034700000000001</v>
      </c>
      <c r="T412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412" s="56">
        <f>(1000*CHOOSE(CONTROL!$C$42, 695, 695)*CHOOSE(CONTROL!$C$42, 0.5599, 0.5599)*CHOOSE(CONTROL!$C$42, 30, 30))/1000000</f>
        <v>11.673914999999997</v>
      </c>
      <c r="V412" s="56">
        <f>(1000*CHOOSE(CONTROL!$C$42, 500, 500)*CHOOSE(CONTROL!$C$42, 0.275, 0.275)*CHOOSE(CONTROL!$C$42, 30, 30))/1000000</f>
        <v>4.125</v>
      </c>
      <c r="W412" s="56">
        <f>(1000*CHOOSE(CONTROL!$C$42, 0.0916, 0.0916)*CHOOSE(CONTROL!$C$42, 121.5, 121.5)*CHOOSE(CONTROL!$C$42, 30, 30))/1000000</f>
        <v>0.33388200000000001</v>
      </c>
      <c r="X412" s="56">
        <f>(30*0.1790888*145000/1000000)+(30*0.2374*100000/1000000)</f>
        <v>1.4912362799999999</v>
      </c>
      <c r="Y412" s="56"/>
      <c r="Z412" s="17"/>
      <c r="AA412" s="55"/>
      <c r="AB412" s="48">
        <f>(B412*141.293+C412*267.993+D412*115.016+E412*189.698+F412*40+G412*85+H412*0+I412*100+J412*300)/(141.293+267.993+115.016+189.698+0+40+85+100+300)</f>
        <v>17.658702688135591</v>
      </c>
      <c r="AC412" s="45">
        <f>(M412*'RAP TEMPLATE-GAS AVAILABILITY'!O411+N412*'RAP TEMPLATE-GAS AVAILABILITY'!P411+O412*'RAP TEMPLATE-GAS AVAILABILITY'!Q411+P412*'RAP TEMPLATE-GAS AVAILABILITY'!R411)/('RAP TEMPLATE-GAS AVAILABILITY'!O411+'RAP TEMPLATE-GAS AVAILABILITY'!P411+'RAP TEMPLATE-GAS AVAILABILITY'!Q411+'RAP TEMPLATE-GAS AVAILABILITY'!R411)</f>
        <v>17.523745323741007</v>
      </c>
    </row>
    <row r="413" spans="1:29" ht="15.75" x14ac:dyDescent="0.25">
      <c r="A413" s="14">
        <v>53113</v>
      </c>
      <c r="B413" s="17">
        <f>CHOOSE(CONTROL!$C$42, 17.7339, 17.7339) * CHOOSE(CONTROL!$C$21, $C$9, 100%, $E$9)</f>
        <v>17.733899999999998</v>
      </c>
      <c r="C413" s="17">
        <f>CHOOSE(CONTROL!$C$42, 17.7419, 17.7419) * CHOOSE(CONTROL!$C$21, $C$9, 100%, $E$9)</f>
        <v>17.741900000000001</v>
      </c>
      <c r="D413" s="17">
        <f>CHOOSE(CONTROL!$C$42, 18.0019, 18.0019) * CHOOSE(CONTROL!$C$21, $C$9, 100%, $E$9)</f>
        <v>18.001899999999999</v>
      </c>
      <c r="E413" s="17">
        <f>CHOOSE(CONTROL!$C$42, 18.033, 18.033) * CHOOSE(CONTROL!$C$21, $C$9, 100%, $E$9)</f>
        <v>18.033000000000001</v>
      </c>
      <c r="F413" s="17">
        <f>CHOOSE(CONTROL!$C$42, 17.7436, 17.7436)*CHOOSE(CONTROL!$C$21, $C$9, 100%, $E$9)</f>
        <v>17.743600000000001</v>
      </c>
      <c r="G413" s="17">
        <f>CHOOSE(CONTROL!$C$42, 17.7601, 17.7601)*CHOOSE(CONTROL!$C$21, $C$9, 100%, $E$9)</f>
        <v>17.760100000000001</v>
      </c>
      <c r="H413" s="17">
        <f>CHOOSE(CONTROL!$C$42, 18.0214, 18.0214) * CHOOSE(CONTROL!$C$21, $C$9, 100%, $E$9)</f>
        <v>18.0214</v>
      </c>
      <c r="I413" s="17">
        <f>CHOOSE(CONTROL!$C$42, 17.8128, 17.8128)* CHOOSE(CONTROL!$C$21, $C$9, 100%, $E$9)</f>
        <v>17.812799999999999</v>
      </c>
      <c r="J413" s="17">
        <f>CHOOSE(CONTROL!$C$42, 17.7362, 17.7362)* CHOOSE(CONTROL!$C$21, $C$9, 100%, $E$9)</f>
        <v>17.7362</v>
      </c>
      <c r="K413" s="52">
        <f>CHOOSE(CONTROL!$C$42, 17.8068, 17.8068) * CHOOSE(CONTROL!$C$21, $C$9, 100%, $E$9)</f>
        <v>17.806799999999999</v>
      </c>
      <c r="L413" s="17">
        <f>CHOOSE(CONTROL!$C$42, 18.6084, 18.6084) * CHOOSE(CONTROL!$C$21, $C$9, 100%, $E$9)</f>
        <v>18.6084</v>
      </c>
      <c r="M413" s="17">
        <f>CHOOSE(CONTROL!$C$42, 17.5837, 17.5837) * CHOOSE(CONTROL!$C$21, $C$9, 100%, $E$9)</f>
        <v>17.5837</v>
      </c>
      <c r="N413" s="17">
        <f>CHOOSE(CONTROL!$C$42, 17.6, 17.6) * CHOOSE(CONTROL!$C$21, $C$9, 100%, $E$9)</f>
        <v>17.600000000000001</v>
      </c>
      <c r="O413" s="17">
        <f>CHOOSE(CONTROL!$C$42, 17.8663, 17.8663) * CHOOSE(CONTROL!$C$21, $C$9, 100%, $E$9)</f>
        <v>17.866299999999999</v>
      </c>
      <c r="P413" s="17">
        <f>CHOOSE(CONTROL!$C$42, 17.6592, 17.6592) * CHOOSE(CONTROL!$C$21, $C$9, 100%, $E$9)</f>
        <v>17.659199999999998</v>
      </c>
      <c r="Q413" s="17">
        <f>CHOOSE(CONTROL!$C$42, 18.461, 18.461) * CHOOSE(CONTROL!$C$21, $C$9, 100%, $E$9)</f>
        <v>18.460999999999999</v>
      </c>
      <c r="R413" s="17">
        <f>CHOOSE(CONTROL!$C$42, 19.0941, 19.0941) * CHOOSE(CONTROL!$C$21, $C$9, 100%, $E$9)</f>
        <v>19.094100000000001</v>
      </c>
      <c r="S413" s="17">
        <f>CHOOSE(CONTROL!$C$42, 17.185, 17.185) * CHOOSE(CONTROL!$C$21, $C$9, 100%, $E$9)</f>
        <v>17.184999999999999</v>
      </c>
      <c r="T413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413" s="56">
        <f>(1000*CHOOSE(CONTROL!$C$42, 695, 695)*CHOOSE(CONTROL!$C$42, 0.5599, 0.5599)*CHOOSE(CONTROL!$C$42, 31, 31))/1000000</f>
        <v>12.063045499999998</v>
      </c>
      <c r="V413" s="56">
        <f>(1000*CHOOSE(CONTROL!$C$42, 500, 500)*CHOOSE(CONTROL!$C$42, 0.275, 0.275)*CHOOSE(CONTROL!$C$42, 31, 31))/1000000</f>
        <v>4.2625000000000002</v>
      </c>
      <c r="W413" s="56">
        <f>(1000*CHOOSE(CONTROL!$C$42, 0.0916, 0.0916)*CHOOSE(CONTROL!$C$42, 121.5, 121.5)*CHOOSE(CONTROL!$C$42, 31, 31))/1000000</f>
        <v>0.34501139999999997</v>
      </c>
      <c r="X413" s="56">
        <f>(31*0.1790888*145000/1000000)+(31*0.2374*100000/1000000)</f>
        <v>1.5409441560000001</v>
      </c>
      <c r="Y413" s="56"/>
      <c r="Z413" s="17"/>
      <c r="AA413" s="55"/>
      <c r="AB413" s="48">
        <f>(B413*194.205+C413*267.466+D413*133.845+E413*153.484+F413*40+G413*85+H413*0+I413*100+J413*300)/(194.205+267.466+133.845+153.484+0+40+85+100+300)</f>
        <v>17.808556399058084</v>
      </c>
      <c r="AC413" s="45">
        <f>(M413*'RAP TEMPLATE-GAS AVAILABILITY'!O412+N413*'RAP TEMPLATE-GAS AVAILABILITY'!P412+O413*'RAP TEMPLATE-GAS AVAILABILITY'!Q412+P413*'RAP TEMPLATE-GAS AVAILABILITY'!R412)/('RAP TEMPLATE-GAS AVAILABILITY'!O412+'RAP TEMPLATE-GAS AVAILABILITY'!P412+'RAP TEMPLATE-GAS AVAILABILITY'!Q412+'RAP TEMPLATE-GAS AVAILABILITY'!R412)</f>
        <v>17.677606474820145</v>
      </c>
    </row>
    <row r="414" spans="1:29" ht="15.75" x14ac:dyDescent="0.25">
      <c r="A414" s="14">
        <v>53143</v>
      </c>
      <c r="B414" s="17">
        <f>CHOOSE(CONTROL!$C$42, 18.2366, 18.2366) * CHOOSE(CONTROL!$C$21, $C$9, 100%, $E$9)</f>
        <v>18.236599999999999</v>
      </c>
      <c r="C414" s="17">
        <f>CHOOSE(CONTROL!$C$42, 18.2446, 18.2446) * CHOOSE(CONTROL!$C$21, $C$9, 100%, $E$9)</f>
        <v>18.244599999999998</v>
      </c>
      <c r="D414" s="17">
        <f>CHOOSE(CONTROL!$C$42, 18.5045, 18.5045) * CHOOSE(CONTROL!$C$21, $C$9, 100%, $E$9)</f>
        <v>18.5045</v>
      </c>
      <c r="E414" s="17">
        <f>CHOOSE(CONTROL!$C$42, 18.5357, 18.5357) * CHOOSE(CONTROL!$C$21, $C$9, 100%, $E$9)</f>
        <v>18.535699999999999</v>
      </c>
      <c r="F414" s="17">
        <f>CHOOSE(CONTROL!$C$42, 18.2466, 18.2466)*CHOOSE(CONTROL!$C$21, $C$9, 100%, $E$9)</f>
        <v>18.246600000000001</v>
      </c>
      <c r="G414" s="17">
        <f>CHOOSE(CONTROL!$C$42, 18.2631, 18.2631)*CHOOSE(CONTROL!$C$21, $C$9, 100%, $E$9)</f>
        <v>18.263100000000001</v>
      </c>
      <c r="H414" s="17">
        <f>CHOOSE(CONTROL!$C$42, 18.524, 18.524) * CHOOSE(CONTROL!$C$21, $C$9, 100%, $E$9)</f>
        <v>18.524000000000001</v>
      </c>
      <c r="I414" s="17">
        <f>CHOOSE(CONTROL!$C$42, 18.3171, 18.3171)* CHOOSE(CONTROL!$C$21, $C$9, 100%, $E$9)</f>
        <v>18.3171</v>
      </c>
      <c r="J414" s="17">
        <f>CHOOSE(CONTROL!$C$42, 18.2392, 18.2392)* CHOOSE(CONTROL!$C$21, $C$9, 100%, $E$9)</f>
        <v>18.2392</v>
      </c>
      <c r="K414" s="52">
        <f>CHOOSE(CONTROL!$C$42, 18.311, 18.311) * CHOOSE(CONTROL!$C$21, $C$9, 100%, $E$9)</f>
        <v>18.311</v>
      </c>
      <c r="L414" s="17">
        <f>CHOOSE(CONTROL!$C$42, 19.111, 19.111) * CHOOSE(CONTROL!$C$21, $C$9, 100%, $E$9)</f>
        <v>19.111000000000001</v>
      </c>
      <c r="M414" s="17">
        <f>CHOOSE(CONTROL!$C$42, 18.0822, 18.0822) * CHOOSE(CONTROL!$C$21, $C$9, 100%, $E$9)</f>
        <v>18.0822</v>
      </c>
      <c r="N414" s="17">
        <f>CHOOSE(CONTROL!$C$42, 18.0986, 18.0986) * CHOOSE(CONTROL!$C$21, $C$9, 100%, $E$9)</f>
        <v>18.098600000000001</v>
      </c>
      <c r="O414" s="17">
        <f>CHOOSE(CONTROL!$C$42, 18.3645, 18.3645) * CHOOSE(CONTROL!$C$21, $C$9, 100%, $E$9)</f>
        <v>18.3645</v>
      </c>
      <c r="P414" s="17">
        <f>CHOOSE(CONTROL!$C$42, 18.1589, 18.1589) * CHOOSE(CONTROL!$C$21, $C$9, 100%, $E$9)</f>
        <v>18.158899999999999</v>
      </c>
      <c r="Q414" s="17">
        <f>CHOOSE(CONTROL!$C$42, 18.9592, 18.9592) * CHOOSE(CONTROL!$C$21, $C$9, 100%, $E$9)</f>
        <v>18.959199999999999</v>
      </c>
      <c r="R414" s="17">
        <f>CHOOSE(CONTROL!$C$42, 19.5936, 19.5936) * CHOOSE(CONTROL!$C$21, $C$9, 100%, $E$9)</f>
        <v>19.593599999999999</v>
      </c>
      <c r="S414" s="17">
        <f>CHOOSE(CONTROL!$C$42, 17.6725, 17.6725) * CHOOSE(CONTROL!$C$21, $C$9, 100%, $E$9)</f>
        <v>17.672499999999999</v>
      </c>
      <c r="T414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414" s="56">
        <f>(1000*CHOOSE(CONTROL!$C$42, 695, 695)*CHOOSE(CONTROL!$C$42, 0.5599, 0.5599)*CHOOSE(CONTROL!$C$42, 30, 30))/1000000</f>
        <v>11.673914999999997</v>
      </c>
      <c r="V414" s="56">
        <f>(1000*CHOOSE(CONTROL!$C$42, 500, 500)*CHOOSE(CONTROL!$C$42, 0.275, 0.275)*CHOOSE(CONTROL!$C$42, 30, 30))/1000000</f>
        <v>4.125</v>
      </c>
      <c r="W414" s="56">
        <f>(1000*CHOOSE(CONTROL!$C$42, 0.0916, 0.0916)*CHOOSE(CONTROL!$C$42, 121.5, 121.5)*CHOOSE(CONTROL!$C$42, 30, 30))/1000000</f>
        <v>0.33388200000000001</v>
      </c>
      <c r="X414" s="56">
        <f>(30*0.1790888*145000/1000000)+(30*0.2374*100000/1000000)</f>
        <v>1.4912362799999999</v>
      </c>
      <c r="Y414" s="56"/>
      <c r="Z414" s="17"/>
      <c r="AA414" s="55"/>
      <c r="AB414" s="48">
        <f>(B414*194.205+C414*267.466+D414*133.845+E414*153.484+F414*40+G414*85+H414*0+I414*100+J414*300)/(194.205+267.466+133.845+153.484+0+40+85+100+300)</f>
        <v>18.31147156036107</v>
      </c>
      <c r="AC414" s="45">
        <f>(M414*'RAP TEMPLATE-GAS AVAILABILITY'!O413+N414*'RAP TEMPLATE-GAS AVAILABILITY'!P413+O414*'RAP TEMPLATE-GAS AVAILABILITY'!Q413+P414*'RAP TEMPLATE-GAS AVAILABILITY'!R413)/('RAP TEMPLATE-GAS AVAILABILITY'!O413+'RAP TEMPLATE-GAS AVAILABILITY'!P413+'RAP TEMPLATE-GAS AVAILABILITY'!Q413+'RAP TEMPLATE-GAS AVAILABILITY'!R413)</f>
        <v>18.176217985611512</v>
      </c>
    </row>
    <row r="415" spans="1:29" ht="15.75" x14ac:dyDescent="0.25">
      <c r="A415" s="14">
        <v>53174</v>
      </c>
      <c r="B415" s="17">
        <f>CHOOSE(CONTROL!$C$42, 17.887, 17.887) * CHOOSE(CONTROL!$C$21, $C$9, 100%, $E$9)</f>
        <v>17.887</v>
      </c>
      <c r="C415" s="17">
        <f>CHOOSE(CONTROL!$C$42, 17.895, 17.895) * CHOOSE(CONTROL!$C$21, $C$9, 100%, $E$9)</f>
        <v>17.895</v>
      </c>
      <c r="D415" s="17">
        <f>CHOOSE(CONTROL!$C$42, 18.1549, 18.1549) * CHOOSE(CONTROL!$C$21, $C$9, 100%, $E$9)</f>
        <v>18.154900000000001</v>
      </c>
      <c r="E415" s="17">
        <f>CHOOSE(CONTROL!$C$42, 18.1861, 18.1861) * CHOOSE(CONTROL!$C$21, $C$9, 100%, $E$9)</f>
        <v>18.1861</v>
      </c>
      <c r="F415" s="17">
        <f>CHOOSE(CONTROL!$C$42, 17.8974, 17.8974)*CHOOSE(CONTROL!$C$21, $C$9, 100%, $E$9)</f>
        <v>17.897400000000001</v>
      </c>
      <c r="G415" s="17">
        <f>CHOOSE(CONTROL!$C$42, 17.914, 17.914)*CHOOSE(CONTROL!$C$21, $C$9, 100%, $E$9)</f>
        <v>17.914000000000001</v>
      </c>
      <c r="H415" s="17">
        <f>CHOOSE(CONTROL!$C$42, 18.1744, 18.1744) * CHOOSE(CONTROL!$C$21, $C$9, 100%, $E$9)</f>
        <v>18.174399999999999</v>
      </c>
      <c r="I415" s="17">
        <f>CHOOSE(CONTROL!$C$42, 17.9664, 17.9664)* CHOOSE(CONTROL!$C$21, $C$9, 100%, $E$9)</f>
        <v>17.9664</v>
      </c>
      <c r="J415" s="17">
        <f>CHOOSE(CONTROL!$C$42, 17.89, 17.89)* CHOOSE(CONTROL!$C$21, $C$9, 100%, $E$9)</f>
        <v>17.89</v>
      </c>
      <c r="K415" s="52">
        <f>CHOOSE(CONTROL!$C$42, 17.9603, 17.9603) * CHOOSE(CONTROL!$C$21, $C$9, 100%, $E$9)</f>
        <v>17.9603</v>
      </c>
      <c r="L415" s="17">
        <f>CHOOSE(CONTROL!$C$42, 18.7614, 18.7614) * CHOOSE(CONTROL!$C$21, $C$9, 100%, $E$9)</f>
        <v>18.761399999999998</v>
      </c>
      <c r="M415" s="17">
        <f>CHOOSE(CONTROL!$C$42, 17.7361, 17.7361) * CHOOSE(CONTROL!$C$21, $C$9, 100%, $E$9)</f>
        <v>17.7361</v>
      </c>
      <c r="N415" s="17">
        <f>CHOOSE(CONTROL!$C$42, 17.7526, 17.7526) * CHOOSE(CONTROL!$C$21, $C$9, 100%, $E$9)</f>
        <v>17.752600000000001</v>
      </c>
      <c r="O415" s="17">
        <f>CHOOSE(CONTROL!$C$42, 18.018, 18.018) * CHOOSE(CONTROL!$C$21, $C$9, 100%, $E$9)</f>
        <v>18.018000000000001</v>
      </c>
      <c r="P415" s="17">
        <f>CHOOSE(CONTROL!$C$42, 17.8113, 17.8113) * CHOOSE(CONTROL!$C$21, $C$9, 100%, $E$9)</f>
        <v>17.811299999999999</v>
      </c>
      <c r="Q415" s="17">
        <f>CHOOSE(CONTROL!$C$42, 18.6127, 18.6127) * CHOOSE(CONTROL!$C$21, $C$9, 100%, $E$9)</f>
        <v>18.6127</v>
      </c>
      <c r="R415" s="17">
        <f>CHOOSE(CONTROL!$C$42, 19.2462, 19.2462) * CHOOSE(CONTROL!$C$21, $C$9, 100%, $E$9)</f>
        <v>19.246200000000002</v>
      </c>
      <c r="S415" s="17">
        <f>CHOOSE(CONTROL!$C$42, 17.3335, 17.3335) * CHOOSE(CONTROL!$C$21, $C$9, 100%, $E$9)</f>
        <v>17.333500000000001</v>
      </c>
      <c r="T415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415" s="56">
        <f>(1000*CHOOSE(CONTROL!$C$42, 695, 695)*CHOOSE(CONTROL!$C$42, 0.5599, 0.5599)*CHOOSE(CONTROL!$C$42, 31, 31))/1000000</f>
        <v>12.063045499999998</v>
      </c>
      <c r="V415" s="56">
        <f>(1000*CHOOSE(CONTROL!$C$42, 500, 500)*CHOOSE(CONTROL!$C$42, 0.275, 0.275)*CHOOSE(CONTROL!$C$42, 31, 31))/1000000</f>
        <v>4.2625000000000002</v>
      </c>
      <c r="W415" s="56">
        <f>(1000*CHOOSE(CONTROL!$C$42, 0.0916, 0.0916)*CHOOSE(CONTROL!$C$42, 121.5, 121.5)*CHOOSE(CONTROL!$C$42, 31, 31))/1000000</f>
        <v>0.34501139999999997</v>
      </c>
      <c r="X415" s="56">
        <f>(31*0.1790888*145000/1000000)+(31*0.2374*100000/1000000)</f>
        <v>1.5409441560000001</v>
      </c>
      <c r="Y415" s="56"/>
      <c r="Z415" s="17"/>
      <c r="AA415" s="55"/>
      <c r="AB415" s="48">
        <f>(B415*194.205+C415*267.466+D415*133.845+E415*153.484+F415*40+G415*85+H415*0+I415*100+J415*300)/(194.205+267.466+133.845+153.484+0+40+85+100+300)</f>
        <v>17.961925328021977</v>
      </c>
      <c r="AC415" s="45">
        <f>(M415*'RAP TEMPLATE-GAS AVAILABILITY'!O414+N415*'RAP TEMPLATE-GAS AVAILABILITY'!P414+O415*'RAP TEMPLATE-GAS AVAILABILITY'!Q414+P415*'RAP TEMPLATE-GAS AVAILABILITY'!R414)/('RAP TEMPLATE-GAS AVAILABILITY'!O414+'RAP TEMPLATE-GAS AVAILABILITY'!P414+'RAP TEMPLATE-GAS AVAILABILITY'!Q414+'RAP TEMPLATE-GAS AVAILABILITY'!R414)</f>
        <v>17.829812949640285</v>
      </c>
    </row>
    <row r="416" spans="1:29" ht="15.75" x14ac:dyDescent="0.25">
      <c r="A416" s="14">
        <v>53205</v>
      </c>
      <c r="B416" s="17">
        <f>CHOOSE(CONTROL!$C$42, 17.0041, 17.0041) * CHOOSE(CONTROL!$C$21, $C$9, 100%, $E$9)</f>
        <v>17.004100000000001</v>
      </c>
      <c r="C416" s="17">
        <f>CHOOSE(CONTROL!$C$42, 17.0121, 17.0121) * CHOOSE(CONTROL!$C$21, $C$9, 100%, $E$9)</f>
        <v>17.0121</v>
      </c>
      <c r="D416" s="17">
        <f>CHOOSE(CONTROL!$C$42, 17.272, 17.272) * CHOOSE(CONTROL!$C$21, $C$9, 100%, $E$9)</f>
        <v>17.271999999999998</v>
      </c>
      <c r="E416" s="17">
        <f>CHOOSE(CONTROL!$C$42, 17.3032, 17.3032) * CHOOSE(CONTROL!$C$21, $C$9, 100%, $E$9)</f>
        <v>17.3032</v>
      </c>
      <c r="F416" s="17">
        <f>CHOOSE(CONTROL!$C$42, 17.0147, 17.0147)*CHOOSE(CONTROL!$C$21, $C$9, 100%, $E$9)</f>
        <v>17.014700000000001</v>
      </c>
      <c r="G416" s="17">
        <f>CHOOSE(CONTROL!$C$42, 17.0315, 17.0315)*CHOOSE(CONTROL!$C$21, $C$9, 100%, $E$9)</f>
        <v>17.031500000000001</v>
      </c>
      <c r="H416" s="17">
        <f>CHOOSE(CONTROL!$C$42, 17.2915, 17.2915) * CHOOSE(CONTROL!$C$21, $C$9, 100%, $E$9)</f>
        <v>17.291499999999999</v>
      </c>
      <c r="I416" s="17">
        <f>CHOOSE(CONTROL!$C$42, 17.0807, 17.0807)* CHOOSE(CONTROL!$C$21, $C$9, 100%, $E$9)</f>
        <v>17.0807</v>
      </c>
      <c r="J416" s="17">
        <f>CHOOSE(CONTROL!$C$42, 17.0073, 17.0073)* CHOOSE(CONTROL!$C$21, $C$9, 100%, $E$9)</f>
        <v>17.007300000000001</v>
      </c>
      <c r="K416" s="52">
        <f>CHOOSE(CONTROL!$C$42, 17.0747, 17.0747) * CHOOSE(CONTROL!$C$21, $C$9, 100%, $E$9)</f>
        <v>17.0747</v>
      </c>
      <c r="L416" s="17">
        <f>CHOOSE(CONTROL!$C$42, 17.8785, 17.8785) * CHOOSE(CONTROL!$C$21, $C$9, 100%, $E$9)</f>
        <v>17.878499999999999</v>
      </c>
      <c r="M416" s="17">
        <f>CHOOSE(CONTROL!$C$42, 16.8614, 16.8614) * CHOOSE(CONTROL!$C$21, $C$9, 100%, $E$9)</f>
        <v>16.8614</v>
      </c>
      <c r="N416" s="17">
        <f>CHOOSE(CONTROL!$C$42, 16.878, 16.878) * CHOOSE(CONTROL!$C$21, $C$9, 100%, $E$9)</f>
        <v>16.878</v>
      </c>
      <c r="O416" s="17">
        <f>CHOOSE(CONTROL!$C$42, 17.143, 17.143) * CHOOSE(CONTROL!$C$21, $C$9, 100%, $E$9)</f>
        <v>17.143000000000001</v>
      </c>
      <c r="P416" s="17">
        <f>CHOOSE(CONTROL!$C$42, 16.9337, 16.9337) * CHOOSE(CONTROL!$C$21, $C$9, 100%, $E$9)</f>
        <v>16.933700000000002</v>
      </c>
      <c r="Q416" s="17">
        <f>CHOOSE(CONTROL!$C$42, 17.7377, 17.7377) * CHOOSE(CONTROL!$C$21, $C$9, 100%, $E$9)</f>
        <v>17.7377</v>
      </c>
      <c r="R416" s="17">
        <f>CHOOSE(CONTROL!$C$42, 18.3691, 18.3691) * CHOOSE(CONTROL!$C$21, $C$9, 100%, $E$9)</f>
        <v>18.3691</v>
      </c>
      <c r="S416" s="17">
        <f>CHOOSE(CONTROL!$C$42, 16.4773, 16.4773) * CHOOSE(CONTROL!$C$21, $C$9, 100%, $E$9)</f>
        <v>16.4773</v>
      </c>
      <c r="T416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416" s="56">
        <f>(1000*CHOOSE(CONTROL!$C$42, 695, 695)*CHOOSE(CONTROL!$C$42, 0.5599, 0.5599)*CHOOSE(CONTROL!$C$42, 31, 31))/1000000</f>
        <v>12.063045499999998</v>
      </c>
      <c r="V416" s="56">
        <f>(1000*CHOOSE(CONTROL!$C$42, 500, 500)*CHOOSE(CONTROL!$C$42, 0.275, 0.275)*CHOOSE(CONTROL!$C$42, 31, 31))/1000000</f>
        <v>4.2625000000000002</v>
      </c>
      <c r="W416" s="56">
        <f>(1000*CHOOSE(CONTROL!$C$42, 0.0916, 0.0916)*CHOOSE(CONTROL!$C$42, 121.5, 121.5)*CHOOSE(CONTROL!$C$42, 31, 31))/1000000</f>
        <v>0.34501139999999997</v>
      </c>
      <c r="X416" s="56">
        <f>(31*0.1790888*145000/1000000)+(31*0.2374*100000/1000000)</f>
        <v>1.5409441560000001</v>
      </c>
      <c r="Y416" s="56"/>
      <c r="Z416" s="17"/>
      <c r="AA416" s="55"/>
      <c r="AB416" s="48">
        <f>(B416*194.205+C416*267.466+D416*133.845+E416*153.484+F416*40+G416*85+H416*0+I416*100+J416*300)/(194.205+267.466+133.845+153.484+0+40+85+100+300)</f>
        <v>17.078885610596547</v>
      </c>
      <c r="AC416" s="45">
        <f>(M416*'RAP TEMPLATE-GAS AVAILABILITY'!O415+N416*'RAP TEMPLATE-GAS AVAILABILITY'!P415+O416*'RAP TEMPLATE-GAS AVAILABILITY'!Q415+P416*'RAP TEMPLATE-GAS AVAILABILITY'!R415)/('RAP TEMPLATE-GAS AVAILABILITY'!O415+'RAP TEMPLATE-GAS AVAILABILITY'!P415+'RAP TEMPLATE-GAS AVAILABILITY'!Q415+'RAP TEMPLATE-GAS AVAILABILITY'!R415)</f>
        <v>16.954634532374104</v>
      </c>
    </row>
    <row r="417" spans="1:29" ht="15.75" x14ac:dyDescent="0.25">
      <c r="A417" s="14">
        <v>53235</v>
      </c>
      <c r="B417" s="17">
        <f>CHOOSE(CONTROL!$C$42, 15.9251, 15.9251) * CHOOSE(CONTROL!$C$21, $C$9, 100%, $E$9)</f>
        <v>15.9251</v>
      </c>
      <c r="C417" s="17">
        <f>CHOOSE(CONTROL!$C$42, 15.9331, 15.9331) * CHOOSE(CONTROL!$C$21, $C$9, 100%, $E$9)</f>
        <v>15.9331</v>
      </c>
      <c r="D417" s="17">
        <f>CHOOSE(CONTROL!$C$42, 16.193, 16.193) * CHOOSE(CONTROL!$C$21, $C$9, 100%, $E$9)</f>
        <v>16.193000000000001</v>
      </c>
      <c r="E417" s="17">
        <f>CHOOSE(CONTROL!$C$42, 16.2242, 16.2242) * CHOOSE(CONTROL!$C$21, $C$9, 100%, $E$9)</f>
        <v>16.2242</v>
      </c>
      <c r="F417" s="17">
        <f>CHOOSE(CONTROL!$C$42, 15.9357, 15.9357)*CHOOSE(CONTROL!$C$21, $C$9, 100%, $E$9)</f>
        <v>15.935700000000001</v>
      </c>
      <c r="G417" s="17">
        <f>CHOOSE(CONTROL!$C$42, 15.9525, 15.9525)*CHOOSE(CONTROL!$C$21, $C$9, 100%, $E$9)</f>
        <v>15.952500000000001</v>
      </c>
      <c r="H417" s="17">
        <f>CHOOSE(CONTROL!$C$42, 16.2125, 16.2125) * CHOOSE(CONTROL!$C$21, $C$9, 100%, $E$9)</f>
        <v>16.212499999999999</v>
      </c>
      <c r="I417" s="17">
        <f>CHOOSE(CONTROL!$C$42, 15.9984, 15.9984)* CHOOSE(CONTROL!$C$21, $C$9, 100%, $E$9)</f>
        <v>15.9984</v>
      </c>
      <c r="J417" s="17">
        <f>CHOOSE(CONTROL!$C$42, 15.9283, 15.9283)* CHOOSE(CONTROL!$C$21, $C$9, 100%, $E$9)</f>
        <v>15.9283</v>
      </c>
      <c r="K417" s="52">
        <f>CHOOSE(CONTROL!$C$42, 15.9923, 15.9923) * CHOOSE(CONTROL!$C$21, $C$9, 100%, $E$9)</f>
        <v>15.9923</v>
      </c>
      <c r="L417" s="17">
        <f>CHOOSE(CONTROL!$C$42, 16.7995, 16.7995) * CHOOSE(CONTROL!$C$21, $C$9, 100%, $E$9)</f>
        <v>16.799499999999998</v>
      </c>
      <c r="M417" s="17">
        <f>CHOOSE(CONTROL!$C$42, 15.7921, 15.7921) * CHOOSE(CONTROL!$C$21, $C$9, 100%, $E$9)</f>
        <v>15.7921</v>
      </c>
      <c r="N417" s="17">
        <f>CHOOSE(CONTROL!$C$42, 15.8087, 15.8087) * CHOOSE(CONTROL!$C$21, $C$9, 100%, $E$9)</f>
        <v>15.8087</v>
      </c>
      <c r="O417" s="17">
        <f>CHOOSE(CONTROL!$C$42, 16.0737, 16.0737) * CHOOSE(CONTROL!$C$21, $C$9, 100%, $E$9)</f>
        <v>16.073699999999999</v>
      </c>
      <c r="P417" s="17">
        <f>CHOOSE(CONTROL!$C$42, 15.8611, 15.8611) * CHOOSE(CONTROL!$C$21, $C$9, 100%, $E$9)</f>
        <v>15.8611</v>
      </c>
      <c r="Q417" s="17">
        <f>CHOOSE(CONTROL!$C$42, 16.6684, 16.6684) * CHOOSE(CONTROL!$C$21, $C$9, 100%, $E$9)</f>
        <v>16.668399999999998</v>
      </c>
      <c r="R417" s="17">
        <f>CHOOSE(CONTROL!$C$42, 17.2971, 17.2971) * CHOOSE(CONTROL!$C$21, $C$9, 100%, $E$9)</f>
        <v>17.2971</v>
      </c>
      <c r="S417" s="17">
        <f>CHOOSE(CONTROL!$C$42, 15.431, 15.431) * CHOOSE(CONTROL!$C$21, $C$9, 100%, $E$9)</f>
        <v>15.430999999999999</v>
      </c>
      <c r="T417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417" s="56">
        <f>(1000*CHOOSE(CONTROL!$C$42, 695, 695)*CHOOSE(CONTROL!$C$42, 0.5599, 0.5599)*CHOOSE(CONTROL!$C$42, 30, 30))/1000000</f>
        <v>11.673914999999997</v>
      </c>
      <c r="V417" s="56">
        <f>(1000*CHOOSE(CONTROL!$C$42, 500, 500)*CHOOSE(CONTROL!$C$42, 0.275, 0.275)*CHOOSE(CONTROL!$C$42, 30, 30))/1000000</f>
        <v>4.125</v>
      </c>
      <c r="W417" s="56">
        <f>(1000*CHOOSE(CONTROL!$C$42, 0.0916, 0.0916)*CHOOSE(CONTROL!$C$42, 121.5, 121.5)*CHOOSE(CONTROL!$C$42, 30, 30))/1000000</f>
        <v>0.33388200000000001</v>
      </c>
      <c r="X417" s="56">
        <f>(30*0.1790888*145000/1000000)+(30*0.2374*100000/1000000)</f>
        <v>1.4912362799999999</v>
      </c>
      <c r="Y417" s="56"/>
      <c r="Z417" s="17"/>
      <c r="AA417" s="55"/>
      <c r="AB417" s="48">
        <f>(B417*194.205+C417*267.466+D417*133.845+E417*153.484+F417*40+G417*85+H417*0+I417*100+J417*300)/(194.205+267.466+133.845+153.484+0+40+85+100+300)</f>
        <v>15.999626583908949</v>
      </c>
      <c r="AC417" s="45">
        <f>(M417*'RAP TEMPLATE-GAS AVAILABILITY'!O416+N417*'RAP TEMPLATE-GAS AVAILABILITY'!P416+O417*'RAP TEMPLATE-GAS AVAILABILITY'!Q416+P417*'RAP TEMPLATE-GAS AVAILABILITY'!R416)/('RAP TEMPLATE-GAS AVAILABILITY'!O416+'RAP TEMPLATE-GAS AVAILABILITY'!P416+'RAP TEMPLATE-GAS AVAILABILITY'!Q416+'RAP TEMPLATE-GAS AVAILABILITY'!R416)</f>
        <v>15.884859712230215</v>
      </c>
    </row>
    <row r="418" spans="1:29" ht="15.75" x14ac:dyDescent="0.25">
      <c r="A418" s="14">
        <v>53266</v>
      </c>
      <c r="B418" s="17">
        <f>CHOOSE(CONTROL!$C$42, 15.6003, 15.6003) * CHOOSE(CONTROL!$C$21, $C$9, 100%, $E$9)</f>
        <v>15.600300000000001</v>
      </c>
      <c r="C418" s="17">
        <f>CHOOSE(CONTROL!$C$42, 15.6056, 15.6056) * CHOOSE(CONTROL!$C$21, $C$9, 100%, $E$9)</f>
        <v>15.605600000000001</v>
      </c>
      <c r="D418" s="17">
        <f>CHOOSE(CONTROL!$C$42, 15.8704, 15.8704) * CHOOSE(CONTROL!$C$21, $C$9, 100%, $E$9)</f>
        <v>15.8704</v>
      </c>
      <c r="E418" s="17">
        <f>CHOOSE(CONTROL!$C$42, 15.8993, 15.8993) * CHOOSE(CONTROL!$C$21, $C$9, 100%, $E$9)</f>
        <v>15.8993</v>
      </c>
      <c r="F418" s="17">
        <f>CHOOSE(CONTROL!$C$42, 15.6131, 15.6131)*CHOOSE(CONTROL!$C$21, $C$9, 100%, $E$9)</f>
        <v>15.613099999999999</v>
      </c>
      <c r="G418" s="17">
        <f>CHOOSE(CONTROL!$C$42, 15.6297, 15.6297)*CHOOSE(CONTROL!$C$21, $C$9, 100%, $E$9)</f>
        <v>15.6297</v>
      </c>
      <c r="H418" s="17">
        <f>CHOOSE(CONTROL!$C$42, 15.8894, 15.8894) * CHOOSE(CONTROL!$C$21, $C$9, 100%, $E$9)</f>
        <v>15.8894</v>
      </c>
      <c r="I418" s="17">
        <f>CHOOSE(CONTROL!$C$42, 15.6743, 15.6743)* CHOOSE(CONTROL!$C$21, $C$9, 100%, $E$9)</f>
        <v>15.674300000000001</v>
      </c>
      <c r="J418" s="17">
        <f>CHOOSE(CONTROL!$C$42, 15.6057, 15.6057)* CHOOSE(CONTROL!$C$21, $C$9, 100%, $E$9)</f>
        <v>15.605700000000001</v>
      </c>
      <c r="K418" s="52">
        <f>CHOOSE(CONTROL!$C$42, 15.6682, 15.6682) * CHOOSE(CONTROL!$C$21, $C$9, 100%, $E$9)</f>
        <v>15.668200000000001</v>
      </c>
      <c r="L418" s="17">
        <f>CHOOSE(CONTROL!$C$42, 16.4764, 16.4764) * CHOOSE(CONTROL!$C$21, $C$9, 100%, $E$9)</f>
        <v>16.476400000000002</v>
      </c>
      <c r="M418" s="17">
        <f>CHOOSE(CONTROL!$C$42, 15.4724, 15.4724) * CHOOSE(CONTROL!$C$21, $C$9, 100%, $E$9)</f>
        <v>15.4724</v>
      </c>
      <c r="N418" s="17">
        <f>CHOOSE(CONTROL!$C$42, 15.4888, 15.4888) * CHOOSE(CONTROL!$C$21, $C$9, 100%, $E$9)</f>
        <v>15.488799999999999</v>
      </c>
      <c r="O418" s="17">
        <f>CHOOSE(CONTROL!$C$42, 15.7535, 15.7535) * CHOOSE(CONTROL!$C$21, $C$9, 100%, $E$9)</f>
        <v>15.753500000000001</v>
      </c>
      <c r="P418" s="17">
        <f>CHOOSE(CONTROL!$C$42, 15.5399, 15.5399) * CHOOSE(CONTROL!$C$21, $C$9, 100%, $E$9)</f>
        <v>15.539899999999999</v>
      </c>
      <c r="Q418" s="17">
        <f>CHOOSE(CONTROL!$C$42, 16.3482, 16.3482) * CHOOSE(CONTROL!$C$21, $C$9, 100%, $E$9)</f>
        <v>16.348199999999999</v>
      </c>
      <c r="R418" s="17">
        <f>CHOOSE(CONTROL!$C$42, 16.9761, 16.9761) * CHOOSE(CONTROL!$C$21, $C$9, 100%, $E$9)</f>
        <v>16.976099999999999</v>
      </c>
      <c r="S418" s="17">
        <f>CHOOSE(CONTROL!$C$42, 15.1177, 15.1177) * CHOOSE(CONTROL!$C$21, $C$9, 100%, $E$9)</f>
        <v>15.117699999999999</v>
      </c>
      <c r="T418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418" s="56">
        <f>(1000*CHOOSE(CONTROL!$C$42, 695, 695)*CHOOSE(CONTROL!$C$42, 0.5599, 0.5599)*CHOOSE(CONTROL!$C$42, 31, 31))/1000000</f>
        <v>12.063045499999998</v>
      </c>
      <c r="V418" s="56">
        <f>(1000*CHOOSE(CONTROL!$C$42, 500, 500)*CHOOSE(CONTROL!$C$42, 0.275, 0.275)*CHOOSE(CONTROL!$C$42, 31, 31))/1000000</f>
        <v>4.2625000000000002</v>
      </c>
      <c r="W418" s="56">
        <f>(1000*CHOOSE(CONTROL!$C$42, 0.0916, 0.0916)*CHOOSE(CONTROL!$C$42, 121.5, 121.5)*CHOOSE(CONTROL!$C$42, 31, 31))/1000000</f>
        <v>0.34501139999999997</v>
      </c>
      <c r="X418" s="56">
        <f>(31*0.1790888*145000/1000000)+(31*0.2374*100000/1000000)</f>
        <v>1.5409441560000001</v>
      </c>
      <c r="Y418" s="56"/>
      <c r="Z418" s="17"/>
      <c r="AA418" s="55"/>
      <c r="AB418" s="48">
        <f>(B418*131.881+C418*277.167+D418*79.08+E418*225.872+F418*40+G418*85+H418*0+I418*100+J418*300)/(131.881+277.167+79.08+225.872+0+40+85+100+300)</f>
        <v>15.682943439144472</v>
      </c>
      <c r="AC418" s="45">
        <f>(M418*'RAP TEMPLATE-GAS AVAILABILITY'!O417+N418*'RAP TEMPLATE-GAS AVAILABILITY'!P417+O418*'RAP TEMPLATE-GAS AVAILABILITY'!Q417+P418*'RAP TEMPLATE-GAS AVAILABILITY'!R417)/('RAP TEMPLATE-GAS AVAILABILITY'!O417+'RAP TEMPLATE-GAS AVAILABILITY'!P417+'RAP TEMPLATE-GAS AVAILABILITY'!Q417+'RAP TEMPLATE-GAS AVAILABILITY'!R417)</f>
        <v>15.564757553956836</v>
      </c>
    </row>
    <row r="419" spans="1:29" ht="15.75" x14ac:dyDescent="0.25">
      <c r="A419" s="14">
        <v>53296</v>
      </c>
      <c r="B419" s="17">
        <f>CHOOSE(CONTROL!$C$42, 16.0106, 16.0106) * CHOOSE(CONTROL!$C$21, $C$9, 100%, $E$9)</f>
        <v>16.0106</v>
      </c>
      <c r="C419" s="17">
        <f>CHOOSE(CONTROL!$C$42, 16.0157, 16.0157) * CHOOSE(CONTROL!$C$21, $C$9, 100%, $E$9)</f>
        <v>16.015699999999999</v>
      </c>
      <c r="D419" s="17">
        <f>CHOOSE(CONTROL!$C$42, 16.1563, 16.1563) * CHOOSE(CONTROL!$C$21, $C$9, 100%, $E$9)</f>
        <v>16.156300000000002</v>
      </c>
      <c r="E419" s="17">
        <f>CHOOSE(CONTROL!$C$42, 16.1901, 16.1901) * CHOOSE(CONTROL!$C$21, $C$9, 100%, $E$9)</f>
        <v>16.190100000000001</v>
      </c>
      <c r="F419" s="17">
        <f>CHOOSE(CONTROL!$C$42, 16.0239, 16.0239)*CHOOSE(CONTROL!$C$21, $C$9, 100%, $E$9)</f>
        <v>16.023900000000001</v>
      </c>
      <c r="G419" s="17">
        <f>CHOOSE(CONTROL!$C$42, 16.0407, 16.0407)*CHOOSE(CONTROL!$C$21, $C$9, 100%, $E$9)</f>
        <v>16.040700000000001</v>
      </c>
      <c r="H419" s="17">
        <f>CHOOSE(CONTROL!$C$42, 16.179, 16.179) * CHOOSE(CONTROL!$C$21, $C$9, 100%, $E$9)</f>
        <v>16.178999999999998</v>
      </c>
      <c r="I419" s="17">
        <f>CHOOSE(CONTROL!$C$42, 16.0826, 16.0826)* CHOOSE(CONTROL!$C$21, $C$9, 100%, $E$9)</f>
        <v>16.082599999999999</v>
      </c>
      <c r="J419" s="17">
        <f>CHOOSE(CONTROL!$C$42, 16.0165, 16.0165)* CHOOSE(CONTROL!$C$21, $C$9, 100%, $E$9)</f>
        <v>16.016500000000001</v>
      </c>
      <c r="K419" s="52">
        <f>CHOOSE(CONTROL!$C$42, 16.0766, 16.0766) * CHOOSE(CONTROL!$C$21, $C$9, 100%, $E$9)</f>
        <v>16.076599999999999</v>
      </c>
      <c r="L419" s="17">
        <f>CHOOSE(CONTROL!$C$42, 16.766, 16.766) * CHOOSE(CONTROL!$C$21, $C$9, 100%, $E$9)</f>
        <v>16.765999999999998</v>
      </c>
      <c r="M419" s="17">
        <f>CHOOSE(CONTROL!$C$42, 15.8794, 15.8794) * CHOOSE(CONTROL!$C$21, $C$9, 100%, $E$9)</f>
        <v>15.8794</v>
      </c>
      <c r="N419" s="17">
        <f>CHOOSE(CONTROL!$C$42, 15.8961, 15.8961) * CHOOSE(CONTROL!$C$21, $C$9, 100%, $E$9)</f>
        <v>15.896100000000001</v>
      </c>
      <c r="O419" s="17">
        <f>CHOOSE(CONTROL!$C$42, 16.0405, 16.0405) * CHOOSE(CONTROL!$C$21, $C$9, 100%, $E$9)</f>
        <v>16.040500000000002</v>
      </c>
      <c r="P419" s="17">
        <f>CHOOSE(CONTROL!$C$42, 15.9446, 15.9446) * CHOOSE(CONTROL!$C$21, $C$9, 100%, $E$9)</f>
        <v>15.944599999999999</v>
      </c>
      <c r="Q419" s="17">
        <f>CHOOSE(CONTROL!$C$42, 16.6352, 16.6352) * CHOOSE(CONTROL!$C$21, $C$9, 100%, $E$9)</f>
        <v>16.635200000000001</v>
      </c>
      <c r="R419" s="17">
        <f>CHOOSE(CONTROL!$C$42, 17.2638, 17.2638) * CHOOSE(CONTROL!$C$21, $C$9, 100%, $E$9)</f>
        <v>17.2638</v>
      </c>
      <c r="S419" s="17">
        <f>CHOOSE(CONTROL!$C$42, 15.5159, 15.5159) * CHOOSE(CONTROL!$C$21, $C$9, 100%, $E$9)</f>
        <v>15.5159</v>
      </c>
      <c r="T419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419" s="56">
        <f>(1000*CHOOSE(CONTROL!$C$42, 695, 695)*CHOOSE(CONTROL!$C$42, 0.5599, 0.5599)*CHOOSE(CONTROL!$C$42, 30, 30))/1000000</f>
        <v>11.673914999999997</v>
      </c>
      <c r="V419" s="56">
        <f>(1000*CHOOSE(CONTROL!$C$42, 500, 500)*CHOOSE(CONTROL!$C$42, 0.275, 0.275)*CHOOSE(CONTROL!$C$42, 30, 30))/1000000</f>
        <v>4.125</v>
      </c>
      <c r="W419" s="56">
        <f>(1000*CHOOSE(CONTROL!$C$42, 0.0916, 0.0916)*CHOOSE(CONTROL!$C$42, 121.5, 121.5)*CHOOSE(CONTROL!$C$42, 30, 30))/1000000</f>
        <v>0.33388200000000001</v>
      </c>
      <c r="X419" s="56">
        <f>(30*0.2374*100000/1000000)</f>
        <v>0.71220000000000006</v>
      </c>
      <c r="Y419" s="56"/>
      <c r="Z419" s="17"/>
      <c r="AA419" s="55"/>
      <c r="AB419" s="48">
        <f>(B419*122.58+C419*297.941+D419*89.177+E419*140.302+F419*40+G419*60+H419*0+I419*100+J419*300)/(122.58+297.941+89.177+140.302+0+40+60+100+300)</f>
        <v>16.054951997391303</v>
      </c>
      <c r="AC419" s="45">
        <f>(M419*'RAP TEMPLATE-GAS AVAILABILITY'!O418+N419*'RAP TEMPLATE-GAS AVAILABILITY'!P418+O419*'RAP TEMPLATE-GAS AVAILABILITY'!Q418+P419*'RAP TEMPLATE-GAS AVAILABILITY'!R418)/('RAP TEMPLATE-GAS AVAILABILITY'!O418+'RAP TEMPLATE-GAS AVAILABILITY'!P418+'RAP TEMPLATE-GAS AVAILABILITY'!Q418+'RAP TEMPLATE-GAS AVAILABILITY'!R418)</f>
        <v>15.962758992805755</v>
      </c>
    </row>
    <row r="420" spans="1:29" ht="15.75" x14ac:dyDescent="0.25">
      <c r="A420" s="14">
        <v>53327</v>
      </c>
      <c r="B420" s="17">
        <f>CHOOSE(CONTROL!$C$42, 17.1015, 17.1015) * CHOOSE(CONTROL!$C$21, $C$9, 100%, $E$9)</f>
        <v>17.101500000000001</v>
      </c>
      <c r="C420" s="17">
        <f>CHOOSE(CONTROL!$C$42, 17.1065, 17.1065) * CHOOSE(CONTROL!$C$21, $C$9, 100%, $E$9)</f>
        <v>17.1065</v>
      </c>
      <c r="D420" s="17">
        <f>CHOOSE(CONTROL!$C$42, 17.2472, 17.2472) * CHOOSE(CONTROL!$C$21, $C$9, 100%, $E$9)</f>
        <v>17.247199999999999</v>
      </c>
      <c r="E420" s="17">
        <f>CHOOSE(CONTROL!$C$42, 17.281, 17.281) * CHOOSE(CONTROL!$C$21, $C$9, 100%, $E$9)</f>
        <v>17.280999999999999</v>
      </c>
      <c r="F420" s="17">
        <f>CHOOSE(CONTROL!$C$42, 17.1172, 17.1172)*CHOOSE(CONTROL!$C$21, $C$9, 100%, $E$9)</f>
        <v>17.1172</v>
      </c>
      <c r="G420" s="17">
        <f>CHOOSE(CONTROL!$C$42, 17.1347, 17.1347)*CHOOSE(CONTROL!$C$21, $C$9, 100%, $E$9)</f>
        <v>17.134699999999999</v>
      </c>
      <c r="H420" s="17">
        <f>CHOOSE(CONTROL!$C$42, 17.2698, 17.2698) * CHOOSE(CONTROL!$C$21, $C$9, 100%, $E$9)</f>
        <v>17.2698</v>
      </c>
      <c r="I420" s="17">
        <f>CHOOSE(CONTROL!$C$42, 17.1769, 17.1769)* CHOOSE(CONTROL!$C$21, $C$9, 100%, $E$9)</f>
        <v>17.1769</v>
      </c>
      <c r="J420" s="17">
        <f>CHOOSE(CONTROL!$C$42, 17.1098, 17.1098)* CHOOSE(CONTROL!$C$21, $C$9, 100%, $E$9)</f>
        <v>17.1098</v>
      </c>
      <c r="K420" s="52">
        <f>CHOOSE(CONTROL!$C$42, 17.1709, 17.1709) * CHOOSE(CONTROL!$C$21, $C$9, 100%, $E$9)</f>
        <v>17.1709</v>
      </c>
      <c r="L420" s="17">
        <f>CHOOSE(CONTROL!$C$42, 17.8568, 17.8568) * CHOOSE(CONTROL!$C$21, $C$9, 100%, $E$9)</f>
        <v>17.8568</v>
      </c>
      <c r="M420" s="17">
        <f>CHOOSE(CONTROL!$C$42, 16.9629, 16.9629) * CHOOSE(CONTROL!$C$21, $C$9, 100%, $E$9)</f>
        <v>16.962900000000001</v>
      </c>
      <c r="N420" s="17">
        <f>CHOOSE(CONTROL!$C$42, 16.9802, 16.9802) * CHOOSE(CONTROL!$C$21, $C$9, 100%, $E$9)</f>
        <v>16.9802</v>
      </c>
      <c r="O420" s="17">
        <f>CHOOSE(CONTROL!$C$42, 17.1215, 17.1215) * CHOOSE(CONTROL!$C$21, $C$9, 100%, $E$9)</f>
        <v>17.121500000000001</v>
      </c>
      <c r="P420" s="17">
        <f>CHOOSE(CONTROL!$C$42, 17.029, 17.029) * CHOOSE(CONTROL!$C$21, $C$9, 100%, $E$9)</f>
        <v>17.029</v>
      </c>
      <c r="Q420" s="17">
        <f>CHOOSE(CONTROL!$C$42, 17.7162, 17.7162) * CHOOSE(CONTROL!$C$21, $C$9, 100%, $E$9)</f>
        <v>17.716200000000001</v>
      </c>
      <c r="R420" s="17">
        <f>CHOOSE(CONTROL!$C$42, 18.3475, 18.3475) * CHOOSE(CONTROL!$C$21, $C$9, 100%, $E$9)</f>
        <v>18.3475</v>
      </c>
      <c r="S420" s="17">
        <f>CHOOSE(CONTROL!$C$42, 16.5738, 16.5738) * CHOOSE(CONTROL!$C$21, $C$9, 100%, $E$9)</f>
        <v>16.573799999999999</v>
      </c>
      <c r="T420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420" s="56">
        <f>(1000*CHOOSE(CONTROL!$C$42, 695, 695)*CHOOSE(CONTROL!$C$42, 0.5599, 0.5599)*CHOOSE(CONTROL!$C$42, 31, 31))/1000000</f>
        <v>12.063045499999998</v>
      </c>
      <c r="V420" s="56">
        <f>(1000*CHOOSE(CONTROL!$C$42, 500, 500)*CHOOSE(CONTROL!$C$42, 0.275, 0.275)*CHOOSE(CONTROL!$C$42, 31, 31))/1000000</f>
        <v>4.2625000000000002</v>
      </c>
      <c r="W420" s="56">
        <f>(1000*CHOOSE(CONTROL!$C$42, 0.0916, 0.0916)*CHOOSE(CONTROL!$C$42, 121.5, 121.5)*CHOOSE(CONTROL!$C$42, 31, 31))/1000000</f>
        <v>0.34501139999999997</v>
      </c>
      <c r="X420" s="56">
        <f>(31*0.2374*100000/1000000)</f>
        <v>0.73594000000000004</v>
      </c>
      <c r="Y420" s="56"/>
      <c r="Z420" s="17"/>
      <c r="AA420" s="55"/>
      <c r="AB420" s="48">
        <f>(B420*122.58+C420*297.941+D420*89.177+E420*140.302+F420*40+G420*60+H420*0+I420*100+J420*300)/(122.58+297.941+89.177+140.302+0+40+60+100+300)</f>
        <v>17.146993046000002</v>
      </c>
      <c r="AC420" s="45">
        <f>(M420*'RAP TEMPLATE-GAS AVAILABILITY'!O419+N420*'RAP TEMPLATE-GAS AVAILABILITY'!P419+O420*'RAP TEMPLATE-GAS AVAILABILITY'!Q419+P420*'RAP TEMPLATE-GAS AVAILABILITY'!R419)/('RAP TEMPLATE-GAS AVAILABILITY'!O419+'RAP TEMPLATE-GAS AVAILABILITY'!P419+'RAP TEMPLATE-GAS AVAILABILITY'!Q419+'RAP TEMPLATE-GAS AVAILABILITY'!R419)</f>
        <v>17.045289928057553</v>
      </c>
    </row>
    <row r="421" spans="1:29" ht="15.75" x14ac:dyDescent="0.25">
      <c r="A421" s="14">
        <v>53358</v>
      </c>
      <c r="B421" s="17">
        <f>CHOOSE(CONTROL!$C$42, 18.415, 18.415) * CHOOSE(CONTROL!$C$21, $C$9, 100%, $E$9)</f>
        <v>18.414999999999999</v>
      </c>
      <c r="C421" s="17">
        <f>CHOOSE(CONTROL!$C$42, 18.42, 18.42) * CHOOSE(CONTROL!$C$21, $C$9, 100%, $E$9)</f>
        <v>18.420000000000002</v>
      </c>
      <c r="D421" s="17">
        <f>CHOOSE(CONTROL!$C$42, 18.554, 18.554) * CHOOSE(CONTROL!$C$21, $C$9, 100%, $E$9)</f>
        <v>18.553999999999998</v>
      </c>
      <c r="E421" s="17">
        <f>CHOOSE(CONTROL!$C$42, 18.5877, 18.5877) * CHOOSE(CONTROL!$C$21, $C$9, 100%, $E$9)</f>
        <v>18.587700000000002</v>
      </c>
      <c r="F421" s="17">
        <f>CHOOSE(CONTROL!$C$42, 18.4284, 18.4284)*CHOOSE(CONTROL!$C$21, $C$9, 100%, $E$9)</f>
        <v>18.4284</v>
      </c>
      <c r="G421" s="17">
        <f>CHOOSE(CONTROL!$C$42, 18.4453, 18.4453)*CHOOSE(CONTROL!$C$21, $C$9, 100%, $E$9)</f>
        <v>18.4453</v>
      </c>
      <c r="H421" s="17">
        <f>CHOOSE(CONTROL!$C$42, 18.5766, 18.5766) * CHOOSE(CONTROL!$C$21, $C$9, 100%, $E$9)</f>
        <v>18.576599999999999</v>
      </c>
      <c r="I421" s="17">
        <f>CHOOSE(CONTROL!$C$42, 18.4986, 18.4986)* CHOOSE(CONTROL!$C$21, $C$9, 100%, $E$9)</f>
        <v>18.4986</v>
      </c>
      <c r="J421" s="17">
        <f>CHOOSE(CONTROL!$C$42, 18.421, 18.421)* CHOOSE(CONTROL!$C$21, $C$9, 100%, $E$9)</f>
        <v>18.420999999999999</v>
      </c>
      <c r="K421" s="52">
        <f>CHOOSE(CONTROL!$C$42, 18.4926, 18.4926) * CHOOSE(CONTROL!$C$21, $C$9, 100%, $E$9)</f>
        <v>18.492599999999999</v>
      </c>
      <c r="L421" s="17">
        <f>CHOOSE(CONTROL!$C$42, 19.1636, 19.1636) * CHOOSE(CONTROL!$C$21, $C$9, 100%, $E$9)</f>
        <v>19.163599999999999</v>
      </c>
      <c r="M421" s="17">
        <f>CHOOSE(CONTROL!$C$42, 18.2623, 18.2623) * CHOOSE(CONTROL!$C$21, $C$9, 100%, $E$9)</f>
        <v>18.2623</v>
      </c>
      <c r="N421" s="17">
        <f>CHOOSE(CONTROL!$C$42, 18.2791, 18.2791) * CHOOSE(CONTROL!$C$21, $C$9, 100%, $E$9)</f>
        <v>18.2791</v>
      </c>
      <c r="O421" s="17">
        <f>CHOOSE(CONTROL!$C$42, 18.4166, 18.4166) * CHOOSE(CONTROL!$C$21, $C$9, 100%, $E$9)</f>
        <v>18.416599999999999</v>
      </c>
      <c r="P421" s="17">
        <f>CHOOSE(CONTROL!$C$42, 18.3388, 18.3388) * CHOOSE(CONTROL!$C$21, $C$9, 100%, $E$9)</f>
        <v>18.338799999999999</v>
      </c>
      <c r="Q421" s="17">
        <f>CHOOSE(CONTROL!$C$42, 19.0113, 19.0113) * CHOOSE(CONTROL!$C$21, $C$9, 100%, $E$9)</f>
        <v>19.011299999999999</v>
      </c>
      <c r="R421" s="17">
        <f>CHOOSE(CONTROL!$C$42, 19.6458, 19.6458) * CHOOSE(CONTROL!$C$21, $C$9, 100%, $E$9)</f>
        <v>19.645800000000001</v>
      </c>
      <c r="S421" s="17">
        <f>CHOOSE(CONTROL!$C$42, 17.8475, 17.8475) * CHOOSE(CONTROL!$C$21, $C$9, 100%, $E$9)</f>
        <v>17.8475</v>
      </c>
      <c r="T421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421" s="56">
        <f>(1000*CHOOSE(CONTROL!$C$42, 695, 695)*CHOOSE(CONTROL!$C$42, 0.5599, 0.5599)*CHOOSE(CONTROL!$C$42, 31, 31))/1000000</f>
        <v>12.063045499999998</v>
      </c>
      <c r="V421" s="56">
        <f>(1000*CHOOSE(CONTROL!$C$42, 500, 500)*CHOOSE(CONTROL!$C$42, 0.275, 0.275)*CHOOSE(CONTROL!$C$42, 31, 31))/1000000</f>
        <v>4.2625000000000002</v>
      </c>
      <c r="W421" s="56">
        <f>(1000*CHOOSE(CONTROL!$C$42, 0.0916, 0.0916)*CHOOSE(CONTROL!$C$42, 121.5, 121.5)*CHOOSE(CONTROL!$C$42, 31, 31))/1000000</f>
        <v>0.34501139999999997</v>
      </c>
      <c r="X421" s="56">
        <f>(31*0.2374*100000/1000000)</f>
        <v>0.73594000000000004</v>
      </c>
      <c r="Y421" s="56"/>
      <c r="Z421" s="17"/>
      <c r="AA421" s="55"/>
      <c r="AB421" s="48">
        <f>(B421*122.58+C421*297.941+D421*89.177+E421*140.302+F421*40+G421*60+H421*0+I421*100+J421*300)/(122.58+297.941+89.177+140.302+0+40+60+100+300)</f>
        <v>18.459025620347827</v>
      </c>
      <c r="AC421" s="45">
        <f>(M421*'RAP TEMPLATE-GAS AVAILABILITY'!O420+N421*'RAP TEMPLATE-GAS AVAILABILITY'!P420+O421*'RAP TEMPLATE-GAS AVAILABILITY'!Q420+P421*'RAP TEMPLATE-GAS AVAILABILITY'!R420)/('RAP TEMPLATE-GAS AVAILABILITY'!O420+'RAP TEMPLATE-GAS AVAILABILITY'!P420+'RAP TEMPLATE-GAS AVAILABILITY'!Q420+'RAP TEMPLATE-GAS AVAILABILITY'!R420)</f>
        <v>18.344208633093523</v>
      </c>
    </row>
    <row r="422" spans="1:29" ht="15.75" x14ac:dyDescent="0.25">
      <c r="A422" s="14">
        <v>53386</v>
      </c>
      <c r="B422" s="17">
        <f>CHOOSE(CONTROL!$C$42, 18.7426, 18.7426) * CHOOSE(CONTROL!$C$21, $C$9, 100%, $E$9)</f>
        <v>18.742599999999999</v>
      </c>
      <c r="C422" s="17">
        <f>CHOOSE(CONTROL!$C$42, 18.7477, 18.7477) * CHOOSE(CONTROL!$C$21, $C$9, 100%, $E$9)</f>
        <v>18.747699999999998</v>
      </c>
      <c r="D422" s="17">
        <f>CHOOSE(CONTROL!$C$42, 18.8816, 18.8816) * CHOOSE(CONTROL!$C$21, $C$9, 100%, $E$9)</f>
        <v>18.881599999999999</v>
      </c>
      <c r="E422" s="17">
        <f>CHOOSE(CONTROL!$C$42, 18.9154, 18.9154) * CHOOSE(CONTROL!$C$21, $C$9, 100%, $E$9)</f>
        <v>18.915400000000002</v>
      </c>
      <c r="F422" s="17">
        <f>CHOOSE(CONTROL!$C$42, 18.756, 18.756)*CHOOSE(CONTROL!$C$21, $C$9, 100%, $E$9)</f>
        <v>18.756</v>
      </c>
      <c r="G422" s="17">
        <f>CHOOSE(CONTROL!$C$42, 18.7729, 18.7729)*CHOOSE(CONTROL!$C$21, $C$9, 100%, $E$9)</f>
        <v>18.7729</v>
      </c>
      <c r="H422" s="17">
        <f>CHOOSE(CONTROL!$C$42, 18.9043, 18.9043) * CHOOSE(CONTROL!$C$21, $C$9, 100%, $E$9)</f>
        <v>18.904299999999999</v>
      </c>
      <c r="I422" s="17">
        <f>CHOOSE(CONTROL!$C$42, 18.8272, 18.8272)* CHOOSE(CONTROL!$C$21, $C$9, 100%, $E$9)</f>
        <v>18.827200000000001</v>
      </c>
      <c r="J422" s="17">
        <f>CHOOSE(CONTROL!$C$42, 18.7486, 18.7486)* CHOOSE(CONTROL!$C$21, $C$9, 100%, $E$9)</f>
        <v>18.7486</v>
      </c>
      <c r="K422" s="52">
        <f>CHOOSE(CONTROL!$C$42, 18.8212, 18.8212) * CHOOSE(CONTROL!$C$21, $C$9, 100%, $E$9)</f>
        <v>18.821200000000001</v>
      </c>
      <c r="L422" s="17">
        <f>CHOOSE(CONTROL!$C$42, 19.4913, 19.4913) * CHOOSE(CONTROL!$C$21, $C$9, 100%, $E$9)</f>
        <v>19.491299999999999</v>
      </c>
      <c r="M422" s="17">
        <f>CHOOSE(CONTROL!$C$42, 18.587, 18.587) * CHOOSE(CONTROL!$C$21, $C$9, 100%, $E$9)</f>
        <v>18.587</v>
      </c>
      <c r="N422" s="17">
        <f>CHOOSE(CONTROL!$C$42, 18.6037, 18.6037) * CHOOSE(CONTROL!$C$21, $C$9, 100%, $E$9)</f>
        <v>18.6037</v>
      </c>
      <c r="O422" s="17">
        <f>CHOOSE(CONTROL!$C$42, 18.7412, 18.7412) * CHOOSE(CONTROL!$C$21, $C$9, 100%, $E$9)</f>
        <v>18.741199999999999</v>
      </c>
      <c r="P422" s="17">
        <f>CHOOSE(CONTROL!$C$42, 18.6645, 18.6645) * CHOOSE(CONTROL!$C$21, $C$9, 100%, $E$9)</f>
        <v>18.6645</v>
      </c>
      <c r="Q422" s="17">
        <f>CHOOSE(CONTROL!$C$42, 19.3359, 19.3359) * CHOOSE(CONTROL!$C$21, $C$9, 100%, $E$9)</f>
        <v>19.335899999999999</v>
      </c>
      <c r="R422" s="17">
        <f>CHOOSE(CONTROL!$C$42, 19.9713, 19.9713) * CHOOSE(CONTROL!$C$21, $C$9, 100%, $E$9)</f>
        <v>19.971299999999999</v>
      </c>
      <c r="S422" s="17">
        <f>CHOOSE(CONTROL!$C$42, 18.1652, 18.1652) * CHOOSE(CONTROL!$C$21, $C$9, 100%, $E$9)</f>
        <v>18.165199999999999</v>
      </c>
      <c r="T422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422" s="56">
        <f>(1000*CHOOSE(CONTROL!$C$42, 695, 695)*CHOOSE(CONTROL!$C$42, 0.5599, 0.5599)*CHOOSE(CONTROL!$C$42, 28, 28))/1000000</f>
        <v>10.895653999999999</v>
      </c>
      <c r="V422" s="56">
        <f>(1000*CHOOSE(CONTROL!$C$42, 500, 500)*CHOOSE(CONTROL!$C$42, 0.275, 0.275)*CHOOSE(CONTROL!$C$42, 28, 28))/1000000</f>
        <v>3.85</v>
      </c>
      <c r="W422" s="56">
        <f>(1000*CHOOSE(CONTROL!$C$42, 0.0916, 0.0916)*CHOOSE(CONTROL!$C$42, 121.5, 121.5)*CHOOSE(CONTROL!$C$42, 28, 28))/1000000</f>
        <v>0.31162319999999999</v>
      </c>
      <c r="X422" s="56">
        <f>(28*0.2374*100000/1000000)</f>
        <v>0.66471999999999998</v>
      </c>
      <c r="Y422" s="56"/>
      <c r="Z422" s="17"/>
      <c r="AA422" s="55"/>
      <c r="AB422" s="48">
        <f>(B422*122.58+C422*297.941+D422*89.177+E422*140.302+F422*40+G422*60+H422*0+I422*100+J422*300)/(122.58+297.941+89.177+140.302+0+40+60+100+300)</f>
        <v>18.786750684956523</v>
      </c>
      <c r="AC422" s="45">
        <f>(M422*'RAP TEMPLATE-GAS AVAILABILITY'!O421+N422*'RAP TEMPLATE-GAS AVAILABILITY'!P421+O422*'RAP TEMPLATE-GAS AVAILABILITY'!Q421+P422*'RAP TEMPLATE-GAS AVAILABILITY'!R421)/('RAP TEMPLATE-GAS AVAILABILITY'!O421+'RAP TEMPLATE-GAS AVAILABILITY'!P421+'RAP TEMPLATE-GAS AVAILABILITY'!Q421+'RAP TEMPLATE-GAS AVAILABILITY'!R421)</f>
        <v>18.669001438848923</v>
      </c>
    </row>
    <row r="423" spans="1:29" ht="15.75" x14ac:dyDescent="0.25">
      <c r="A423" s="14">
        <v>53417</v>
      </c>
      <c r="B423" s="17">
        <f>CHOOSE(CONTROL!$C$42, 18.2108, 18.2108) * CHOOSE(CONTROL!$C$21, $C$9, 100%, $E$9)</f>
        <v>18.210799999999999</v>
      </c>
      <c r="C423" s="17">
        <f>CHOOSE(CONTROL!$C$42, 18.2158, 18.2158) * CHOOSE(CONTROL!$C$21, $C$9, 100%, $E$9)</f>
        <v>18.215800000000002</v>
      </c>
      <c r="D423" s="17">
        <f>CHOOSE(CONTROL!$C$42, 18.3498, 18.3498) * CHOOSE(CONTROL!$C$21, $C$9, 100%, $E$9)</f>
        <v>18.349799999999998</v>
      </c>
      <c r="E423" s="17">
        <f>CHOOSE(CONTROL!$C$42, 18.3836, 18.3836) * CHOOSE(CONTROL!$C$21, $C$9, 100%, $E$9)</f>
        <v>18.383600000000001</v>
      </c>
      <c r="F423" s="17">
        <f>CHOOSE(CONTROL!$C$42, 18.2234, 18.2234)*CHOOSE(CONTROL!$C$21, $C$9, 100%, $E$9)</f>
        <v>18.223400000000002</v>
      </c>
      <c r="G423" s="17">
        <f>CHOOSE(CONTROL!$C$42, 18.2401, 18.2401)*CHOOSE(CONTROL!$C$21, $C$9, 100%, $E$9)</f>
        <v>18.240100000000002</v>
      </c>
      <c r="H423" s="17">
        <f>CHOOSE(CONTROL!$C$42, 18.3724, 18.3724) * CHOOSE(CONTROL!$C$21, $C$9, 100%, $E$9)</f>
        <v>18.372399999999999</v>
      </c>
      <c r="I423" s="17">
        <f>CHOOSE(CONTROL!$C$42, 18.2938, 18.2938)* CHOOSE(CONTROL!$C$21, $C$9, 100%, $E$9)</f>
        <v>18.293800000000001</v>
      </c>
      <c r="J423" s="17">
        <f>CHOOSE(CONTROL!$C$42, 18.216, 18.216)* CHOOSE(CONTROL!$C$21, $C$9, 100%, $E$9)</f>
        <v>18.216000000000001</v>
      </c>
      <c r="K423" s="52">
        <f>CHOOSE(CONTROL!$C$42, 18.2877, 18.2877) * CHOOSE(CONTROL!$C$21, $C$9, 100%, $E$9)</f>
        <v>18.287700000000001</v>
      </c>
      <c r="L423" s="17">
        <f>CHOOSE(CONTROL!$C$42, 18.9594, 18.9594) * CHOOSE(CONTROL!$C$21, $C$9, 100%, $E$9)</f>
        <v>18.959399999999999</v>
      </c>
      <c r="M423" s="17">
        <f>CHOOSE(CONTROL!$C$42, 18.0592, 18.0592) * CHOOSE(CONTROL!$C$21, $C$9, 100%, $E$9)</f>
        <v>18.059200000000001</v>
      </c>
      <c r="N423" s="17">
        <f>CHOOSE(CONTROL!$C$42, 18.0757, 18.0757) * CHOOSE(CONTROL!$C$21, $C$9, 100%, $E$9)</f>
        <v>18.075700000000001</v>
      </c>
      <c r="O423" s="17">
        <f>CHOOSE(CONTROL!$C$42, 18.2142, 18.2142) * CHOOSE(CONTROL!$C$21, $C$9, 100%, $E$9)</f>
        <v>18.214200000000002</v>
      </c>
      <c r="P423" s="17">
        <f>CHOOSE(CONTROL!$C$42, 18.1358, 18.1358) * CHOOSE(CONTROL!$C$21, $C$9, 100%, $E$9)</f>
        <v>18.1358</v>
      </c>
      <c r="Q423" s="17">
        <f>CHOOSE(CONTROL!$C$42, 18.8089, 18.8089) * CHOOSE(CONTROL!$C$21, $C$9, 100%, $E$9)</f>
        <v>18.808900000000001</v>
      </c>
      <c r="R423" s="17">
        <f>CHOOSE(CONTROL!$C$42, 19.4429, 19.4429) * CHOOSE(CONTROL!$C$21, $C$9, 100%, $E$9)</f>
        <v>19.442900000000002</v>
      </c>
      <c r="S423" s="17">
        <f>CHOOSE(CONTROL!$C$42, 17.6495, 17.6495) * CHOOSE(CONTROL!$C$21, $C$9, 100%, $E$9)</f>
        <v>17.6495</v>
      </c>
      <c r="T423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423" s="56">
        <f>(1000*CHOOSE(CONTROL!$C$42, 695, 695)*CHOOSE(CONTROL!$C$42, 0.5599, 0.5599)*CHOOSE(CONTROL!$C$42, 31, 31))/1000000</f>
        <v>12.063045499999998</v>
      </c>
      <c r="V423" s="56">
        <f>(1000*CHOOSE(CONTROL!$C$42, 500, 500)*CHOOSE(CONTROL!$C$42, 0.275, 0.275)*CHOOSE(CONTROL!$C$42, 31, 31))/1000000</f>
        <v>4.2625000000000002</v>
      </c>
      <c r="W423" s="56">
        <f>(1000*CHOOSE(CONTROL!$C$42, 0.0916, 0.0916)*CHOOSE(CONTROL!$C$42, 121.5, 121.5)*CHOOSE(CONTROL!$C$42, 31, 31))/1000000</f>
        <v>0.34501139999999997</v>
      </c>
      <c r="X423" s="56">
        <f>(31*0.2374*100000/1000000)</f>
        <v>0.73594000000000004</v>
      </c>
      <c r="Y423" s="56"/>
      <c r="Z423" s="17"/>
      <c r="AA423" s="55"/>
      <c r="AB423" s="48">
        <f>(B423*122.58+C423*297.941+D423*89.177+E423*140.302+F423*40+G423*60+H423*0+I423*100+J423*300)/(122.58+297.941+89.177+140.302+0+40+60+100+300)</f>
        <v>18.254496950956522</v>
      </c>
      <c r="AC423" s="45">
        <f>(M423*'RAP TEMPLATE-GAS AVAILABILITY'!O422+N423*'RAP TEMPLATE-GAS AVAILABILITY'!P422+O423*'RAP TEMPLATE-GAS AVAILABILITY'!Q422+P423*'RAP TEMPLATE-GAS AVAILABILITY'!R422)/('RAP TEMPLATE-GAS AVAILABILITY'!O422+'RAP TEMPLATE-GAS AVAILABILITY'!P422+'RAP TEMPLATE-GAS AVAILABILITY'!Q422+'RAP TEMPLATE-GAS AVAILABILITY'!R422)</f>
        <v>18.141423021582739</v>
      </c>
    </row>
    <row r="424" spans="1:29" ht="15.75" x14ac:dyDescent="0.25">
      <c r="A424" s="14">
        <v>53447</v>
      </c>
      <c r="B424" s="17">
        <f>CHOOSE(CONTROL!$C$42, 18.1573, 18.1573) * CHOOSE(CONTROL!$C$21, $C$9, 100%, $E$9)</f>
        <v>18.157299999999999</v>
      </c>
      <c r="C424" s="17">
        <f>CHOOSE(CONTROL!$C$42, 18.1618, 18.1618) * CHOOSE(CONTROL!$C$21, $C$9, 100%, $E$9)</f>
        <v>18.161799999999999</v>
      </c>
      <c r="D424" s="17">
        <f>CHOOSE(CONTROL!$C$42, 18.4248, 18.4248) * CHOOSE(CONTROL!$C$21, $C$9, 100%, $E$9)</f>
        <v>18.424800000000001</v>
      </c>
      <c r="E424" s="17">
        <f>CHOOSE(CONTROL!$C$42, 18.4566, 18.4566) * CHOOSE(CONTROL!$C$21, $C$9, 100%, $E$9)</f>
        <v>18.456600000000002</v>
      </c>
      <c r="F424" s="17">
        <f>CHOOSE(CONTROL!$C$42, 18.1682, 18.1682)*CHOOSE(CONTROL!$C$21, $C$9, 100%, $E$9)</f>
        <v>18.168199999999999</v>
      </c>
      <c r="G424" s="17">
        <f>CHOOSE(CONTROL!$C$42, 18.1844, 18.1844)*CHOOSE(CONTROL!$C$21, $C$9, 100%, $E$9)</f>
        <v>18.1844</v>
      </c>
      <c r="H424" s="17">
        <f>CHOOSE(CONTROL!$C$42, 18.4461, 18.4461) * CHOOSE(CONTROL!$C$21, $C$9, 100%, $E$9)</f>
        <v>18.446100000000001</v>
      </c>
      <c r="I424" s="17">
        <f>CHOOSE(CONTROL!$C$42, 18.2389, 18.2389)* CHOOSE(CONTROL!$C$21, $C$9, 100%, $E$9)</f>
        <v>18.238900000000001</v>
      </c>
      <c r="J424" s="17">
        <f>CHOOSE(CONTROL!$C$42, 18.1608, 18.1608)* CHOOSE(CONTROL!$C$21, $C$9, 100%, $E$9)</f>
        <v>18.160799999999998</v>
      </c>
      <c r="K424" s="52">
        <f>CHOOSE(CONTROL!$C$42, 18.2328, 18.2328) * CHOOSE(CONTROL!$C$21, $C$9, 100%, $E$9)</f>
        <v>18.232800000000001</v>
      </c>
      <c r="L424" s="17">
        <f>CHOOSE(CONTROL!$C$42, 19.0331, 19.0331) * CHOOSE(CONTROL!$C$21, $C$9, 100%, $E$9)</f>
        <v>19.033100000000001</v>
      </c>
      <c r="M424" s="17">
        <f>CHOOSE(CONTROL!$C$42, 18.0045, 18.0045) * CHOOSE(CONTROL!$C$21, $C$9, 100%, $E$9)</f>
        <v>18.0045</v>
      </c>
      <c r="N424" s="17">
        <f>CHOOSE(CONTROL!$C$42, 18.0205, 18.0205) * CHOOSE(CONTROL!$C$21, $C$9, 100%, $E$9)</f>
        <v>18.020499999999998</v>
      </c>
      <c r="O424" s="17">
        <f>CHOOSE(CONTROL!$C$42, 18.2872, 18.2872) * CHOOSE(CONTROL!$C$21, $C$9, 100%, $E$9)</f>
        <v>18.287199999999999</v>
      </c>
      <c r="P424" s="17">
        <f>CHOOSE(CONTROL!$C$42, 18.0814, 18.0814) * CHOOSE(CONTROL!$C$21, $C$9, 100%, $E$9)</f>
        <v>18.081399999999999</v>
      </c>
      <c r="Q424" s="17">
        <f>CHOOSE(CONTROL!$C$42, 18.8819, 18.8819) * CHOOSE(CONTROL!$C$21, $C$9, 100%, $E$9)</f>
        <v>18.881900000000002</v>
      </c>
      <c r="R424" s="17">
        <f>CHOOSE(CONTROL!$C$42, 19.5161, 19.5161) * CHOOSE(CONTROL!$C$21, $C$9, 100%, $E$9)</f>
        <v>19.516100000000002</v>
      </c>
      <c r="S424" s="17">
        <f>CHOOSE(CONTROL!$C$42, 17.5969, 17.5969) * CHOOSE(CONTROL!$C$21, $C$9, 100%, $E$9)</f>
        <v>17.596900000000002</v>
      </c>
      <c r="T424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424" s="56">
        <f>(1000*CHOOSE(CONTROL!$C$42, 695, 695)*CHOOSE(CONTROL!$C$42, 0.5599, 0.5599)*CHOOSE(CONTROL!$C$42, 30, 30))/1000000</f>
        <v>11.673914999999997</v>
      </c>
      <c r="V424" s="56">
        <f>(1000*CHOOSE(CONTROL!$C$42, 500, 500)*CHOOSE(CONTROL!$C$42, 0.275, 0.275)*CHOOSE(CONTROL!$C$42, 30, 30))/1000000</f>
        <v>4.125</v>
      </c>
      <c r="W424" s="56">
        <f>(1000*CHOOSE(CONTROL!$C$42, 0.0916, 0.0916)*CHOOSE(CONTROL!$C$42, 121.5, 121.5)*CHOOSE(CONTROL!$C$42, 30, 30))/1000000</f>
        <v>0.33388200000000001</v>
      </c>
      <c r="X424" s="56">
        <f>(30*0.1790888*145000/1000000)+(30*0.2374*100000/1000000)</f>
        <v>1.4912362799999999</v>
      </c>
      <c r="Y424" s="56"/>
      <c r="Z424" s="17"/>
      <c r="AA424" s="55"/>
      <c r="AB424" s="48">
        <f>(B424*141.293+C424*267.993+D424*115.016+E424*189.698+F424*40+G424*85+H424*0+I424*100+J424*300)/(141.293+267.993+115.016+189.698+0+40+85+100+300)</f>
        <v>18.238574301775625</v>
      </c>
      <c r="AC424" s="45">
        <f>(M424*'RAP TEMPLATE-GAS AVAILABILITY'!O423+N424*'RAP TEMPLATE-GAS AVAILABILITY'!P423+O424*'RAP TEMPLATE-GAS AVAILABILITY'!Q423+P424*'RAP TEMPLATE-GAS AVAILABILITY'!R423)/('RAP TEMPLATE-GAS AVAILABILITY'!O423+'RAP TEMPLATE-GAS AVAILABILITY'!P423+'RAP TEMPLATE-GAS AVAILABILITY'!Q423+'RAP TEMPLATE-GAS AVAILABILITY'!R423)</f>
        <v>18.098566906474819</v>
      </c>
    </row>
    <row r="425" spans="1:29" ht="15.75" x14ac:dyDescent="0.25">
      <c r="A425" s="14">
        <v>53478</v>
      </c>
      <c r="B425" s="17">
        <f>CHOOSE(CONTROL!$C$42, 18.3188, 18.3188) * CHOOSE(CONTROL!$C$21, $C$9, 100%, $E$9)</f>
        <v>18.3188</v>
      </c>
      <c r="C425" s="17">
        <f>CHOOSE(CONTROL!$C$42, 18.3268, 18.3268) * CHOOSE(CONTROL!$C$21, $C$9, 100%, $E$9)</f>
        <v>18.326799999999999</v>
      </c>
      <c r="D425" s="17">
        <f>CHOOSE(CONTROL!$C$42, 18.5867, 18.5867) * CHOOSE(CONTROL!$C$21, $C$9, 100%, $E$9)</f>
        <v>18.5867</v>
      </c>
      <c r="E425" s="17">
        <f>CHOOSE(CONTROL!$C$42, 18.6179, 18.6179) * CHOOSE(CONTROL!$C$21, $C$9, 100%, $E$9)</f>
        <v>18.617899999999999</v>
      </c>
      <c r="F425" s="17">
        <f>CHOOSE(CONTROL!$C$42, 18.3285, 18.3285)*CHOOSE(CONTROL!$C$21, $C$9, 100%, $E$9)</f>
        <v>18.328499999999998</v>
      </c>
      <c r="G425" s="17">
        <f>CHOOSE(CONTROL!$C$42, 18.345, 18.345)*CHOOSE(CONTROL!$C$21, $C$9, 100%, $E$9)</f>
        <v>18.344999999999999</v>
      </c>
      <c r="H425" s="17">
        <f>CHOOSE(CONTROL!$C$42, 18.6062, 18.6062) * CHOOSE(CONTROL!$C$21, $C$9, 100%, $E$9)</f>
        <v>18.606200000000001</v>
      </c>
      <c r="I425" s="17">
        <f>CHOOSE(CONTROL!$C$42, 18.3995, 18.3995)* CHOOSE(CONTROL!$C$21, $C$9, 100%, $E$9)</f>
        <v>18.3995</v>
      </c>
      <c r="J425" s="17">
        <f>CHOOSE(CONTROL!$C$42, 18.3211, 18.3211)* CHOOSE(CONTROL!$C$21, $C$9, 100%, $E$9)</f>
        <v>18.321100000000001</v>
      </c>
      <c r="K425" s="52">
        <f>CHOOSE(CONTROL!$C$42, 18.3935, 18.3935) * CHOOSE(CONTROL!$C$21, $C$9, 100%, $E$9)</f>
        <v>18.3935</v>
      </c>
      <c r="L425" s="17">
        <f>CHOOSE(CONTROL!$C$42, 19.1932, 19.1932) * CHOOSE(CONTROL!$C$21, $C$9, 100%, $E$9)</f>
        <v>19.193200000000001</v>
      </c>
      <c r="M425" s="17">
        <f>CHOOSE(CONTROL!$C$42, 18.1633, 18.1633) * CHOOSE(CONTROL!$C$21, $C$9, 100%, $E$9)</f>
        <v>18.1633</v>
      </c>
      <c r="N425" s="17">
        <f>CHOOSE(CONTROL!$C$42, 18.1796, 18.1796) * CHOOSE(CONTROL!$C$21, $C$9, 100%, $E$9)</f>
        <v>18.179600000000001</v>
      </c>
      <c r="O425" s="17">
        <f>CHOOSE(CONTROL!$C$42, 18.4459, 18.4459) * CHOOSE(CONTROL!$C$21, $C$9, 100%, $E$9)</f>
        <v>18.445900000000002</v>
      </c>
      <c r="P425" s="17">
        <f>CHOOSE(CONTROL!$C$42, 18.2406, 18.2406) * CHOOSE(CONTROL!$C$21, $C$9, 100%, $E$9)</f>
        <v>18.240600000000001</v>
      </c>
      <c r="Q425" s="17">
        <f>CHOOSE(CONTROL!$C$42, 19.0406, 19.0406) * CHOOSE(CONTROL!$C$21, $C$9, 100%, $E$9)</f>
        <v>19.040600000000001</v>
      </c>
      <c r="R425" s="17">
        <f>CHOOSE(CONTROL!$C$42, 19.6752, 19.6752) * CHOOSE(CONTROL!$C$21, $C$9, 100%, $E$9)</f>
        <v>19.6752</v>
      </c>
      <c r="S425" s="17">
        <f>CHOOSE(CONTROL!$C$42, 17.7522, 17.7522) * CHOOSE(CONTROL!$C$21, $C$9, 100%, $E$9)</f>
        <v>17.752199999999998</v>
      </c>
      <c r="T425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425" s="56">
        <f>(1000*CHOOSE(CONTROL!$C$42, 695, 695)*CHOOSE(CONTROL!$C$42, 0.5599, 0.5599)*CHOOSE(CONTROL!$C$42, 31, 31))/1000000</f>
        <v>12.063045499999998</v>
      </c>
      <c r="V425" s="56">
        <f>(1000*CHOOSE(CONTROL!$C$42, 500, 500)*CHOOSE(CONTROL!$C$42, 0.275, 0.275)*CHOOSE(CONTROL!$C$42, 31, 31))/1000000</f>
        <v>4.2625000000000002</v>
      </c>
      <c r="W425" s="56">
        <f>(1000*CHOOSE(CONTROL!$C$42, 0.0916, 0.0916)*CHOOSE(CONTROL!$C$42, 121.5, 121.5)*CHOOSE(CONTROL!$C$42, 31, 31))/1000000</f>
        <v>0.34501139999999997</v>
      </c>
      <c r="X425" s="56">
        <f>(31*0.1790888*145000/1000000)+(31*0.2374*100000/1000000)</f>
        <v>1.5409441560000001</v>
      </c>
      <c r="Y425" s="56"/>
      <c r="Z425" s="17"/>
      <c r="AA425" s="55"/>
      <c r="AB425" s="48">
        <f>(B425*194.205+C425*267.466+D425*133.845+E425*153.484+F425*40+G425*85+H425*0+I425*100+J425*300)/(194.205+267.466+133.845+153.484+0+40+85+100+300)</f>
        <v>18.39358718045526</v>
      </c>
      <c r="AC425" s="45">
        <f>(M425*'RAP TEMPLATE-GAS AVAILABILITY'!O424+N425*'RAP TEMPLATE-GAS AVAILABILITY'!P424+O425*'RAP TEMPLATE-GAS AVAILABILITY'!Q424+P425*'RAP TEMPLATE-GAS AVAILABILITY'!R424)/('RAP TEMPLATE-GAS AVAILABILITY'!O424+'RAP TEMPLATE-GAS AVAILABILITY'!P424+'RAP TEMPLATE-GAS AVAILABILITY'!Q424+'RAP TEMPLATE-GAS AVAILABILITY'!R424)</f>
        <v>18.257465467625899</v>
      </c>
    </row>
    <row r="426" spans="1:29" ht="15.75" x14ac:dyDescent="0.25">
      <c r="A426" s="14">
        <v>53508</v>
      </c>
      <c r="B426" s="17">
        <f>CHOOSE(CONTROL!$C$42, 18.8381, 18.8381) * CHOOSE(CONTROL!$C$21, $C$9, 100%, $E$9)</f>
        <v>18.838100000000001</v>
      </c>
      <c r="C426" s="17">
        <f>CHOOSE(CONTROL!$C$42, 18.8461, 18.8461) * CHOOSE(CONTROL!$C$21, $C$9, 100%, $E$9)</f>
        <v>18.8461</v>
      </c>
      <c r="D426" s="17">
        <f>CHOOSE(CONTROL!$C$42, 19.106, 19.106) * CHOOSE(CONTROL!$C$21, $C$9, 100%, $E$9)</f>
        <v>19.106000000000002</v>
      </c>
      <c r="E426" s="17">
        <f>CHOOSE(CONTROL!$C$42, 19.1372, 19.1372) * CHOOSE(CONTROL!$C$21, $C$9, 100%, $E$9)</f>
        <v>19.1372</v>
      </c>
      <c r="F426" s="17">
        <f>CHOOSE(CONTROL!$C$42, 18.8481, 18.8481)*CHOOSE(CONTROL!$C$21, $C$9, 100%, $E$9)</f>
        <v>18.848099999999999</v>
      </c>
      <c r="G426" s="17">
        <f>CHOOSE(CONTROL!$C$42, 18.8646, 18.8646)*CHOOSE(CONTROL!$C$21, $C$9, 100%, $E$9)</f>
        <v>18.864599999999999</v>
      </c>
      <c r="H426" s="17">
        <f>CHOOSE(CONTROL!$C$42, 19.1255, 19.1255) * CHOOSE(CONTROL!$C$21, $C$9, 100%, $E$9)</f>
        <v>19.125499999999999</v>
      </c>
      <c r="I426" s="17">
        <f>CHOOSE(CONTROL!$C$42, 18.9204, 18.9204)* CHOOSE(CONTROL!$C$21, $C$9, 100%, $E$9)</f>
        <v>18.920400000000001</v>
      </c>
      <c r="J426" s="17">
        <f>CHOOSE(CONTROL!$C$42, 18.8407, 18.8407)* CHOOSE(CONTROL!$C$21, $C$9, 100%, $E$9)</f>
        <v>18.840699999999998</v>
      </c>
      <c r="K426" s="52">
        <f>CHOOSE(CONTROL!$C$42, 18.9144, 18.9144) * CHOOSE(CONTROL!$C$21, $C$9, 100%, $E$9)</f>
        <v>18.914400000000001</v>
      </c>
      <c r="L426" s="17">
        <f>CHOOSE(CONTROL!$C$42, 19.7125, 19.7125) * CHOOSE(CONTROL!$C$21, $C$9, 100%, $E$9)</f>
        <v>19.712499999999999</v>
      </c>
      <c r="M426" s="17">
        <f>CHOOSE(CONTROL!$C$42, 18.6782, 18.6782) * CHOOSE(CONTROL!$C$21, $C$9, 100%, $E$9)</f>
        <v>18.6782</v>
      </c>
      <c r="N426" s="17">
        <f>CHOOSE(CONTROL!$C$42, 18.6946, 18.6946) * CHOOSE(CONTROL!$C$21, $C$9, 100%, $E$9)</f>
        <v>18.694600000000001</v>
      </c>
      <c r="O426" s="17">
        <f>CHOOSE(CONTROL!$C$42, 18.9605, 18.9605) * CHOOSE(CONTROL!$C$21, $C$9, 100%, $E$9)</f>
        <v>18.9605</v>
      </c>
      <c r="P426" s="17">
        <f>CHOOSE(CONTROL!$C$42, 18.7568, 18.7568) * CHOOSE(CONTROL!$C$21, $C$9, 100%, $E$9)</f>
        <v>18.756799999999998</v>
      </c>
      <c r="Q426" s="17">
        <f>CHOOSE(CONTROL!$C$42, 19.5552, 19.5552) * CHOOSE(CONTROL!$C$21, $C$9, 100%, $E$9)</f>
        <v>19.555199999999999</v>
      </c>
      <c r="R426" s="17">
        <f>CHOOSE(CONTROL!$C$42, 20.1911, 20.1911) * CHOOSE(CONTROL!$C$21, $C$9, 100%, $E$9)</f>
        <v>20.191099999999999</v>
      </c>
      <c r="S426" s="17">
        <f>CHOOSE(CONTROL!$C$42, 18.2557, 18.2557) * CHOOSE(CONTROL!$C$21, $C$9, 100%, $E$9)</f>
        <v>18.255700000000001</v>
      </c>
      <c r="T426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426" s="56">
        <f>(1000*CHOOSE(CONTROL!$C$42, 695, 695)*CHOOSE(CONTROL!$C$42, 0.5599, 0.5599)*CHOOSE(CONTROL!$C$42, 30, 30))/1000000</f>
        <v>11.673914999999997</v>
      </c>
      <c r="V426" s="56">
        <f>(1000*CHOOSE(CONTROL!$C$42, 500, 500)*CHOOSE(CONTROL!$C$42, 0.275, 0.275)*CHOOSE(CONTROL!$C$42, 30, 30))/1000000</f>
        <v>4.125</v>
      </c>
      <c r="W426" s="56">
        <f>(1000*CHOOSE(CONTROL!$C$42, 0.0916, 0.0916)*CHOOSE(CONTROL!$C$42, 121.5, 121.5)*CHOOSE(CONTROL!$C$42, 30, 30))/1000000</f>
        <v>0.33388200000000001</v>
      </c>
      <c r="X426" s="56">
        <f>(30*0.1790888*145000/1000000)+(30*0.2374*100000/1000000)</f>
        <v>1.4912362799999999</v>
      </c>
      <c r="Y426" s="56"/>
      <c r="Z426" s="17"/>
      <c r="AA426" s="55"/>
      <c r="AB426" s="48">
        <f>(B426*194.205+C426*267.466+D426*133.845+E426*153.484+F426*40+G426*85+H426*0+I426*100+J426*300)/(194.205+267.466+133.845+153.484+0+40+85+100+300)</f>
        <v>18.913112847645209</v>
      </c>
      <c r="AC426" s="45">
        <f>(M426*'RAP TEMPLATE-GAS AVAILABILITY'!O425+N426*'RAP TEMPLATE-GAS AVAILABILITY'!P425+O426*'RAP TEMPLATE-GAS AVAILABILITY'!Q425+P426*'RAP TEMPLATE-GAS AVAILABILITY'!R425)/('RAP TEMPLATE-GAS AVAILABILITY'!O425+'RAP TEMPLATE-GAS AVAILABILITY'!P425+'RAP TEMPLATE-GAS AVAILABILITY'!Q425+'RAP TEMPLATE-GAS AVAILABILITY'!R425)</f>
        <v>18.772491366906475</v>
      </c>
    </row>
    <row r="427" spans="1:29" ht="15.75" x14ac:dyDescent="0.25">
      <c r="A427" s="14">
        <v>53539</v>
      </c>
      <c r="B427" s="17">
        <f>CHOOSE(CONTROL!$C$42, 18.4769, 18.4769) * CHOOSE(CONTROL!$C$21, $C$9, 100%, $E$9)</f>
        <v>18.476900000000001</v>
      </c>
      <c r="C427" s="17">
        <f>CHOOSE(CONTROL!$C$42, 18.4849, 18.4849) * CHOOSE(CONTROL!$C$21, $C$9, 100%, $E$9)</f>
        <v>18.4849</v>
      </c>
      <c r="D427" s="17">
        <f>CHOOSE(CONTROL!$C$42, 18.7449, 18.7449) * CHOOSE(CONTROL!$C$21, $C$9, 100%, $E$9)</f>
        <v>18.744900000000001</v>
      </c>
      <c r="E427" s="17">
        <f>CHOOSE(CONTROL!$C$42, 18.776, 18.776) * CHOOSE(CONTROL!$C$21, $C$9, 100%, $E$9)</f>
        <v>18.776</v>
      </c>
      <c r="F427" s="17">
        <f>CHOOSE(CONTROL!$C$42, 18.4873, 18.4873)*CHOOSE(CONTROL!$C$21, $C$9, 100%, $E$9)</f>
        <v>18.487300000000001</v>
      </c>
      <c r="G427" s="17">
        <f>CHOOSE(CONTROL!$C$42, 18.504, 18.504)*CHOOSE(CONTROL!$C$21, $C$9, 100%, $E$9)</f>
        <v>18.504000000000001</v>
      </c>
      <c r="H427" s="17">
        <f>CHOOSE(CONTROL!$C$42, 18.7644, 18.7644) * CHOOSE(CONTROL!$C$21, $C$9, 100%, $E$9)</f>
        <v>18.764399999999998</v>
      </c>
      <c r="I427" s="17">
        <f>CHOOSE(CONTROL!$C$42, 18.5581, 18.5581)* CHOOSE(CONTROL!$C$21, $C$9, 100%, $E$9)</f>
        <v>18.5581</v>
      </c>
      <c r="J427" s="17">
        <f>CHOOSE(CONTROL!$C$42, 18.4799, 18.4799)* CHOOSE(CONTROL!$C$21, $C$9, 100%, $E$9)</f>
        <v>18.479900000000001</v>
      </c>
      <c r="K427" s="52">
        <f>CHOOSE(CONTROL!$C$42, 18.5521, 18.5521) * CHOOSE(CONTROL!$C$21, $C$9, 100%, $E$9)</f>
        <v>18.552099999999999</v>
      </c>
      <c r="L427" s="17">
        <f>CHOOSE(CONTROL!$C$42, 19.3514, 19.3514) * CHOOSE(CONTROL!$C$21, $C$9, 100%, $E$9)</f>
        <v>19.351400000000002</v>
      </c>
      <c r="M427" s="17">
        <f>CHOOSE(CONTROL!$C$42, 18.3207, 18.3207) * CHOOSE(CONTROL!$C$21, $C$9, 100%, $E$9)</f>
        <v>18.320699999999999</v>
      </c>
      <c r="N427" s="17">
        <f>CHOOSE(CONTROL!$C$42, 18.3372, 18.3372) * CHOOSE(CONTROL!$C$21, $C$9, 100%, $E$9)</f>
        <v>18.337199999999999</v>
      </c>
      <c r="O427" s="17">
        <f>CHOOSE(CONTROL!$C$42, 18.6026, 18.6026) * CHOOSE(CONTROL!$C$21, $C$9, 100%, $E$9)</f>
        <v>18.602599999999999</v>
      </c>
      <c r="P427" s="17">
        <f>CHOOSE(CONTROL!$C$42, 18.3978, 18.3978) * CHOOSE(CONTROL!$C$21, $C$9, 100%, $E$9)</f>
        <v>18.3978</v>
      </c>
      <c r="Q427" s="17">
        <f>CHOOSE(CONTROL!$C$42, 19.1973, 19.1973) * CHOOSE(CONTROL!$C$21, $C$9, 100%, $E$9)</f>
        <v>19.197299999999998</v>
      </c>
      <c r="R427" s="17">
        <f>CHOOSE(CONTROL!$C$42, 19.8323, 19.8323) * CHOOSE(CONTROL!$C$21, $C$9, 100%, $E$9)</f>
        <v>19.8323</v>
      </c>
      <c r="S427" s="17">
        <f>CHOOSE(CONTROL!$C$42, 17.9055, 17.9055) * CHOOSE(CONTROL!$C$21, $C$9, 100%, $E$9)</f>
        <v>17.9055</v>
      </c>
      <c r="T427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427" s="56">
        <f>(1000*CHOOSE(CONTROL!$C$42, 695, 695)*CHOOSE(CONTROL!$C$42, 0.5599, 0.5599)*CHOOSE(CONTROL!$C$42, 31, 31))/1000000</f>
        <v>12.063045499999998</v>
      </c>
      <c r="V427" s="56">
        <f>(1000*CHOOSE(CONTROL!$C$42, 500, 500)*CHOOSE(CONTROL!$C$42, 0.275, 0.275)*CHOOSE(CONTROL!$C$42, 31, 31))/1000000</f>
        <v>4.2625000000000002</v>
      </c>
      <c r="W427" s="56">
        <f>(1000*CHOOSE(CONTROL!$C$42, 0.0916, 0.0916)*CHOOSE(CONTROL!$C$42, 121.5, 121.5)*CHOOSE(CONTROL!$C$42, 31, 31))/1000000</f>
        <v>0.34501139999999997</v>
      </c>
      <c r="X427" s="56">
        <f>(31*0.1790888*145000/1000000)+(31*0.2374*100000/1000000)</f>
        <v>1.5409441560000001</v>
      </c>
      <c r="Y427" s="56"/>
      <c r="Z427" s="17"/>
      <c r="AA427" s="55"/>
      <c r="AB427" s="48">
        <f>(B427*194.205+C427*267.466+D427*133.845+E427*153.484+F427*40+G427*85+H427*0+I427*100+J427*300)/(194.205+267.466+133.845+153.484+0+40+85+100+300)</f>
        <v>18.551983793092621</v>
      </c>
      <c r="AC427" s="45">
        <f>(M427*'RAP TEMPLATE-GAS AVAILABILITY'!O426+N427*'RAP TEMPLATE-GAS AVAILABILITY'!P426+O427*'RAP TEMPLATE-GAS AVAILABILITY'!Q426+P427*'RAP TEMPLATE-GAS AVAILABILITY'!R426)/('RAP TEMPLATE-GAS AVAILABILITY'!O426+'RAP TEMPLATE-GAS AVAILABILITY'!P426+'RAP TEMPLATE-GAS AVAILABILITY'!Q426+'RAP TEMPLATE-GAS AVAILABILITY'!R426)</f>
        <v>18.414686330935254</v>
      </c>
    </row>
    <row r="428" spans="1:29" ht="15.75" x14ac:dyDescent="0.25">
      <c r="A428" s="14">
        <v>53570</v>
      </c>
      <c r="B428" s="17">
        <f>CHOOSE(CONTROL!$C$42, 17.5649, 17.5649) * CHOOSE(CONTROL!$C$21, $C$9, 100%, $E$9)</f>
        <v>17.564900000000002</v>
      </c>
      <c r="C428" s="17">
        <f>CHOOSE(CONTROL!$C$42, 17.5729, 17.5729) * CHOOSE(CONTROL!$C$21, $C$9, 100%, $E$9)</f>
        <v>17.572900000000001</v>
      </c>
      <c r="D428" s="17">
        <f>CHOOSE(CONTROL!$C$42, 17.8328, 17.8328) * CHOOSE(CONTROL!$C$21, $C$9, 100%, $E$9)</f>
        <v>17.832799999999999</v>
      </c>
      <c r="E428" s="17">
        <f>CHOOSE(CONTROL!$C$42, 17.864, 17.864) * CHOOSE(CONTROL!$C$21, $C$9, 100%, $E$9)</f>
        <v>17.864000000000001</v>
      </c>
      <c r="F428" s="17">
        <f>CHOOSE(CONTROL!$C$42, 17.5755, 17.5755)*CHOOSE(CONTROL!$C$21, $C$9, 100%, $E$9)</f>
        <v>17.575500000000002</v>
      </c>
      <c r="G428" s="17">
        <f>CHOOSE(CONTROL!$C$42, 17.5922, 17.5922)*CHOOSE(CONTROL!$C$21, $C$9, 100%, $E$9)</f>
        <v>17.592199999999998</v>
      </c>
      <c r="H428" s="17">
        <f>CHOOSE(CONTROL!$C$42, 17.8523, 17.8523) * CHOOSE(CONTROL!$C$21, $C$9, 100%, $E$9)</f>
        <v>17.8523</v>
      </c>
      <c r="I428" s="17">
        <f>CHOOSE(CONTROL!$C$42, 17.6433, 17.6433)* CHOOSE(CONTROL!$C$21, $C$9, 100%, $E$9)</f>
        <v>17.6433</v>
      </c>
      <c r="J428" s="17">
        <f>CHOOSE(CONTROL!$C$42, 17.5681, 17.5681)* CHOOSE(CONTROL!$C$21, $C$9, 100%, $E$9)</f>
        <v>17.568100000000001</v>
      </c>
      <c r="K428" s="52">
        <f>CHOOSE(CONTROL!$C$42, 17.6372, 17.6372) * CHOOSE(CONTROL!$C$21, $C$9, 100%, $E$9)</f>
        <v>17.6372</v>
      </c>
      <c r="L428" s="17">
        <f>CHOOSE(CONTROL!$C$42, 18.4393, 18.4393) * CHOOSE(CONTROL!$C$21, $C$9, 100%, $E$9)</f>
        <v>18.439299999999999</v>
      </c>
      <c r="M428" s="17">
        <f>CHOOSE(CONTROL!$C$42, 17.4171, 17.4171) * CHOOSE(CONTROL!$C$21, $C$9, 100%, $E$9)</f>
        <v>17.417100000000001</v>
      </c>
      <c r="N428" s="17">
        <f>CHOOSE(CONTROL!$C$42, 17.4337, 17.4337) * CHOOSE(CONTROL!$C$21, $C$9, 100%, $E$9)</f>
        <v>17.433700000000002</v>
      </c>
      <c r="O428" s="17">
        <f>CHOOSE(CONTROL!$C$42, 17.6988, 17.6988) * CHOOSE(CONTROL!$C$21, $C$9, 100%, $E$9)</f>
        <v>17.698799999999999</v>
      </c>
      <c r="P428" s="17">
        <f>CHOOSE(CONTROL!$C$42, 17.4912, 17.4912) * CHOOSE(CONTROL!$C$21, $C$9, 100%, $E$9)</f>
        <v>17.491199999999999</v>
      </c>
      <c r="Q428" s="17">
        <f>CHOOSE(CONTROL!$C$42, 18.2935, 18.2935) * CHOOSE(CONTROL!$C$21, $C$9, 100%, $E$9)</f>
        <v>18.293500000000002</v>
      </c>
      <c r="R428" s="17">
        <f>CHOOSE(CONTROL!$C$42, 18.9262, 18.9262) * CHOOSE(CONTROL!$C$21, $C$9, 100%, $E$9)</f>
        <v>18.926200000000001</v>
      </c>
      <c r="S428" s="17">
        <f>CHOOSE(CONTROL!$C$42, 17.0211, 17.0211) * CHOOSE(CONTROL!$C$21, $C$9, 100%, $E$9)</f>
        <v>17.021100000000001</v>
      </c>
      <c r="T428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428" s="56">
        <f>(1000*CHOOSE(CONTROL!$C$42, 695, 695)*CHOOSE(CONTROL!$C$42, 0.5599, 0.5599)*CHOOSE(CONTROL!$C$42, 31, 31))/1000000</f>
        <v>12.063045499999998</v>
      </c>
      <c r="V428" s="56">
        <f>(1000*CHOOSE(CONTROL!$C$42, 500, 500)*CHOOSE(CONTROL!$C$42, 0.275, 0.275)*CHOOSE(CONTROL!$C$42, 31, 31))/1000000</f>
        <v>4.2625000000000002</v>
      </c>
      <c r="W428" s="56">
        <f>(1000*CHOOSE(CONTROL!$C$42, 0.0916, 0.0916)*CHOOSE(CONTROL!$C$42, 121.5, 121.5)*CHOOSE(CONTROL!$C$42, 31, 31))/1000000</f>
        <v>0.34501139999999997</v>
      </c>
      <c r="X428" s="56">
        <f>(31*0.1790888*145000/1000000)+(31*0.2374*100000/1000000)</f>
        <v>1.5409441560000001</v>
      </c>
      <c r="Y428" s="56"/>
      <c r="Z428" s="17"/>
      <c r="AA428" s="55"/>
      <c r="AB428" s="48">
        <f>(B428*194.205+C428*267.466+D428*133.845+E428*153.484+F428*40+G428*85+H428*0+I428*100+J428*300)/(194.205+267.466+133.845+153.484+0+40+85+100+300)</f>
        <v>17.639820225981165</v>
      </c>
      <c r="AC428" s="45">
        <f>(M428*'RAP TEMPLATE-GAS AVAILABILITY'!O427+N428*'RAP TEMPLATE-GAS AVAILABILITY'!P427+O428*'RAP TEMPLATE-GAS AVAILABILITY'!Q427+P428*'RAP TEMPLATE-GAS AVAILABILITY'!R427)/('RAP TEMPLATE-GAS AVAILABILITY'!O427+'RAP TEMPLATE-GAS AVAILABILITY'!P427+'RAP TEMPLATE-GAS AVAILABILITY'!Q427+'RAP TEMPLATE-GAS AVAILABILITY'!R427)</f>
        <v>17.510621582733815</v>
      </c>
    </row>
    <row r="429" spans="1:29" ht="15.75" x14ac:dyDescent="0.25">
      <c r="A429" s="14">
        <v>53600</v>
      </c>
      <c r="B429" s="17">
        <f>CHOOSE(CONTROL!$C$42, 16.4503, 16.4503) * CHOOSE(CONTROL!$C$21, $C$9, 100%, $E$9)</f>
        <v>16.450299999999999</v>
      </c>
      <c r="C429" s="17">
        <f>CHOOSE(CONTROL!$C$42, 16.4583, 16.4583) * CHOOSE(CONTROL!$C$21, $C$9, 100%, $E$9)</f>
        <v>16.458300000000001</v>
      </c>
      <c r="D429" s="17">
        <f>CHOOSE(CONTROL!$C$42, 16.7182, 16.7182) * CHOOSE(CONTROL!$C$21, $C$9, 100%, $E$9)</f>
        <v>16.7182</v>
      </c>
      <c r="E429" s="17">
        <f>CHOOSE(CONTROL!$C$42, 16.7494, 16.7494) * CHOOSE(CONTROL!$C$21, $C$9, 100%, $E$9)</f>
        <v>16.749400000000001</v>
      </c>
      <c r="F429" s="17">
        <f>CHOOSE(CONTROL!$C$42, 16.4609, 16.4609)*CHOOSE(CONTROL!$C$21, $C$9, 100%, $E$9)</f>
        <v>16.460899999999999</v>
      </c>
      <c r="G429" s="17">
        <f>CHOOSE(CONTROL!$C$42, 16.4776, 16.4776)*CHOOSE(CONTROL!$C$21, $C$9, 100%, $E$9)</f>
        <v>16.477599999999999</v>
      </c>
      <c r="H429" s="17">
        <f>CHOOSE(CONTROL!$C$42, 16.7377, 16.7377) * CHOOSE(CONTROL!$C$21, $C$9, 100%, $E$9)</f>
        <v>16.7377</v>
      </c>
      <c r="I429" s="17">
        <f>CHOOSE(CONTROL!$C$42, 16.5252, 16.5252)* CHOOSE(CONTROL!$C$21, $C$9, 100%, $E$9)</f>
        <v>16.525200000000002</v>
      </c>
      <c r="J429" s="17">
        <f>CHOOSE(CONTROL!$C$42, 16.4535, 16.4535)* CHOOSE(CONTROL!$C$21, $C$9, 100%, $E$9)</f>
        <v>16.453499999999998</v>
      </c>
      <c r="K429" s="52">
        <f>CHOOSE(CONTROL!$C$42, 16.5191, 16.5191) * CHOOSE(CONTROL!$C$21, $C$9, 100%, $E$9)</f>
        <v>16.519100000000002</v>
      </c>
      <c r="L429" s="17">
        <f>CHOOSE(CONTROL!$C$42, 17.3247, 17.3247) * CHOOSE(CONTROL!$C$21, $C$9, 100%, $E$9)</f>
        <v>17.3247</v>
      </c>
      <c r="M429" s="17">
        <f>CHOOSE(CONTROL!$C$42, 16.3126, 16.3126) * CHOOSE(CONTROL!$C$21, $C$9, 100%, $E$9)</f>
        <v>16.3126</v>
      </c>
      <c r="N429" s="17">
        <f>CHOOSE(CONTROL!$C$42, 16.3291, 16.3291) * CHOOSE(CONTROL!$C$21, $C$9, 100%, $E$9)</f>
        <v>16.3291</v>
      </c>
      <c r="O429" s="17">
        <f>CHOOSE(CONTROL!$C$42, 16.5942, 16.5942) * CHOOSE(CONTROL!$C$21, $C$9, 100%, $E$9)</f>
        <v>16.594200000000001</v>
      </c>
      <c r="P429" s="17">
        <f>CHOOSE(CONTROL!$C$42, 16.3832, 16.3832) * CHOOSE(CONTROL!$C$21, $C$9, 100%, $E$9)</f>
        <v>16.383199999999999</v>
      </c>
      <c r="Q429" s="17">
        <f>CHOOSE(CONTROL!$C$42, 17.1889, 17.1889) * CHOOSE(CONTROL!$C$21, $C$9, 100%, $E$9)</f>
        <v>17.1889</v>
      </c>
      <c r="R429" s="17">
        <f>CHOOSE(CONTROL!$C$42, 17.8189, 17.8189) * CHOOSE(CONTROL!$C$21, $C$9, 100%, $E$9)</f>
        <v>17.818899999999999</v>
      </c>
      <c r="S429" s="17">
        <f>CHOOSE(CONTROL!$C$42, 15.9403, 15.9403) * CHOOSE(CONTROL!$C$21, $C$9, 100%, $E$9)</f>
        <v>15.940300000000001</v>
      </c>
      <c r="T429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429" s="56">
        <f>(1000*CHOOSE(CONTROL!$C$42, 695, 695)*CHOOSE(CONTROL!$C$42, 0.5599, 0.5599)*CHOOSE(CONTROL!$C$42, 30, 30))/1000000</f>
        <v>11.673914999999997</v>
      </c>
      <c r="V429" s="56">
        <f>(1000*CHOOSE(CONTROL!$C$42, 500, 500)*CHOOSE(CONTROL!$C$42, 0.275, 0.275)*CHOOSE(CONTROL!$C$42, 30, 30))/1000000</f>
        <v>4.125</v>
      </c>
      <c r="W429" s="56">
        <f>(1000*CHOOSE(CONTROL!$C$42, 0.0916, 0.0916)*CHOOSE(CONTROL!$C$42, 121.5, 121.5)*CHOOSE(CONTROL!$C$42, 30, 30))/1000000</f>
        <v>0.33388200000000001</v>
      </c>
      <c r="X429" s="56">
        <f>(30*0.1790888*145000/1000000)+(30*0.2374*100000/1000000)</f>
        <v>1.4912362799999999</v>
      </c>
      <c r="Y429" s="56"/>
      <c r="Z429" s="17"/>
      <c r="AA429" s="55"/>
      <c r="AB429" s="48">
        <f>(B429*194.205+C429*267.466+D429*133.845+E429*153.484+F429*40+G429*85+H429*0+I429*100+J429*300)/(194.205+267.466+133.845+153.484+0+40+85+100+300)</f>
        <v>16.524945500706437</v>
      </c>
      <c r="AC429" s="45">
        <f>(M429*'RAP TEMPLATE-GAS AVAILABILITY'!O428+N429*'RAP TEMPLATE-GAS AVAILABILITY'!P428+O429*'RAP TEMPLATE-GAS AVAILABILITY'!Q428+P429*'RAP TEMPLATE-GAS AVAILABILITY'!R428)/('RAP TEMPLATE-GAS AVAILABILITY'!O428+'RAP TEMPLATE-GAS AVAILABILITY'!P428+'RAP TEMPLATE-GAS AVAILABILITY'!Q428+'RAP TEMPLATE-GAS AVAILABILITY'!R428)</f>
        <v>16.405566906474821</v>
      </c>
    </row>
    <row r="430" spans="1:29" ht="15.75" x14ac:dyDescent="0.25">
      <c r="A430" s="14">
        <v>53631</v>
      </c>
      <c r="B430" s="17">
        <f>CHOOSE(CONTROL!$C$42, 16.1148, 16.1148) * CHOOSE(CONTROL!$C$21, $C$9, 100%, $E$9)</f>
        <v>16.114799999999999</v>
      </c>
      <c r="C430" s="17">
        <f>CHOOSE(CONTROL!$C$42, 16.1202, 16.1202) * CHOOSE(CONTROL!$C$21, $C$9, 100%, $E$9)</f>
        <v>16.120200000000001</v>
      </c>
      <c r="D430" s="17">
        <f>CHOOSE(CONTROL!$C$42, 16.385, 16.385) * CHOOSE(CONTROL!$C$21, $C$9, 100%, $E$9)</f>
        <v>16.385000000000002</v>
      </c>
      <c r="E430" s="17">
        <f>CHOOSE(CONTROL!$C$42, 16.4138, 16.4138) * CHOOSE(CONTROL!$C$21, $C$9, 100%, $E$9)</f>
        <v>16.413799999999998</v>
      </c>
      <c r="F430" s="17">
        <f>CHOOSE(CONTROL!$C$42, 16.1277, 16.1277)*CHOOSE(CONTROL!$C$21, $C$9, 100%, $E$9)</f>
        <v>16.127700000000001</v>
      </c>
      <c r="G430" s="17">
        <f>CHOOSE(CONTROL!$C$42, 16.1442, 16.1442)*CHOOSE(CONTROL!$C$21, $C$9, 100%, $E$9)</f>
        <v>16.144200000000001</v>
      </c>
      <c r="H430" s="17">
        <f>CHOOSE(CONTROL!$C$42, 16.404, 16.404) * CHOOSE(CONTROL!$C$21, $C$9, 100%, $E$9)</f>
        <v>16.404</v>
      </c>
      <c r="I430" s="17">
        <f>CHOOSE(CONTROL!$C$42, 16.1904, 16.1904)* CHOOSE(CONTROL!$C$21, $C$9, 100%, $E$9)</f>
        <v>16.1904</v>
      </c>
      <c r="J430" s="17">
        <f>CHOOSE(CONTROL!$C$42, 16.1203, 16.1203)* CHOOSE(CONTROL!$C$21, $C$9, 100%, $E$9)</f>
        <v>16.1203</v>
      </c>
      <c r="K430" s="52">
        <f>CHOOSE(CONTROL!$C$42, 16.1844, 16.1844) * CHOOSE(CONTROL!$C$21, $C$9, 100%, $E$9)</f>
        <v>16.1844</v>
      </c>
      <c r="L430" s="17">
        <f>CHOOSE(CONTROL!$C$42, 16.991, 16.991) * CHOOSE(CONTROL!$C$21, $C$9, 100%, $E$9)</f>
        <v>16.991</v>
      </c>
      <c r="M430" s="17">
        <f>CHOOSE(CONTROL!$C$42, 15.9823, 15.9823) * CHOOSE(CONTROL!$C$21, $C$9, 100%, $E$9)</f>
        <v>15.9823</v>
      </c>
      <c r="N430" s="17">
        <f>CHOOSE(CONTROL!$C$42, 15.9987, 15.9987) * CHOOSE(CONTROL!$C$21, $C$9, 100%, $E$9)</f>
        <v>15.998699999999999</v>
      </c>
      <c r="O430" s="17">
        <f>CHOOSE(CONTROL!$C$42, 16.2634, 16.2634) * CHOOSE(CONTROL!$C$21, $C$9, 100%, $E$9)</f>
        <v>16.263400000000001</v>
      </c>
      <c r="P430" s="17">
        <f>CHOOSE(CONTROL!$C$42, 16.0514, 16.0514) * CHOOSE(CONTROL!$C$21, $C$9, 100%, $E$9)</f>
        <v>16.051400000000001</v>
      </c>
      <c r="Q430" s="17">
        <f>CHOOSE(CONTROL!$C$42, 16.8581, 16.8581) * CHOOSE(CONTROL!$C$21, $C$9, 100%, $E$9)</f>
        <v>16.8581</v>
      </c>
      <c r="R430" s="17">
        <f>CHOOSE(CONTROL!$C$42, 17.4873, 17.4873) * CHOOSE(CONTROL!$C$21, $C$9, 100%, $E$9)</f>
        <v>17.487300000000001</v>
      </c>
      <c r="S430" s="17">
        <f>CHOOSE(CONTROL!$C$42, 15.6166, 15.6166) * CHOOSE(CONTROL!$C$21, $C$9, 100%, $E$9)</f>
        <v>15.6166</v>
      </c>
      <c r="T430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430" s="56">
        <f>(1000*CHOOSE(CONTROL!$C$42, 695, 695)*CHOOSE(CONTROL!$C$42, 0.5599, 0.5599)*CHOOSE(CONTROL!$C$42, 31, 31))/1000000</f>
        <v>12.063045499999998</v>
      </c>
      <c r="V430" s="56">
        <f>(1000*CHOOSE(CONTROL!$C$42, 500, 500)*CHOOSE(CONTROL!$C$42, 0.275, 0.275)*CHOOSE(CONTROL!$C$42, 31, 31))/1000000</f>
        <v>4.2625000000000002</v>
      </c>
      <c r="W430" s="56">
        <f>(1000*CHOOSE(CONTROL!$C$42, 0.0916, 0.0916)*CHOOSE(CONTROL!$C$42, 121.5, 121.5)*CHOOSE(CONTROL!$C$42, 31, 31))/1000000</f>
        <v>0.34501139999999997</v>
      </c>
      <c r="X430" s="56">
        <f>(31*0.1790888*145000/1000000)+(31*0.2374*100000/1000000)</f>
        <v>1.5409441560000001</v>
      </c>
      <c r="Y430" s="56"/>
      <c r="Z430" s="17"/>
      <c r="AA430" s="55"/>
      <c r="AB430" s="48">
        <f>(B430*131.881+C430*277.167+D430*79.08+E430*225.872+F430*40+G430*85+H430*0+I430*100+J430*300)/(131.881+277.167+79.08+225.872+0+40+85+100+300)</f>
        <v>16.197628769814365</v>
      </c>
      <c r="AC430" s="45">
        <f>(M430*'RAP TEMPLATE-GAS AVAILABILITY'!O429+N430*'RAP TEMPLATE-GAS AVAILABILITY'!P429+O430*'RAP TEMPLATE-GAS AVAILABILITY'!Q429+P430*'RAP TEMPLATE-GAS AVAILABILITY'!R429)/('RAP TEMPLATE-GAS AVAILABILITY'!O429+'RAP TEMPLATE-GAS AVAILABILITY'!P429+'RAP TEMPLATE-GAS AVAILABILITY'!Q429+'RAP TEMPLATE-GAS AVAILABILITY'!R429)</f>
        <v>16.074887769784169</v>
      </c>
    </row>
    <row r="431" spans="1:29" ht="15.75" x14ac:dyDescent="0.25">
      <c r="A431" s="14">
        <v>53661</v>
      </c>
      <c r="B431" s="17">
        <f>CHOOSE(CONTROL!$C$42, 16.5387, 16.5387) * CHOOSE(CONTROL!$C$21, $C$9, 100%, $E$9)</f>
        <v>16.538699999999999</v>
      </c>
      <c r="C431" s="17">
        <f>CHOOSE(CONTROL!$C$42, 16.5437, 16.5437) * CHOOSE(CONTROL!$C$21, $C$9, 100%, $E$9)</f>
        <v>16.543700000000001</v>
      </c>
      <c r="D431" s="17">
        <f>CHOOSE(CONTROL!$C$42, 16.6844, 16.6844) * CHOOSE(CONTROL!$C$21, $C$9, 100%, $E$9)</f>
        <v>16.6844</v>
      </c>
      <c r="E431" s="17">
        <f>CHOOSE(CONTROL!$C$42, 16.7182, 16.7182) * CHOOSE(CONTROL!$C$21, $C$9, 100%, $E$9)</f>
        <v>16.7182</v>
      </c>
      <c r="F431" s="17">
        <f>CHOOSE(CONTROL!$C$42, 16.552, 16.552)*CHOOSE(CONTROL!$C$21, $C$9, 100%, $E$9)</f>
        <v>16.552</v>
      </c>
      <c r="G431" s="17">
        <f>CHOOSE(CONTROL!$C$42, 16.5688, 16.5688)*CHOOSE(CONTROL!$C$21, $C$9, 100%, $E$9)</f>
        <v>16.5688</v>
      </c>
      <c r="H431" s="17">
        <f>CHOOSE(CONTROL!$C$42, 16.707, 16.707) * CHOOSE(CONTROL!$C$21, $C$9, 100%, $E$9)</f>
        <v>16.707000000000001</v>
      </c>
      <c r="I431" s="17">
        <f>CHOOSE(CONTROL!$C$42, 16.6124, 16.6124)* CHOOSE(CONTROL!$C$21, $C$9, 100%, $E$9)</f>
        <v>16.612400000000001</v>
      </c>
      <c r="J431" s="17">
        <f>CHOOSE(CONTROL!$C$42, 16.5446, 16.5446)* CHOOSE(CONTROL!$C$21, $C$9, 100%, $E$9)</f>
        <v>16.544599999999999</v>
      </c>
      <c r="K431" s="52">
        <f>CHOOSE(CONTROL!$C$42, 16.6063, 16.6063) * CHOOSE(CONTROL!$C$21, $C$9, 100%, $E$9)</f>
        <v>16.606300000000001</v>
      </c>
      <c r="L431" s="17">
        <f>CHOOSE(CONTROL!$C$42, 17.294, 17.294) * CHOOSE(CONTROL!$C$21, $C$9, 100%, $E$9)</f>
        <v>17.294</v>
      </c>
      <c r="M431" s="17">
        <f>CHOOSE(CONTROL!$C$42, 16.4028, 16.4028) * CHOOSE(CONTROL!$C$21, $C$9, 100%, $E$9)</f>
        <v>16.402799999999999</v>
      </c>
      <c r="N431" s="17">
        <f>CHOOSE(CONTROL!$C$42, 16.4195, 16.4195) * CHOOSE(CONTROL!$C$21, $C$9, 100%, $E$9)</f>
        <v>16.419499999999999</v>
      </c>
      <c r="O431" s="17">
        <f>CHOOSE(CONTROL!$C$42, 16.5638, 16.5638) * CHOOSE(CONTROL!$C$21, $C$9, 100%, $E$9)</f>
        <v>16.563800000000001</v>
      </c>
      <c r="P431" s="17">
        <f>CHOOSE(CONTROL!$C$42, 16.4695, 16.4695) * CHOOSE(CONTROL!$C$21, $C$9, 100%, $E$9)</f>
        <v>16.4695</v>
      </c>
      <c r="Q431" s="17">
        <f>CHOOSE(CONTROL!$C$42, 17.1585, 17.1585) * CHOOSE(CONTROL!$C$21, $C$9, 100%, $E$9)</f>
        <v>17.1585</v>
      </c>
      <c r="R431" s="17">
        <f>CHOOSE(CONTROL!$C$42, 17.7884, 17.7884) * CHOOSE(CONTROL!$C$21, $C$9, 100%, $E$9)</f>
        <v>17.788399999999999</v>
      </c>
      <c r="S431" s="17">
        <f>CHOOSE(CONTROL!$C$42, 16.028, 16.028) * CHOOSE(CONTROL!$C$21, $C$9, 100%, $E$9)</f>
        <v>16.027999999999999</v>
      </c>
      <c r="T431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431" s="56">
        <f>(1000*CHOOSE(CONTROL!$C$42, 695, 695)*CHOOSE(CONTROL!$C$42, 0.5599, 0.5599)*CHOOSE(CONTROL!$C$42, 30, 30))/1000000</f>
        <v>11.673914999999997</v>
      </c>
      <c r="V431" s="56">
        <f>(1000*CHOOSE(CONTROL!$C$42, 500, 500)*CHOOSE(CONTROL!$C$42, 0.275, 0.275)*CHOOSE(CONTROL!$C$42, 30, 30))/1000000</f>
        <v>4.125</v>
      </c>
      <c r="W431" s="56">
        <f>(1000*CHOOSE(CONTROL!$C$42, 0.0916, 0.0916)*CHOOSE(CONTROL!$C$42, 121.5, 121.5)*CHOOSE(CONTROL!$C$42, 30, 30))/1000000</f>
        <v>0.33388200000000001</v>
      </c>
      <c r="X431" s="56">
        <f>(30*0.2374*100000/1000000)</f>
        <v>0.71220000000000006</v>
      </c>
      <c r="Y431" s="56"/>
      <c r="Z431" s="17"/>
      <c r="AA431" s="55"/>
      <c r="AB431" s="48">
        <f>(B431*122.58+C431*297.941+D431*89.177+E431*140.302+F431*40+G431*60+H431*0+I431*100+J431*300)/(122.58+297.941+89.177+140.302+0+40+60+100+300)</f>
        <v>16.583173915565219</v>
      </c>
      <c r="AC431" s="45">
        <f>(M431*'RAP TEMPLATE-GAS AVAILABILITY'!O430+N431*'RAP TEMPLATE-GAS AVAILABILITY'!P430+O431*'RAP TEMPLATE-GAS AVAILABILITY'!Q430+P431*'RAP TEMPLATE-GAS AVAILABILITY'!R430)/('RAP TEMPLATE-GAS AVAILABILITY'!O430+'RAP TEMPLATE-GAS AVAILABILITY'!P430+'RAP TEMPLATE-GAS AVAILABILITY'!Q430+'RAP TEMPLATE-GAS AVAILABILITY'!R430)</f>
        <v>16.486329496402877</v>
      </c>
    </row>
    <row r="432" spans="1:29" ht="15.75" x14ac:dyDescent="0.25">
      <c r="A432" s="14">
        <v>53692</v>
      </c>
      <c r="B432" s="17">
        <f>CHOOSE(CONTROL!$C$42, 17.6655, 17.6655) * CHOOSE(CONTROL!$C$21, $C$9, 100%, $E$9)</f>
        <v>17.665500000000002</v>
      </c>
      <c r="C432" s="17">
        <f>CHOOSE(CONTROL!$C$42, 17.6706, 17.6706) * CHOOSE(CONTROL!$C$21, $C$9, 100%, $E$9)</f>
        <v>17.6706</v>
      </c>
      <c r="D432" s="17">
        <f>CHOOSE(CONTROL!$C$42, 17.8113, 17.8113) * CHOOSE(CONTROL!$C$21, $C$9, 100%, $E$9)</f>
        <v>17.811299999999999</v>
      </c>
      <c r="E432" s="17">
        <f>CHOOSE(CONTROL!$C$42, 17.845, 17.845) * CHOOSE(CONTROL!$C$21, $C$9, 100%, $E$9)</f>
        <v>17.844999999999999</v>
      </c>
      <c r="F432" s="17">
        <f>CHOOSE(CONTROL!$C$42, 17.6813, 17.6813)*CHOOSE(CONTROL!$C$21, $C$9, 100%, $E$9)</f>
        <v>17.6813</v>
      </c>
      <c r="G432" s="17">
        <f>CHOOSE(CONTROL!$C$42, 17.6987, 17.6987)*CHOOSE(CONTROL!$C$21, $C$9, 100%, $E$9)</f>
        <v>17.698699999999999</v>
      </c>
      <c r="H432" s="17">
        <f>CHOOSE(CONTROL!$C$42, 17.8339, 17.8339) * CHOOSE(CONTROL!$C$21, $C$9, 100%, $E$9)</f>
        <v>17.8339</v>
      </c>
      <c r="I432" s="17">
        <f>CHOOSE(CONTROL!$C$42, 17.7427, 17.7427)* CHOOSE(CONTROL!$C$21, $C$9, 100%, $E$9)</f>
        <v>17.742699999999999</v>
      </c>
      <c r="J432" s="17">
        <f>CHOOSE(CONTROL!$C$42, 17.6739, 17.6739)* CHOOSE(CONTROL!$C$21, $C$9, 100%, $E$9)</f>
        <v>17.6739</v>
      </c>
      <c r="K432" s="52">
        <f>CHOOSE(CONTROL!$C$42, 17.7367, 17.7367) * CHOOSE(CONTROL!$C$21, $C$9, 100%, $E$9)</f>
        <v>17.736699999999999</v>
      </c>
      <c r="L432" s="17">
        <f>CHOOSE(CONTROL!$C$42, 18.4209, 18.4209) * CHOOSE(CONTROL!$C$21, $C$9, 100%, $E$9)</f>
        <v>18.4209</v>
      </c>
      <c r="M432" s="17">
        <f>CHOOSE(CONTROL!$C$42, 17.5219, 17.5219) * CHOOSE(CONTROL!$C$21, $C$9, 100%, $E$9)</f>
        <v>17.521899999999999</v>
      </c>
      <c r="N432" s="17">
        <f>CHOOSE(CONTROL!$C$42, 17.5392, 17.5392) * CHOOSE(CONTROL!$C$21, $C$9, 100%, $E$9)</f>
        <v>17.539200000000001</v>
      </c>
      <c r="O432" s="17">
        <f>CHOOSE(CONTROL!$C$42, 17.6805, 17.6805) * CHOOSE(CONTROL!$C$21, $C$9, 100%, $E$9)</f>
        <v>17.680499999999999</v>
      </c>
      <c r="P432" s="17">
        <f>CHOOSE(CONTROL!$C$42, 17.5897, 17.5897) * CHOOSE(CONTROL!$C$21, $C$9, 100%, $E$9)</f>
        <v>17.589700000000001</v>
      </c>
      <c r="Q432" s="17">
        <f>CHOOSE(CONTROL!$C$42, 18.2752, 18.2752) * CHOOSE(CONTROL!$C$21, $C$9, 100%, $E$9)</f>
        <v>18.275200000000002</v>
      </c>
      <c r="R432" s="17">
        <f>CHOOSE(CONTROL!$C$42, 18.9079, 18.9079) * CHOOSE(CONTROL!$C$21, $C$9, 100%, $E$9)</f>
        <v>18.907900000000001</v>
      </c>
      <c r="S432" s="17">
        <f>CHOOSE(CONTROL!$C$42, 17.1208, 17.1208) * CHOOSE(CONTROL!$C$21, $C$9, 100%, $E$9)</f>
        <v>17.120799999999999</v>
      </c>
      <c r="T432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432" s="56">
        <f>(1000*CHOOSE(CONTROL!$C$42, 695, 695)*CHOOSE(CONTROL!$C$42, 0.5599, 0.5599)*CHOOSE(CONTROL!$C$42, 31, 31))/1000000</f>
        <v>12.063045499999998</v>
      </c>
      <c r="V432" s="56">
        <f>(1000*CHOOSE(CONTROL!$C$42, 500, 500)*CHOOSE(CONTROL!$C$42, 0.275, 0.275)*CHOOSE(CONTROL!$C$42, 31, 31))/1000000</f>
        <v>4.2625000000000002</v>
      </c>
      <c r="W432" s="56">
        <f>(1000*CHOOSE(CONTROL!$C$42, 0.0916, 0.0916)*CHOOSE(CONTROL!$C$42, 121.5, 121.5)*CHOOSE(CONTROL!$C$42, 31, 31))/1000000</f>
        <v>0.34501139999999997</v>
      </c>
      <c r="X432" s="56">
        <f>(31*0.2374*100000/1000000)</f>
        <v>0.73594000000000004</v>
      </c>
      <c r="Y432" s="56"/>
      <c r="Z432" s="17"/>
      <c r="AA432" s="55"/>
      <c r="AB432" s="48">
        <f>(B432*122.58+C432*297.941+D432*89.177+E432*140.302+F432*40+G432*60+H432*0+I432*100+J432*300)/(122.58+297.941+89.177+140.302+0+40+60+100+300)</f>
        <v>17.711212795391305</v>
      </c>
      <c r="AC432" s="45">
        <f>(M432*'RAP TEMPLATE-GAS AVAILABILITY'!O431+N432*'RAP TEMPLATE-GAS AVAILABILITY'!P431+O432*'RAP TEMPLATE-GAS AVAILABILITY'!Q431+P432*'RAP TEMPLATE-GAS AVAILABILITY'!R431)/('RAP TEMPLATE-GAS AVAILABILITY'!O431+'RAP TEMPLATE-GAS AVAILABILITY'!P431+'RAP TEMPLATE-GAS AVAILABILITY'!Q431+'RAP TEMPLATE-GAS AVAILABILITY'!R431)</f>
        <v>17.6045345323741</v>
      </c>
    </row>
    <row r="433" spans="1:29" ht="15.75" x14ac:dyDescent="0.25">
      <c r="A433" s="14">
        <v>53723</v>
      </c>
      <c r="B433" s="17">
        <f>CHOOSE(CONTROL!$C$42, 19.0224, 19.0224) * CHOOSE(CONTROL!$C$21, $C$9, 100%, $E$9)</f>
        <v>19.022400000000001</v>
      </c>
      <c r="C433" s="17">
        <f>CHOOSE(CONTROL!$C$42, 19.0275, 19.0275) * CHOOSE(CONTROL!$C$21, $C$9, 100%, $E$9)</f>
        <v>19.0275</v>
      </c>
      <c r="D433" s="17">
        <f>CHOOSE(CONTROL!$C$42, 19.1614, 19.1614) * CHOOSE(CONTROL!$C$21, $C$9, 100%, $E$9)</f>
        <v>19.1614</v>
      </c>
      <c r="E433" s="17">
        <f>CHOOSE(CONTROL!$C$42, 19.1952, 19.1952) * CHOOSE(CONTROL!$C$21, $C$9, 100%, $E$9)</f>
        <v>19.1952</v>
      </c>
      <c r="F433" s="17">
        <f>CHOOSE(CONTROL!$C$42, 19.0358, 19.0358)*CHOOSE(CONTROL!$C$21, $C$9, 100%, $E$9)</f>
        <v>19.035799999999998</v>
      </c>
      <c r="G433" s="17">
        <f>CHOOSE(CONTROL!$C$42, 19.0527, 19.0527)*CHOOSE(CONTROL!$C$21, $C$9, 100%, $E$9)</f>
        <v>19.052700000000002</v>
      </c>
      <c r="H433" s="17">
        <f>CHOOSE(CONTROL!$C$42, 19.1841, 19.1841) * CHOOSE(CONTROL!$C$21, $C$9, 100%, $E$9)</f>
        <v>19.184100000000001</v>
      </c>
      <c r="I433" s="17">
        <f>CHOOSE(CONTROL!$C$42, 19.1079, 19.1079)* CHOOSE(CONTROL!$C$21, $C$9, 100%, $E$9)</f>
        <v>19.107900000000001</v>
      </c>
      <c r="J433" s="17">
        <f>CHOOSE(CONTROL!$C$42, 19.0284, 19.0284)* CHOOSE(CONTROL!$C$21, $C$9, 100%, $E$9)</f>
        <v>19.028400000000001</v>
      </c>
      <c r="K433" s="52">
        <f>CHOOSE(CONTROL!$C$42, 19.1019, 19.1019) * CHOOSE(CONTROL!$C$21, $C$9, 100%, $E$9)</f>
        <v>19.101900000000001</v>
      </c>
      <c r="L433" s="17">
        <f>CHOOSE(CONTROL!$C$42, 19.7711, 19.7711) * CHOOSE(CONTROL!$C$21, $C$9, 100%, $E$9)</f>
        <v>19.771100000000001</v>
      </c>
      <c r="M433" s="17">
        <f>CHOOSE(CONTROL!$C$42, 18.8643, 18.8643) * CHOOSE(CONTROL!$C$21, $C$9, 100%, $E$9)</f>
        <v>18.8643</v>
      </c>
      <c r="N433" s="17">
        <f>CHOOSE(CONTROL!$C$42, 18.8811, 18.8811) * CHOOSE(CONTROL!$C$21, $C$9, 100%, $E$9)</f>
        <v>18.8811</v>
      </c>
      <c r="O433" s="17">
        <f>CHOOSE(CONTROL!$C$42, 19.0185, 19.0185) * CHOOSE(CONTROL!$C$21, $C$9, 100%, $E$9)</f>
        <v>19.0185</v>
      </c>
      <c r="P433" s="17">
        <f>CHOOSE(CONTROL!$C$42, 18.9426, 18.9426) * CHOOSE(CONTROL!$C$21, $C$9, 100%, $E$9)</f>
        <v>18.942599999999999</v>
      </c>
      <c r="Q433" s="17">
        <f>CHOOSE(CONTROL!$C$42, 19.6132, 19.6132) * CHOOSE(CONTROL!$C$21, $C$9, 100%, $E$9)</f>
        <v>19.613199999999999</v>
      </c>
      <c r="R433" s="17">
        <f>CHOOSE(CONTROL!$C$42, 20.2493, 20.2493) * CHOOSE(CONTROL!$C$21, $C$9, 100%, $E$9)</f>
        <v>20.249300000000002</v>
      </c>
      <c r="S433" s="17">
        <f>CHOOSE(CONTROL!$C$42, 18.4365, 18.4365) * CHOOSE(CONTROL!$C$21, $C$9, 100%, $E$9)</f>
        <v>18.436499999999999</v>
      </c>
      <c r="T433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433" s="56">
        <f>(1000*CHOOSE(CONTROL!$C$42, 695, 695)*CHOOSE(CONTROL!$C$42, 0.5599, 0.5599)*CHOOSE(CONTROL!$C$42, 31, 31))/1000000</f>
        <v>12.063045499999998</v>
      </c>
      <c r="V433" s="56">
        <f>(1000*CHOOSE(CONTROL!$C$42, 500, 500)*CHOOSE(CONTROL!$C$42, 0.275, 0.275)*CHOOSE(CONTROL!$C$42, 31, 31))/1000000</f>
        <v>4.2625000000000002</v>
      </c>
      <c r="W433" s="56">
        <f>(1000*CHOOSE(CONTROL!$C$42, 0.0916, 0.0916)*CHOOSE(CONTROL!$C$42, 121.5, 121.5)*CHOOSE(CONTROL!$C$42, 31, 31))/1000000</f>
        <v>0.34501139999999997</v>
      </c>
      <c r="X433" s="56">
        <f>(31*0.2374*100000/1000000)</f>
        <v>0.73594000000000004</v>
      </c>
      <c r="Y433" s="56"/>
      <c r="Z433" s="17"/>
      <c r="AA433" s="55"/>
      <c r="AB433" s="48">
        <f>(B433*122.58+C433*297.941+D433*89.177+E433*140.302+F433*40+G433*60+H433*0+I433*100+J433*300)/(122.58+297.941+89.177+140.302+0+40+60+100+300)</f>
        <v>19.066628945826089</v>
      </c>
      <c r="AC433" s="45">
        <f>(M433*'RAP TEMPLATE-GAS AVAILABILITY'!O432+N433*'RAP TEMPLATE-GAS AVAILABILITY'!P432+O433*'RAP TEMPLATE-GAS AVAILABILITY'!Q432+P433*'RAP TEMPLATE-GAS AVAILABILITY'!R432)/('RAP TEMPLATE-GAS AVAILABILITY'!O432+'RAP TEMPLATE-GAS AVAILABILITY'!P432+'RAP TEMPLATE-GAS AVAILABILITY'!Q432+'RAP TEMPLATE-GAS AVAILABILITY'!R432)</f>
        <v>18.946422302158272</v>
      </c>
    </row>
    <row r="434" spans="1:29" ht="15.75" x14ac:dyDescent="0.25">
      <c r="A434" s="14">
        <v>53751</v>
      </c>
      <c r="B434" s="17">
        <f>CHOOSE(CONTROL!$C$42, 19.3608, 19.3608) * CHOOSE(CONTROL!$C$21, $C$9, 100%, $E$9)</f>
        <v>19.360800000000001</v>
      </c>
      <c r="C434" s="17">
        <f>CHOOSE(CONTROL!$C$42, 19.3659, 19.3659) * CHOOSE(CONTROL!$C$21, $C$9, 100%, $E$9)</f>
        <v>19.3659</v>
      </c>
      <c r="D434" s="17">
        <f>CHOOSE(CONTROL!$C$42, 19.4999, 19.4999) * CHOOSE(CONTROL!$C$21, $C$9, 100%, $E$9)</f>
        <v>19.4999</v>
      </c>
      <c r="E434" s="17">
        <f>CHOOSE(CONTROL!$C$42, 19.5336, 19.5336) * CHOOSE(CONTROL!$C$21, $C$9, 100%, $E$9)</f>
        <v>19.5336</v>
      </c>
      <c r="F434" s="17">
        <f>CHOOSE(CONTROL!$C$42, 19.3742, 19.3742)*CHOOSE(CONTROL!$C$21, $C$9, 100%, $E$9)</f>
        <v>19.374199999999998</v>
      </c>
      <c r="G434" s="17">
        <f>CHOOSE(CONTROL!$C$42, 19.3911, 19.3911)*CHOOSE(CONTROL!$C$21, $C$9, 100%, $E$9)</f>
        <v>19.391100000000002</v>
      </c>
      <c r="H434" s="17">
        <f>CHOOSE(CONTROL!$C$42, 19.5225, 19.5225) * CHOOSE(CONTROL!$C$21, $C$9, 100%, $E$9)</f>
        <v>19.522500000000001</v>
      </c>
      <c r="I434" s="17">
        <f>CHOOSE(CONTROL!$C$42, 19.4474, 19.4474)* CHOOSE(CONTROL!$C$21, $C$9, 100%, $E$9)</f>
        <v>19.447399999999998</v>
      </c>
      <c r="J434" s="17">
        <f>CHOOSE(CONTROL!$C$42, 19.3668, 19.3668)* CHOOSE(CONTROL!$C$21, $C$9, 100%, $E$9)</f>
        <v>19.366800000000001</v>
      </c>
      <c r="K434" s="52">
        <f>CHOOSE(CONTROL!$C$42, 19.4414, 19.4414) * CHOOSE(CONTROL!$C$21, $C$9, 100%, $E$9)</f>
        <v>19.441400000000002</v>
      </c>
      <c r="L434" s="17">
        <f>CHOOSE(CONTROL!$C$42, 20.1095, 20.1095) * CHOOSE(CONTROL!$C$21, $C$9, 100%, $E$9)</f>
        <v>20.109500000000001</v>
      </c>
      <c r="M434" s="17">
        <f>CHOOSE(CONTROL!$C$42, 19.1997, 19.1997) * CHOOSE(CONTROL!$C$21, $C$9, 100%, $E$9)</f>
        <v>19.1997</v>
      </c>
      <c r="N434" s="17">
        <f>CHOOSE(CONTROL!$C$42, 19.2164, 19.2164) * CHOOSE(CONTROL!$C$21, $C$9, 100%, $E$9)</f>
        <v>19.2164</v>
      </c>
      <c r="O434" s="17">
        <f>CHOOSE(CONTROL!$C$42, 19.3539, 19.3539) * CHOOSE(CONTROL!$C$21, $C$9, 100%, $E$9)</f>
        <v>19.353899999999999</v>
      </c>
      <c r="P434" s="17">
        <f>CHOOSE(CONTROL!$C$42, 19.279, 19.279) * CHOOSE(CONTROL!$C$21, $C$9, 100%, $E$9)</f>
        <v>19.279</v>
      </c>
      <c r="Q434" s="17">
        <f>CHOOSE(CONTROL!$C$42, 19.9486, 19.9486) * CHOOSE(CONTROL!$C$21, $C$9, 100%, $E$9)</f>
        <v>19.948599999999999</v>
      </c>
      <c r="R434" s="17">
        <f>CHOOSE(CONTROL!$C$42, 20.5855, 20.5855) * CHOOSE(CONTROL!$C$21, $C$9, 100%, $E$9)</f>
        <v>20.5855</v>
      </c>
      <c r="S434" s="17">
        <f>CHOOSE(CONTROL!$C$42, 18.7647, 18.7647) * CHOOSE(CONTROL!$C$21, $C$9, 100%, $E$9)</f>
        <v>18.764700000000001</v>
      </c>
      <c r="T434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434" s="56">
        <f>(1000*CHOOSE(CONTROL!$C$42, 695, 695)*CHOOSE(CONTROL!$C$42, 0.5599, 0.5599)*CHOOSE(CONTROL!$C$42, 28, 28))/1000000</f>
        <v>10.895653999999999</v>
      </c>
      <c r="V434" s="56">
        <f>(1000*CHOOSE(CONTROL!$C$42, 500, 500)*CHOOSE(CONTROL!$C$42, 0.275, 0.275)*CHOOSE(CONTROL!$C$42, 28, 28))/1000000</f>
        <v>3.85</v>
      </c>
      <c r="W434" s="56">
        <f>(1000*CHOOSE(CONTROL!$C$42, 0.0916, 0.0916)*CHOOSE(CONTROL!$C$42, 121.5, 121.5)*CHOOSE(CONTROL!$C$42, 28, 28))/1000000</f>
        <v>0.31162319999999999</v>
      </c>
      <c r="X434" s="56">
        <f>(28*0.2374*100000/1000000)</f>
        <v>0.66471999999999998</v>
      </c>
      <c r="Y434" s="56"/>
      <c r="Z434" s="17"/>
      <c r="AA434" s="55"/>
      <c r="AB434" s="48">
        <f>(B434*122.58+C434*297.941+D434*89.177+E434*140.302+F434*40+G434*60+H434*0+I434*100+J434*300)/(122.58+297.941+89.177+140.302+0+40+60+100+300)</f>
        <v>19.40513235252174</v>
      </c>
      <c r="AC434" s="45">
        <f>(M434*'RAP TEMPLATE-GAS AVAILABILITY'!O433+N434*'RAP TEMPLATE-GAS AVAILABILITY'!P433+O434*'RAP TEMPLATE-GAS AVAILABILITY'!Q433+P434*'RAP TEMPLATE-GAS AVAILABILITY'!R433)/('RAP TEMPLATE-GAS AVAILABILITY'!O433+'RAP TEMPLATE-GAS AVAILABILITY'!P433+'RAP TEMPLATE-GAS AVAILABILITY'!Q433+'RAP TEMPLATE-GAS AVAILABILITY'!R433)</f>
        <v>19.281960431654674</v>
      </c>
    </row>
    <row r="435" spans="1:29" ht="15.75" x14ac:dyDescent="0.25">
      <c r="A435" s="14">
        <v>53782</v>
      </c>
      <c r="B435" s="17">
        <f>CHOOSE(CONTROL!$C$42, 18.8115, 18.8115) * CHOOSE(CONTROL!$C$21, $C$9, 100%, $E$9)</f>
        <v>18.811499999999999</v>
      </c>
      <c r="C435" s="17">
        <f>CHOOSE(CONTROL!$C$42, 18.8165, 18.8165) * CHOOSE(CONTROL!$C$21, $C$9, 100%, $E$9)</f>
        <v>18.816500000000001</v>
      </c>
      <c r="D435" s="17">
        <f>CHOOSE(CONTROL!$C$42, 18.9505, 18.9505) * CHOOSE(CONTROL!$C$21, $C$9, 100%, $E$9)</f>
        <v>18.950500000000002</v>
      </c>
      <c r="E435" s="17">
        <f>CHOOSE(CONTROL!$C$42, 18.9843, 18.9843) * CHOOSE(CONTROL!$C$21, $C$9, 100%, $E$9)</f>
        <v>18.984300000000001</v>
      </c>
      <c r="F435" s="17">
        <f>CHOOSE(CONTROL!$C$42, 18.8241, 18.8241)*CHOOSE(CONTROL!$C$21, $C$9, 100%, $E$9)</f>
        <v>18.824100000000001</v>
      </c>
      <c r="G435" s="17">
        <f>CHOOSE(CONTROL!$C$42, 18.8408, 18.8408)*CHOOSE(CONTROL!$C$21, $C$9, 100%, $E$9)</f>
        <v>18.840800000000002</v>
      </c>
      <c r="H435" s="17">
        <f>CHOOSE(CONTROL!$C$42, 18.9731, 18.9731) * CHOOSE(CONTROL!$C$21, $C$9, 100%, $E$9)</f>
        <v>18.973099999999999</v>
      </c>
      <c r="I435" s="17">
        <f>CHOOSE(CONTROL!$C$42, 18.8963, 18.8963)* CHOOSE(CONTROL!$C$21, $C$9, 100%, $E$9)</f>
        <v>18.8963</v>
      </c>
      <c r="J435" s="17">
        <f>CHOOSE(CONTROL!$C$42, 18.8167, 18.8167)* CHOOSE(CONTROL!$C$21, $C$9, 100%, $E$9)</f>
        <v>18.816700000000001</v>
      </c>
      <c r="K435" s="52">
        <f>CHOOSE(CONTROL!$C$42, 18.8903, 18.8903) * CHOOSE(CONTROL!$C$21, $C$9, 100%, $E$9)</f>
        <v>18.8903</v>
      </c>
      <c r="L435" s="17">
        <f>CHOOSE(CONTROL!$C$42, 19.5601, 19.5601) * CHOOSE(CONTROL!$C$21, $C$9, 100%, $E$9)</f>
        <v>19.560099999999998</v>
      </c>
      <c r="M435" s="17">
        <f>CHOOSE(CONTROL!$C$42, 18.6545, 18.6545) * CHOOSE(CONTROL!$C$21, $C$9, 100%, $E$9)</f>
        <v>18.654499999999999</v>
      </c>
      <c r="N435" s="17">
        <f>CHOOSE(CONTROL!$C$42, 18.671, 18.671) * CHOOSE(CONTROL!$C$21, $C$9, 100%, $E$9)</f>
        <v>18.670999999999999</v>
      </c>
      <c r="O435" s="17">
        <f>CHOOSE(CONTROL!$C$42, 18.8095, 18.8095) * CHOOSE(CONTROL!$C$21, $C$9, 100%, $E$9)</f>
        <v>18.8095</v>
      </c>
      <c r="P435" s="17">
        <f>CHOOSE(CONTROL!$C$42, 18.7329, 18.7329) * CHOOSE(CONTROL!$C$21, $C$9, 100%, $E$9)</f>
        <v>18.732900000000001</v>
      </c>
      <c r="Q435" s="17">
        <f>CHOOSE(CONTROL!$C$42, 19.4042, 19.4042) * CHOOSE(CONTROL!$C$21, $C$9, 100%, $E$9)</f>
        <v>19.404199999999999</v>
      </c>
      <c r="R435" s="17">
        <f>CHOOSE(CONTROL!$C$42, 20.0397, 20.0397) * CHOOSE(CONTROL!$C$21, $C$9, 100%, $E$9)</f>
        <v>20.0397</v>
      </c>
      <c r="S435" s="17">
        <f>CHOOSE(CONTROL!$C$42, 18.232, 18.232) * CHOOSE(CONTROL!$C$21, $C$9, 100%, $E$9)</f>
        <v>18.231999999999999</v>
      </c>
      <c r="T435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435" s="56">
        <f>(1000*CHOOSE(CONTROL!$C$42, 695, 695)*CHOOSE(CONTROL!$C$42, 0.5599, 0.5599)*CHOOSE(CONTROL!$C$42, 31, 31))/1000000</f>
        <v>12.063045499999998</v>
      </c>
      <c r="V435" s="56">
        <f>(1000*CHOOSE(CONTROL!$C$42, 500, 500)*CHOOSE(CONTROL!$C$42, 0.275, 0.275)*CHOOSE(CONTROL!$C$42, 31, 31))/1000000</f>
        <v>4.2625000000000002</v>
      </c>
      <c r="W435" s="56">
        <f>(1000*CHOOSE(CONTROL!$C$42, 0.0916, 0.0916)*CHOOSE(CONTROL!$C$42, 121.5, 121.5)*CHOOSE(CONTROL!$C$42, 31, 31))/1000000</f>
        <v>0.34501139999999997</v>
      </c>
      <c r="X435" s="56">
        <f>(31*0.2374*100000/1000000)</f>
        <v>0.73594000000000004</v>
      </c>
      <c r="Y435" s="56"/>
      <c r="Z435" s="17"/>
      <c r="AA435" s="55"/>
      <c r="AB435" s="48">
        <f>(B435*122.58+C435*297.941+D435*89.177+E435*140.302+F435*40+G435*60+H435*0+I435*100+J435*300)/(122.58+297.941+89.177+140.302+0+40+60+100+300)</f>
        <v>18.855353472695651</v>
      </c>
      <c r="AC435" s="45">
        <f>(M435*'RAP TEMPLATE-GAS AVAILABILITY'!O434+N435*'RAP TEMPLATE-GAS AVAILABILITY'!P434+O435*'RAP TEMPLATE-GAS AVAILABILITY'!Q434+P435*'RAP TEMPLATE-GAS AVAILABILITY'!R434)/('RAP TEMPLATE-GAS AVAILABILITY'!O434+'RAP TEMPLATE-GAS AVAILABILITY'!P434+'RAP TEMPLATE-GAS AVAILABILITY'!Q434+'RAP TEMPLATE-GAS AVAILABILITY'!R434)</f>
        <v>18.736982014388488</v>
      </c>
    </row>
    <row r="436" spans="1:29" ht="15.75" x14ac:dyDescent="0.25">
      <c r="A436" s="14">
        <v>53812</v>
      </c>
      <c r="B436" s="17">
        <f>CHOOSE(CONTROL!$C$42, 18.7562, 18.7562) * CHOOSE(CONTROL!$C$21, $C$9, 100%, $E$9)</f>
        <v>18.7562</v>
      </c>
      <c r="C436" s="17">
        <f>CHOOSE(CONTROL!$C$42, 18.7607, 18.7607) * CHOOSE(CONTROL!$C$21, $C$9, 100%, $E$9)</f>
        <v>18.7607</v>
      </c>
      <c r="D436" s="17">
        <f>CHOOSE(CONTROL!$C$42, 19.0237, 19.0237) * CHOOSE(CONTROL!$C$21, $C$9, 100%, $E$9)</f>
        <v>19.023700000000002</v>
      </c>
      <c r="E436" s="17">
        <f>CHOOSE(CONTROL!$C$42, 19.0555, 19.0555) * CHOOSE(CONTROL!$C$21, $C$9, 100%, $E$9)</f>
        <v>19.055499999999999</v>
      </c>
      <c r="F436" s="17">
        <f>CHOOSE(CONTROL!$C$42, 18.7671, 18.7671)*CHOOSE(CONTROL!$C$21, $C$9, 100%, $E$9)</f>
        <v>18.767099999999999</v>
      </c>
      <c r="G436" s="17">
        <f>CHOOSE(CONTROL!$C$42, 18.7833, 18.7833)*CHOOSE(CONTROL!$C$21, $C$9, 100%, $E$9)</f>
        <v>18.783300000000001</v>
      </c>
      <c r="H436" s="17">
        <f>CHOOSE(CONTROL!$C$42, 19.045, 19.045) * CHOOSE(CONTROL!$C$21, $C$9, 100%, $E$9)</f>
        <v>19.045000000000002</v>
      </c>
      <c r="I436" s="17">
        <f>CHOOSE(CONTROL!$C$42, 18.8396, 18.8396)* CHOOSE(CONTROL!$C$21, $C$9, 100%, $E$9)</f>
        <v>18.839600000000001</v>
      </c>
      <c r="J436" s="17">
        <f>CHOOSE(CONTROL!$C$42, 18.7597, 18.7597)* CHOOSE(CONTROL!$C$21, $C$9, 100%, $E$9)</f>
        <v>18.759699999999999</v>
      </c>
      <c r="K436" s="52">
        <f>CHOOSE(CONTROL!$C$42, 18.8336, 18.8336) * CHOOSE(CONTROL!$C$21, $C$9, 100%, $E$9)</f>
        <v>18.833600000000001</v>
      </c>
      <c r="L436" s="17">
        <f>CHOOSE(CONTROL!$C$42, 19.632, 19.632) * CHOOSE(CONTROL!$C$21, $C$9, 100%, $E$9)</f>
        <v>19.632000000000001</v>
      </c>
      <c r="M436" s="17">
        <f>CHOOSE(CONTROL!$C$42, 18.598, 18.598) * CHOOSE(CONTROL!$C$21, $C$9, 100%, $E$9)</f>
        <v>18.597999999999999</v>
      </c>
      <c r="N436" s="17">
        <f>CHOOSE(CONTROL!$C$42, 18.614, 18.614) * CHOOSE(CONTROL!$C$21, $C$9, 100%, $E$9)</f>
        <v>18.614000000000001</v>
      </c>
      <c r="O436" s="17">
        <f>CHOOSE(CONTROL!$C$42, 18.8807, 18.8807) * CHOOSE(CONTROL!$C$21, $C$9, 100%, $E$9)</f>
        <v>18.880700000000001</v>
      </c>
      <c r="P436" s="17">
        <f>CHOOSE(CONTROL!$C$42, 18.6767, 18.6767) * CHOOSE(CONTROL!$C$21, $C$9, 100%, $E$9)</f>
        <v>18.6767</v>
      </c>
      <c r="Q436" s="17">
        <f>CHOOSE(CONTROL!$C$42, 19.4754, 19.4754) * CHOOSE(CONTROL!$C$21, $C$9, 100%, $E$9)</f>
        <v>19.4754</v>
      </c>
      <c r="R436" s="17">
        <f>CHOOSE(CONTROL!$C$42, 20.1111, 20.1111) * CHOOSE(CONTROL!$C$21, $C$9, 100%, $E$9)</f>
        <v>20.1111</v>
      </c>
      <c r="S436" s="17">
        <f>CHOOSE(CONTROL!$C$42, 18.1776, 18.1776) * CHOOSE(CONTROL!$C$21, $C$9, 100%, $E$9)</f>
        <v>18.177600000000002</v>
      </c>
      <c r="T436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436" s="56">
        <f>(1000*CHOOSE(CONTROL!$C$42, 695, 695)*CHOOSE(CONTROL!$C$42, 0.5599, 0.5599)*CHOOSE(CONTROL!$C$42, 30, 30))/1000000</f>
        <v>11.673914999999997</v>
      </c>
      <c r="V436" s="56">
        <f>(1000*CHOOSE(CONTROL!$C$42, 500, 500)*CHOOSE(CONTROL!$C$42, 0.275, 0.275)*CHOOSE(CONTROL!$C$42, 30, 30))/1000000</f>
        <v>4.125</v>
      </c>
      <c r="W436" s="56">
        <f>(1000*CHOOSE(CONTROL!$C$42, 0.0916, 0.0916)*CHOOSE(CONTROL!$C$42, 121.5, 121.5)*CHOOSE(CONTROL!$C$42, 30, 30))/1000000</f>
        <v>0.33388200000000001</v>
      </c>
      <c r="X436" s="56">
        <f>(30*0.1790888*145000/1000000)+(30*0.2374*100000/1000000)</f>
        <v>1.4912362799999999</v>
      </c>
      <c r="Y436" s="56"/>
      <c r="Z436" s="17"/>
      <c r="AA436" s="55"/>
      <c r="AB436" s="48">
        <f>(B436*141.293+C436*267.993+D436*115.016+E436*189.698+F436*40+G436*85+H436*0+I436*100+J436*300)/(141.293+267.993+115.016+189.698+0+40+85+100+300)</f>
        <v>18.837619580225986</v>
      </c>
      <c r="AC436" s="45">
        <f>(M436*'RAP TEMPLATE-GAS AVAILABILITY'!O435+N436*'RAP TEMPLATE-GAS AVAILABILITY'!P435+O436*'RAP TEMPLATE-GAS AVAILABILITY'!Q435+P436*'RAP TEMPLATE-GAS AVAILABILITY'!R435)/('RAP TEMPLATE-GAS AVAILABILITY'!O435+'RAP TEMPLATE-GAS AVAILABILITY'!P435+'RAP TEMPLATE-GAS AVAILABILITY'!Q435+'RAP TEMPLATE-GAS AVAILABILITY'!R435)</f>
        <v>18.692325899280576</v>
      </c>
    </row>
    <row r="437" spans="1:29" ht="15.75" x14ac:dyDescent="0.25">
      <c r="A437" s="14">
        <v>53843</v>
      </c>
      <c r="B437" s="17">
        <f>CHOOSE(CONTROL!$C$42, 18.923, 18.923) * CHOOSE(CONTROL!$C$21, $C$9, 100%, $E$9)</f>
        <v>18.922999999999998</v>
      </c>
      <c r="C437" s="17">
        <f>CHOOSE(CONTROL!$C$42, 18.931, 18.931) * CHOOSE(CONTROL!$C$21, $C$9, 100%, $E$9)</f>
        <v>18.931000000000001</v>
      </c>
      <c r="D437" s="17">
        <f>CHOOSE(CONTROL!$C$42, 19.1909, 19.1909) * CHOOSE(CONTROL!$C$21, $C$9, 100%, $E$9)</f>
        <v>19.190899999999999</v>
      </c>
      <c r="E437" s="17">
        <f>CHOOSE(CONTROL!$C$42, 19.2221, 19.2221) * CHOOSE(CONTROL!$C$21, $C$9, 100%, $E$9)</f>
        <v>19.222100000000001</v>
      </c>
      <c r="F437" s="17">
        <f>CHOOSE(CONTROL!$C$42, 18.9327, 18.9327)*CHOOSE(CONTROL!$C$21, $C$9, 100%, $E$9)</f>
        <v>18.932700000000001</v>
      </c>
      <c r="G437" s="17">
        <f>CHOOSE(CONTROL!$C$42, 18.9491, 18.9491)*CHOOSE(CONTROL!$C$21, $C$9, 100%, $E$9)</f>
        <v>18.949100000000001</v>
      </c>
      <c r="H437" s="17">
        <f>CHOOSE(CONTROL!$C$42, 19.2104, 19.2104) * CHOOSE(CONTROL!$C$21, $C$9, 100%, $E$9)</f>
        <v>19.2104</v>
      </c>
      <c r="I437" s="17">
        <f>CHOOSE(CONTROL!$C$42, 19.0056, 19.0056)* CHOOSE(CONTROL!$C$21, $C$9, 100%, $E$9)</f>
        <v>19.005600000000001</v>
      </c>
      <c r="J437" s="17">
        <f>CHOOSE(CONTROL!$C$42, 18.9253, 18.9253)* CHOOSE(CONTROL!$C$21, $C$9, 100%, $E$9)</f>
        <v>18.9253</v>
      </c>
      <c r="K437" s="52">
        <f>CHOOSE(CONTROL!$C$42, 18.9995, 18.9995) * CHOOSE(CONTROL!$C$21, $C$9, 100%, $E$9)</f>
        <v>18.999500000000001</v>
      </c>
      <c r="L437" s="17">
        <f>CHOOSE(CONTROL!$C$42, 19.7974, 19.7974) * CHOOSE(CONTROL!$C$21, $C$9, 100%, $E$9)</f>
        <v>19.7974</v>
      </c>
      <c r="M437" s="17">
        <f>CHOOSE(CONTROL!$C$42, 18.7621, 18.7621) * CHOOSE(CONTROL!$C$21, $C$9, 100%, $E$9)</f>
        <v>18.7621</v>
      </c>
      <c r="N437" s="17">
        <f>CHOOSE(CONTROL!$C$42, 18.7784, 18.7784) * CHOOSE(CONTROL!$C$21, $C$9, 100%, $E$9)</f>
        <v>18.778400000000001</v>
      </c>
      <c r="O437" s="17">
        <f>CHOOSE(CONTROL!$C$42, 19.0447, 19.0447) * CHOOSE(CONTROL!$C$21, $C$9, 100%, $E$9)</f>
        <v>19.044699999999999</v>
      </c>
      <c r="P437" s="17">
        <f>CHOOSE(CONTROL!$C$42, 18.8412, 18.8412) * CHOOSE(CONTROL!$C$21, $C$9, 100%, $E$9)</f>
        <v>18.841200000000001</v>
      </c>
      <c r="Q437" s="17">
        <f>CHOOSE(CONTROL!$C$42, 19.6394, 19.6394) * CHOOSE(CONTROL!$C$21, $C$9, 100%, $E$9)</f>
        <v>19.639399999999998</v>
      </c>
      <c r="R437" s="17">
        <f>CHOOSE(CONTROL!$C$42, 20.2755, 20.2755) * CHOOSE(CONTROL!$C$21, $C$9, 100%, $E$9)</f>
        <v>20.275500000000001</v>
      </c>
      <c r="S437" s="17">
        <f>CHOOSE(CONTROL!$C$42, 18.3381, 18.3381) * CHOOSE(CONTROL!$C$21, $C$9, 100%, $E$9)</f>
        <v>18.338100000000001</v>
      </c>
      <c r="T437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437" s="56">
        <f>(1000*CHOOSE(CONTROL!$C$42, 695, 695)*CHOOSE(CONTROL!$C$42, 0.5599, 0.5599)*CHOOSE(CONTROL!$C$42, 31, 31))/1000000</f>
        <v>12.063045499999998</v>
      </c>
      <c r="V437" s="56">
        <f>(1000*CHOOSE(CONTROL!$C$42, 500, 500)*CHOOSE(CONTROL!$C$42, 0.275, 0.275)*CHOOSE(CONTROL!$C$42, 31, 31))/1000000</f>
        <v>4.2625000000000002</v>
      </c>
      <c r="W437" s="56">
        <f>(1000*CHOOSE(CONTROL!$C$42, 0.0916, 0.0916)*CHOOSE(CONTROL!$C$42, 121.5, 121.5)*CHOOSE(CONTROL!$C$42, 31, 31))/1000000</f>
        <v>0.34501139999999997</v>
      </c>
      <c r="X437" s="56">
        <f>(31*0.1790888*145000/1000000)+(31*0.2374*100000/1000000)</f>
        <v>1.5409441560000001</v>
      </c>
      <c r="Y437" s="56"/>
      <c r="Z437" s="17"/>
      <c r="AA437" s="55"/>
      <c r="AB437" s="48">
        <f>(B437*194.205+C437*267.466+D437*133.845+E437*153.484+F437*40+G437*85+H437*0+I437*100+J437*300)/(194.205+267.466+133.845+153.484+0+40+85+100+300)</f>
        <v>18.997929645133439</v>
      </c>
      <c r="AC437" s="45">
        <f>(M437*'RAP TEMPLATE-GAS AVAILABILITY'!O436+N437*'RAP TEMPLATE-GAS AVAILABILITY'!P436+O437*'RAP TEMPLATE-GAS AVAILABILITY'!Q436+P437*'RAP TEMPLATE-GAS AVAILABILITY'!R436)/('RAP TEMPLATE-GAS AVAILABILITY'!O436+'RAP TEMPLATE-GAS AVAILABILITY'!P436+'RAP TEMPLATE-GAS AVAILABILITY'!Q436+'RAP TEMPLATE-GAS AVAILABILITY'!R436)</f>
        <v>18.856524460431658</v>
      </c>
    </row>
    <row r="438" spans="1:29" ht="15.75" x14ac:dyDescent="0.25">
      <c r="A438" s="14">
        <v>53873</v>
      </c>
      <c r="B438" s="17">
        <f>CHOOSE(CONTROL!$C$42, 19.4594, 19.4594) * CHOOSE(CONTROL!$C$21, $C$9, 100%, $E$9)</f>
        <v>19.459399999999999</v>
      </c>
      <c r="C438" s="17">
        <f>CHOOSE(CONTROL!$C$42, 19.4674, 19.4674) * CHOOSE(CONTROL!$C$21, $C$9, 100%, $E$9)</f>
        <v>19.467400000000001</v>
      </c>
      <c r="D438" s="17">
        <f>CHOOSE(CONTROL!$C$42, 19.7273, 19.7273) * CHOOSE(CONTROL!$C$21, $C$9, 100%, $E$9)</f>
        <v>19.7273</v>
      </c>
      <c r="E438" s="17">
        <f>CHOOSE(CONTROL!$C$42, 19.7585, 19.7585) * CHOOSE(CONTROL!$C$21, $C$9, 100%, $E$9)</f>
        <v>19.758500000000002</v>
      </c>
      <c r="F438" s="17">
        <f>CHOOSE(CONTROL!$C$42, 19.4694, 19.4694)*CHOOSE(CONTROL!$C$21, $C$9, 100%, $E$9)</f>
        <v>19.4694</v>
      </c>
      <c r="G438" s="17">
        <f>CHOOSE(CONTROL!$C$42, 19.4859, 19.4859)*CHOOSE(CONTROL!$C$21, $C$9, 100%, $E$9)</f>
        <v>19.485900000000001</v>
      </c>
      <c r="H438" s="17">
        <f>CHOOSE(CONTROL!$C$42, 19.7468, 19.7468) * CHOOSE(CONTROL!$C$21, $C$9, 100%, $E$9)</f>
        <v>19.7468</v>
      </c>
      <c r="I438" s="17">
        <f>CHOOSE(CONTROL!$C$42, 19.5437, 19.5437)* CHOOSE(CONTROL!$C$21, $C$9, 100%, $E$9)</f>
        <v>19.543700000000001</v>
      </c>
      <c r="J438" s="17">
        <f>CHOOSE(CONTROL!$C$42, 19.462, 19.462)* CHOOSE(CONTROL!$C$21, $C$9, 100%, $E$9)</f>
        <v>19.462</v>
      </c>
      <c r="K438" s="52">
        <f>CHOOSE(CONTROL!$C$42, 19.5376, 19.5376) * CHOOSE(CONTROL!$C$21, $C$9, 100%, $E$9)</f>
        <v>19.537600000000001</v>
      </c>
      <c r="L438" s="17">
        <f>CHOOSE(CONTROL!$C$42, 20.3338, 20.3338) * CHOOSE(CONTROL!$C$21, $C$9, 100%, $E$9)</f>
        <v>20.3338</v>
      </c>
      <c r="M438" s="17">
        <f>CHOOSE(CONTROL!$C$42, 19.294, 19.294) * CHOOSE(CONTROL!$C$21, $C$9, 100%, $E$9)</f>
        <v>19.294</v>
      </c>
      <c r="N438" s="17">
        <f>CHOOSE(CONTROL!$C$42, 19.3104, 19.3104) * CHOOSE(CONTROL!$C$21, $C$9, 100%, $E$9)</f>
        <v>19.310400000000001</v>
      </c>
      <c r="O438" s="17">
        <f>CHOOSE(CONTROL!$C$42, 19.5763, 19.5763) * CHOOSE(CONTROL!$C$21, $C$9, 100%, $E$9)</f>
        <v>19.5763</v>
      </c>
      <c r="P438" s="17">
        <f>CHOOSE(CONTROL!$C$42, 19.3744, 19.3744) * CHOOSE(CONTROL!$C$21, $C$9, 100%, $E$9)</f>
        <v>19.374400000000001</v>
      </c>
      <c r="Q438" s="17">
        <f>CHOOSE(CONTROL!$C$42, 20.171, 20.171) * CHOOSE(CONTROL!$C$21, $C$9, 100%, $E$9)</f>
        <v>20.170999999999999</v>
      </c>
      <c r="R438" s="17">
        <f>CHOOSE(CONTROL!$C$42, 20.8084, 20.8084) * CHOOSE(CONTROL!$C$21, $C$9, 100%, $E$9)</f>
        <v>20.808399999999999</v>
      </c>
      <c r="S438" s="17">
        <f>CHOOSE(CONTROL!$C$42, 18.8582, 18.8582) * CHOOSE(CONTROL!$C$21, $C$9, 100%, $E$9)</f>
        <v>18.8582</v>
      </c>
      <c r="T438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438" s="56">
        <f>(1000*CHOOSE(CONTROL!$C$42, 695, 695)*CHOOSE(CONTROL!$C$42, 0.5599, 0.5599)*CHOOSE(CONTROL!$C$42, 30, 30))/1000000</f>
        <v>11.673914999999997</v>
      </c>
      <c r="V438" s="56">
        <f>(1000*CHOOSE(CONTROL!$C$42, 500, 500)*CHOOSE(CONTROL!$C$42, 0.275, 0.275)*CHOOSE(CONTROL!$C$42, 30, 30))/1000000</f>
        <v>4.125</v>
      </c>
      <c r="W438" s="56">
        <f>(1000*CHOOSE(CONTROL!$C$42, 0.0916, 0.0916)*CHOOSE(CONTROL!$C$42, 121.5, 121.5)*CHOOSE(CONTROL!$C$42, 30, 30))/1000000</f>
        <v>0.33388200000000001</v>
      </c>
      <c r="X438" s="56">
        <f>(30*0.1790888*145000/1000000)+(30*0.2374*100000/1000000)</f>
        <v>1.4912362799999999</v>
      </c>
      <c r="Y438" s="56"/>
      <c r="Z438" s="17"/>
      <c r="AA438" s="55"/>
      <c r="AB438" s="48">
        <f>(B438*194.205+C438*267.466+D438*133.845+E438*153.484+F438*40+G438*85+H438*0+I438*100+J438*300)/(194.205+267.466+133.845+153.484+0+40+85+100+300)</f>
        <v>19.534569833516482</v>
      </c>
      <c r="AC438" s="45">
        <f>(M438*'RAP TEMPLATE-GAS AVAILABILITY'!O437+N438*'RAP TEMPLATE-GAS AVAILABILITY'!P437+O438*'RAP TEMPLATE-GAS AVAILABILITY'!Q437+P438*'RAP TEMPLATE-GAS AVAILABILITY'!R437)/('RAP TEMPLATE-GAS AVAILABILITY'!O437+'RAP TEMPLATE-GAS AVAILABILITY'!P437+'RAP TEMPLATE-GAS AVAILABILITY'!Q437+'RAP TEMPLATE-GAS AVAILABILITY'!R437)</f>
        <v>19.388550359712234</v>
      </c>
    </row>
    <row r="439" spans="1:29" ht="15.75" x14ac:dyDescent="0.25">
      <c r="A439" s="14">
        <v>53904</v>
      </c>
      <c r="B439" s="17">
        <f>CHOOSE(CONTROL!$C$42, 19.0863, 19.0863) * CHOOSE(CONTROL!$C$21, $C$9, 100%, $E$9)</f>
        <v>19.086300000000001</v>
      </c>
      <c r="C439" s="17">
        <f>CHOOSE(CONTROL!$C$42, 19.0943, 19.0943) * CHOOSE(CONTROL!$C$21, $C$9, 100%, $E$9)</f>
        <v>19.0943</v>
      </c>
      <c r="D439" s="17">
        <f>CHOOSE(CONTROL!$C$42, 19.3543, 19.3543) * CHOOSE(CONTROL!$C$21, $C$9, 100%, $E$9)</f>
        <v>19.354299999999999</v>
      </c>
      <c r="E439" s="17">
        <f>CHOOSE(CONTROL!$C$42, 19.3854, 19.3854) * CHOOSE(CONTROL!$C$21, $C$9, 100%, $E$9)</f>
        <v>19.385400000000001</v>
      </c>
      <c r="F439" s="17">
        <f>CHOOSE(CONTROL!$C$42, 19.0967, 19.0967)*CHOOSE(CONTROL!$C$21, $C$9, 100%, $E$9)</f>
        <v>19.096699999999998</v>
      </c>
      <c r="G439" s="17">
        <f>CHOOSE(CONTROL!$C$42, 19.1134, 19.1134)*CHOOSE(CONTROL!$C$21, $C$9, 100%, $E$9)</f>
        <v>19.113399999999999</v>
      </c>
      <c r="H439" s="17">
        <f>CHOOSE(CONTROL!$C$42, 19.3738, 19.3738) * CHOOSE(CONTROL!$C$21, $C$9, 100%, $E$9)</f>
        <v>19.373799999999999</v>
      </c>
      <c r="I439" s="17">
        <f>CHOOSE(CONTROL!$C$42, 19.1694, 19.1694)* CHOOSE(CONTROL!$C$21, $C$9, 100%, $E$9)</f>
        <v>19.1694</v>
      </c>
      <c r="J439" s="17">
        <f>CHOOSE(CONTROL!$C$42, 19.0893, 19.0893)* CHOOSE(CONTROL!$C$21, $C$9, 100%, $E$9)</f>
        <v>19.089300000000001</v>
      </c>
      <c r="K439" s="52">
        <f>CHOOSE(CONTROL!$C$42, 19.1634, 19.1634) * CHOOSE(CONTROL!$C$21, $C$9, 100%, $E$9)</f>
        <v>19.163399999999999</v>
      </c>
      <c r="L439" s="17">
        <f>CHOOSE(CONTROL!$C$42, 19.9608, 19.9608) * CHOOSE(CONTROL!$C$21, $C$9, 100%, $E$9)</f>
        <v>19.960799999999999</v>
      </c>
      <c r="M439" s="17">
        <f>CHOOSE(CONTROL!$C$42, 18.9247, 18.9247) * CHOOSE(CONTROL!$C$21, $C$9, 100%, $E$9)</f>
        <v>18.924700000000001</v>
      </c>
      <c r="N439" s="17">
        <f>CHOOSE(CONTROL!$C$42, 18.9412, 18.9412) * CHOOSE(CONTROL!$C$21, $C$9, 100%, $E$9)</f>
        <v>18.941199999999998</v>
      </c>
      <c r="O439" s="17">
        <f>CHOOSE(CONTROL!$C$42, 19.2065, 19.2065) * CHOOSE(CONTROL!$C$21, $C$9, 100%, $E$9)</f>
        <v>19.206499999999998</v>
      </c>
      <c r="P439" s="17">
        <f>CHOOSE(CONTROL!$C$42, 19.0036, 19.0036) * CHOOSE(CONTROL!$C$21, $C$9, 100%, $E$9)</f>
        <v>19.003599999999999</v>
      </c>
      <c r="Q439" s="17">
        <f>CHOOSE(CONTROL!$C$42, 19.8012, 19.8012) * CHOOSE(CONTROL!$C$21, $C$9, 100%, $E$9)</f>
        <v>19.801200000000001</v>
      </c>
      <c r="R439" s="17">
        <f>CHOOSE(CONTROL!$C$42, 20.4377, 20.4377) * CHOOSE(CONTROL!$C$21, $C$9, 100%, $E$9)</f>
        <v>20.4377</v>
      </c>
      <c r="S439" s="17">
        <f>CHOOSE(CONTROL!$C$42, 18.4964, 18.4964) * CHOOSE(CONTROL!$C$21, $C$9, 100%, $E$9)</f>
        <v>18.496400000000001</v>
      </c>
      <c r="T439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439" s="56">
        <f>(1000*CHOOSE(CONTROL!$C$42, 695, 695)*CHOOSE(CONTROL!$C$42, 0.5599, 0.5599)*CHOOSE(CONTROL!$C$42, 31, 31))/1000000</f>
        <v>12.063045499999998</v>
      </c>
      <c r="V439" s="56">
        <f>(1000*CHOOSE(CONTROL!$C$42, 500, 500)*CHOOSE(CONTROL!$C$42, 0.275, 0.275)*CHOOSE(CONTROL!$C$42, 31, 31))/1000000</f>
        <v>4.2625000000000002</v>
      </c>
      <c r="W439" s="56">
        <f>(1000*CHOOSE(CONTROL!$C$42, 0.0916, 0.0916)*CHOOSE(CONTROL!$C$42, 121.5, 121.5)*CHOOSE(CONTROL!$C$42, 31, 31))/1000000</f>
        <v>0.34501139999999997</v>
      </c>
      <c r="X439" s="56">
        <f>(31*0.1790888*145000/1000000)+(31*0.2374*100000/1000000)</f>
        <v>1.5409441560000001</v>
      </c>
      <c r="Y439" s="56"/>
      <c r="Z439" s="17"/>
      <c r="AA439" s="55"/>
      <c r="AB439" s="48">
        <f>(B439*194.205+C439*267.466+D439*133.845+E439*153.484+F439*40+G439*85+H439*0+I439*100+J439*300)/(194.205+267.466+133.845+153.484+0+40+85+100+300)</f>
        <v>19.161532929670333</v>
      </c>
      <c r="AC439" s="45">
        <f>(M439*'RAP TEMPLATE-GAS AVAILABILITY'!O438+N439*'RAP TEMPLATE-GAS AVAILABILITY'!P438+O439*'RAP TEMPLATE-GAS AVAILABILITY'!Q438+P439*'RAP TEMPLATE-GAS AVAILABILITY'!R438)/('RAP TEMPLATE-GAS AVAILABILITY'!O438+'RAP TEMPLATE-GAS AVAILABILITY'!P438+'RAP TEMPLATE-GAS AVAILABILITY'!Q438+'RAP TEMPLATE-GAS AVAILABILITY'!R438)</f>
        <v>19.018917266187049</v>
      </c>
    </row>
    <row r="440" spans="1:29" ht="15.75" x14ac:dyDescent="0.25">
      <c r="A440" s="14">
        <v>53935</v>
      </c>
      <c r="B440" s="17">
        <f>CHOOSE(CONTROL!$C$42, 18.1442, 18.1442) * CHOOSE(CONTROL!$C$21, $C$9, 100%, $E$9)</f>
        <v>18.144200000000001</v>
      </c>
      <c r="C440" s="17">
        <f>CHOOSE(CONTROL!$C$42, 18.1522, 18.1522) * CHOOSE(CONTROL!$C$21, $C$9, 100%, $E$9)</f>
        <v>18.152200000000001</v>
      </c>
      <c r="D440" s="17">
        <f>CHOOSE(CONTROL!$C$42, 18.4121, 18.4121) * CHOOSE(CONTROL!$C$21, $C$9, 100%, $E$9)</f>
        <v>18.412099999999999</v>
      </c>
      <c r="E440" s="17">
        <f>CHOOSE(CONTROL!$C$42, 18.4433, 18.4433) * CHOOSE(CONTROL!$C$21, $C$9, 100%, $E$9)</f>
        <v>18.443300000000001</v>
      </c>
      <c r="F440" s="17">
        <f>CHOOSE(CONTROL!$C$42, 18.1548, 18.1548)*CHOOSE(CONTROL!$C$21, $C$9, 100%, $E$9)</f>
        <v>18.154800000000002</v>
      </c>
      <c r="G440" s="17">
        <f>CHOOSE(CONTROL!$C$42, 18.1715, 18.1715)*CHOOSE(CONTROL!$C$21, $C$9, 100%, $E$9)</f>
        <v>18.171500000000002</v>
      </c>
      <c r="H440" s="17">
        <f>CHOOSE(CONTROL!$C$42, 18.4316, 18.4316) * CHOOSE(CONTROL!$C$21, $C$9, 100%, $E$9)</f>
        <v>18.4316</v>
      </c>
      <c r="I440" s="17">
        <f>CHOOSE(CONTROL!$C$42, 18.2244, 18.2244)* CHOOSE(CONTROL!$C$21, $C$9, 100%, $E$9)</f>
        <v>18.224399999999999</v>
      </c>
      <c r="J440" s="17">
        <f>CHOOSE(CONTROL!$C$42, 18.1474, 18.1474)* CHOOSE(CONTROL!$C$21, $C$9, 100%, $E$9)</f>
        <v>18.147400000000001</v>
      </c>
      <c r="K440" s="52">
        <f>CHOOSE(CONTROL!$C$42, 18.2183, 18.2183) * CHOOSE(CONTROL!$C$21, $C$9, 100%, $E$9)</f>
        <v>18.218299999999999</v>
      </c>
      <c r="L440" s="17">
        <f>CHOOSE(CONTROL!$C$42, 19.0186, 19.0186) * CHOOSE(CONTROL!$C$21, $C$9, 100%, $E$9)</f>
        <v>19.018599999999999</v>
      </c>
      <c r="M440" s="17">
        <f>CHOOSE(CONTROL!$C$42, 17.9912, 17.9912) * CHOOSE(CONTROL!$C$21, $C$9, 100%, $E$9)</f>
        <v>17.991199999999999</v>
      </c>
      <c r="N440" s="17">
        <f>CHOOSE(CONTROL!$C$42, 18.0078, 18.0078) * CHOOSE(CONTROL!$C$21, $C$9, 100%, $E$9)</f>
        <v>18.0078</v>
      </c>
      <c r="O440" s="17">
        <f>CHOOSE(CONTROL!$C$42, 18.2729, 18.2729) * CHOOSE(CONTROL!$C$21, $C$9, 100%, $E$9)</f>
        <v>18.2729</v>
      </c>
      <c r="P440" s="17">
        <f>CHOOSE(CONTROL!$C$42, 18.067, 18.067) * CHOOSE(CONTROL!$C$21, $C$9, 100%, $E$9)</f>
        <v>18.067</v>
      </c>
      <c r="Q440" s="17">
        <f>CHOOSE(CONTROL!$C$42, 18.8676, 18.8676) * CHOOSE(CONTROL!$C$21, $C$9, 100%, $E$9)</f>
        <v>18.867599999999999</v>
      </c>
      <c r="R440" s="17">
        <f>CHOOSE(CONTROL!$C$42, 19.5017, 19.5017) * CHOOSE(CONTROL!$C$21, $C$9, 100%, $E$9)</f>
        <v>19.5017</v>
      </c>
      <c r="S440" s="17">
        <f>CHOOSE(CONTROL!$C$42, 17.5829, 17.5829) * CHOOSE(CONTROL!$C$21, $C$9, 100%, $E$9)</f>
        <v>17.582899999999999</v>
      </c>
      <c r="T440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440" s="56">
        <f>(1000*CHOOSE(CONTROL!$C$42, 695, 695)*CHOOSE(CONTROL!$C$42, 0.5599, 0.5599)*CHOOSE(CONTROL!$C$42, 31, 31))/1000000</f>
        <v>12.063045499999998</v>
      </c>
      <c r="V440" s="56">
        <f>(1000*CHOOSE(CONTROL!$C$42, 500, 500)*CHOOSE(CONTROL!$C$42, 0.275, 0.275)*CHOOSE(CONTROL!$C$42, 31, 31))/1000000</f>
        <v>4.2625000000000002</v>
      </c>
      <c r="W440" s="56">
        <f>(1000*CHOOSE(CONTROL!$C$42, 0.0916, 0.0916)*CHOOSE(CONTROL!$C$42, 121.5, 121.5)*CHOOSE(CONTROL!$C$42, 31, 31))/1000000</f>
        <v>0.34501139999999997</v>
      </c>
      <c r="X440" s="56">
        <f>(31*0.1790888*145000/1000000)+(31*0.2374*100000/1000000)</f>
        <v>1.5409441560000001</v>
      </c>
      <c r="Y440" s="56"/>
      <c r="Z440" s="17"/>
      <c r="AA440" s="55"/>
      <c r="AB440" s="48">
        <f>(B440*194.205+C440*267.466+D440*133.845+E440*153.484+F440*40+G440*85+H440*0+I440*100+J440*300)/(194.205+267.466+133.845+153.484+0+40+85+100+300)</f>
        <v>18.219261513265305</v>
      </c>
      <c r="AC440" s="45">
        <f>(M440*'RAP TEMPLATE-GAS AVAILABILITY'!O439+N440*'RAP TEMPLATE-GAS AVAILABILITY'!P439+O440*'RAP TEMPLATE-GAS AVAILABILITY'!Q439+P440*'RAP TEMPLATE-GAS AVAILABILITY'!R439)/('RAP TEMPLATE-GAS AVAILABILITY'!O439+'RAP TEMPLATE-GAS AVAILABILITY'!P439+'RAP TEMPLATE-GAS AVAILABILITY'!Q439+'RAP TEMPLATE-GAS AVAILABILITY'!R439)</f>
        <v>18.084966187050362</v>
      </c>
    </row>
    <row r="441" spans="1:29" ht="15.75" x14ac:dyDescent="0.25">
      <c r="A441" s="14">
        <v>53965</v>
      </c>
      <c r="B441" s="17">
        <f>CHOOSE(CONTROL!$C$42, 16.9928, 16.9928) * CHOOSE(CONTROL!$C$21, $C$9, 100%, $E$9)</f>
        <v>16.992799999999999</v>
      </c>
      <c r="C441" s="17">
        <f>CHOOSE(CONTROL!$C$42, 17.0008, 17.0008) * CHOOSE(CONTROL!$C$21, $C$9, 100%, $E$9)</f>
        <v>17.000800000000002</v>
      </c>
      <c r="D441" s="17">
        <f>CHOOSE(CONTROL!$C$42, 17.2607, 17.2607) * CHOOSE(CONTROL!$C$21, $C$9, 100%, $E$9)</f>
        <v>17.2607</v>
      </c>
      <c r="E441" s="17">
        <f>CHOOSE(CONTROL!$C$42, 17.2919, 17.2919) * CHOOSE(CONTROL!$C$21, $C$9, 100%, $E$9)</f>
        <v>17.291899999999998</v>
      </c>
      <c r="F441" s="17">
        <f>CHOOSE(CONTROL!$C$42, 17.0035, 17.0035)*CHOOSE(CONTROL!$C$21, $C$9, 100%, $E$9)</f>
        <v>17.003499999999999</v>
      </c>
      <c r="G441" s="17">
        <f>CHOOSE(CONTROL!$C$42, 17.0202, 17.0202)*CHOOSE(CONTROL!$C$21, $C$9, 100%, $E$9)</f>
        <v>17.020199999999999</v>
      </c>
      <c r="H441" s="17">
        <f>CHOOSE(CONTROL!$C$42, 17.2802, 17.2802) * CHOOSE(CONTROL!$C$21, $C$9, 100%, $E$9)</f>
        <v>17.280200000000001</v>
      </c>
      <c r="I441" s="17">
        <f>CHOOSE(CONTROL!$C$42, 17.0694, 17.0694)* CHOOSE(CONTROL!$C$21, $C$9, 100%, $E$9)</f>
        <v>17.069400000000002</v>
      </c>
      <c r="J441" s="17">
        <f>CHOOSE(CONTROL!$C$42, 16.9961, 16.9961)* CHOOSE(CONTROL!$C$21, $C$9, 100%, $E$9)</f>
        <v>16.996099999999998</v>
      </c>
      <c r="K441" s="52">
        <f>CHOOSE(CONTROL!$C$42, 17.0634, 17.0634) * CHOOSE(CONTROL!$C$21, $C$9, 100%, $E$9)</f>
        <v>17.063400000000001</v>
      </c>
      <c r="L441" s="17">
        <f>CHOOSE(CONTROL!$C$42, 17.8672, 17.8672) * CHOOSE(CONTROL!$C$21, $C$9, 100%, $E$9)</f>
        <v>17.8672</v>
      </c>
      <c r="M441" s="17">
        <f>CHOOSE(CONTROL!$C$42, 16.8502, 16.8502) * CHOOSE(CONTROL!$C$21, $C$9, 100%, $E$9)</f>
        <v>16.850200000000001</v>
      </c>
      <c r="N441" s="17">
        <f>CHOOSE(CONTROL!$C$42, 16.8668, 16.8668) * CHOOSE(CONTROL!$C$21, $C$9, 100%, $E$9)</f>
        <v>16.866800000000001</v>
      </c>
      <c r="O441" s="17">
        <f>CHOOSE(CONTROL!$C$42, 17.1318, 17.1318) * CHOOSE(CONTROL!$C$21, $C$9, 100%, $E$9)</f>
        <v>17.131799999999998</v>
      </c>
      <c r="P441" s="17">
        <f>CHOOSE(CONTROL!$C$42, 16.9225, 16.9225) * CHOOSE(CONTROL!$C$21, $C$9, 100%, $E$9)</f>
        <v>16.922499999999999</v>
      </c>
      <c r="Q441" s="17">
        <f>CHOOSE(CONTROL!$C$42, 17.7265, 17.7265) * CHOOSE(CONTROL!$C$21, $C$9, 100%, $E$9)</f>
        <v>17.726500000000001</v>
      </c>
      <c r="R441" s="17">
        <f>CHOOSE(CONTROL!$C$42, 18.3578, 18.3578) * CHOOSE(CONTROL!$C$21, $C$9, 100%, $E$9)</f>
        <v>18.357800000000001</v>
      </c>
      <c r="S441" s="17">
        <f>CHOOSE(CONTROL!$C$42, 16.4664, 16.4664) * CHOOSE(CONTROL!$C$21, $C$9, 100%, $E$9)</f>
        <v>16.4664</v>
      </c>
      <c r="T441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441" s="56">
        <f>(1000*CHOOSE(CONTROL!$C$42, 695, 695)*CHOOSE(CONTROL!$C$42, 0.5599, 0.5599)*CHOOSE(CONTROL!$C$42, 30, 30))/1000000</f>
        <v>11.673914999999997</v>
      </c>
      <c r="V441" s="56">
        <f>(1000*CHOOSE(CONTROL!$C$42, 500, 500)*CHOOSE(CONTROL!$C$42, 0.275, 0.275)*CHOOSE(CONTROL!$C$42, 30, 30))/1000000</f>
        <v>4.125</v>
      </c>
      <c r="W441" s="56">
        <f>(1000*CHOOSE(CONTROL!$C$42, 0.0916, 0.0916)*CHOOSE(CONTROL!$C$42, 121.5, 121.5)*CHOOSE(CONTROL!$C$42, 30, 30))/1000000</f>
        <v>0.33388200000000001</v>
      </c>
      <c r="X441" s="56">
        <f>(30*0.1790888*145000/1000000)+(30*0.2374*100000/1000000)</f>
        <v>1.4912362799999999</v>
      </c>
      <c r="Y441" s="56"/>
      <c r="Z441" s="17"/>
      <c r="AA441" s="55"/>
      <c r="AB441" s="48">
        <f>(B441*194.205+C441*267.466+D441*133.845+E441*153.484+F441*40+G441*85+H441*0+I441*100+J441*300)/(194.205+267.466+133.845+153.484+0+40+85+100+300)</f>
        <v>17.067612298194661</v>
      </c>
      <c r="AC441" s="45">
        <f>(M441*'RAP TEMPLATE-GAS AVAILABILITY'!O440+N441*'RAP TEMPLATE-GAS AVAILABILITY'!P440+O441*'RAP TEMPLATE-GAS AVAILABILITY'!Q440+P441*'RAP TEMPLATE-GAS AVAILABILITY'!R440)/('RAP TEMPLATE-GAS AVAILABILITY'!O440+'RAP TEMPLATE-GAS AVAILABILITY'!P440+'RAP TEMPLATE-GAS AVAILABILITY'!Q440+'RAP TEMPLATE-GAS AVAILABILITY'!R440)</f>
        <v>16.943434532374102</v>
      </c>
    </row>
    <row r="442" spans="1:29" ht="15.75" x14ac:dyDescent="0.25">
      <c r="A442" s="14">
        <v>53996</v>
      </c>
      <c r="B442" s="17">
        <f>CHOOSE(CONTROL!$C$42, 16.6463, 16.6463) * CHOOSE(CONTROL!$C$21, $C$9, 100%, $E$9)</f>
        <v>16.6463</v>
      </c>
      <c r="C442" s="17">
        <f>CHOOSE(CONTROL!$C$42, 16.6517, 16.6517) * CHOOSE(CONTROL!$C$21, $C$9, 100%, $E$9)</f>
        <v>16.651700000000002</v>
      </c>
      <c r="D442" s="17">
        <f>CHOOSE(CONTROL!$C$42, 16.9165, 16.9165) * CHOOSE(CONTROL!$C$21, $C$9, 100%, $E$9)</f>
        <v>16.916499999999999</v>
      </c>
      <c r="E442" s="17">
        <f>CHOOSE(CONTROL!$C$42, 16.9453, 16.9453) * CHOOSE(CONTROL!$C$21, $C$9, 100%, $E$9)</f>
        <v>16.9453</v>
      </c>
      <c r="F442" s="17">
        <f>CHOOSE(CONTROL!$C$42, 16.6592, 16.6592)*CHOOSE(CONTROL!$C$21, $C$9, 100%, $E$9)</f>
        <v>16.659199999999998</v>
      </c>
      <c r="G442" s="17">
        <f>CHOOSE(CONTROL!$C$42, 16.6757, 16.6757)*CHOOSE(CONTROL!$C$21, $C$9, 100%, $E$9)</f>
        <v>16.675699999999999</v>
      </c>
      <c r="H442" s="17">
        <f>CHOOSE(CONTROL!$C$42, 16.9355, 16.9355) * CHOOSE(CONTROL!$C$21, $C$9, 100%, $E$9)</f>
        <v>16.935500000000001</v>
      </c>
      <c r="I442" s="17">
        <f>CHOOSE(CONTROL!$C$42, 16.7236, 16.7236)* CHOOSE(CONTROL!$C$21, $C$9, 100%, $E$9)</f>
        <v>16.723600000000001</v>
      </c>
      <c r="J442" s="17">
        <f>CHOOSE(CONTROL!$C$42, 16.6518, 16.6518)* CHOOSE(CONTROL!$C$21, $C$9, 100%, $E$9)</f>
        <v>16.651800000000001</v>
      </c>
      <c r="K442" s="52">
        <f>CHOOSE(CONTROL!$C$42, 16.7175, 16.7175) * CHOOSE(CONTROL!$C$21, $C$9, 100%, $E$9)</f>
        <v>16.717500000000001</v>
      </c>
      <c r="L442" s="17">
        <f>CHOOSE(CONTROL!$C$42, 17.5225, 17.5225) * CHOOSE(CONTROL!$C$21, $C$9, 100%, $E$9)</f>
        <v>17.522500000000001</v>
      </c>
      <c r="M442" s="17">
        <f>CHOOSE(CONTROL!$C$42, 16.509, 16.509) * CHOOSE(CONTROL!$C$21, $C$9, 100%, $E$9)</f>
        <v>16.509</v>
      </c>
      <c r="N442" s="17">
        <f>CHOOSE(CONTROL!$C$42, 16.5254, 16.5254) * CHOOSE(CONTROL!$C$21, $C$9, 100%, $E$9)</f>
        <v>16.525400000000001</v>
      </c>
      <c r="O442" s="17">
        <f>CHOOSE(CONTROL!$C$42, 16.7902, 16.7902) * CHOOSE(CONTROL!$C$21, $C$9, 100%, $E$9)</f>
        <v>16.790199999999999</v>
      </c>
      <c r="P442" s="17">
        <f>CHOOSE(CONTROL!$C$42, 16.5798, 16.5798) * CHOOSE(CONTROL!$C$21, $C$9, 100%, $E$9)</f>
        <v>16.579799999999999</v>
      </c>
      <c r="Q442" s="17">
        <f>CHOOSE(CONTROL!$C$42, 17.3849, 17.3849) * CHOOSE(CONTROL!$C$21, $C$9, 100%, $E$9)</f>
        <v>17.384899999999998</v>
      </c>
      <c r="R442" s="17">
        <f>CHOOSE(CONTROL!$C$42, 18.0153, 18.0153) * CHOOSE(CONTROL!$C$21, $C$9, 100%, $E$9)</f>
        <v>18.0153</v>
      </c>
      <c r="S442" s="17">
        <f>CHOOSE(CONTROL!$C$42, 16.132, 16.132) * CHOOSE(CONTROL!$C$21, $C$9, 100%, $E$9)</f>
        <v>16.132000000000001</v>
      </c>
      <c r="T442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442" s="56">
        <f>(1000*CHOOSE(CONTROL!$C$42, 695, 695)*CHOOSE(CONTROL!$C$42, 0.5599, 0.5599)*CHOOSE(CONTROL!$C$42, 31, 31))/1000000</f>
        <v>12.063045499999998</v>
      </c>
      <c r="V442" s="56">
        <f>(1000*CHOOSE(CONTROL!$C$42, 500, 500)*CHOOSE(CONTROL!$C$42, 0.275, 0.275)*CHOOSE(CONTROL!$C$42, 31, 31))/1000000</f>
        <v>4.2625000000000002</v>
      </c>
      <c r="W442" s="56">
        <f>(1000*CHOOSE(CONTROL!$C$42, 0.0916, 0.0916)*CHOOSE(CONTROL!$C$42, 121.5, 121.5)*CHOOSE(CONTROL!$C$42, 31, 31))/1000000</f>
        <v>0.34501139999999997</v>
      </c>
      <c r="X442" s="56">
        <f>(31*0.1790888*145000/1000000)+(31*0.2374*100000/1000000)</f>
        <v>1.5409441560000001</v>
      </c>
      <c r="Y442" s="56"/>
      <c r="Z442" s="17"/>
      <c r="AA442" s="55"/>
      <c r="AB442" s="48">
        <f>(B442*131.881+C442*277.167+D442*79.08+E442*225.872+F442*40+G442*85+H442*0+I442*100+J442*300)/(131.881+277.167+79.08+225.872+0+40+85+100+300)</f>
        <v>16.729265977239709</v>
      </c>
      <c r="AC442" s="45">
        <f>(M442*'RAP TEMPLATE-GAS AVAILABILITY'!O441+N442*'RAP TEMPLATE-GAS AVAILABILITY'!P441+O442*'RAP TEMPLATE-GAS AVAILABILITY'!Q441+P442*'RAP TEMPLATE-GAS AVAILABILITY'!R441)/('RAP TEMPLATE-GAS AVAILABILITY'!O441+'RAP TEMPLATE-GAS AVAILABILITY'!P441+'RAP TEMPLATE-GAS AVAILABILITY'!Q441+'RAP TEMPLATE-GAS AVAILABILITY'!R441)</f>
        <v>16.601860431654675</v>
      </c>
    </row>
    <row r="443" spans="1:29" ht="15.75" x14ac:dyDescent="0.25">
      <c r="A443" s="14">
        <v>54026</v>
      </c>
      <c r="B443" s="17">
        <f>CHOOSE(CONTROL!$C$42, 17.0842, 17.0842) * CHOOSE(CONTROL!$C$21, $C$9, 100%, $E$9)</f>
        <v>17.084199999999999</v>
      </c>
      <c r="C443" s="17">
        <f>CHOOSE(CONTROL!$C$42, 17.0893, 17.0893) * CHOOSE(CONTROL!$C$21, $C$9, 100%, $E$9)</f>
        <v>17.089300000000001</v>
      </c>
      <c r="D443" s="17">
        <f>CHOOSE(CONTROL!$C$42, 17.2299, 17.2299) * CHOOSE(CONTROL!$C$21, $C$9, 100%, $E$9)</f>
        <v>17.229900000000001</v>
      </c>
      <c r="E443" s="17">
        <f>CHOOSE(CONTROL!$C$42, 17.2637, 17.2637) * CHOOSE(CONTROL!$C$21, $C$9, 100%, $E$9)</f>
        <v>17.2637</v>
      </c>
      <c r="F443" s="17">
        <f>CHOOSE(CONTROL!$C$42, 17.0975, 17.0975)*CHOOSE(CONTROL!$C$21, $C$9, 100%, $E$9)</f>
        <v>17.0975</v>
      </c>
      <c r="G443" s="17">
        <f>CHOOSE(CONTROL!$C$42, 17.1143, 17.1143)*CHOOSE(CONTROL!$C$21, $C$9, 100%, $E$9)</f>
        <v>17.1143</v>
      </c>
      <c r="H443" s="17">
        <f>CHOOSE(CONTROL!$C$42, 17.2526, 17.2526) * CHOOSE(CONTROL!$C$21, $C$9, 100%, $E$9)</f>
        <v>17.252600000000001</v>
      </c>
      <c r="I443" s="17">
        <f>CHOOSE(CONTROL!$C$42, 17.1596, 17.1596)* CHOOSE(CONTROL!$C$21, $C$9, 100%, $E$9)</f>
        <v>17.159600000000001</v>
      </c>
      <c r="J443" s="17">
        <f>CHOOSE(CONTROL!$C$42, 17.0901, 17.0901)* CHOOSE(CONTROL!$C$21, $C$9, 100%, $E$9)</f>
        <v>17.0901</v>
      </c>
      <c r="K443" s="52">
        <f>CHOOSE(CONTROL!$C$42, 17.1535, 17.1535) * CHOOSE(CONTROL!$C$21, $C$9, 100%, $E$9)</f>
        <v>17.153500000000001</v>
      </c>
      <c r="L443" s="17">
        <f>CHOOSE(CONTROL!$C$42, 17.8396, 17.8396) * CHOOSE(CONTROL!$C$21, $C$9, 100%, $E$9)</f>
        <v>17.839600000000001</v>
      </c>
      <c r="M443" s="17">
        <f>CHOOSE(CONTROL!$C$42, 16.9434, 16.9434) * CHOOSE(CONTROL!$C$21, $C$9, 100%, $E$9)</f>
        <v>16.9434</v>
      </c>
      <c r="N443" s="17">
        <f>CHOOSE(CONTROL!$C$42, 16.9601, 16.9601) * CHOOSE(CONTROL!$C$21, $C$9, 100%, $E$9)</f>
        <v>16.960100000000001</v>
      </c>
      <c r="O443" s="17">
        <f>CHOOSE(CONTROL!$C$42, 17.1044, 17.1044) * CHOOSE(CONTROL!$C$21, $C$9, 100%, $E$9)</f>
        <v>17.104399999999998</v>
      </c>
      <c r="P443" s="17">
        <f>CHOOSE(CONTROL!$C$42, 17.0118, 17.0118) * CHOOSE(CONTROL!$C$21, $C$9, 100%, $E$9)</f>
        <v>17.011800000000001</v>
      </c>
      <c r="Q443" s="17">
        <f>CHOOSE(CONTROL!$C$42, 17.6991, 17.6991) * CHOOSE(CONTROL!$C$21, $C$9, 100%, $E$9)</f>
        <v>17.699100000000001</v>
      </c>
      <c r="R443" s="17">
        <f>CHOOSE(CONTROL!$C$42, 18.3303, 18.3303) * CHOOSE(CONTROL!$C$21, $C$9, 100%, $E$9)</f>
        <v>18.330300000000001</v>
      </c>
      <c r="S443" s="17">
        <f>CHOOSE(CONTROL!$C$42, 16.557, 16.557) * CHOOSE(CONTROL!$C$21, $C$9, 100%, $E$9)</f>
        <v>16.556999999999999</v>
      </c>
      <c r="T443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443" s="56">
        <f>(1000*CHOOSE(CONTROL!$C$42, 695, 695)*CHOOSE(CONTROL!$C$42, 0.5599, 0.5599)*CHOOSE(CONTROL!$C$42, 30, 30))/1000000</f>
        <v>11.673914999999997</v>
      </c>
      <c r="V443" s="56">
        <f>(1000*CHOOSE(CONTROL!$C$42, 500, 500)*CHOOSE(CONTROL!$C$42, 0.275, 0.275)*CHOOSE(CONTROL!$C$42, 30, 30))/1000000</f>
        <v>4.125</v>
      </c>
      <c r="W443" s="56">
        <f>(1000*CHOOSE(CONTROL!$C$42, 0.0916, 0.0916)*CHOOSE(CONTROL!$C$42, 121.5, 121.5)*CHOOSE(CONTROL!$C$42, 30, 30))/1000000</f>
        <v>0.33388200000000001</v>
      </c>
      <c r="X443" s="56">
        <f>(30*0.2374*100000/1000000)</f>
        <v>0.71220000000000006</v>
      </c>
      <c r="Y443" s="56"/>
      <c r="Z443" s="17"/>
      <c r="AA443" s="55"/>
      <c r="AB443" s="48">
        <f>(B443*122.58+C443*297.941+D443*89.177+E443*140.302+F443*40+G443*60+H443*0+I443*100+J443*300)/(122.58+297.941+89.177+140.302+0+40+60+100+300)</f>
        <v>17.128847649565216</v>
      </c>
      <c r="AC443" s="45">
        <f>(M443*'RAP TEMPLATE-GAS AVAILABILITY'!O442+N443*'RAP TEMPLATE-GAS AVAILABILITY'!P442+O443*'RAP TEMPLATE-GAS AVAILABILITY'!Q442+P443*'RAP TEMPLATE-GAS AVAILABILITY'!R442)/('RAP TEMPLATE-GAS AVAILABILITY'!O442+'RAP TEMPLATE-GAS AVAILABILITY'!P442+'RAP TEMPLATE-GAS AVAILABILITY'!Q442+'RAP TEMPLATE-GAS AVAILABILITY'!R442)</f>
        <v>17.027174100719421</v>
      </c>
    </row>
    <row r="444" spans="1:29" ht="15.75" x14ac:dyDescent="0.25">
      <c r="A444" s="14">
        <v>54057</v>
      </c>
      <c r="B444" s="17">
        <f>CHOOSE(CONTROL!$C$42, 18.2482, 18.2482) * CHOOSE(CONTROL!$C$21, $C$9, 100%, $E$9)</f>
        <v>18.248200000000001</v>
      </c>
      <c r="C444" s="17">
        <f>CHOOSE(CONTROL!$C$42, 18.2533, 18.2533) * CHOOSE(CONTROL!$C$21, $C$9, 100%, $E$9)</f>
        <v>18.253299999999999</v>
      </c>
      <c r="D444" s="17">
        <f>CHOOSE(CONTROL!$C$42, 18.394, 18.394) * CHOOSE(CONTROL!$C$21, $C$9, 100%, $E$9)</f>
        <v>18.393999999999998</v>
      </c>
      <c r="E444" s="17">
        <f>CHOOSE(CONTROL!$C$42, 18.4278, 18.4278) * CHOOSE(CONTROL!$C$21, $C$9, 100%, $E$9)</f>
        <v>18.427800000000001</v>
      </c>
      <c r="F444" s="17">
        <f>CHOOSE(CONTROL!$C$42, 18.264, 18.264)*CHOOSE(CONTROL!$C$21, $C$9, 100%, $E$9)</f>
        <v>18.263999999999999</v>
      </c>
      <c r="G444" s="17">
        <f>CHOOSE(CONTROL!$C$42, 18.2814, 18.2814)*CHOOSE(CONTROL!$C$21, $C$9, 100%, $E$9)</f>
        <v>18.281400000000001</v>
      </c>
      <c r="H444" s="17">
        <f>CHOOSE(CONTROL!$C$42, 18.4166, 18.4166) * CHOOSE(CONTROL!$C$21, $C$9, 100%, $E$9)</f>
        <v>18.416599999999999</v>
      </c>
      <c r="I444" s="17">
        <f>CHOOSE(CONTROL!$C$42, 18.3272, 18.3272)* CHOOSE(CONTROL!$C$21, $C$9, 100%, $E$9)</f>
        <v>18.327200000000001</v>
      </c>
      <c r="J444" s="17">
        <f>CHOOSE(CONTROL!$C$42, 18.2566, 18.2566)* CHOOSE(CONTROL!$C$21, $C$9, 100%, $E$9)</f>
        <v>18.256599999999999</v>
      </c>
      <c r="K444" s="52">
        <f>CHOOSE(CONTROL!$C$42, 18.3212, 18.3212) * CHOOSE(CONTROL!$C$21, $C$9, 100%, $E$9)</f>
        <v>18.321200000000001</v>
      </c>
      <c r="L444" s="17">
        <f>CHOOSE(CONTROL!$C$42, 19.0036, 19.0036) * CHOOSE(CONTROL!$C$21, $C$9, 100%, $E$9)</f>
        <v>19.003599999999999</v>
      </c>
      <c r="M444" s="17">
        <f>CHOOSE(CONTROL!$C$42, 18.0994, 18.0994) * CHOOSE(CONTROL!$C$21, $C$9, 100%, $E$9)</f>
        <v>18.099399999999999</v>
      </c>
      <c r="N444" s="17">
        <f>CHOOSE(CONTROL!$C$42, 18.1167, 18.1167) * CHOOSE(CONTROL!$C$21, $C$9, 100%, $E$9)</f>
        <v>18.116700000000002</v>
      </c>
      <c r="O444" s="17">
        <f>CHOOSE(CONTROL!$C$42, 18.258, 18.258) * CHOOSE(CONTROL!$C$21, $C$9, 100%, $E$9)</f>
        <v>18.257999999999999</v>
      </c>
      <c r="P444" s="17">
        <f>CHOOSE(CONTROL!$C$42, 18.169, 18.169) * CHOOSE(CONTROL!$C$21, $C$9, 100%, $E$9)</f>
        <v>18.169</v>
      </c>
      <c r="Q444" s="17">
        <f>CHOOSE(CONTROL!$C$42, 18.8527, 18.8527) * CHOOSE(CONTROL!$C$21, $C$9, 100%, $E$9)</f>
        <v>18.852699999999999</v>
      </c>
      <c r="R444" s="17">
        <f>CHOOSE(CONTROL!$C$42, 19.4868, 19.4868) * CHOOSE(CONTROL!$C$21, $C$9, 100%, $E$9)</f>
        <v>19.486799999999999</v>
      </c>
      <c r="S444" s="17">
        <f>CHOOSE(CONTROL!$C$42, 17.6858, 17.6858) * CHOOSE(CONTROL!$C$21, $C$9, 100%, $E$9)</f>
        <v>17.6858</v>
      </c>
      <c r="T444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444" s="56">
        <f>(1000*CHOOSE(CONTROL!$C$42, 695, 695)*CHOOSE(CONTROL!$C$42, 0.5599, 0.5599)*CHOOSE(CONTROL!$C$42, 31, 31))/1000000</f>
        <v>12.063045499999998</v>
      </c>
      <c r="V444" s="56">
        <f>(1000*CHOOSE(CONTROL!$C$42, 500, 500)*CHOOSE(CONTROL!$C$42, 0.275, 0.275)*CHOOSE(CONTROL!$C$42, 31, 31))/1000000</f>
        <v>4.2625000000000002</v>
      </c>
      <c r="W444" s="56">
        <f>(1000*CHOOSE(CONTROL!$C$42, 0.0916, 0.0916)*CHOOSE(CONTROL!$C$42, 121.5, 121.5)*CHOOSE(CONTROL!$C$42, 31, 31))/1000000</f>
        <v>0.34501139999999997</v>
      </c>
      <c r="X444" s="56">
        <f>(31*0.2374*100000/1000000)</f>
        <v>0.73594000000000004</v>
      </c>
      <c r="Y444" s="56"/>
      <c r="Z444" s="17"/>
      <c r="AA444" s="55"/>
      <c r="AB444" s="48">
        <f>(B444*122.58+C444*297.941+D444*89.177+E444*140.302+F444*40+G444*60+H444*0+I444*100+J444*300)/(122.58+297.941+89.177+140.302+0+40+60+100+300)</f>
        <v>18.294081517304345</v>
      </c>
      <c r="AC444" s="45">
        <f>(M444*'RAP TEMPLATE-GAS AVAILABILITY'!O443+N444*'RAP TEMPLATE-GAS AVAILABILITY'!P443+O444*'RAP TEMPLATE-GAS AVAILABILITY'!Q443+P444*'RAP TEMPLATE-GAS AVAILABILITY'!R443)/('RAP TEMPLATE-GAS AVAILABILITY'!O443+'RAP TEMPLATE-GAS AVAILABILITY'!P443+'RAP TEMPLATE-GAS AVAILABILITY'!Q443+'RAP TEMPLATE-GAS AVAILABILITY'!R443)</f>
        <v>18.182293525179851</v>
      </c>
    </row>
    <row r="445" spans="1:29" ht="15.75" x14ac:dyDescent="0.25">
      <c r="A445" s="14">
        <v>54088</v>
      </c>
      <c r="B445" s="17">
        <f>CHOOSE(CONTROL!$C$42, 19.6499, 19.6499) * CHOOSE(CONTROL!$C$21, $C$9, 100%, $E$9)</f>
        <v>19.649899999999999</v>
      </c>
      <c r="C445" s="17">
        <f>CHOOSE(CONTROL!$C$42, 19.655, 19.655) * CHOOSE(CONTROL!$C$21, $C$9, 100%, $E$9)</f>
        <v>19.655000000000001</v>
      </c>
      <c r="D445" s="17">
        <f>CHOOSE(CONTROL!$C$42, 19.7889, 19.7889) * CHOOSE(CONTROL!$C$21, $C$9, 100%, $E$9)</f>
        <v>19.788900000000002</v>
      </c>
      <c r="E445" s="17">
        <f>CHOOSE(CONTROL!$C$42, 19.8227, 19.8227) * CHOOSE(CONTROL!$C$21, $C$9, 100%, $E$9)</f>
        <v>19.822700000000001</v>
      </c>
      <c r="F445" s="17">
        <f>CHOOSE(CONTROL!$C$42, 19.6633, 19.6633)*CHOOSE(CONTROL!$C$21, $C$9, 100%, $E$9)</f>
        <v>19.6633</v>
      </c>
      <c r="G445" s="17">
        <f>CHOOSE(CONTROL!$C$42, 19.6802, 19.6802)*CHOOSE(CONTROL!$C$21, $C$9, 100%, $E$9)</f>
        <v>19.680199999999999</v>
      </c>
      <c r="H445" s="17">
        <f>CHOOSE(CONTROL!$C$42, 19.8116, 19.8116) * CHOOSE(CONTROL!$C$21, $C$9, 100%, $E$9)</f>
        <v>19.811599999999999</v>
      </c>
      <c r="I445" s="17">
        <f>CHOOSE(CONTROL!$C$42, 19.7374, 19.7374)* CHOOSE(CONTROL!$C$21, $C$9, 100%, $E$9)</f>
        <v>19.737400000000001</v>
      </c>
      <c r="J445" s="17">
        <f>CHOOSE(CONTROL!$C$42, 19.6559, 19.6559)* CHOOSE(CONTROL!$C$21, $C$9, 100%, $E$9)</f>
        <v>19.655899999999999</v>
      </c>
      <c r="K445" s="52">
        <f>CHOOSE(CONTROL!$C$42, 19.7313, 19.7313) * CHOOSE(CONTROL!$C$21, $C$9, 100%, $E$9)</f>
        <v>19.731300000000001</v>
      </c>
      <c r="L445" s="17">
        <f>CHOOSE(CONTROL!$C$42, 20.3986, 20.3986) * CHOOSE(CONTROL!$C$21, $C$9, 100%, $E$9)</f>
        <v>20.398599999999998</v>
      </c>
      <c r="M445" s="17">
        <f>CHOOSE(CONTROL!$C$42, 19.4862, 19.4862) * CHOOSE(CONTROL!$C$21, $C$9, 100%, $E$9)</f>
        <v>19.4862</v>
      </c>
      <c r="N445" s="17">
        <f>CHOOSE(CONTROL!$C$42, 19.5029, 19.5029) * CHOOSE(CONTROL!$C$21, $C$9, 100%, $E$9)</f>
        <v>19.5029</v>
      </c>
      <c r="O445" s="17">
        <f>CHOOSE(CONTROL!$C$42, 19.6404, 19.6404) * CHOOSE(CONTROL!$C$21, $C$9, 100%, $E$9)</f>
        <v>19.6404</v>
      </c>
      <c r="P445" s="17">
        <f>CHOOSE(CONTROL!$C$42, 19.5664, 19.5664) * CHOOSE(CONTROL!$C$21, $C$9, 100%, $E$9)</f>
        <v>19.566400000000002</v>
      </c>
      <c r="Q445" s="17">
        <f>CHOOSE(CONTROL!$C$42, 20.2351, 20.2351) * CHOOSE(CONTROL!$C$21, $C$9, 100%, $E$9)</f>
        <v>20.235099999999999</v>
      </c>
      <c r="R445" s="17">
        <f>CHOOSE(CONTROL!$C$42, 20.8727, 20.8727) * CHOOSE(CONTROL!$C$21, $C$9, 100%, $E$9)</f>
        <v>20.872699999999998</v>
      </c>
      <c r="S445" s="17">
        <f>CHOOSE(CONTROL!$C$42, 19.045, 19.045) * CHOOSE(CONTROL!$C$21, $C$9, 100%, $E$9)</f>
        <v>19.045000000000002</v>
      </c>
      <c r="T445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445" s="56">
        <f>(1000*CHOOSE(CONTROL!$C$42, 695, 695)*CHOOSE(CONTROL!$C$42, 0.5599, 0.5599)*CHOOSE(CONTROL!$C$42, 31, 31))/1000000</f>
        <v>12.063045499999998</v>
      </c>
      <c r="V445" s="56">
        <f>(1000*CHOOSE(CONTROL!$C$42, 500, 500)*CHOOSE(CONTROL!$C$42, 0.275, 0.275)*CHOOSE(CONTROL!$C$42, 31, 31))/1000000</f>
        <v>4.2625000000000002</v>
      </c>
      <c r="W445" s="56">
        <f>(1000*CHOOSE(CONTROL!$C$42, 0.0916, 0.0916)*CHOOSE(CONTROL!$C$42, 121.5, 121.5)*CHOOSE(CONTROL!$C$42, 31, 31))/1000000</f>
        <v>0.34501139999999997</v>
      </c>
      <c r="X445" s="56">
        <f>(31*0.2374*100000/1000000)</f>
        <v>0.73594000000000004</v>
      </c>
      <c r="Y445" s="56"/>
      <c r="Z445" s="17"/>
      <c r="AA445" s="55"/>
      <c r="AB445" s="48">
        <f>(B445*122.58+C445*297.941+D445*89.177+E445*140.302+F445*40+G445*60+H445*0+I445*100+J445*300)/(122.58+297.941+89.177+140.302+0+40+60+100+300)</f>
        <v>19.694302858869566</v>
      </c>
      <c r="AC445" s="45">
        <f>(M445*'RAP TEMPLATE-GAS AVAILABILITY'!O444+N445*'RAP TEMPLATE-GAS AVAILABILITY'!P444+O445*'RAP TEMPLATE-GAS AVAILABILITY'!Q444+P445*'RAP TEMPLATE-GAS AVAILABILITY'!R444)/('RAP TEMPLATE-GAS AVAILABILITY'!O444+'RAP TEMPLATE-GAS AVAILABILITY'!P444+'RAP TEMPLATE-GAS AVAILABILITY'!Q444+'RAP TEMPLATE-GAS AVAILABILITY'!R444)</f>
        <v>19.568589928057552</v>
      </c>
    </row>
    <row r="446" spans="1:29" ht="15.75" x14ac:dyDescent="0.25">
      <c r="A446" s="14">
        <v>54116</v>
      </c>
      <c r="B446" s="17">
        <f>CHOOSE(CONTROL!$C$42, 19.9995, 19.9995) * CHOOSE(CONTROL!$C$21, $C$9, 100%, $E$9)</f>
        <v>19.999500000000001</v>
      </c>
      <c r="C446" s="17">
        <f>CHOOSE(CONTROL!$C$42, 20.0046, 20.0046) * CHOOSE(CONTROL!$C$21, $C$9, 100%, $E$9)</f>
        <v>20.0046</v>
      </c>
      <c r="D446" s="17">
        <f>CHOOSE(CONTROL!$C$42, 20.1385, 20.1385) * CHOOSE(CONTROL!$C$21, $C$9, 100%, $E$9)</f>
        <v>20.138500000000001</v>
      </c>
      <c r="E446" s="17">
        <f>CHOOSE(CONTROL!$C$42, 20.1723, 20.1723) * CHOOSE(CONTROL!$C$21, $C$9, 100%, $E$9)</f>
        <v>20.1723</v>
      </c>
      <c r="F446" s="17">
        <f>CHOOSE(CONTROL!$C$42, 20.0129, 20.0129)*CHOOSE(CONTROL!$C$21, $C$9, 100%, $E$9)</f>
        <v>20.012899999999998</v>
      </c>
      <c r="G446" s="17">
        <f>CHOOSE(CONTROL!$C$42, 20.0298, 20.0298)*CHOOSE(CONTROL!$C$21, $C$9, 100%, $E$9)</f>
        <v>20.029800000000002</v>
      </c>
      <c r="H446" s="17">
        <f>CHOOSE(CONTROL!$C$42, 20.1612, 20.1612) * CHOOSE(CONTROL!$C$21, $C$9, 100%, $E$9)</f>
        <v>20.161200000000001</v>
      </c>
      <c r="I446" s="17">
        <f>CHOOSE(CONTROL!$C$42, 20.088, 20.088)* CHOOSE(CONTROL!$C$21, $C$9, 100%, $E$9)</f>
        <v>20.088000000000001</v>
      </c>
      <c r="J446" s="17">
        <f>CHOOSE(CONTROL!$C$42, 20.0055, 20.0055)* CHOOSE(CONTROL!$C$21, $C$9, 100%, $E$9)</f>
        <v>20.005500000000001</v>
      </c>
      <c r="K446" s="52">
        <f>CHOOSE(CONTROL!$C$42, 20.082, 20.082) * CHOOSE(CONTROL!$C$21, $C$9, 100%, $E$9)</f>
        <v>20.082000000000001</v>
      </c>
      <c r="L446" s="17">
        <f>CHOOSE(CONTROL!$C$42, 20.7482, 20.7482) * CHOOSE(CONTROL!$C$21, $C$9, 100%, $E$9)</f>
        <v>20.748200000000001</v>
      </c>
      <c r="M446" s="17">
        <f>CHOOSE(CONTROL!$C$42, 19.8326, 19.8326) * CHOOSE(CONTROL!$C$21, $C$9, 100%, $E$9)</f>
        <v>19.832599999999999</v>
      </c>
      <c r="N446" s="17">
        <f>CHOOSE(CONTROL!$C$42, 19.8493, 19.8493) * CHOOSE(CONTROL!$C$21, $C$9, 100%, $E$9)</f>
        <v>19.849299999999999</v>
      </c>
      <c r="O446" s="17">
        <f>CHOOSE(CONTROL!$C$42, 19.9868, 19.9868) * CHOOSE(CONTROL!$C$21, $C$9, 100%, $E$9)</f>
        <v>19.986799999999999</v>
      </c>
      <c r="P446" s="17">
        <f>CHOOSE(CONTROL!$C$42, 19.9139, 19.9139) * CHOOSE(CONTROL!$C$21, $C$9, 100%, $E$9)</f>
        <v>19.913900000000002</v>
      </c>
      <c r="Q446" s="17">
        <f>CHOOSE(CONTROL!$C$42, 20.5815, 20.5815) * CHOOSE(CONTROL!$C$21, $C$9, 100%, $E$9)</f>
        <v>20.581499999999998</v>
      </c>
      <c r="R446" s="17">
        <f>CHOOSE(CONTROL!$C$42, 21.22, 21.22) * CHOOSE(CONTROL!$C$21, $C$9, 100%, $E$9)</f>
        <v>21.22</v>
      </c>
      <c r="S446" s="17">
        <f>CHOOSE(CONTROL!$C$42, 19.384, 19.384) * CHOOSE(CONTROL!$C$21, $C$9, 100%, $E$9)</f>
        <v>19.384</v>
      </c>
      <c r="T446" s="56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446" s="56">
        <f>(1000*CHOOSE(CONTROL!$C$42, 695, 695)*CHOOSE(CONTROL!$C$42, 0.5599, 0.5599)*CHOOSE(CONTROL!$C$42, 29, 29))/1000000</f>
        <v>11.284784499999999</v>
      </c>
      <c r="V446" s="56">
        <f>(1000*CHOOSE(CONTROL!$C$42, 500, 500)*CHOOSE(CONTROL!$C$42, 0.275, 0.275)*CHOOSE(CONTROL!$C$42, 29, 29))/1000000</f>
        <v>3.9874999999999998</v>
      </c>
      <c r="W446" s="56">
        <f>(1000*CHOOSE(CONTROL!$C$42, 0.0916, 0.0916)*CHOOSE(CONTROL!$C$42, 121.5, 121.5)*CHOOSE(CONTROL!$C$42, 29, 29))/1000000</f>
        <v>0.3227526</v>
      </c>
      <c r="X446" s="56">
        <f>(29*0.2374*100000/1000000)</f>
        <v>0.68845999999999996</v>
      </c>
      <c r="Y446" s="56"/>
      <c r="Z446" s="17"/>
      <c r="AA446" s="55"/>
      <c r="AB446" s="48">
        <f>(B446*122.58+C446*297.941+D446*89.177+E446*140.302+F446*40+G446*60+H446*0+I446*100+J446*300)/(122.58+297.941+89.177+140.302+0+40+60+100+300)</f>
        <v>20.043989815391306</v>
      </c>
      <c r="AC446" s="45">
        <f>(M446*'RAP TEMPLATE-GAS AVAILABILITY'!O445+N446*'RAP TEMPLATE-GAS AVAILABILITY'!P445+O446*'RAP TEMPLATE-GAS AVAILABILITY'!Q445+P446*'RAP TEMPLATE-GAS AVAILABILITY'!R445)/('RAP TEMPLATE-GAS AVAILABILITY'!O445+'RAP TEMPLATE-GAS AVAILABILITY'!P445+'RAP TEMPLATE-GAS AVAILABILITY'!Q445+'RAP TEMPLATE-GAS AVAILABILITY'!R445)</f>
        <v>19.915148201438846</v>
      </c>
    </row>
    <row r="447" spans="1:29" ht="15.75" x14ac:dyDescent="0.25">
      <c r="A447" s="14">
        <v>54148</v>
      </c>
      <c r="B447" s="17">
        <f>CHOOSE(CONTROL!$C$42, 19.432, 19.432) * CHOOSE(CONTROL!$C$21, $C$9, 100%, $E$9)</f>
        <v>19.431999999999999</v>
      </c>
      <c r="C447" s="17">
        <f>CHOOSE(CONTROL!$C$42, 19.4371, 19.4371) * CHOOSE(CONTROL!$C$21, $C$9, 100%, $E$9)</f>
        <v>19.437100000000001</v>
      </c>
      <c r="D447" s="17">
        <f>CHOOSE(CONTROL!$C$42, 19.571, 19.571) * CHOOSE(CONTROL!$C$21, $C$9, 100%, $E$9)</f>
        <v>19.571000000000002</v>
      </c>
      <c r="E447" s="17">
        <f>CHOOSE(CONTROL!$C$42, 19.6048, 19.6048) * CHOOSE(CONTROL!$C$21, $C$9, 100%, $E$9)</f>
        <v>19.604800000000001</v>
      </c>
      <c r="F447" s="17">
        <f>CHOOSE(CONTROL!$C$42, 19.4446, 19.4446)*CHOOSE(CONTROL!$C$21, $C$9, 100%, $E$9)</f>
        <v>19.444600000000001</v>
      </c>
      <c r="G447" s="17">
        <f>CHOOSE(CONTROL!$C$42, 19.4613, 19.4613)*CHOOSE(CONTROL!$C$21, $C$9, 100%, $E$9)</f>
        <v>19.461300000000001</v>
      </c>
      <c r="H447" s="17">
        <f>CHOOSE(CONTROL!$C$42, 19.5937, 19.5937) * CHOOSE(CONTROL!$C$21, $C$9, 100%, $E$9)</f>
        <v>19.593699999999998</v>
      </c>
      <c r="I447" s="17">
        <f>CHOOSE(CONTROL!$C$42, 19.5188, 19.5188)* CHOOSE(CONTROL!$C$21, $C$9, 100%, $E$9)</f>
        <v>19.518799999999999</v>
      </c>
      <c r="J447" s="17">
        <f>CHOOSE(CONTROL!$C$42, 19.4372, 19.4372)* CHOOSE(CONTROL!$C$21, $C$9, 100%, $E$9)</f>
        <v>19.437200000000001</v>
      </c>
      <c r="K447" s="52">
        <f>CHOOSE(CONTROL!$C$42, 19.5127, 19.5127) * CHOOSE(CONTROL!$C$21, $C$9, 100%, $E$9)</f>
        <v>19.512699999999999</v>
      </c>
      <c r="L447" s="17">
        <f>CHOOSE(CONTROL!$C$42, 20.1807, 20.1807) * CHOOSE(CONTROL!$C$21, $C$9, 100%, $E$9)</f>
        <v>20.180700000000002</v>
      </c>
      <c r="M447" s="17">
        <f>CHOOSE(CONTROL!$C$42, 19.2694, 19.2694) * CHOOSE(CONTROL!$C$21, $C$9, 100%, $E$9)</f>
        <v>19.269400000000001</v>
      </c>
      <c r="N447" s="17">
        <f>CHOOSE(CONTROL!$C$42, 19.286, 19.286) * CHOOSE(CONTROL!$C$21, $C$9, 100%, $E$9)</f>
        <v>19.286000000000001</v>
      </c>
      <c r="O447" s="17">
        <f>CHOOSE(CONTROL!$C$42, 19.4244, 19.4244) * CHOOSE(CONTROL!$C$21, $C$9, 100%, $E$9)</f>
        <v>19.424399999999999</v>
      </c>
      <c r="P447" s="17">
        <f>CHOOSE(CONTROL!$C$42, 19.3498, 19.3498) * CHOOSE(CONTROL!$C$21, $C$9, 100%, $E$9)</f>
        <v>19.349799999999998</v>
      </c>
      <c r="Q447" s="17">
        <f>CHOOSE(CONTROL!$C$42, 20.0191, 20.0191) * CHOOSE(CONTROL!$C$21, $C$9, 100%, $E$9)</f>
        <v>20.019100000000002</v>
      </c>
      <c r="R447" s="17">
        <f>CHOOSE(CONTROL!$C$42, 20.6562, 20.6562) * CHOOSE(CONTROL!$C$21, $C$9, 100%, $E$9)</f>
        <v>20.656199999999998</v>
      </c>
      <c r="S447" s="17">
        <f>CHOOSE(CONTROL!$C$42, 18.8337, 18.8337) * CHOOSE(CONTROL!$C$21, $C$9, 100%, $E$9)</f>
        <v>18.8337</v>
      </c>
      <c r="T447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447" s="56">
        <f>(1000*CHOOSE(CONTROL!$C$42, 695, 695)*CHOOSE(CONTROL!$C$42, 0.5599, 0.5599)*CHOOSE(CONTROL!$C$42, 31, 31))/1000000</f>
        <v>12.063045499999998</v>
      </c>
      <c r="V447" s="56">
        <f>(1000*CHOOSE(CONTROL!$C$42, 500, 500)*CHOOSE(CONTROL!$C$42, 0.275, 0.275)*CHOOSE(CONTROL!$C$42, 31, 31))/1000000</f>
        <v>4.2625000000000002</v>
      </c>
      <c r="W447" s="56">
        <f>(1000*CHOOSE(CONTROL!$C$42, 0.0916, 0.0916)*CHOOSE(CONTROL!$C$42, 121.5, 121.5)*CHOOSE(CONTROL!$C$42, 31, 31))/1000000</f>
        <v>0.34501139999999997</v>
      </c>
      <c r="X447" s="56">
        <f>(31*0.2374*100000/1000000)</f>
        <v>0.73594000000000004</v>
      </c>
      <c r="Y447" s="56"/>
      <c r="Z447" s="17"/>
      <c r="AA447" s="55"/>
      <c r="AB447" s="48">
        <f>(B447*122.58+C447*297.941+D447*89.177+E447*140.302+F447*40+G447*60+H447*0+I447*100+J447*300)/(122.58+297.941+89.177+140.302+0+40+60+100+300)</f>
        <v>19.476053293652175</v>
      </c>
      <c r="AC447" s="45">
        <f>(M447*'RAP TEMPLATE-GAS AVAILABILITY'!O446+N447*'RAP TEMPLATE-GAS AVAILABILITY'!P446+O447*'RAP TEMPLATE-GAS AVAILABILITY'!Q446+P447*'RAP TEMPLATE-GAS AVAILABILITY'!R446)/('RAP TEMPLATE-GAS AVAILABILITY'!O446+'RAP TEMPLATE-GAS AVAILABILITY'!P446+'RAP TEMPLATE-GAS AVAILABILITY'!Q446+'RAP TEMPLATE-GAS AVAILABILITY'!R446)</f>
        <v>19.352175539568343</v>
      </c>
    </row>
    <row r="448" spans="1:29" ht="15.75" x14ac:dyDescent="0.25">
      <c r="A448" s="14">
        <v>54178</v>
      </c>
      <c r="B448" s="17">
        <f>CHOOSE(CONTROL!$C$42, 19.3749, 19.3749) * CHOOSE(CONTROL!$C$21, $C$9, 100%, $E$9)</f>
        <v>19.3749</v>
      </c>
      <c r="C448" s="17">
        <f>CHOOSE(CONTROL!$C$42, 19.3794, 19.3794) * CHOOSE(CONTROL!$C$21, $C$9, 100%, $E$9)</f>
        <v>19.3794</v>
      </c>
      <c r="D448" s="17">
        <f>CHOOSE(CONTROL!$C$42, 19.6424, 19.6424) * CHOOSE(CONTROL!$C$21, $C$9, 100%, $E$9)</f>
        <v>19.642399999999999</v>
      </c>
      <c r="E448" s="17">
        <f>CHOOSE(CONTROL!$C$42, 19.6742, 19.6742) * CHOOSE(CONTROL!$C$21, $C$9, 100%, $E$9)</f>
        <v>19.674199999999999</v>
      </c>
      <c r="F448" s="17">
        <f>CHOOSE(CONTROL!$C$42, 19.3858, 19.3858)*CHOOSE(CONTROL!$C$21, $C$9, 100%, $E$9)</f>
        <v>19.3858</v>
      </c>
      <c r="G448" s="17">
        <f>CHOOSE(CONTROL!$C$42, 19.4019, 19.4019)*CHOOSE(CONTROL!$C$21, $C$9, 100%, $E$9)</f>
        <v>19.401900000000001</v>
      </c>
      <c r="H448" s="17">
        <f>CHOOSE(CONTROL!$C$42, 19.6637, 19.6637) * CHOOSE(CONTROL!$C$21, $C$9, 100%, $E$9)</f>
        <v>19.663699999999999</v>
      </c>
      <c r="I448" s="17">
        <f>CHOOSE(CONTROL!$C$42, 19.4602, 19.4602)* CHOOSE(CONTROL!$C$21, $C$9, 100%, $E$9)</f>
        <v>19.4602</v>
      </c>
      <c r="J448" s="17">
        <f>CHOOSE(CONTROL!$C$42, 19.3784, 19.3784)* CHOOSE(CONTROL!$C$21, $C$9, 100%, $E$9)</f>
        <v>19.378399999999999</v>
      </c>
      <c r="K448" s="52">
        <f>CHOOSE(CONTROL!$C$42, 19.4542, 19.4542) * CHOOSE(CONTROL!$C$21, $C$9, 100%, $E$9)</f>
        <v>19.4542</v>
      </c>
      <c r="L448" s="17">
        <f>CHOOSE(CONTROL!$C$42, 20.2507, 20.2507) * CHOOSE(CONTROL!$C$21, $C$9, 100%, $E$9)</f>
        <v>20.250699999999998</v>
      </c>
      <c r="M448" s="17">
        <f>CHOOSE(CONTROL!$C$42, 19.2111, 19.2111) * CHOOSE(CONTROL!$C$21, $C$9, 100%, $E$9)</f>
        <v>19.211099999999998</v>
      </c>
      <c r="N448" s="17">
        <f>CHOOSE(CONTROL!$C$42, 19.2271, 19.2271) * CHOOSE(CONTROL!$C$21, $C$9, 100%, $E$9)</f>
        <v>19.2271</v>
      </c>
      <c r="O448" s="17">
        <f>CHOOSE(CONTROL!$C$42, 19.4938, 19.4938) * CHOOSE(CONTROL!$C$21, $C$9, 100%, $E$9)</f>
        <v>19.4938</v>
      </c>
      <c r="P448" s="17">
        <f>CHOOSE(CONTROL!$C$42, 19.2917, 19.2917) * CHOOSE(CONTROL!$C$21, $C$9, 100%, $E$9)</f>
        <v>19.291699999999999</v>
      </c>
      <c r="Q448" s="17">
        <f>CHOOSE(CONTROL!$C$42, 20.0885, 20.0885) * CHOOSE(CONTROL!$C$21, $C$9, 100%, $E$9)</f>
        <v>20.0885</v>
      </c>
      <c r="R448" s="17">
        <f>CHOOSE(CONTROL!$C$42, 20.7257, 20.7257) * CHOOSE(CONTROL!$C$21, $C$9, 100%, $E$9)</f>
        <v>20.7257</v>
      </c>
      <c r="S448" s="17">
        <f>CHOOSE(CONTROL!$C$42, 18.7776, 18.7776) * CHOOSE(CONTROL!$C$21, $C$9, 100%, $E$9)</f>
        <v>18.7776</v>
      </c>
      <c r="T448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448" s="56">
        <f>(1000*CHOOSE(CONTROL!$C$42, 695, 695)*CHOOSE(CONTROL!$C$42, 0.5599, 0.5599)*CHOOSE(CONTROL!$C$42, 30, 30))/1000000</f>
        <v>11.673914999999997</v>
      </c>
      <c r="V448" s="56">
        <f>(1000*CHOOSE(CONTROL!$C$42, 500, 500)*CHOOSE(CONTROL!$C$42, 0.275, 0.275)*CHOOSE(CONTROL!$C$42, 30, 30))/1000000</f>
        <v>4.125</v>
      </c>
      <c r="W448" s="56">
        <f>(1000*CHOOSE(CONTROL!$C$42, 0.0916, 0.0916)*CHOOSE(CONTROL!$C$42, 121.5, 121.5)*CHOOSE(CONTROL!$C$42, 30, 30))/1000000</f>
        <v>0.33388200000000001</v>
      </c>
      <c r="X448" s="56">
        <f>(30*0.1790888*145000/1000000)+(30*0.2374*100000/1000000)</f>
        <v>1.4912362799999999</v>
      </c>
      <c r="Y448" s="56"/>
      <c r="Z448" s="17"/>
      <c r="AA448" s="55"/>
      <c r="AB448" s="48">
        <f>(B448*141.293+C448*267.993+D448*115.016+E448*189.698+F448*40+G448*85+H448*0+I448*100+J448*300)/(141.293+267.993+115.016+189.698+0+40+85+100+300)</f>
        <v>19.456466069330105</v>
      </c>
      <c r="AC448" s="45">
        <f>(M448*'RAP TEMPLATE-GAS AVAILABILITY'!O447+N448*'RAP TEMPLATE-GAS AVAILABILITY'!P447+O448*'RAP TEMPLATE-GAS AVAILABILITY'!Q447+P448*'RAP TEMPLATE-GAS AVAILABILITY'!R447)/('RAP TEMPLATE-GAS AVAILABILITY'!O447+'RAP TEMPLATE-GAS AVAILABILITY'!P447+'RAP TEMPLATE-GAS AVAILABILITY'!Q447+'RAP TEMPLATE-GAS AVAILABILITY'!R447)</f>
        <v>19.305699280575542</v>
      </c>
    </row>
    <row r="449" spans="1:29" ht="15.75" x14ac:dyDescent="0.25">
      <c r="A449" s="14">
        <v>54209</v>
      </c>
      <c r="B449" s="17">
        <f>CHOOSE(CONTROL!$C$42, 19.5471, 19.5471) * CHOOSE(CONTROL!$C$21, $C$9, 100%, $E$9)</f>
        <v>19.5471</v>
      </c>
      <c r="C449" s="17">
        <f>CHOOSE(CONTROL!$C$42, 19.5551, 19.5551) * CHOOSE(CONTROL!$C$21, $C$9, 100%, $E$9)</f>
        <v>19.555099999999999</v>
      </c>
      <c r="D449" s="17">
        <f>CHOOSE(CONTROL!$C$42, 19.8151, 19.8151) * CHOOSE(CONTROL!$C$21, $C$9, 100%, $E$9)</f>
        <v>19.815100000000001</v>
      </c>
      <c r="E449" s="17">
        <f>CHOOSE(CONTROL!$C$42, 19.8462, 19.8462) * CHOOSE(CONTROL!$C$21, $C$9, 100%, $E$9)</f>
        <v>19.8462</v>
      </c>
      <c r="F449" s="17">
        <f>CHOOSE(CONTROL!$C$42, 19.5568, 19.5568)*CHOOSE(CONTROL!$C$21, $C$9, 100%, $E$9)</f>
        <v>19.556799999999999</v>
      </c>
      <c r="G449" s="17">
        <f>CHOOSE(CONTROL!$C$42, 19.5733, 19.5733)*CHOOSE(CONTROL!$C$21, $C$9, 100%, $E$9)</f>
        <v>19.5733</v>
      </c>
      <c r="H449" s="17">
        <f>CHOOSE(CONTROL!$C$42, 19.8346, 19.8346) * CHOOSE(CONTROL!$C$21, $C$9, 100%, $E$9)</f>
        <v>19.834599999999998</v>
      </c>
      <c r="I449" s="17">
        <f>CHOOSE(CONTROL!$C$42, 19.6316, 19.6316)* CHOOSE(CONTROL!$C$21, $C$9, 100%, $E$9)</f>
        <v>19.631599999999999</v>
      </c>
      <c r="J449" s="17">
        <f>CHOOSE(CONTROL!$C$42, 19.5494, 19.5494)* CHOOSE(CONTROL!$C$21, $C$9, 100%, $E$9)</f>
        <v>19.549399999999999</v>
      </c>
      <c r="K449" s="52">
        <f>CHOOSE(CONTROL!$C$42, 19.6256, 19.6256) * CHOOSE(CONTROL!$C$21, $C$9, 100%, $E$9)</f>
        <v>19.625599999999999</v>
      </c>
      <c r="L449" s="17">
        <f>CHOOSE(CONTROL!$C$42, 20.4216, 20.4216) * CHOOSE(CONTROL!$C$21, $C$9, 100%, $E$9)</f>
        <v>20.421600000000002</v>
      </c>
      <c r="M449" s="17">
        <f>CHOOSE(CONTROL!$C$42, 19.3806, 19.3806) * CHOOSE(CONTROL!$C$21, $C$9, 100%, $E$9)</f>
        <v>19.380600000000001</v>
      </c>
      <c r="N449" s="17">
        <f>CHOOSE(CONTROL!$C$42, 19.3969, 19.3969) * CHOOSE(CONTROL!$C$21, $C$9, 100%, $E$9)</f>
        <v>19.396899999999999</v>
      </c>
      <c r="O449" s="17">
        <f>CHOOSE(CONTROL!$C$42, 19.6632, 19.6632) * CHOOSE(CONTROL!$C$21, $C$9, 100%, $E$9)</f>
        <v>19.6632</v>
      </c>
      <c r="P449" s="17">
        <f>CHOOSE(CONTROL!$C$42, 19.4616, 19.4616) * CHOOSE(CONTROL!$C$21, $C$9, 100%, $E$9)</f>
        <v>19.461600000000001</v>
      </c>
      <c r="Q449" s="17">
        <f>CHOOSE(CONTROL!$C$42, 20.2579, 20.2579) * CHOOSE(CONTROL!$C$21, $C$9, 100%, $E$9)</f>
        <v>20.257899999999999</v>
      </c>
      <c r="R449" s="17">
        <f>CHOOSE(CONTROL!$C$42, 20.8955, 20.8955) * CHOOSE(CONTROL!$C$21, $C$9, 100%, $E$9)</f>
        <v>20.895499999999998</v>
      </c>
      <c r="S449" s="17">
        <f>CHOOSE(CONTROL!$C$42, 18.9433, 18.9433) * CHOOSE(CONTROL!$C$21, $C$9, 100%, $E$9)</f>
        <v>18.943300000000001</v>
      </c>
      <c r="T449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449" s="56">
        <f>(1000*CHOOSE(CONTROL!$C$42, 695, 695)*CHOOSE(CONTROL!$C$42, 0.5599, 0.5599)*CHOOSE(CONTROL!$C$42, 31, 31))/1000000</f>
        <v>12.063045499999998</v>
      </c>
      <c r="V449" s="56">
        <f>(1000*CHOOSE(CONTROL!$C$42, 500, 500)*CHOOSE(CONTROL!$C$42, 0.275, 0.275)*CHOOSE(CONTROL!$C$42, 31, 31))/1000000</f>
        <v>4.2625000000000002</v>
      </c>
      <c r="W449" s="56">
        <f>(1000*CHOOSE(CONTROL!$C$42, 0.0916, 0.0916)*CHOOSE(CONTROL!$C$42, 121.5, 121.5)*CHOOSE(CONTROL!$C$42, 31, 31))/1000000</f>
        <v>0.34501139999999997</v>
      </c>
      <c r="X449" s="56">
        <f>(31*0.1790888*145000/1000000)+(31*0.2374*100000/1000000)</f>
        <v>1.5409441560000001</v>
      </c>
      <c r="Y449" s="56"/>
      <c r="Z449" s="17"/>
      <c r="AA449" s="55"/>
      <c r="AB449" s="48">
        <f>(B449*194.205+C449*267.466+D449*133.845+E449*153.484+F449*40+G449*85+H449*0+I449*100+J449*300)/(194.205+267.466+133.845+153.484+0+40+85+100+300)</f>
        <v>19.622195959497645</v>
      </c>
      <c r="AC449" s="45">
        <f>(M449*'RAP TEMPLATE-GAS AVAILABILITY'!O448+N449*'RAP TEMPLATE-GAS AVAILABILITY'!P448+O449*'RAP TEMPLATE-GAS AVAILABILITY'!Q448+P449*'RAP TEMPLATE-GAS AVAILABILITY'!R448)/('RAP TEMPLATE-GAS AVAILABILITY'!O448+'RAP TEMPLATE-GAS AVAILABILITY'!P448+'RAP TEMPLATE-GAS AVAILABILITY'!Q448+'RAP TEMPLATE-GAS AVAILABILITY'!R448)</f>
        <v>19.475297841726618</v>
      </c>
    </row>
    <row r="450" spans="1:29" ht="15.75" x14ac:dyDescent="0.25">
      <c r="A450" s="14">
        <v>54239</v>
      </c>
      <c r="B450" s="17">
        <f>CHOOSE(CONTROL!$C$42, 20.1013, 20.1013) * CHOOSE(CONTROL!$C$21, $C$9, 100%, $E$9)</f>
        <v>20.101299999999998</v>
      </c>
      <c r="C450" s="17">
        <f>CHOOSE(CONTROL!$C$42, 20.1092, 20.1092) * CHOOSE(CONTROL!$C$21, $C$9, 100%, $E$9)</f>
        <v>20.109200000000001</v>
      </c>
      <c r="D450" s="17">
        <f>CHOOSE(CONTROL!$C$42, 20.3692, 20.3692) * CHOOSE(CONTROL!$C$21, $C$9, 100%, $E$9)</f>
        <v>20.369199999999999</v>
      </c>
      <c r="E450" s="17">
        <f>CHOOSE(CONTROL!$C$42, 20.4003, 20.4003) * CHOOSE(CONTROL!$C$21, $C$9, 100%, $E$9)</f>
        <v>20.400300000000001</v>
      </c>
      <c r="F450" s="17">
        <f>CHOOSE(CONTROL!$C$42, 20.1112, 20.1112)*CHOOSE(CONTROL!$C$21, $C$9, 100%, $E$9)</f>
        <v>20.1112</v>
      </c>
      <c r="G450" s="17">
        <f>CHOOSE(CONTROL!$C$42, 20.1278, 20.1278)*CHOOSE(CONTROL!$C$21, $C$9, 100%, $E$9)</f>
        <v>20.127800000000001</v>
      </c>
      <c r="H450" s="17">
        <f>CHOOSE(CONTROL!$C$42, 20.3887, 20.3887) * CHOOSE(CONTROL!$C$21, $C$9, 100%, $E$9)</f>
        <v>20.3887</v>
      </c>
      <c r="I450" s="17">
        <f>CHOOSE(CONTROL!$C$42, 20.1875, 20.1875)* CHOOSE(CONTROL!$C$21, $C$9, 100%, $E$9)</f>
        <v>20.1875</v>
      </c>
      <c r="J450" s="17">
        <f>CHOOSE(CONTROL!$C$42, 20.1038, 20.1038)* CHOOSE(CONTROL!$C$21, $C$9, 100%, $E$9)</f>
        <v>20.1038</v>
      </c>
      <c r="K450" s="52">
        <f>CHOOSE(CONTROL!$C$42, 20.1814, 20.1814) * CHOOSE(CONTROL!$C$21, $C$9, 100%, $E$9)</f>
        <v>20.1814</v>
      </c>
      <c r="L450" s="17">
        <f>CHOOSE(CONTROL!$C$42, 20.9757, 20.9757) * CHOOSE(CONTROL!$C$21, $C$9, 100%, $E$9)</f>
        <v>20.9757</v>
      </c>
      <c r="M450" s="17">
        <f>CHOOSE(CONTROL!$C$42, 19.93, 19.93) * CHOOSE(CONTROL!$C$21, $C$9, 100%, $E$9)</f>
        <v>19.93</v>
      </c>
      <c r="N450" s="17">
        <f>CHOOSE(CONTROL!$C$42, 19.9464, 19.9464) * CHOOSE(CONTROL!$C$21, $C$9, 100%, $E$9)</f>
        <v>19.946400000000001</v>
      </c>
      <c r="O450" s="17">
        <f>CHOOSE(CONTROL!$C$42, 20.2123, 20.2123) * CHOOSE(CONTROL!$C$21, $C$9, 100%, $E$9)</f>
        <v>20.212299999999999</v>
      </c>
      <c r="P450" s="17">
        <f>CHOOSE(CONTROL!$C$42, 20.0124, 20.0124) * CHOOSE(CONTROL!$C$21, $C$9, 100%, $E$9)</f>
        <v>20.0124</v>
      </c>
      <c r="Q450" s="17">
        <f>CHOOSE(CONTROL!$C$42, 20.807, 20.807) * CHOOSE(CONTROL!$C$21, $C$9, 100%, $E$9)</f>
        <v>20.806999999999999</v>
      </c>
      <c r="R450" s="17">
        <f>CHOOSE(CONTROL!$C$42, 21.446, 21.446) * CHOOSE(CONTROL!$C$21, $C$9, 100%, $E$9)</f>
        <v>21.446000000000002</v>
      </c>
      <c r="S450" s="17">
        <f>CHOOSE(CONTROL!$C$42, 19.4806, 19.4806) * CHOOSE(CONTROL!$C$21, $C$9, 100%, $E$9)</f>
        <v>19.480599999999999</v>
      </c>
      <c r="T450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450" s="56">
        <f>(1000*CHOOSE(CONTROL!$C$42, 695, 695)*CHOOSE(CONTROL!$C$42, 0.5599, 0.5599)*CHOOSE(CONTROL!$C$42, 30, 30))/1000000</f>
        <v>11.673914999999997</v>
      </c>
      <c r="V450" s="56">
        <f>(1000*CHOOSE(CONTROL!$C$42, 500, 500)*CHOOSE(CONTROL!$C$42, 0.275, 0.275)*CHOOSE(CONTROL!$C$42, 30, 30))/1000000</f>
        <v>4.125</v>
      </c>
      <c r="W450" s="56">
        <f>(1000*CHOOSE(CONTROL!$C$42, 0.0916, 0.0916)*CHOOSE(CONTROL!$C$42, 121.5, 121.5)*CHOOSE(CONTROL!$C$42, 30, 30))/1000000</f>
        <v>0.33388200000000001</v>
      </c>
      <c r="X450" s="56">
        <f>(30*0.1790888*145000/1000000)+(30*0.2374*100000/1000000)</f>
        <v>1.4912362799999999</v>
      </c>
      <c r="Y450" s="56"/>
      <c r="Z450" s="17"/>
      <c r="AA450" s="55"/>
      <c r="AB450" s="48">
        <f>(B450*194.205+C450*267.466+D450*133.845+E450*153.484+F450*40+G450*85+H450*0+I450*100+J450*300)/(194.205+267.466+133.845+153.484+0+40+85+100+300)</f>
        <v>20.176559240894822</v>
      </c>
      <c r="AC450" s="45">
        <f>(M450*'RAP TEMPLATE-GAS AVAILABILITY'!O449+N450*'RAP TEMPLATE-GAS AVAILABILITY'!P449+O450*'RAP TEMPLATE-GAS AVAILABILITY'!Q449+P450*'RAP TEMPLATE-GAS AVAILABILITY'!R449)/('RAP TEMPLATE-GAS AVAILABILITY'!O449+'RAP TEMPLATE-GAS AVAILABILITY'!P449+'RAP TEMPLATE-GAS AVAILABILITY'!Q449+'RAP TEMPLATE-GAS AVAILABILITY'!R449)</f>
        <v>20.024838129496402</v>
      </c>
    </row>
    <row r="451" spans="1:29" ht="15.75" x14ac:dyDescent="0.25">
      <c r="A451" s="14">
        <v>54270</v>
      </c>
      <c r="B451" s="17">
        <f>CHOOSE(CONTROL!$C$42, 19.7159, 19.7159) * CHOOSE(CONTROL!$C$21, $C$9, 100%, $E$9)</f>
        <v>19.715900000000001</v>
      </c>
      <c r="C451" s="17">
        <f>CHOOSE(CONTROL!$C$42, 19.7238, 19.7238) * CHOOSE(CONTROL!$C$21, $C$9, 100%, $E$9)</f>
        <v>19.723800000000001</v>
      </c>
      <c r="D451" s="17">
        <f>CHOOSE(CONTROL!$C$42, 19.9838, 19.9838) * CHOOSE(CONTROL!$C$21, $C$9, 100%, $E$9)</f>
        <v>19.983799999999999</v>
      </c>
      <c r="E451" s="17">
        <f>CHOOSE(CONTROL!$C$42, 20.015, 20.015) * CHOOSE(CONTROL!$C$21, $C$9, 100%, $E$9)</f>
        <v>20.015000000000001</v>
      </c>
      <c r="F451" s="17">
        <f>CHOOSE(CONTROL!$C$42, 19.7263, 19.7263)*CHOOSE(CONTROL!$C$21, $C$9, 100%, $E$9)</f>
        <v>19.726299999999998</v>
      </c>
      <c r="G451" s="17">
        <f>CHOOSE(CONTROL!$C$42, 19.7429, 19.7429)*CHOOSE(CONTROL!$C$21, $C$9, 100%, $E$9)</f>
        <v>19.742899999999999</v>
      </c>
      <c r="H451" s="17">
        <f>CHOOSE(CONTROL!$C$42, 20.0033, 20.0033) * CHOOSE(CONTROL!$C$21, $C$9, 100%, $E$9)</f>
        <v>20.003299999999999</v>
      </c>
      <c r="I451" s="17">
        <f>CHOOSE(CONTROL!$C$42, 19.8009, 19.8009)* CHOOSE(CONTROL!$C$21, $C$9, 100%, $E$9)</f>
        <v>19.800899999999999</v>
      </c>
      <c r="J451" s="17">
        <f>CHOOSE(CONTROL!$C$42, 19.7189, 19.7189)* CHOOSE(CONTROL!$C$21, $C$9, 100%, $E$9)</f>
        <v>19.718900000000001</v>
      </c>
      <c r="K451" s="52">
        <f>CHOOSE(CONTROL!$C$42, 19.7949, 19.7949) * CHOOSE(CONTROL!$C$21, $C$9, 100%, $E$9)</f>
        <v>19.794899999999998</v>
      </c>
      <c r="L451" s="17">
        <f>CHOOSE(CONTROL!$C$42, 20.5903, 20.5903) * CHOOSE(CONTROL!$C$21, $C$9, 100%, $E$9)</f>
        <v>20.590299999999999</v>
      </c>
      <c r="M451" s="17">
        <f>CHOOSE(CONTROL!$C$42, 19.5485, 19.5485) * CHOOSE(CONTROL!$C$21, $C$9, 100%, $E$9)</f>
        <v>19.548500000000001</v>
      </c>
      <c r="N451" s="17">
        <f>CHOOSE(CONTROL!$C$42, 19.565, 19.565) * CHOOSE(CONTROL!$C$21, $C$9, 100%, $E$9)</f>
        <v>19.565000000000001</v>
      </c>
      <c r="O451" s="17">
        <f>CHOOSE(CONTROL!$C$42, 19.8304, 19.8304) * CHOOSE(CONTROL!$C$21, $C$9, 100%, $E$9)</f>
        <v>19.830400000000001</v>
      </c>
      <c r="P451" s="17">
        <f>CHOOSE(CONTROL!$C$42, 19.6293, 19.6293) * CHOOSE(CONTROL!$C$21, $C$9, 100%, $E$9)</f>
        <v>19.629300000000001</v>
      </c>
      <c r="Q451" s="17">
        <f>CHOOSE(CONTROL!$C$42, 20.4251, 20.4251) * CHOOSE(CONTROL!$C$21, $C$9, 100%, $E$9)</f>
        <v>20.4251</v>
      </c>
      <c r="R451" s="17">
        <f>CHOOSE(CONTROL!$C$42, 21.0632, 21.0632) * CHOOSE(CONTROL!$C$21, $C$9, 100%, $E$9)</f>
        <v>21.063199999999998</v>
      </c>
      <c r="S451" s="17">
        <f>CHOOSE(CONTROL!$C$42, 19.1069, 19.1069) * CHOOSE(CONTROL!$C$21, $C$9, 100%, $E$9)</f>
        <v>19.1069</v>
      </c>
      <c r="T451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451" s="56">
        <f>(1000*CHOOSE(CONTROL!$C$42, 695, 695)*CHOOSE(CONTROL!$C$42, 0.5599, 0.5599)*CHOOSE(CONTROL!$C$42, 31, 31))/1000000</f>
        <v>12.063045499999998</v>
      </c>
      <c r="V451" s="56">
        <f>(1000*CHOOSE(CONTROL!$C$42, 500, 500)*CHOOSE(CONTROL!$C$42, 0.275, 0.275)*CHOOSE(CONTROL!$C$42, 31, 31))/1000000</f>
        <v>4.2625000000000002</v>
      </c>
      <c r="W451" s="56">
        <f>(1000*CHOOSE(CONTROL!$C$42, 0.0916, 0.0916)*CHOOSE(CONTROL!$C$42, 121.5, 121.5)*CHOOSE(CONTROL!$C$42, 31, 31))/1000000</f>
        <v>0.34501139999999997</v>
      </c>
      <c r="X451" s="56">
        <f>(31*0.1790888*145000/1000000)+(31*0.2374*100000/1000000)</f>
        <v>1.5409441560000001</v>
      </c>
      <c r="Y451" s="56"/>
      <c r="Z451" s="17"/>
      <c r="AA451" s="55"/>
      <c r="AB451" s="48">
        <f>(B451*194.205+C451*267.466+D451*133.845+E451*153.484+F451*40+G451*85+H451*0+I451*100+J451*300)/(194.205+267.466+133.845+153.484+0+40+85+100+300)</f>
        <v>19.791243894270018</v>
      </c>
      <c r="AC451" s="45">
        <f>(M451*'RAP TEMPLATE-GAS AVAILABILITY'!O450+N451*'RAP TEMPLATE-GAS AVAILABILITY'!P450+O451*'RAP TEMPLATE-GAS AVAILABILITY'!Q450+P451*'RAP TEMPLATE-GAS AVAILABILITY'!R450)/('RAP TEMPLATE-GAS AVAILABILITY'!O450+'RAP TEMPLATE-GAS AVAILABILITY'!P450+'RAP TEMPLATE-GAS AVAILABILITY'!Q450+'RAP TEMPLATE-GAS AVAILABILITY'!R450)</f>
        <v>19.643018705035974</v>
      </c>
    </row>
    <row r="452" spans="1:29" ht="15.75" x14ac:dyDescent="0.25">
      <c r="A452" s="14">
        <v>54301</v>
      </c>
      <c r="B452" s="17">
        <f>CHOOSE(CONTROL!$C$42, 18.7426, 18.7426) * CHOOSE(CONTROL!$C$21, $C$9, 100%, $E$9)</f>
        <v>18.742599999999999</v>
      </c>
      <c r="C452" s="17">
        <f>CHOOSE(CONTROL!$C$42, 18.7506, 18.7506) * CHOOSE(CONTROL!$C$21, $C$9, 100%, $E$9)</f>
        <v>18.750599999999999</v>
      </c>
      <c r="D452" s="17">
        <f>CHOOSE(CONTROL!$C$42, 19.0105, 19.0105) * CHOOSE(CONTROL!$C$21, $C$9, 100%, $E$9)</f>
        <v>19.0105</v>
      </c>
      <c r="E452" s="17">
        <f>CHOOSE(CONTROL!$C$42, 19.0417, 19.0417) * CHOOSE(CONTROL!$C$21, $C$9, 100%, $E$9)</f>
        <v>19.041699999999999</v>
      </c>
      <c r="F452" s="17">
        <f>CHOOSE(CONTROL!$C$42, 18.7533, 18.7533)*CHOOSE(CONTROL!$C$21, $C$9, 100%, $E$9)</f>
        <v>18.753299999999999</v>
      </c>
      <c r="G452" s="17">
        <f>CHOOSE(CONTROL!$C$42, 18.77, 18.77)*CHOOSE(CONTROL!$C$21, $C$9, 100%, $E$9)</f>
        <v>18.77</v>
      </c>
      <c r="H452" s="17">
        <f>CHOOSE(CONTROL!$C$42, 19.03, 19.03) * CHOOSE(CONTROL!$C$21, $C$9, 100%, $E$9)</f>
        <v>19.03</v>
      </c>
      <c r="I452" s="17">
        <f>CHOOSE(CONTROL!$C$42, 18.8246, 18.8246)* CHOOSE(CONTROL!$C$21, $C$9, 100%, $E$9)</f>
        <v>18.8246</v>
      </c>
      <c r="J452" s="17">
        <f>CHOOSE(CONTROL!$C$42, 18.7459, 18.7459)* CHOOSE(CONTROL!$C$21, $C$9, 100%, $E$9)</f>
        <v>18.745899999999999</v>
      </c>
      <c r="K452" s="52">
        <f>CHOOSE(CONTROL!$C$42, 18.8186, 18.8186) * CHOOSE(CONTROL!$C$21, $C$9, 100%, $E$9)</f>
        <v>18.8186</v>
      </c>
      <c r="L452" s="17">
        <f>CHOOSE(CONTROL!$C$42, 19.617, 19.617) * CHOOSE(CONTROL!$C$21, $C$9, 100%, $E$9)</f>
        <v>19.617000000000001</v>
      </c>
      <c r="M452" s="17">
        <f>CHOOSE(CONTROL!$C$42, 18.5843, 18.5843) * CHOOSE(CONTROL!$C$21, $C$9, 100%, $E$9)</f>
        <v>18.584299999999999</v>
      </c>
      <c r="N452" s="17">
        <f>CHOOSE(CONTROL!$C$42, 18.6008, 18.6008) * CHOOSE(CONTROL!$C$21, $C$9, 100%, $E$9)</f>
        <v>18.6008</v>
      </c>
      <c r="O452" s="17">
        <f>CHOOSE(CONTROL!$C$42, 18.8659, 18.8659) * CHOOSE(CONTROL!$C$21, $C$9, 100%, $E$9)</f>
        <v>18.8659</v>
      </c>
      <c r="P452" s="17">
        <f>CHOOSE(CONTROL!$C$42, 18.6619, 18.6619) * CHOOSE(CONTROL!$C$21, $C$9, 100%, $E$9)</f>
        <v>18.661899999999999</v>
      </c>
      <c r="Q452" s="17">
        <f>CHOOSE(CONTROL!$C$42, 19.4606, 19.4606) * CHOOSE(CONTROL!$C$21, $C$9, 100%, $E$9)</f>
        <v>19.460599999999999</v>
      </c>
      <c r="R452" s="17">
        <f>CHOOSE(CONTROL!$C$42, 20.0963, 20.0963) * CHOOSE(CONTROL!$C$21, $C$9, 100%, $E$9)</f>
        <v>20.096299999999999</v>
      </c>
      <c r="S452" s="17">
        <f>CHOOSE(CONTROL!$C$42, 18.1631, 18.1631) * CHOOSE(CONTROL!$C$21, $C$9, 100%, $E$9)</f>
        <v>18.1631</v>
      </c>
      <c r="T452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452" s="56">
        <f>(1000*CHOOSE(CONTROL!$C$42, 695, 695)*CHOOSE(CONTROL!$C$42, 0.5599, 0.5599)*CHOOSE(CONTROL!$C$42, 31, 31))/1000000</f>
        <v>12.063045499999998</v>
      </c>
      <c r="V452" s="56">
        <f>(1000*CHOOSE(CONTROL!$C$42, 500, 500)*CHOOSE(CONTROL!$C$42, 0.275, 0.275)*CHOOSE(CONTROL!$C$42, 31, 31))/1000000</f>
        <v>4.2625000000000002</v>
      </c>
      <c r="W452" s="56">
        <f>(1000*CHOOSE(CONTROL!$C$42, 0.0916, 0.0916)*CHOOSE(CONTROL!$C$42, 121.5, 121.5)*CHOOSE(CONTROL!$C$42, 31, 31))/1000000</f>
        <v>0.34501139999999997</v>
      </c>
      <c r="X452" s="56">
        <f>(31*0.1790888*145000/1000000)+(31*0.2374*100000/1000000)</f>
        <v>1.5409441560000001</v>
      </c>
      <c r="Y452" s="56"/>
      <c r="Z452" s="17"/>
      <c r="AA452" s="55"/>
      <c r="AB452" s="48">
        <f>(B452*194.205+C452*267.466+D452*133.845+E452*153.484+F452*40+G452*85+H452*0+I452*100+J452*300)/(194.205+267.466+133.845+153.484+0+40+85+100+300)</f>
        <v>18.817836160047094</v>
      </c>
      <c r="AC452" s="45">
        <f>(M452*'RAP TEMPLATE-GAS AVAILABILITY'!O451+N452*'RAP TEMPLATE-GAS AVAILABILITY'!P451+O452*'RAP TEMPLATE-GAS AVAILABILITY'!Q451+P452*'RAP TEMPLATE-GAS AVAILABILITY'!R451)/('RAP TEMPLATE-GAS AVAILABILITY'!O451+'RAP TEMPLATE-GAS AVAILABILITY'!P451+'RAP TEMPLATE-GAS AVAILABILITY'!Q451+'RAP TEMPLATE-GAS AVAILABILITY'!R451)</f>
        <v>18.678274100719424</v>
      </c>
    </row>
    <row r="453" spans="1:29" ht="15.75" x14ac:dyDescent="0.25">
      <c r="A453" s="14">
        <v>54331</v>
      </c>
      <c r="B453" s="17">
        <f>CHOOSE(CONTROL!$C$42, 17.5532, 17.5532) * CHOOSE(CONTROL!$C$21, $C$9, 100%, $E$9)</f>
        <v>17.5532</v>
      </c>
      <c r="C453" s="17">
        <f>CHOOSE(CONTROL!$C$42, 17.5612, 17.5612) * CHOOSE(CONTROL!$C$21, $C$9, 100%, $E$9)</f>
        <v>17.561199999999999</v>
      </c>
      <c r="D453" s="17">
        <f>CHOOSE(CONTROL!$C$42, 17.8212, 17.8212) * CHOOSE(CONTROL!$C$21, $C$9, 100%, $E$9)</f>
        <v>17.821200000000001</v>
      </c>
      <c r="E453" s="17">
        <f>CHOOSE(CONTROL!$C$42, 17.8523, 17.8523) * CHOOSE(CONTROL!$C$21, $C$9, 100%, $E$9)</f>
        <v>17.8523</v>
      </c>
      <c r="F453" s="17">
        <f>CHOOSE(CONTROL!$C$42, 17.5639, 17.5639)*CHOOSE(CONTROL!$C$21, $C$9, 100%, $E$9)</f>
        <v>17.5639</v>
      </c>
      <c r="G453" s="17">
        <f>CHOOSE(CONTROL!$C$42, 17.5806, 17.5806)*CHOOSE(CONTROL!$C$21, $C$9, 100%, $E$9)</f>
        <v>17.5806</v>
      </c>
      <c r="H453" s="17">
        <f>CHOOSE(CONTROL!$C$42, 17.8407, 17.8407) * CHOOSE(CONTROL!$C$21, $C$9, 100%, $E$9)</f>
        <v>17.840699999999998</v>
      </c>
      <c r="I453" s="17">
        <f>CHOOSE(CONTROL!$C$42, 17.6316, 17.6316)* CHOOSE(CONTROL!$C$21, $C$9, 100%, $E$9)</f>
        <v>17.631599999999999</v>
      </c>
      <c r="J453" s="17">
        <f>CHOOSE(CONTROL!$C$42, 17.5565, 17.5565)* CHOOSE(CONTROL!$C$21, $C$9, 100%, $E$9)</f>
        <v>17.5565</v>
      </c>
      <c r="K453" s="52">
        <f>CHOOSE(CONTROL!$C$42, 17.6255, 17.6255) * CHOOSE(CONTROL!$C$21, $C$9, 100%, $E$9)</f>
        <v>17.625499999999999</v>
      </c>
      <c r="L453" s="17">
        <f>CHOOSE(CONTROL!$C$42, 18.4277, 18.4277) * CHOOSE(CONTROL!$C$21, $C$9, 100%, $E$9)</f>
        <v>18.427700000000002</v>
      </c>
      <c r="M453" s="17">
        <f>CHOOSE(CONTROL!$C$42, 17.4056, 17.4056) * CHOOSE(CONTROL!$C$21, $C$9, 100%, $E$9)</f>
        <v>17.4056</v>
      </c>
      <c r="N453" s="17">
        <f>CHOOSE(CONTROL!$C$42, 17.4222, 17.4222) * CHOOSE(CONTROL!$C$21, $C$9, 100%, $E$9)</f>
        <v>17.4222</v>
      </c>
      <c r="O453" s="17">
        <f>CHOOSE(CONTROL!$C$42, 17.6872, 17.6872) * CHOOSE(CONTROL!$C$21, $C$9, 100%, $E$9)</f>
        <v>17.687200000000001</v>
      </c>
      <c r="P453" s="17">
        <f>CHOOSE(CONTROL!$C$42, 17.4796, 17.4796) * CHOOSE(CONTROL!$C$21, $C$9, 100%, $E$9)</f>
        <v>17.479600000000001</v>
      </c>
      <c r="Q453" s="17">
        <f>CHOOSE(CONTROL!$C$42, 18.2819, 18.2819) * CHOOSE(CONTROL!$C$21, $C$9, 100%, $E$9)</f>
        <v>18.2819</v>
      </c>
      <c r="R453" s="17">
        <f>CHOOSE(CONTROL!$C$42, 18.9146, 18.9146) * CHOOSE(CONTROL!$C$21, $C$9, 100%, $E$9)</f>
        <v>18.9146</v>
      </c>
      <c r="S453" s="17">
        <f>CHOOSE(CONTROL!$C$42, 17.0098, 17.0098) * CHOOSE(CONTROL!$C$21, $C$9, 100%, $E$9)</f>
        <v>17.009799999999998</v>
      </c>
      <c r="T453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453" s="56">
        <f>(1000*CHOOSE(CONTROL!$C$42, 695, 695)*CHOOSE(CONTROL!$C$42, 0.5599, 0.5599)*CHOOSE(CONTROL!$C$42, 30, 30))/1000000</f>
        <v>11.673914999999997</v>
      </c>
      <c r="V453" s="56">
        <f>(1000*CHOOSE(CONTROL!$C$42, 500, 500)*CHOOSE(CONTROL!$C$42, 0.275, 0.275)*CHOOSE(CONTROL!$C$42, 30, 30))/1000000</f>
        <v>4.125</v>
      </c>
      <c r="W453" s="56">
        <f>(1000*CHOOSE(CONTROL!$C$42, 0.0916, 0.0916)*CHOOSE(CONTROL!$C$42, 121.5, 121.5)*CHOOSE(CONTROL!$C$42, 30, 30))/1000000</f>
        <v>0.33388200000000001</v>
      </c>
      <c r="X453" s="56">
        <f>(30*0.1790888*145000/1000000)+(30*0.2374*100000/1000000)</f>
        <v>1.4912362799999999</v>
      </c>
      <c r="Y453" s="56"/>
      <c r="Z453" s="17"/>
      <c r="AA453" s="55"/>
      <c r="AB453" s="48">
        <f>(B453*194.205+C453*267.466+D453*133.845+E453*153.484+F453*40+G453*85+H453*0+I453*100+J453*300)/(194.205+267.466+133.845+153.484+0+40+85+100+300)</f>
        <v>17.628164091365782</v>
      </c>
      <c r="AC453" s="45">
        <f>(M453*'RAP TEMPLATE-GAS AVAILABILITY'!O452+N453*'RAP TEMPLATE-GAS AVAILABILITY'!P452+O453*'RAP TEMPLATE-GAS AVAILABILITY'!Q452+P453*'RAP TEMPLATE-GAS AVAILABILITY'!R452)/('RAP TEMPLATE-GAS AVAILABILITY'!O452+'RAP TEMPLATE-GAS AVAILABILITY'!P452+'RAP TEMPLATE-GAS AVAILABILITY'!Q452+'RAP TEMPLATE-GAS AVAILABILITY'!R452)</f>
        <v>17.49907913669065</v>
      </c>
    </row>
    <row r="454" spans="1:29" ht="15.75" x14ac:dyDescent="0.25">
      <c r="A454" s="14">
        <v>54362</v>
      </c>
      <c r="B454" s="17">
        <f>CHOOSE(CONTROL!$C$42, 17.1954, 17.1954) * CHOOSE(CONTROL!$C$21, $C$9, 100%, $E$9)</f>
        <v>17.195399999999999</v>
      </c>
      <c r="C454" s="17">
        <f>CHOOSE(CONTROL!$C$42, 17.2007, 17.2007) * CHOOSE(CONTROL!$C$21, $C$9, 100%, $E$9)</f>
        <v>17.200700000000001</v>
      </c>
      <c r="D454" s="17">
        <f>CHOOSE(CONTROL!$C$42, 17.4655, 17.4655) * CHOOSE(CONTROL!$C$21, $C$9, 100%, $E$9)</f>
        <v>17.465499999999999</v>
      </c>
      <c r="E454" s="17">
        <f>CHOOSE(CONTROL!$C$42, 17.4944, 17.4944) * CHOOSE(CONTROL!$C$21, $C$9, 100%, $E$9)</f>
        <v>17.494399999999999</v>
      </c>
      <c r="F454" s="17">
        <f>CHOOSE(CONTROL!$C$42, 17.2082, 17.2082)*CHOOSE(CONTROL!$C$21, $C$9, 100%, $E$9)</f>
        <v>17.208200000000001</v>
      </c>
      <c r="G454" s="17">
        <f>CHOOSE(CONTROL!$C$42, 17.2248, 17.2248)*CHOOSE(CONTROL!$C$21, $C$9, 100%, $E$9)</f>
        <v>17.224799999999998</v>
      </c>
      <c r="H454" s="17">
        <f>CHOOSE(CONTROL!$C$42, 17.4845, 17.4845) * CHOOSE(CONTROL!$C$21, $C$9, 100%, $E$9)</f>
        <v>17.484500000000001</v>
      </c>
      <c r="I454" s="17">
        <f>CHOOSE(CONTROL!$C$42, 17.2743, 17.2743)* CHOOSE(CONTROL!$C$21, $C$9, 100%, $E$9)</f>
        <v>17.2743</v>
      </c>
      <c r="J454" s="17">
        <f>CHOOSE(CONTROL!$C$42, 17.2008, 17.2008)* CHOOSE(CONTROL!$C$21, $C$9, 100%, $E$9)</f>
        <v>17.200800000000001</v>
      </c>
      <c r="K454" s="52">
        <f>CHOOSE(CONTROL!$C$42, 17.2683, 17.2683) * CHOOSE(CONTROL!$C$21, $C$9, 100%, $E$9)</f>
        <v>17.2683</v>
      </c>
      <c r="L454" s="17">
        <f>CHOOSE(CONTROL!$C$42, 18.0715, 18.0715) * CHOOSE(CONTROL!$C$21, $C$9, 100%, $E$9)</f>
        <v>18.0715</v>
      </c>
      <c r="M454" s="17">
        <f>CHOOSE(CONTROL!$C$42, 17.0531, 17.0531) * CHOOSE(CONTROL!$C$21, $C$9, 100%, $E$9)</f>
        <v>17.053100000000001</v>
      </c>
      <c r="N454" s="17">
        <f>CHOOSE(CONTROL!$C$42, 17.0695, 17.0695) * CHOOSE(CONTROL!$C$21, $C$9, 100%, $E$9)</f>
        <v>17.069500000000001</v>
      </c>
      <c r="O454" s="17">
        <f>CHOOSE(CONTROL!$C$42, 17.3343, 17.3343) * CHOOSE(CONTROL!$C$21, $C$9, 100%, $E$9)</f>
        <v>17.334299999999999</v>
      </c>
      <c r="P454" s="17">
        <f>CHOOSE(CONTROL!$C$42, 17.1255, 17.1255) * CHOOSE(CONTROL!$C$21, $C$9, 100%, $E$9)</f>
        <v>17.125499999999999</v>
      </c>
      <c r="Q454" s="17">
        <f>CHOOSE(CONTROL!$C$42, 17.929, 17.929) * CHOOSE(CONTROL!$C$21, $C$9, 100%, $E$9)</f>
        <v>17.928999999999998</v>
      </c>
      <c r="R454" s="17">
        <f>CHOOSE(CONTROL!$C$42, 18.5608, 18.5608) * CHOOSE(CONTROL!$C$21, $C$9, 100%, $E$9)</f>
        <v>18.5608</v>
      </c>
      <c r="S454" s="17">
        <f>CHOOSE(CONTROL!$C$42, 16.6644, 16.6644) * CHOOSE(CONTROL!$C$21, $C$9, 100%, $E$9)</f>
        <v>16.664400000000001</v>
      </c>
      <c r="T454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454" s="56">
        <f>(1000*CHOOSE(CONTROL!$C$42, 695, 695)*CHOOSE(CONTROL!$C$42, 0.5599, 0.5599)*CHOOSE(CONTROL!$C$42, 31, 31))/1000000</f>
        <v>12.063045499999998</v>
      </c>
      <c r="V454" s="56">
        <f>(1000*CHOOSE(CONTROL!$C$42, 500, 500)*CHOOSE(CONTROL!$C$42, 0.275, 0.275)*CHOOSE(CONTROL!$C$42, 31, 31))/1000000</f>
        <v>4.2625000000000002</v>
      </c>
      <c r="W454" s="56">
        <f>(1000*CHOOSE(CONTROL!$C$42, 0.0916, 0.0916)*CHOOSE(CONTROL!$C$42, 121.5, 121.5)*CHOOSE(CONTROL!$C$42, 31, 31))/1000000</f>
        <v>0.34501139999999997</v>
      </c>
      <c r="X454" s="56">
        <f>(31*0.1790888*145000/1000000)+(31*0.2374*100000/1000000)</f>
        <v>1.5409441560000001</v>
      </c>
      <c r="Y454" s="56"/>
      <c r="Z454" s="17"/>
      <c r="AA454" s="55"/>
      <c r="AB454" s="48">
        <f>(B454*131.881+C454*277.167+D454*79.08+E454*225.872+F454*40+G454*85+H454*0+I454*100+J454*300)/(131.881+277.167+79.08+225.872+0+40+85+100+300)</f>
        <v>17.278438919370458</v>
      </c>
      <c r="AC454" s="45">
        <f>(M454*'RAP TEMPLATE-GAS AVAILABILITY'!O453+N454*'RAP TEMPLATE-GAS AVAILABILITY'!P453+O454*'RAP TEMPLATE-GAS AVAILABILITY'!Q453+P454*'RAP TEMPLATE-GAS AVAILABILITY'!R453)/('RAP TEMPLATE-GAS AVAILABILITY'!O453+'RAP TEMPLATE-GAS AVAILABILITY'!P453+'RAP TEMPLATE-GAS AVAILABILITY'!Q453+'RAP TEMPLATE-GAS AVAILABILITY'!R453)</f>
        <v>17.146190647482012</v>
      </c>
    </row>
    <row r="455" spans="1:29" ht="15.75" x14ac:dyDescent="0.25">
      <c r="A455" s="14">
        <v>54392</v>
      </c>
      <c r="B455" s="17">
        <f>CHOOSE(CONTROL!$C$42, 17.6477, 17.6477) * CHOOSE(CONTROL!$C$21, $C$9, 100%, $E$9)</f>
        <v>17.6477</v>
      </c>
      <c r="C455" s="17">
        <f>CHOOSE(CONTROL!$C$42, 17.6528, 17.6528) * CHOOSE(CONTROL!$C$21, $C$9, 100%, $E$9)</f>
        <v>17.652799999999999</v>
      </c>
      <c r="D455" s="17">
        <f>CHOOSE(CONTROL!$C$42, 17.7934, 17.7934) * CHOOSE(CONTROL!$C$21, $C$9, 100%, $E$9)</f>
        <v>17.793399999999998</v>
      </c>
      <c r="E455" s="17">
        <f>CHOOSE(CONTROL!$C$42, 17.8272, 17.8272) * CHOOSE(CONTROL!$C$21, $C$9, 100%, $E$9)</f>
        <v>17.827200000000001</v>
      </c>
      <c r="F455" s="17">
        <f>CHOOSE(CONTROL!$C$42, 17.661, 17.661)*CHOOSE(CONTROL!$C$21, $C$9, 100%, $E$9)</f>
        <v>17.661000000000001</v>
      </c>
      <c r="G455" s="17">
        <f>CHOOSE(CONTROL!$C$42, 17.6778, 17.6778)*CHOOSE(CONTROL!$C$21, $C$9, 100%, $E$9)</f>
        <v>17.677800000000001</v>
      </c>
      <c r="H455" s="17">
        <f>CHOOSE(CONTROL!$C$42, 17.8161, 17.8161) * CHOOSE(CONTROL!$C$21, $C$9, 100%, $E$9)</f>
        <v>17.816099999999999</v>
      </c>
      <c r="I455" s="17">
        <f>CHOOSE(CONTROL!$C$42, 17.7248, 17.7248)* CHOOSE(CONTROL!$C$21, $C$9, 100%, $E$9)</f>
        <v>17.724799999999998</v>
      </c>
      <c r="J455" s="17">
        <f>CHOOSE(CONTROL!$C$42, 17.6536, 17.6536)* CHOOSE(CONTROL!$C$21, $C$9, 100%, $E$9)</f>
        <v>17.653600000000001</v>
      </c>
      <c r="K455" s="52">
        <f>CHOOSE(CONTROL!$C$42, 17.7188, 17.7188) * CHOOSE(CONTROL!$C$21, $C$9, 100%, $E$9)</f>
        <v>17.718800000000002</v>
      </c>
      <c r="L455" s="17">
        <f>CHOOSE(CONTROL!$C$42, 18.4031, 18.4031) * CHOOSE(CONTROL!$C$21, $C$9, 100%, $E$9)</f>
        <v>18.403099999999998</v>
      </c>
      <c r="M455" s="17">
        <f>CHOOSE(CONTROL!$C$42, 17.5018, 17.5018) * CHOOSE(CONTROL!$C$21, $C$9, 100%, $E$9)</f>
        <v>17.501799999999999</v>
      </c>
      <c r="N455" s="17">
        <f>CHOOSE(CONTROL!$C$42, 17.5185, 17.5185) * CHOOSE(CONTROL!$C$21, $C$9, 100%, $E$9)</f>
        <v>17.5185</v>
      </c>
      <c r="O455" s="17">
        <f>CHOOSE(CONTROL!$C$42, 17.6628, 17.6628) * CHOOSE(CONTROL!$C$21, $C$9, 100%, $E$9)</f>
        <v>17.662800000000001</v>
      </c>
      <c r="P455" s="17">
        <f>CHOOSE(CONTROL!$C$42, 17.572, 17.572) * CHOOSE(CONTROL!$C$21, $C$9, 100%, $E$9)</f>
        <v>17.571999999999999</v>
      </c>
      <c r="Q455" s="17">
        <f>CHOOSE(CONTROL!$C$42, 18.2575, 18.2575) * CHOOSE(CONTROL!$C$21, $C$9, 100%, $E$9)</f>
        <v>18.2575</v>
      </c>
      <c r="R455" s="17">
        <f>CHOOSE(CONTROL!$C$42, 18.8902, 18.8902) * CHOOSE(CONTROL!$C$21, $C$9, 100%, $E$9)</f>
        <v>18.8902</v>
      </c>
      <c r="S455" s="17">
        <f>CHOOSE(CONTROL!$C$42, 17.1035, 17.1035) * CHOOSE(CONTROL!$C$21, $C$9, 100%, $E$9)</f>
        <v>17.1035</v>
      </c>
      <c r="T455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455" s="56">
        <f>(1000*CHOOSE(CONTROL!$C$42, 695, 695)*CHOOSE(CONTROL!$C$42, 0.5599, 0.5599)*CHOOSE(CONTROL!$C$42, 30, 30))/1000000</f>
        <v>11.673914999999997</v>
      </c>
      <c r="V455" s="56">
        <f>(1000*CHOOSE(CONTROL!$C$42, 500, 500)*CHOOSE(CONTROL!$C$42, 0.275, 0.275)*CHOOSE(CONTROL!$C$42, 30, 30))/1000000</f>
        <v>4.125</v>
      </c>
      <c r="W455" s="56">
        <f>(1000*CHOOSE(CONTROL!$C$42, 0.0916, 0.0916)*CHOOSE(CONTROL!$C$42, 121.5, 121.5)*CHOOSE(CONTROL!$C$42, 30, 30))/1000000</f>
        <v>0.33388200000000001</v>
      </c>
      <c r="X455" s="56">
        <f>(30*0.2374*100000/1000000)</f>
        <v>0.71220000000000006</v>
      </c>
      <c r="Y455" s="56"/>
      <c r="Z455" s="17"/>
      <c r="AA455" s="55"/>
      <c r="AB455" s="48">
        <f>(B455*122.58+C455*297.941+D455*89.177+E455*140.302+F455*40+G455*60+H455*0+I455*100+J455*300)/(122.58+297.941+89.177+140.302+0+40+60+100+300)</f>
        <v>17.692495475652173</v>
      </c>
      <c r="AC455" s="45">
        <f>(M455*'RAP TEMPLATE-GAS AVAILABILITY'!O454+N455*'RAP TEMPLATE-GAS AVAILABILITY'!P454+O455*'RAP TEMPLATE-GAS AVAILABILITY'!Q454+P455*'RAP TEMPLATE-GAS AVAILABILITY'!R454)/('RAP TEMPLATE-GAS AVAILABILITY'!O454+'RAP TEMPLATE-GAS AVAILABILITY'!P454+'RAP TEMPLATE-GAS AVAILABILITY'!Q454+'RAP TEMPLATE-GAS AVAILABILITY'!R454)</f>
        <v>17.585833093525178</v>
      </c>
    </row>
    <row r="456" spans="1:29" ht="15.75" x14ac:dyDescent="0.25">
      <c r="A456" s="14">
        <v>54423</v>
      </c>
      <c r="B456" s="17">
        <f>CHOOSE(CONTROL!$C$42, 18.8502, 18.8502) * CHOOSE(CONTROL!$C$21, $C$9, 100%, $E$9)</f>
        <v>18.850200000000001</v>
      </c>
      <c r="C456" s="17">
        <f>CHOOSE(CONTROL!$C$42, 18.8553, 18.8553) * CHOOSE(CONTROL!$C$21, $C$9, 100%, $E$9)</f>
        <v>18.8553</v>
      </c>
      <c r="D456" s="17">
        <f>CHOOSE(CONTROL!$C$42, 18.9959, 18.9959) * CHOOSE(CONTROL!$C$21, $C$9, 100%, $E$9)</f>
        <v>18.995899999999999</v>
      </c>
      <c r="E456" s="17">
        <f>CHOOSE(CONTROL!$C$42, 19.0297, 19.0297) * CHOOSE(CONTROL!$C$21, $C$9, 100%, $E$9)</f>
        <v>19.029699999999998</v>
      </c>
      <c r="F456" s="17">
        <f>CHOOSE(CONTROL!$C$42, 18.8659, 18.8659)*CHOOSE(CONTROL!$C$21, $C$9, 100%, $E$9)</f>
        <v>18.8659</v>
      </c>
      <c r="G456" s="17">
        <f>CHOOSE(CONTROL!$C$42, 18.8834, 18.8834)*CHOOSE(CONTROL!$C$21, $C$9, 100%, $E$9)</f>
        <v>18.883400000000002</v>
      </c>
      <c r="H456" s="17">
        <f>CHOOSE(CONTROL!$C$42, 19.0186, 19.0186) * CHOOSE(CONTROL!$C$21, $C$9, 100%, $E$9)</f>
        <v>19.018599999999999</v>
      </c>
      <c r="I456" s="17">
        <f>CHOOSE(CONTROL!$C$42, 18.931, 18.931)* CHOOSE(CONTROL!$C$21, $C$9, 100%, $E$9)</f>
        <v>18.931000000000001</v>
      </c>
      <c r="J456" s="17">
        <f>CHOOSE(CONTROL!$C$42, 18.8585, 18.8585)* CHOOSE(CONTROL!$C$21, $C$9, 100%, $E$9)</f>
        <v>18.858499999999999</v>
      </c>
      <c r="K456" s="52">
        <f>CHOOSE(CONTROL!$C$42, 18.925, 18.925) * CHOOSE(CONTROL!$C$21, $C$9, 100%, $E$9)</f>
        <v>18.925000000000001</v>
      </c>
      <c r="L456" s="17">
        <f>CHOOSE(CONTROL!$C$42, 19.6056, 19.6056) * CHOOSE(CONTROL!$C$21, $C$9, 100%, $E$9)</f>
        <v>19.605599999999999</v>
      </c>
      <c r="M456" s="17">
        <f>CHOOSE(CONTROL!$C$42, 18.6959, 18.6959) * CHOOSE(CONTROL!$C$21, $C$9, 100%, $E$9)</f>
        <v>18.695900000000002</v>
      </c>
      <c r="N456" s="17">
        <f>CHOOSE(CONTROL!$C$42, 18.7132, 18.7132) * CHOOSE(CONTROL!$C$21, $C$9, 100%, $E$9)</f>
        <v>18.713200000000001</v>
      </c>
      <c r="O456" s="17">
        <f>CHOOSE(CONTROL!$C$42, 18.8545, 18.8545) * CHOOSE(CONTROL!$C$21, $C$9, 100%, $E$9)</f>
        <v>18.854500000000002</v>
      </c>
      <c r="P456" s="17">
        <f>CHOOSE(CONTROL!$C$42, 18.7673, 18.7673) * CHOOSE(CONTROL!$C$21, $C$9, 100%, $E$9)</f>
        <v>18.767299999999999</v>
      </c>
      <c r="Q456" s="17">
        <f>CHOOSE(CONTROL!$C$42, 19.4492, 19.4492) * CHOOSE(CONTROL!$C$21, $C$9, 100%, $E$9)</f>
        <v>19.449200000000001</v>
      </c>
      <c r="R456" s="17">
        <f>CHOOSE(CONTROL!$C$42, 20.0849, 20.0849) * CHOOSE(CONTROL!$C$21, $C$9, 100%, $E$9)</f>
        <v>20.084900000000001</v>
      </c>
      <c r="S456" s="17">
        <f>CHOOSE(CONTROL!$C$42, 18.2695, 18.2695) * CHOOSE(CONTROL!$C$21, $C$9, 100%, $E$9)</f>
        <v>18.269500000000001</v>
      </c>
      <c r="T456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456" s="56">
        <f>(1000*CHOOSE(CONTROL!$C$42, 695, 695)*CHOOSE(CONTROL!$C$42, 0.5599, 0.5599)*CHOOSE(CONTROL!$C$42, 31, 31))/1000000</f>
        <v>12.063045499999998</v>
      </c>
      <c r="V456" s="56">
        <f>(1000*CHOOSE(CONTROL!$C$42, 500, 500)*CHOOSE(CONTROL!$C$42, 0.275, 0.275)*CHOOSE(CONTROL!$C$42, 31, 31))/1000000</f>
        <v>4.2625000000000002</v>
      </c>
      <c r="W456" s="56">
        <f>(1000*CHOOSE(CONTROL!$C$42, 0.0916, 0.0916)*CHOOSE(CONTROL!$C$42, 121.5, 121.5)*CHOOSE(CONTROL!$C$42, 31, 31))/1000000</f>
        <v>0.34501139999999997</v>
      </c>
      <c r="X456" s="56">
        <f>(31*0.2374*100000/1000000)</f>
        <v>0.73594000000000004</v>
      </c>
      <c r="Y456" s="56"/>
      <c r="Z456" s="17"/>
      <c r="AA456" s="55"/>
      <c r="AB456" s="48">
        <f>(B456*122.58+C456*297.941+D456*89.177+E456*140.302+F456*40+G456*60+H456*0+I456*100+J456*300)/(122.58+297.941+89.177+140.302+0+40+60+100+300)</f>
        <v>18.896188519130433</v>
      </c>
      <c r="AC456" s="45">
        <f>(M456*'RAP TEMPLATE-GAS AVAILABILITY'!O455+N456*'RAP TEMPLATE-GAS AVAILABILITY'!P455+O456*'RAP TEMPLATE-GAS AVAILABILITY'!Q455+P456*'RAP TEMPLATE-GAS AVAILABILITY'!R455)/('RAP TEMPLATE-GAS AVAILABILITY'!O455+'RAP TEMPLATE-GAS AVAILABILITY'!P455+'RAP TEMPLATE-GAS AVAILABILITY'!Q455+'RAP TEMPLATE-GAS AVAILABILITY'!R455)</f>
        <v>18.779052517985612</v>
      </c>
    </row>
    <row r="457" spans="1:29" ht="15.75" x14ac:dyDescent="0.25">
      <c r="A457" s="14">
        <v>54454</v>
      </c>
      <c r="B457" s="17">
        <f>CHOOSE(CONTROL!$C$42, 20.2981, 20.2981) * CHOOSE(CONTROL!$C$21, $C$9, 100%, $E$9)</f>
        <v>20.298100000000002</v>
      </c>
      <c r="C457" s="17">
        <f>CHOOSE(CONTROL!$C$42, 20.3032, 20.3032) * CHOOSE(CONTROL!$C$21, $C$9, 100%, $E$9)</f>
        <v>20.3032</v>
      </c>
      <c r="D457" s="17">
        <f>CHOOSE(CONTROL!$C$42, 20.4371, 20.4371) * CHOOSE(CONTROL!$C$21, $C$9, 100%, $E$9)</f>
        <v>20.437100000000001</v>
      </c>
      <c r="E457" s="17">
        <f>CHOOSE(CONTROL!$C$42, 20.4709, 20.4709) * CHOOSE(CONTROL!$C$21, $C$9, 100%, $E$9)</f>
        <v>20.4709</v>
      </c>
      <c r="F457" s="17">
        <f>CHOOSE(CONTROL!$C$42, 20.3115, 20.3115)*CHOOSE(CONTROL!$C$21, $C$9, 100%, $E$9)</f>
        <v>20.311499999999999</v>
      </c>
      <c r="G457" s="17">
        <f>CHOOSE(CONTROL!$C$42, 20.3284, 20.3284)*CHOOSE(CONTROL!$C$21, $C$9, 100%, $E$9)</f>
        <v>20.328399999999998</v>
      </c>
      <c r="H457" s="17">
        <f>CHOOSE(CONTROL!$C$42, 20.4597, 20.4597) * CHOOSE(CONTROL!$C$21, $C$9, 100%, $E$9)</f>
        <v>20.459700000000002</v>
      </c>
      <c r="I457" s="17">
        <f>CHOOSE(CONTROL!$C$42, 20.3876, 20.3876)* CHOOSE(CONTROL!$C$21, $C$9, 100%, $E$9)</f>
        <v>20.387599999999999</v>
      </c>
      <c r="J457" s="17">
        <f>CHOOSE(CONTROL!$C$42, 20.3041, 20.3041)* CHOOSE(CONTROL!$C$21, $C$9, 100%, $E$9)</f>
        <v>20.304099999999998</v>
      </c>
      <c r="K457" s="52">
        <f>CHOOSE(CONTROL!$C$42, 20.3815, 20.3815) * CHOOSE(CONTROL!$C$21, $C$9, 100%, $E$9)</f>
        <v>20.381499999999999</v>
      </c>
      <c r="L457" s="17">
        <f>CHOOSE(CONTROL!$C$42, 21.0467, 21.0467) * CHOOSE(CONTROL!$C$21, $C$9, 100%, $E$9)</f>
        <v>21.046700000000001</v>
      </c>
      <c r="M457" s="17">
        <f>CHOOSE(CONTROL!$C$42, 20.1285, 20.1285) * CHOOSE(CONTROL!$C$21, $C$9, 100%, $E$9)</f>
        <v>20.128499999999999</v>
      </c>
      <c r="N457" s="17">
        <f>CHOOSE(CONTROL!$C$42, 20.1453, 20.1453) * CHOOSE(CONTROL!$C$21, $C$9, 100%, $E$9)</f>
        <v>20.145299999999999</v>
      </c>
      <c r="O457" s="17">
        <f>CHOOSE(CONTROL!$C$42, 20.2827, 20.2827) * CHOOSE(CONTROL!$C$21, $C$9, 100%, $E$9)</f>
        <v>20.282699999999998</v>
      </c>
      <c r="P457" s="17">
        <f>CHOOSE(CONTROL!$C$42, 20.2107, 20.2107) * CHOOSE(CONTROL!$C$21, $C$9, 100%, $E$9)</f>
        <v>20.210699999999999</v>
      </c>
      <c r="Q457" s="17">
        <f>CHOOSE(CONTROL!$C$42, 20.8774, 20.8774) * CHOOSE(CONTROL!$C$21, $C$9, 100%, $E$9)</f>
        <v>20.877400000000002</v>
      </c>
      <c r="R457" s="17">
        <f>CHOOSE(CONTROL!$C$42, 21.5166, 21.5166) * CHOOSE(CONTROL!$C$21, $C$9, 100%, $E$9)</f>
        <v>21.5166</v>
      </c>
      <c r="S457" s="17">
        <f>CHOOSE(CONTROL!$C$42, 19.6735, 19.6735) * CHOOSE(CONTROL!$C$21, $C$9, 100%, $E$9)</f>
        <v>19.673500000000001</v>
      </c>
      <c r="T457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457" s="56">
        <f>(1000*CHOOSE(CONTROL!$C$42, 695, 695)*CHOOSE(CONTROL!$C$42, 0.5599, 0.5599)*CHOOSE(CONTROL!$C$42, 31, 31))/1000000</f>
        <v>12.063045499999998</v>
      </c>
      <c r="V457" s="56">
        <f>(1000*CHOOSE(CONTROL!$C$42, 500, 500)*CHOOSE(CONTROL!$C$42, 0.275, 0.275)*CHOOSE(CONTROL!$C$42, 31, 31))/1000000</f>
        <v>4.2625000000000002</v>
      </c>
      <c r="W457" s="56">
        <f>(1000*CHOOSE(CONTROL!$C$42, 0.0916, 0.0916)*CHOOSE(CONTROL!$C$42, 121.5, 121.5)*CHOOSE(CONTROL!$C$42, 31, 31))/1000000</f>
        <v>0.34501139999999997</v>
      </c>
      <c r="X457" s="56">
        <f>(31*0.2374*100000/1000000)</f>
        <v>0.73594000000000004</v>
      </c>
      <c r="Y457" s="56"/>
      <c r="Z457" s="17"/>
      <c r="AA457" s="55"/>
      <c r="AB457" s="48">
        <f>(B457*122.58+C457*297.941+D457*89.177+E457*140.302+F457*40+G457*60+H457*0+I457*100+J457*300)/(122.58+297.941+89.177+140.302+0+40+60+100+300)</f>
        <v>20.342676771913037</v>
      </c>
      <c r="AC457" s="45">
        <f>(M457*'RAP TEMPLATE-GAS AVAILABILITY'!O456+N457*'RAP TEMPLATE-GAS AVAILABILITY'!P456+O457*'RAP TEMPLATE-GAS AVAILABILITY'!Q456+P457*'RAP TEMPLATE-GAS AVAILABILITY'!R456)/('RAP TEMPLATE-GAS AVAILABILITY'!O456+'RAP TEMPLATE-GAS AVAILABILITY'!P456+'RAP TEMPLATE-GAS AVAILABILITY'!Q456+'RAP TEMPLATE-GAS AVAILABILITY'!R456)</f>
        <v>20.21118345323741</v>
      </c>
    </row>
    <row r="458" spans="1:29" ht="15.75" x14ac:dyDescent="0.25">
      <c r="A458" s="14">
        <v>54482</v>
      </c>
      <c r="B458" s="17">
        <f>CHOOSE(CONTROL!$C$42, 20.6592, 20.6592) * CHOOSE(CONTROL!$C$21, $C$9, 100%, $E$9)</f>
        <v>20.659199999999998</v>
      </c>
      <c r="C458" s="17">
        <f>CHOOSE(CONTROL!$C$42, 20.6643, 20.6643) * CHOOSE(CONTROL!$C$21, $C$9, 100%, $E$9)</f>
        <v>20.664300000000001</v>
      </c>
      <c r="D458" s="17">
        <f>CHOOSE(CONTROL!$C$42, 20.7983, 20.7983) * CHOOSE(CONTROL!$C$21, $C$9, 100%, $E$9)</f>
        <v>20.798300000000001</v>
      </c>
      <c r="E458" s="17">
        <f>CHOOSE(CONTROL!$C$42, 20.832, 20.832) * CHOOSE(CONTROL!$C$21, $C$9, 100%, $E$9)</f>
        <v>20.832000000000001</v>
      </c>
      <c r="F458" s="17">
        <f>CHOOSE(CONTROL!$C$42, 20.6726, 20.6726)*CHOOSE(CONTROL!$C$21, $C$9, 100%, $E$9)</f>
        <v>20.672599999999999</v>
      </c>
      <c r="G458" s="17">
        <f>CHOOSE(CONTROL!$C$42, 20.6895, 20.6895)*CHOOSE(CONTROL!$C$21, $C$9, 100%, $E$9)</f>
        <v>20.689499999999999</v>
      </c>
      <c r="H458" s="17">
        <f>CHOOSE(CONTROL!$C$42, 20.8209, 20.8209) * CHOOSE(CONTROL!$C$21, $C$9, 100%, $E$9)</f>
        <v>20.820900000000002</v>
      </c>
      <c r="I458" s="17">
        <f>CHOOSE(CONTROL!$C$42, 20.7498, 20.7498)* CHOOSE(CONTROL!$C$21, $C$9, 100%, $E$9)</f>
        <v>20.7498</v>
      </c>
      <c r="J458" s="17">
        <f>CHOOSE(CONTROL!$C$42, 20.6652, 20.6652)* CHOOSE(CONTROL!$C$21, $C$9, 100%, $E$9)</f>
        <v>20.665199999999999</v>
      </c>
      <c r="K458" s="52">
        <f>CHOOSE(CONTROL!$C$42, 20.7438, 20.7438) * CHOOSE(CONTROL!$C$21, $C$9, 100%, $E$9)</f>
        <v>20.7438</v>
      </c>
      <c r="L458" s="17">
        <f>CHOOSE(CONTROL!$C$42, 21.4079, 21.4079) * CHOOSE(CONTROL!$C$21, $C$9, 100%, $E$9)</f>
        <v>21.407900000000001</v>
      </c>
      <c r="M458" s="17">
        <f>CHOOSE(CONTROL!$C$42, 20.4864, 20.4864) * CHOOSE(CONTROL!$C$21, $C$9, 100%, $E$9)</f>
        <v>20.4864</v>
      </c>
      <c r="N458" s="17">
        <f>CHOOSE(CONTROL!$C$42, 20.5031, 20.5031) * CHOOSE(CONTROL!$C$21, $C$9, 100%, $E$9)</f>
        <v>20.5031</v>
      </c>
      <c r="O458" s="17">
        <f>CHOOSE(CONTROL!$C$42, 20.6406, 20.6406) * CHOOSE(CONTROL!$C$21, $C$9, 100%, $E$9)</f>
        <v>20.640599999999999</v>
      </c>
      <c r="P458" s="17">
        <f>CHOOSE(CONTROL!$C$42, 20.5697, 20.5697) * CHOOSE(CONTROL!$C$21, $C$9, 100%, $E$9)</f>
        <v>20.569700000000001</v>
      </c>
      <c r="Q458" s="17">
        <f>CHOOSE(CONTROL!$C$42, 21.2353, 21.2353) * CHOOSE(CONTROL!$C$21, $C$9, 100%, $E$9)</f>
        <v>21.235299999999999</v>
      </c>
      <c r="R458" s="17">
        <f>CHOOSE(CONTROL!$C$42, 21.8754, 21.8754) * CHOOSE(CONTROL!$C$21, $C$9, 100%, $E$9)</f>
        <v>21.875399999999999</v>
      </c>
      <c r="S458" s="17">
        <f>CHOOSE(CONTROL!$C$42, 20.0237, 20.0237) * CHOOSE(CONTROL!$C$21, $C$9, 100%, $E$9)</f>
        <v>20.023700000000002</v>
      </c>
      <c r="T458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458" s="56">
        <f>(1000*CHOOSE(CONTROL!$C$42, 695, 695)*CHOOSE(CONTROL!$C$42, 0.5599, 0.5599)*CHOOSE(CONTROL!$C$42, 28, 28))/1000000</f>
        <v>10.895653999999999</v>
      </c>
      <c r="V458" s="56">
        <f>(1000*CHOOSE(CONTROL!$C$42, 500, 500)*CHOOSE(CONTROL!$C$42, 0.275, 0.275)*CHOOSE(CONTROL!$C$42, 28, 28))/1000000</f>
        <v>3.85</v>
      </c>
      <c r="W458" s="56">
        <f>(1000*CHOOSE(CONTROL!$C$42, 0.0916, 0.0916)*CHOOSE(CONTROL!$C$42, 121.5, 121.5)*CHOOSE(CONTROL!$C$42, 28, 28))/1000000</f>
        <v>0.31162319999999999</v>
      </c>
      <c r="X458" s="56">
        <f>(28*0.2374*100000/1000000)</f>
        <v>0.66471999999999998</v>
      </c>
      <c r="Y458" s="56"/>
      <c r="Z458" s="17"/>
      <c r="AA458" s="55"/>
      <c r="AB458" s="48">
        <f>(B458*122.58+C458*297.941+D458*89.177+E458*140.302+F458*40+G458*60+H458*0+I458*100+J458*300)/(122.58+297.941+89.177+140.302+0+40+60+100+300)</f>
        <v>20.703880178608696</v>
      </c>
      <c r="AC458" s="45">
        <f>(M458*'RAP TEMPLATE-GAS AVAILABILITY'!O457+N458*'RAP TEMPLATE-GAS AVAILABILITY'!P457+O458*'RAP TEMPLATE-GAS AVAILABILITY'!Q457+P458*'RAP TEMPLATE-GAS AVAILABILITY'!R457)/('RAP TEMPLATE-GAS AVAILABILITY'!O457+'RAP TEMPLATE-GAS AVAILABILITY'!P457+'RAP TEMPLATE-GAS AVAILABILITY'!Q457+'RAP TEMPLATE-GAS AVAILABILITY'!R457)</f>
        <v>20.569235971223019</v>
      </c>
    </row>
    <row r="459" spans="1:29" ht="15.75" x14ac:dyDescent="0.25">
      <c r="A459" s="14">
        <v>54513</v>
      </c>
      <c r="B459" s="17">
        <f>CHOOSE(CONTROL!$C$42, 20.073, 20.073) * CHOOSE(CONTROL!$C$21, $C$9, 100%, $E$9)</f>
        <v>20.073</v>
      </c>
      <c r="C459" s="17">
        <f>CHOOSE(CONTROL!$C$42, 20.0781, 20.0781) * CHOOSE(CONTROL!$C$21, $C$9, 100%, $E$9)</f>
        <v>20.078099999999999</v>
      </c>
      <c r="D459" s="17">
        <f>CHOOSE(CONTROL!$C$42, 20.212, 20.212) * CHOOSE(CONTROL!$C$21, $C$9, 100%, $E$9)</f>
        <v>20.212</v>
      </c>
      <c r="E459" s="17">
        <f>CHOOSE(CONTROL!$C$42, 20.2458, 20.2458) * CHOOSE(CONTROL!$C$21, $C$9, 100%, $E$9)</f>
        <v>20.245799999999999</v>
      </c>
      <c r="F459" s="17">
        <f>CHOOSE(CONTROL!$C$42, 20.0856, 20.0856)*CHOOSE(CONTROL!$C$21, $C$9, 100%, $E$9)</f>
        <v>20.085599999999999</v>
      </c>
      <c r="G459" s="17">
        <f>CHOOSE(CONTROL!$C$42, 20.1023, 20.1023)*CHOOSE(CONTROL!$C$21, $C$9, 100%, $E$9)</f>
        <v>20.1023</v>
      </c>
      <c r="H459" s="17">
        <f>CHOOSE(CONTROL!$C$42, 20.2347, 20.2347) * CHOOSE(CONTROL!$C$21, $C$9, 100%, $E$9)</f>
        <v>20.2347</v>
      </c>
      <c r="I459" s="17">
        <f>CHOOSE(CONTROL!$C$42, 20.1618, 20.1618)* CHOOSE(CONTROL!$C$21, $C$9, 100%, $E$9)</f>
        <v>20.161799999999999</v>
      </c>
      <c r="J459" s="17">
        <f>CHOOSE(CONTROL!$C$42, 20.0782, 20.0782)* CHOOSE(CONTROL!$C$21, $C$9, 100%, $E$9)</f>
        <v>20.078199999999999</v>
      </c>
      <c r="K459" s="52">
        <f>CHOOSE(CONTROL!$C$42, 20.1557, 20.1557) * CHOOSE(CONTROL!$C$21, $C$9, 100%, $E$9)</f>
        <v>20.1557</v>
      </c>
      <c r="L459" s="17">
        <f>CHOOSE(CONTROL!$C$42, 20.8217, 20.8217) * CHOOSE(CONTROL!$C$21, $C$9, 100%, $E$9)</f>
        <v>20.8217</v>
      </c>
      <c r="M459" s="17">
        <f>CHOOSE(CONTROL!$C$42, 19.9047, 19.9047) * CHOOSE(CONTROL!$C$21, $C$9, 100%, $E$9)</f>
        <v>19.904699999999998</v>
      </c>
      <c r="N459" s="17">
        <f>CHOOSE(CONTROL!$C$42, 19.9212, 19.9212) * CHOOSE(CONTROL!$C$21, $C$9, 100%, $E$9)</f>
        <v>19.921199999999999</v>
      </c>
      <c r="O459" s="17">
        <f>CHOOSE(CONTROL!$C$42, 20.0597, 20.0597) * CHOOSE(CONTROL!$C$21, $C$9, 100%, $E$9)</f>
        <v>20.059699999999999</v>
      </c>
      <c r="P459" s="17">
        <f>CHOOSE(CONTROL!$C$42, 19.987, 19.987) * CHOOSE(CONTROL!$C$21, $C$9, 100%, $E$9)</f>
        <v>19.986999999999998</v>
      </c>
      <c r="Q459" s="17">
        <f>CHOOSE(CONTROL!$C$42, 20.6544, 20.6544) * CHOOSE(CONTROL!$C$21, $C$9, 100%, $E$9)</f>
        <v>20.654399999999999</v>
      </c>
      <c r="R459" s="17">
        <f>CHOOSE(CONTROL!$C$42, 21.293, 21.293) * CHOOSE(CONTROL!$C$21, $C$9, 100%, $E$9)</f>
        <v>21.292999999999999</v>
      </c>
      <c r="S459" s="17">
        <f>CHOOSE(CONTROL!$C$42, 19.4553, 19.4553) * CHOOSE(CONTROL!$C$21, $C$9, 100%, $E$9)</f>
        <v>19.455300000000001</v>
      </c>
      <c r="T459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459" s="56">
        <f>(1000*CHOOSE(CONTROL!$C$42, 695, 695)*CHOOSE(CONTROL!$C$42, 0.5599, 0.5599)*CHOOSE(CONTROL!$C$42, 31, 31))/1000000</f>
        <v>12.063045499999998</v>
      </c>
      <c r="V459" s="56">
        <f>(1000*CHOOSE(CONTROL!$C$42, 500, 500)*CHOOSE(CONTROL!$C$42, 0.275, 0.275)*CHOOSE(CONTROL!$C$42, 31, 31))/1000000</f>
        <v>4.2625000000000002</v>
      </c>
      <c r="W459" s="56">
        <f>(1000*CHOOSE(CONTROL!$C$42, 0.0916, 0.0916)*CHOOSE(CONTROL!$C$42, 121.5, 121.5)*CHOOSE(CONTROL!$C$42, 31, 31))/1000000</f>
        <v>0.34501139999999997</v>
      </c>
      <c r="X459" s="56">
        <f>(31*0.2374*100000/1000000)</f>
        <v>0.73594000000000004</v>
      </c>
      <c r="Y459" s="56"/>
      <c r="Z459" s="17"/>
      <c r="AA459" s="55"/>
      <c r="AB459" s="48">
        <f>(B459*122.58+C459*297.941+D459*89.177+E459*140.302+F459*40+G459*60+H459*0+I459*100+J459*300)/(122.58+297.941+89.177+140.302+0+40+60+100+300)</f>
        <v>20.117227206695652</v>
      </c>
      <c r="AC459" s="45">
        <f>(M459*'RAP TEMPLATE-GAS AVAILABILITY'!O458+N459*'RAP TEMPLATE-GAS AVAILABILITY'!P458+O459*'RAP TEMPLATE-GAS AVAILABILITY'!Q458+P459*'RAP TEMPLATE-GAS AVAILABILITY'!R458)/('RAP TEMPLATE-GAS AVAILABILITY'!O458+'RAP TEMPLATE-GAS AVAILABILITY'!P458+'RAP TEMPLATE-GAS AVAILABILITY'!Q458+'RAP TEMPLATE-GAS AVAILABILITY'!R458)</f>
        <v>19.987743165467624</v>
      </c>
    </row>
    <row r="460" spans="1:29" ht="15.75" x14ac:dyDescent="0.25">
      <c r="A460" s="14">
        <v>54543</v>
      </c>
      <c r="B460" s="17">
        <f>CHOOSE(CONTROL!$C$42, 20.014, 20.014) * CHOOSE(CONTROL!$C$21, $C$9, 100%, $E$9)</f>
        <v>20.013999999999999</v>
      </c>
      <c r="C460" s="17">
        <f>CHOOSE(CONTROL!$C$42, 20.0185, 20.0185) * CHOOSE(CONTROL!$C$21, $C$9, 100%, $E$9)</f>
        <v>20.0185</v>
      </c>
      <c r="D460" s="17">
        <f>CHOOSE(CONTROL!$C$42, 20.2815, 20.2815) * CHOOSE(CONTROL!$C$21, $C$9, 100%, $E$9)</f>
        <v>20.281500000000001</v>
      </c>
      <c r="E460" s="17">
        <f>CHOOSE(CONTROL!$C$42, 20.3133, 20.3133) * CHOOSE(CONTROL!$C$21, $C$9, 100%, $E$9)</f>
        <v>20.313300000000002</v>
      </c>
      <c r="F460" s="17">
        <f>CHOOSE(CONTROL!$C$42, 20.0249, 20.0249)*CHOOSE(CONTROL!$C$21, $C$9, 100%, $E$9)</f>
        <v>20.024899999999999</v>
      </c>
      <c r="G460" s="17">
        <f>CHOOSE(CONTROL!$C$42, 20.041, 20.041)*CHOOSE(CONTROL!$C$21, $C$9, 100%, $E$9)</f>
        <v>20.041</v>
      </c>
      <c r="H460" s="17">
        <f>CHOOSE(CONTROL!$C$42, 20.3027, 20.3027) * CHOOSE(CONTROL!$C$21, $C$9, 100%, $E$9)</f>
        <v>20.302700000000002</v>
      </c>
      <c r="I460" s="17">
        <f>CHOOSE(CONTROL!$C$42, 20.1013, 20.1013)* CHOOSE(CONTROL!$C$21, $C$9, 100%, $E$9)</f>
        <v>20.101299999999998</v>
      </c>
      <c r="J460" s="17">
        <f>CHOOSE(CONTROL!$C$42, 20.0175, 20.0175)* CHOOSE(CONTROL!$C$21, $C$9, 100%, $E$9)</f>
        <v>20.017499999999998</v>
      </c>
      <c r="K460" s="52">
        <f>CHOOSE(CONTROL!$C$42, 20.0952, 20.0952) * CHOOSE(CONTROL!$C$21, $C$9, 100%, $E$9)</f>
        <v>20.095199999999998</v>
      </c>
      <c r="L460" s="17">
        <f>CHOOSE(CONTROL!$C$42, 20.8897, 20.8897) * CHOOSE(CONTROL!$C$21, $C$9, 100%, $E$9)</f>
        <v>20.889700000000001</v>
      </c>
      <c r="M460" s="17">
        <f>CHOOSE(CONTROL!$C$42, 19.8445, 19.8445) * CHOOSE(CONTROL!$C$21, $C$9, 100%, $E$9)</f>
        <v>19.8445</v>
      </c>
      <c r="N460" s="17">
        <f>CHOOSE(CONTROL!$C$42, 19.8605, 19.8605) * CHOOSE(CONTROL!$C$21, $C$9, 100%, $E$9)</f>
        <v>19.860499999999998</v>
      </c>
      <c r="O460" s="17">
        <f>CHOOSE(CONTROL!$C$42, 20.1272, 20.1272) * CHOOSE(CONTROL!$C$21, $C$9, 100%, $E$9)</f>
        <v>20.127199999999998</v>
      </c>
      <c r="P460" s="17">
        <f>CHOOSE(CONTROL!$C$42, 19.927, 19.927) * CHOOSE(CONTROL!$C$21, $C$9, 100%, $E$9)</f>
        <v>19.927</v>
      </c>
      <c r="Q460" s="17">
        <f>CHOOSE(CONTROL!$C$42, 20.7219, 20.7219) * CHOOSE(CONTROL!$C$21, $C$9, 100%, $E$9)</f>
        <v>20.721900000000002</v>
      </c>
      <c r="R460" s="17">
        <f>CHOOSE(CONTROL!$C$42, 21.3607, 21.3607) * CHOOSE(CONTROL!$C$21, $C$9, 100%, $E$9)</f>
        <v>21.360700000000001</v>
      </c>
      <c r="S460" s="17">
        <f>CHOOSE(CONTROL!$C$42, 19.3973, 19.3973) * CHOOSE(CONTROL!$C$21, $C$9, 100%, $E$9)</f>
        <v>19.397300000000001</v>
      </c>
      <c r="T460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460" s="56">
        <f>(1000*CHOOSE(CONTROL!$C$42, 695, 695)*CHOOSE(CONTROL!$C$42, 0.5599, 0.5599)*CHOOSE(CONTROL!$C$42, 30, 30))/1000000</f>
        <v>11.673914999999997</v>
      </c>
      <c r="V460" s="56">
        <f>(1000*CHOOSE(CONTROL!$C$42, 500, 500)*CHOOSE(CONTROL!$C$42, 0.275, 0.275)*CHOOSE(CONTROL!$C$42, 30, 30))/1000000</f>
        <v>4.125</v>
      </c>
      <c r="W460" s="56">
        <f>(1000*CHOOSE(CONTROL!$C$42, 0.0916, 0.0916)*CHOOSE(CONTROL!$C$42, 121.5, 121.5)*CHOOSE(CONTROL!$C$42, 30, 30))/1000000</f>
        <v>0.33388200000000001</v>
      </c>
      <c r="X460" s="56">
        <f>(30*0.1790888*145000/1000000)+(30*0.2374*100000/1000000)</f>
        <v>1.4912362799999999</v>
      </c>
      <c r="Y460" s="56"/>
      <c r="Z460" s="17"/>
      <c r="AA460" s="55"/>
      <c r="AB460" s="48">
        <f>(B460*141.293+C460*267.993+D460*115.016+E460*189.698+F460*40+G460*85+H460*0+I460*100+J460*300)/(141.293+267.993+115.016+189.698+0+40+85+100+300)</f>
        <v>20.095727489830509</v>
      </c>
      <c r="AC460" s="45">
        <f>(M460*'RAP TEMPLATE-GAS AVAILABILITY'!O459+N460*'RAP TEMPLATE-GAS AVAILABILITY'!P459+O460*'RAP TEMPLATE-GAS AVAILABILITY'!Q459+P460*'RAP TEMPLATE-GAS AVAILABILITY'!R459)/('RAP TEMPLATE-GAS AVAILABILITY'!O459+'RAP TEMPLATE-GAS AVAILABILITY'!P459+'RAP TEMPLATE-GAS AVAILABILITY'!Q459+'RAP TEMPLATE-GAS AVAILABILITY'!R459)</f>
        <v>19.939372661870504</v>
      </c>
    </row>
    <row r="461" spans="1:29" ht="15.75" x14ac:dyDescent="0.25">
      <c r="A461" s="14">
        <v>54574</v>
      </c>
      <c r="B461" s="17">
        <f>CHOOSE(CONTROL!$C$42, 20.1919, 20.1919) * CHOOSE(CONTROL!$C$21, $C$9, 100%, $E$9)</f>
        <v>20.1919</v>
      </c>
      <c r="C461" s="17">
        <f>CHOOSE(CONTROL!$C$42, 20.1998, 20.1998) * CHOOSE(CONTROL!$C$21, $C$9, 100%, $E$9)</f>
        <v>20.1998</v>
      </c>
      <c r="D461" s="17">
        <f>CHOOSE(CONTROL!$C$42, 20.4598, 20.4598) * CHOOSE(CONTROL!$C$21, $C$9, 100%, $E$9)</f>
        <v>20.459800000000001</v>
      </c>
      <c r="E461" s="17">
        <f>CHOOSE(CONTROL!$C$42, 20.491, 20.491) * CHOOSE(CONTROL!$C$21, $C$9, 100%, $E$9)</f>
        <v>20.491</v>
      </c>
      <c r="F461" s="17">
        <f>CHOOSE(CONTROL!$C$42, 20.2015, 20.2015)*CHOOSE(CONTROL!$C$21, $C$9, 100%, $E$9)</f>
        <v>20.201499999999999</v>
      </c>
      <c r="G461" s="17">
        <f>CHOOSE(CONTROL!$C$42, 20.218, 20.218)*CHOOSE(CONTROL!$C$21, $C$9, 100%, $E$9)</f>
        <v>20.218</v>
      </c>
      <c r="H461" s="17">
        <f>CHOOSE(CONTROL!$C$42, 20.4793, 20.4793) * CHOOSE(CONTROL!$C$21, $C$9, 100%, $E$9)</f>
        <v>20.479299999999999</v>
      </c>
      <c r="I461" s="17">
        <f>CHOOSE(CONTROL!$C$42, 20.2784, 20.2784)* CHOOSE(CONTROL!$C$21, $C$9, 100%, $E$9)</f>
        <v>20.278400000000001</v>
      </c>
      <c r="J461" s="17">
        <f>CHOOSE(CONTROL!$C$42, 20.1941, 20.1941)* CHOOSE(CONTROL!$C$21, $C$9, 100%, $E$9)</f>
        <v>20.194099999999999</v>
      </c>
      <c r="K461" s="52">
        <f>CHOOSE(CONTROL!$C$42, 20.2723, 20.2723) * CHOOSE(CONTROL!$C$21, $C$9, 100%, $E$9)</f>
        <v>20.272300000000001</v>
      </c>
      <c r="L461" s="17">
        <f>CHOOSE(CONTROL!$C$42, 21.0663, 21.0663) * CHOOSE(CONTROL!$C$21, $C$9, 100%, $E$9)</f>
        <v>21.066299999999998</v>
      </c>
      <c r="M461" s="17">
        <f>CHOOSE(CONTROL!$C$42, 20.0195, 20.0195) * CHOOSE(CONTROL!$C$21, $C$9, 100%, $E$9)</f>
        <v>20.019500000000001</v>
      </c>
      <c r="N461" s="17">
        <f>CHOOSE(CONTROL!$C$42, 20.0358, 20.0358) * CHOOSE(CONTROL!$C$21, $C$9, 100%, $E$9)</f>
        <v>20.035799999999998</v>
      </c>
      <c r="O461" s="17">
        <f>CHOOSE(CONTROL!$C$42, 20.3021, 20.3021) * CHOOSE(CONTROL!$C$21, $C$9, 100%, $E$9)</f>
        <v>20.302099999999999</v>
      </c>
      <c r="P461" s="17">
        <f>CHOOSE(CONTROL!$C$42, 20.1025, 20.1025) * CHOOSE(CONTROL!$C$21, $C$9, 100%, $E$9)</f>
        <v>20.102499999999999</v>
      </c>
      <c r="Q461" s="17">
        <f>CHOOSE(CONTROL!$C$42, 20.8968, 20.8968) * CHOOSE(CONTROL!$C$21, $C$9, 100%, $E$9)</f>
        <v>20.896799999999999</v>
      </c>
      <c r="R461" s="17">
        <f>CHOOSE(CONTROL!$C$42, 21.5361, 21.5361) * CHOOSE(CONTROL!$C$21, $C$9, 100%, $E$9)</f>
        <v>21.536100000000001</v>
      </c>
      <c r="S461" s="17">
        <f>CHOOSE(CONTROL!$C$42, 19.5685, 19.5685) * CHOOSE(CONTROL!$C$21, $C$9, 100%, $E$9)</f>
        <v>19.5685</v>
      </c>
      <c r="T461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461" s="56">
        <f>(1000*CHOOSE(CONTROL!$C$42, 695, 695)*CHOOSE(CONTROL!$C$42, 0.5599, 0.5599)*CHOOSE(CONTROL!$C$42, 31, 31))/1000000</f>
        <v>12.063045499999998</v>
      </c>
      <c r="V461" s="56">
        <f>(1000*CHOOSE(CONTROL!$C$42, 500, 500)*CHOOSE(CONTROL!$C$42, 0.275, 0.275)*CHOOSE(CONTROL!$C$42, 31, 31))/1000000</f>
        <v>4.2625000000000002</v>
      </c>
      <c r="W461" s="56">
        <f>(1000*CHOOSE(CONTROL!$C$42, 0.0916, 0.0916)*CHOOSE(CONTROL!$C$42, 121.5, 121.5)*CHOOSE(CONTROL!$C$42, 31, 31))/1000000</f>
        <v>0.34501139999999997</v>
      </c>
      <c r="X461" s="56">
        <f>(31*0.1790888*145000/1000000)+(31*0.2374*100000/1000000)</f>
        <v>1.5409441560000001</v>
      </c>
      <c r="Y461" s="56"/>
      <c r="Z461" s="17"/>
      <c r="AA461" s="55"/>
      <c r="AB461" s="48">
        <f>(B461*194.205+C461*267.466+D461*133.845+E461*153.484+F461*40+G461*85+H461*0+I461*100+J461*300)/(194.205+267.466+133.845+153.484+0+40+85+100+300)</f>
        <v>20.267088085792778</v>
      </c>
      <c r="AC461" s="45">
        <f>(M461*'RAP TEMPLATE-GAS AVAILABILITY'!O460+N461*'RAP TEMPLATE-GAS AVAILABILITY'!P460+O461*'RAP TEMPLATE-GAS AVAILABILITY'!Q460+P461*'RAP TEMPLATE-GAS AVAILABILITY'!R460)/('RAP TEMPLATE-GAS AVAILABILITY'!O460+'RAP TEMPLATE-GAS AVAILABILITY'!P460+'RAP TEMPLATE-GAS AVAILABILITY'!Q460+'RAP TEMPLATE-GAS AVAILABILITY'!R460)</f>
        <v>20.114485611510791</v>
      </c>
    </row>
    <row r="462" spans="1:29" ht="15.75" x14ac:dyDescent="0.25">
      <c r="A462" s="14">
        <v>54604</v>
      </c>
      <c r="B462" s="17">
        <f>CHOOSE(CONTROL!$C$42, 20.7643, 20.7643) * CHOOSE(CONTROL!$C$21, $C$9, 100%, $E$9)</f>
        <v>20.764299999999999</v>
      </c>
      <c r="C462" s="17">
        <f>CHOOSE(CONTROL!$C$42, 20.7723, 20.7723) * CHOOSE(CONTROL!$C$21, $C$9, 100%, $E$9)</f>
        <v>20.772300000000001</v>
      </c>
      <c r="D462" s="17">
        <f>CHOOSE(CONTROL!$C$42, 21.0322, 21.0322) * CHOOSE(CONTROL!$C$21, $C$9, 100%, $E$9)</f>
        <v>21.0322</v>
      </c>
      <c r="E462" s="17">
        <f>CHOOSE(CONTROL!$C$42, 21.0634, 21.0634) * CHOOSE(CONTROL!$C$21, $C$9, 100%, $E$9)</f>
        <v>21.063400000000001</v>
      </c>
      <c r="F462" s="17">
        <f>CHOOSE(CONTROL!$C$42, 20.7742, 20.7742)*CHOOSE(CONTROL!$C$21, $C$9, 100%, $E$9)</f>
        <v>20.7742</v>
      </c>
      <c r="G462" s="17">
        <f>CHOOSE(CONTROL!$C$42, 20.7908, 20.7908)*CHOOSE(CONTROL!$C$21, $C$9, 100%, $E$9)</f>
        <v>20.790800000000001</v>
      </c>
      <c r="H462" s="17">
        <f>CHOOSE(CONTROL!$C$42, 21.0517, 21.0517) * CHOOSE(CONTROL!$C$21, $C$9, 100%, $E$9)</f>
        <v>21.0517</v>
      </c>
      <c r="I462" s="17">
        <f>CHOOSE(CONTROL!$C$42, 20.8526, 20.8526)* CHOOSE(CONTROL!$C$21, $C$9, 100%, $E$9)</f>
        <v>20.852599999999999</v>
      </c>
      <c r="J462" s="17">
        <f>CHOOSE(CONTROL!$C$42, 20.7668, 20.7668)* CHOOSE(CONTROL!$C$21, $C$9, 100%, $E$9)</f>
        <v>20.7668</v>
      </c>
      <c r="K462" s="52">
        <f>CHOOSE(CONTROL!$C$42, 20.8465, 20.8465) * CHOOSE(CONTROL!$C$21, $C$9, 100%, $E$9)</f>
        <v>20.846499999999999</v>
      </c>
      <c r="L462" s="17">
        <f>CHOOSE(CONTROL!$C$42, 21.6387, 21.6387) * CHOOSE(CONTROL!$C$21, $C$9, 100%, $E$9)</f>
        <v>21.6387</v>
      </c>
      <c r="M462" s="17">
        <f>CHOOSE(CONTROL!$C$42, 20.5871, 20.5871) * CHOOSE(CONTROL!$C$21, $C$9, 100%, $E$9)</f>
        <v>20.5871</v>
      </c>
      <c r="N462" s="17">
        <f>CHOOSE(CONTROL!$C$42, 20.6035, 20.6035) * CHOOSE(CONTROL!$C$21, $C$9, 100%, $E$9)</f>
        <v>20.6035</v>
      </c>
      <c r="O462" s="17">
        <f>CHOOSE(CONTROL!$C$42, 20.8694, 20.8694) * CHOOSE(CONTROL!$C$21, $C$9, 100%, $E$9)</f>
        <v>20.869399999999999</v>
      </c>
      <c r="P462" s="17">
        <f>CHOOSE(CONTROL!$C$42, 20.6715, 20.6715) * CHOOSE(CONTROL!$C$21, $C$9, 100%, $E$9)</f>
        <v>20.671500000000002</v>
      </c>
      <c r="Q462" s="17">
        <f>CHOOSE(CONTROL!$C$42, 21.4641, 21.4641) * CHOOSE(CONTROL!$C$21, $C$9, 100%, $E$9)</f>
        <v>21.464099999999998</v>
      </c>
      <c r="R462" s="17">
        <f>CHOOSE(CONTROL!$C$42, 22.1047, 22.1047) * CHOOSE(CONTROL!$C$21, $C$9, 100%, $E$9)</f>
        <v>22.104700000000001</v>
      </c>
      <c r="S462" s="17">
        <f>CHOOSE(CONTROL!$C$42, 20.1235, 20.1235) * CHOOSE(CONTROL!$C$21, $C$9, 100%, $E$9)</f>
        <v>20.1235</v>
      </c>
      <c r="T462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462" s="56">
        <f>(1000*CHOOSE(CONTROL!$C$42, 695, 695)*CHOOSE(CONTROL!$C$42, 0.5599, 0.5599)*CHOOSE(CONTROL!$C$42, 30, 30))/1000000</f>
        <v>11.673914999999997</v>
      </c>
      <c r="V462" s="56">
        <f>(1000*CHOOSE(CONTROL!$C$42, 500, 500)*CHOOSE(CONTROL!$C$42, 0.275, 0.275)*CHOOSE(CONTROL!$C$42, 30, 30))/1000000</f>
        <v>4.125</v>
      </c>
      <c r="W462" s="56">
        <f>(1000*CHOOSE(CONTROL!$C$42, 0.0916, 0.0916)*CHOOSE(CONTROL!$C$42, 121.5, 121.5)*CHOOSE(CONTROL!$C$42, 30, 30))/1000000</f>
        <v>0.33388200000000001</v>
      </c>
      <c r="X462" s="56">
        <f>(30*0.1790888*145000/1000000)+(30*0.2374*100000/1000000)</f>
        <v>1.4912362799999999</v>
      </c>
      <c r="Y462" s="56"/>
      <c r="Z462" s="17"/>
      <c r="AA462" s="55"/>
      <c r="AB462" s="48">
        <f>(B462*194.205+C462*267.466+D462*133.845+E462*153.484+F462*40+G462*85+H462*0+I462*100+J462*300)/(194.205+267.466+133.845+153.484+0+40+85+100+300)</f>
        <v>20.839757117660913</v>
      </c>
      <c r="AC462" s="45">
        <f>(M462*'RAP TEMPLATE-GAS AVAILABILITY'!O461+N462*'RAP TEMPLATE-GAS AVAILABILITY'!P461+O462*'RAP TEMPLATE-GAS AVAILABILITY'!Q461+P462*'RAP TEMPLATE-GAS AVAILABILITY'!R461)/('RAP TEMPLATE-GAS AVAILABILITY'!O461+'RAP TEMPLATE-GAS AVAILABILITY'!P461+'RAP TEMPLATE-GAS AVAILABILITY'!Q461+'RAP TEMPLATE-GAS AVAILABILITY'!R461)</f>
        <v>20.682225899280574</v>
      </c>
    </row>
    <row r="463" spans="1:29" ht="15.75" x14ac:dyDescent="0.25">
      <c r="A463" s="14">
        <v>54635</v>
      </c>
      <c r="B463" s="17">
        <f>CHOOSE(CONTROL!$C$42, 20.3662, 20.3662) * CHOOSE(CONTROL!$C$21, $C$9, 100%, $E$9)</f>
        <v>20.366199999999999</v>
      </c>
      <c r="C463" s="17">
        <f>CHOOSE(CONTROL!$C$42, 20.3741, 20.3741) * CHOOSE(CONTROL!$C$21, $C$9, 100%, $E$9)</f>
        <v>20.374099999999999</v>
      </c>
      <c r="D463" s="17">
        <f>CHOOSE(CONTROL!$C$42, 20.6341, 20.6341) * CHOOSE(CONTROL!$C$21, $C$9, 100%, $E$9)</f>
        <v>20.6341</v>
      </c>
      <c r="E463" s="17">
        <f>CHOOSE(CONTROL!$C$42, 20.6653, 20.6653) * CHOOSE(CONTROL!$C$21, $C$9, 100%, $E$9)</f>
        <v>20.665299999999998</v>
      </c>
      <c r="F463" s="17">
        <f>CHOOSE(CONTROL!$C$42, 20.3765, 20.3765)*CHOOSE(CONTROL!$C$21, $C$9, 100%, $E$9)</f>
        <v>20.3765</v>
      </c>
      <c r="G463" s="17">
        <f>CHOOSE(CONTROL!$C$42, 20.3932, 20.3932)*CHOOSE(CONTROL!$C$21, $C$9, 100%, $E$9)</f>
        <v>20.3932</v>
      </c>
      <c r="H463" s="17">
        <f>CHOOSE(CONTROL!$C$42, 20.6536, 20.6536) * CHOOSE(CONTROL!$C$21, $C$9, 100%, $E$9)</f>
        <v>20.653600000000001</v>
      </c>
      <c r="I463" s="17">
        <f>CHOOSE(CONTROL!$C$42, 20.4532, 20.4532)* CHOOSE(CONTROL!$C$21, $C$9, 100%, $E$9)</f>
        <v>20.453199999999999</v>
      </c>
      <c r="J463" s="17">
        <f>CHOOSE(CONTROL!$C$42, 20.3691, 20.3691)* CHOOSE(CONTROL!$C$21, $C$9, 100%, $E$9)</f>
        <v>20.3691</v>
      </c>
      <c r="K463" s="52">
        <f>CHOOSE(CONTROL!$C$42, 20.4472, 20.4472) * CHOOSE(CONTROL!$C$21, $C$9, 100%, $E$9)</f>
        <v>20.447199999999999</v>
      </c>
      <c r="L463" s="17">
        <f>CHOOSE(CONTROL!$C$42, 21.2406, 21.2406) * CHOOSE(CONTROL!$C$21, $C$9, 100%, $E$9)</f>
        <v>21.240600000000001</v>
      </c>
      <c r="M463" s="17">
        <f>CHOOSE(CONTROL!$C$42, 20.193, 20.193) * CHOOSE(CONTROL!$C$21, $C$9, 100%, $E$9)</f>
        <v>20.193000000000001</v>
      </c>
      <c r="N463" s="17">
        <f>CHOOSE(CONTROL!$C$42, 20.2095, 20.2095) * CHOOSE(CONTROL!$C$21, $C$9, 100%, $E$9)</f>
        <v>20.209499999999998</v>
      </c>
      <c r="O463" s="17">
        <f>CHOOSE(CONTROL!$C$42, 20.4748, 20.4748) * CHOOSE(CONTROL!$C$21, $C$9, 100%, $E$9)</f>
        <v>20.474799999999998</v>
      </c>
      <c r="P463" s="17">
        <f>CHOOSE(CONTROL!$C$42, 20.2758, 20.2758) * CHOOSE(CONTROL!$C$21, $C$9, 100%, $E$9)</f>
        <v>20.2758</v>
      </c>
      <c r="Q463" s="17">
        <f>CHOOSE(CONTROL!$C$42, 21.0695, 21.0695) * CHOOSE(CONTROL!$C$21, $C$9, 100%, $E$9)</f>
        <v>21.069500000000001</v>
      </c>
      <c r="R463" s="17">
        <f>CHOOSE(CONTROL!$C$42, 21.7092, 21.7092) * CHOOSE(CONTROL!$C$21, $C$9, 100%, $E$9)</f>
        <v>21.709199999999999</v>
      </c>
      <c r="S463" s="17">
        <f>CHOOSE(CONTROL!$C$42, 19.7375, 19.7375) * CHOOSE(CONTROL!$C$21, $C$9, 100%, $E$9)</f>
        <v>19.737500000000001</v>
      </c>
      <c r="T463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463" s="56">
        <f>(1000*CHOOSE(CONTROL!$C$42, 695, 695)*CHOOSE(CONTROL!$C$42, 0.5599, 0.5599)*CHOOSE(CONTROL!$C$42, 31, 31))/1000000</f>
        <v>12.063045499999998</v>
      </c>
      <c r="V463" s="56">
        <f>(1000*CHOOSE(CONTROL!$C$42, 500, 500)*CHOOSE(CONTROL!$C$42, 0.275, 0.275)*CHOOSE(CONTROL!$C$42, 31, 31))/1000000</f>
        <v>4.2625000000000002</v>
      </c>
      <c r="W463" s="56">
        <f>(1000*CHOOSE(CONTROL!$C$42, 0.0916, 0.0916)*CHOOSE(CONTROL!$C$42, 121.5, 121.5)*CHOOSE(CONTROL!$C$42, 31, 31))/1000000</f>
        <v>0.34501139999999997</v>
      </c>
      <c r="X463" s="56">
        <f>(31*0.1790888*145000/1000000)+(31*0.2374*100000/1000000)</f>
        <v>1.5409441560000001</v>
      </c>
      <c r="Y463" s="56"/>
      <c r="Z463" s="17"/>
      <c r="AA463" s="55"/>
      <c r="AB463" s="48">
        <f>(B463*194.205+C463*267.466+D463*133.845+E463*153.484+F463*40+G463*85+H463*0+I463*100+J463*300)/(194.205+267.466+133.845+153.484+0+40+85+100+300)</f>
        <v>20.441674192543168</v>
      </c>
      <c r="AC463" s="45">
        <f>(M463*'RAP TEMPLATE-GAS AVAILABILITY'!O462+N463*'RAP TEMPLATE-GAS AVAILABILITY'!P462+O463*'RAP TEMPLATE-GAS AVAILABILITY'!Q462+P463*'RAP TEMPLATE-GAS AVAILABILITY'!R462)/('RAP TEMPLATE-GAS AVAILABILITY'!O462+'RAP TEMPLATE-GAS AVAILABILITY'!P462+'RAP TEMPLATE-GAS AVAILABILITY'!Q462+'RAP TEMPLATE-GAS AVAILABILITY'!R462)</f>
        <v>20.287778417266185</v>
      </c>
    </row>
    <row r="464" spans="1:29" ht="15.75" x14ac:dyDescent="0.25">
      <c r="A464" s="14">
        <v>54666</v>
      </c>
      <c r="B464" s="17">
        <f>CHOOSE(CONTROL!$C$42, 19.3608, 19.3608) * CHOOSE(CONTROL!$C$21, $C$9, 100%, $E$9)</f>
        <v>19.360800000000001</v>
      </c>
      <c r="C464" s="17">
        <f>CHOOSE(CONTROL!$C$42, 19.3688, 19.3688) * CHOOSE(CONTROL!$C$21, $C$9, 100%, $E$9)</f>
        <v>19.3688</v>
      </c>
      <c r="D464" s="17">
        <f>CHOOSE(CONTROL!$C$42, 19.6287, 19.6287) * CHOOSE(CONTROL!$C$21, $C$9, 100%, $E$9)</f>
        <v>19.628699999999998</v>
      </c>
      <c r="E464" s="17">
        <f>CHOOSE(CONTROL!$C$42, 19.6599, 19.6599) * CHOOSE(CONTROL!$C$21, $C$9, 100%, $E$9)</f>
        <v>19.6599</v>
      </c>
      <c r="F464" s="17">
        <f>CHOOSE(CONTROL!$C$42, 19.3714, 19.3714)*CHOOSE(CONTROL!$C$21, $C$9, 100%, $E$9)</f>
        <v>19.371400000000001</v>
      </c>
      <c r="G464" s="17">
        <f>CHOOSE(CONTROL!$C$42, 19.3881, 19.3881)*CHOOSE(CONTROL!$C$21, $C$9, 100%, $E$9)</f>
        <v>19.388100000000001</v>
      </c>
      <c r="H464" s="17">
        <f>CHOOSE(CONTROL!$C$42, 19.6482, 19.6482) * CHOOSE(CONTROL!$C$21, $C$9, 100%, $E$9)</f>
        <v>19.648199999999999</v>
      </c>
      <c r="I464" s="17">
        <f>CHOOSE(CONTROL!$C$42, 19.4447, 19.4447)* CHOOSE(CONTROL!$C$21, $C$9, 100%, $E$9)</f>
        <v>19.444700000000001</v>
      </c>
      <c r="J464" s="17">
        <f>CHOOSE(CONTROL!$C$42, 19.364, 19.364)* CHOOSE(CONTROL!$C$21, $C$9, 100%, $E$9)</f>
        <v>19.364000000000001</v>
      </c>
      <c r="K464" s="52">
        <f>CHOOSE(CONTROL!$C$42, 19.4387, 19.4387) * CHOOSE(CONTROL!$C$21, $C$9, 100%, $E$9)</f>
        <v>19.438700000000001</v>
      </c>
      <c r="L464" s="17">
        <f>CHOOSE(CONTROL!$C$42, 20.2352, 20.2352) * CHOOSE(CONTROL!$C$21, $C$9, 100%, $E$9)</f>
        <v>20.235199999999999</v>
      </c>
      <c r="M464" s="17">
        <f>CHOOSE(CONTROL!$C$42, 19.1969, 19.1969) * CHOOSE(CONTROL!$C$21, $C$9, 100%, $E$9)</f>
        <v>19.196899999999999</v>
      </c>
      <c r="N464" s="17">
        <f>CHOOSE(CONTROL!$C$42, 19.2134, 19.2134) * CHOOSE(CONTROL!$C$21, $C$9, 100%, $E$9)</f>
        <v>19.2134</v>
      </c>
      <c r="O464" s="17">
        <f>CHOOSE(CONTROL!$C$42, 19.4785, 19.4785) * CHOOSE(CONTROL!$C$21, $C$9, 100%, $E$9)</f>
        <v>19.4785</v>
      </c>
      <c r="P464" s="17">
        <f>CHOOSE(CONTROL!$C$42, 19.2764, 19.2764) * CHOOSE(CONTROL!$C$21, $C$9, 100%, $E$9)</f>
        <v>19.276399999999999</v>
      </c>
      <c r="Q464" s="17">
        <f>CHOOSE(CONTROL!$C$42, 20.0732, 20.0732) * CHOOSE(CONTROL!$C$21, $C$9, 100%, $E$9)</f>
        <v>20.0732</v>
      </c>
      <c r="R464" s="17">
        <f>CHOOSE(CONTROL!$C$42, 20.7104, 20.7104) * CHOOSE(CONTROL!$C$21, $C$9, 100%, $E$9)</f>
        <v>20.7104</v>
      </c>
      <c r="S464" s="17">
        <f>CHOOSE(CONTROL!$C$42, 18.7626, 18.7626) * CHOOSE(CONTROL!$C$21, $C$9, 100%, $E$9)</f>
        <v>18.762599999999999</v>
      </c>
      <c r="T464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464" s="56">
        <f>(1000*CHOOSE(CONTROL!$C$42, 695, 695)*CHOOSE(CONTROL!$C$42, 0.5599, 0.5599)*CHOOSE(CONTROL!$C$42, 31, 31))/1000000</f>
        <v>12.063045499999998</v>
      </c>
      <c r="V464" s="56">
        <f>(1000*CHOOSE(CONTROL!$C$42, 500, 500)*CHOOSE(CONTROL!$C$42, 0.275, 0.275)*CHOOSE(CONTROL!$C$42, 31, 31))/1000000</f>
        <v>4.2625000000000002</v>
      </c>
      <c r="W464" s="56">
        <f>(1000*CHOOSE(CONTROL!$C$42, 0.0916, 0.0916)*CHOOSE(CONTROL!$C$42, 121.5, 121.5)*CHOOSE(CONTROL!$C$42, 31, 31))/1000000</f>
        <v>0.34501139999999997</v>
      </c>
      <c r="X464" s="56">
        <f>(31*0.1790888*145000/1000000)+(31*0.2374*100000/1000000)</f>
        <v>1.5409441560000001</v>
      </c>
      <c r="Y464" s="56"/>
      <c r="Z464" s="17"/>
      <c r="AA464" s="55"/>
      <c r="AB464" s="48">
        <f>(B464*194.205+C464*267.466+D464*133.845+E464*153.484+F464*40+G464*85+H464*0+I464*100+J464*300)/(194.205+267.466+133.845+153.484+0+40+85+100+300)</f>
        <v>19.43615193712716</v>
      </c>
      <c r="AC464" s="45">
        <f>(M464*'RAP TEMPLATE-GAS AVAILABILITY'!O463+N464*'RAP TEMPLATE-GAS AVAILABILITY'!P463+O464*'RAP TEMPLATE-GAS AVAILABILITY'!Q463+P464*'RAP TEMPLATE-GAS AVAILABILITY'!R463)/('RAP TEMPLATE-GAS AVAILABILITY'!O463+'RAP TEMPLATE-GAS AVAILABILITY'!P463+'RAP TEMPLATE-GAS AVAILABILITY'!Q463+'RAP TEMPLATE-GAS AVAILABILITY'!R463)</f>
        <v>19.291147482014388</v>
      </c>
    </row>
    <row r="465" spans="1:29" ht="15.75" x14ac:dyDescent="0.25">
      <c r="A465" s="14">
        <v>54696</v>
      </c>
      <c r="B465" s="17">
        <f>CHOOSE(CONTROL!$C$42, 18.1322, 18.1322) * CHOOSE(CONTROL!$C$21, $C$9, 100%, $E$9)</f>
        <v>18.132200000000001</v>
      </c>
      <c r="C465" s="17">
        <f>CHOOSE(CONTROL!$C$42, 18.1402, 18.1402) * CHOOSE(CONTROL!$C$21, $C$9, 100%, $E$9)</f>
        <v>18.1402</v>
      </c>
      <c r="D465" s="17">
        <f>CHOOSE(CONTROL!$C$42, 18.4001, 18.4001) * CHOOSE(CONTROL!$C$21, $C$9, 100%, $E$9)</f>
        <v>18.400099999999998</v>
      </c>
      <c r="E465" s="17">
        <f>CHOOSE(CONTROL!$C$42, 18.4313, 18.4313) * CHOOSE(CONTROL!$C$21, $C$9, 100%, $E$9)</f>
        <v>18.4313</v>
      </c>
      <c r="F465" s="17">
        <f>CHOOSE(CONTROL!$C$42, 18.1428, 18.1428)*CHOOSE(CONTROL!$C$21, $C$9, 100%, $E$9)</f>
        <v>18.142800000000001</v>
      </c>
      <c r="G465" s="17">
        <f>CHOOSE(CONTROL!$C$42, 18.1595, 18.1595)*CHOOSE(CONTROL!$C$21, $C$9, 100%, $E$9)</f>
        <v>18.159500000000001</v>
      </c>
      <c r="H465" s="17">
        <f>CHOOSE(CONTROL!$C$42, 18.4196, 18.4196) * CHOOSE(CONTROL!$C$21, $C$9, 100%, $E$9)</f>
        <v>18.419599999999999</v>
      </c>
      <c r="I465" s="17">
        <f>CHOOSE(CONTROL!$C$42, 18.2123, 18.2123)* CHOOSE(CONTROL!$C$21, $C$9, 100%, $E$9)</f>
        <v>18.212299999999999</v>
      </c>
      <c r="J465" s="17">
        <f>CHOOSE(CONTROL!$C$42, 18.1354, 18.1354)* CHOOSE(CONTROL!$C$21, $C$9, 100%, $E$9)</f>
        <v>18.135400000000001</v>
      </c>
      <c r="K465" s="52">
        <f>CHOOSE(CONTROL!$C$42, 18.2062, 18.2062) * CHOOSE(CONTROL!$C$21, $C$9, 100%, $E$9)</f>
        <v>18.206199999999999</v>
      </c>
      <c r="L465" s="17">
        <f>CHOOSE(CONTROL!$C$42, 19.0066, 19.0066) * CHOOSE(CONTROL!$C$21, $C$9, 100%, $E$9)</f>
        <v>19.006599999999999</v>
      </c>
      <c r="M465" s="17">
        <f>CHOOSE(CONTROL!$C$42, 17.9793, 17.9793) * CHOOSE(CONTROL!$C$21, $C$9, 100%, $E$9)</f>
        <v>17.979299999999999</v>
      </c>
      <c r="N465" s="17">
        <f>CHOOSE(CONTROL!$C$42, 17.9959, 17.9959) * CHOOSE(CONTROL!$C$21, $C$9, 100%, $E$9)</f>
        <v>17.995899999999999</v>
      </c>
      <c r="O465" s="17">
        <f>CHOOSE(CONTROL!$C$42, 18.2609, 18.2609) * CHOOSE(CONTROL!$C$21, $C$9, 100%, $E$9)</f>
        <v>18.260899999999999</v>
      </c>
      <c r="P465" s="17">
        <f>CHOOSE(CONTROL!$C$42, 18.0551, 18.0551) * CHOOSE(CONTROL!$C$21, $C$9, 100%, $E$9)</f>
        <v>18.055099999999999</v>
      </c>
      <c r="Q465" s="17">
        <f>CHOOSE(CONTROL!$C$42, 18.8556, 18.8556) * CHOOSE(CONTROL!$C$21, $C$9, 100%, $E$9)</f>
        <v>18.855599999999999</v>
      </c>
      <c r="R465" s="17">
        <f>CHOOSE(CONTROL!$C$42, 19.4898, 19.4898) * CHOOSE(CONTROL!$C$21, $C$9, 100%, $E$9)</f>
        <v>19.489799999999999</v>
      </c>
      <c r="S465" s="17">
        <f>CHOOSE(CONTROL!$C$42, 17.5712, 17.5712) * CHOOSE(CONTROL!$C$21, $C$9, 100%, $E$9)</f>
        <v>17.571200000000001</v>
      </c>
      <c r="T465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465" s="56">
        <f>(1000*CHOOSE(CONTROL!$C$42, 695, 695)*CHOOSE(CONTROL!$C$42, 0.5599, 0.5599)*CHOOSE(CONTROL!$C$42, 30, 30))/1000000</f>
        <v>11.673914999999997</v>
      </c>
      <c r="V465" s="56">
        <f>(1000*CHOOSE(CONTROL!$C$42, 500, 500)*CHOOSE(CONTROL!$C$42, 0.275, 0.275)*CHOOSE(CONTROL!$C$42, 30, 30))/1000000</f>
        <v>4.125</v>
      </c>
      <c r="W465" s="56">
        <f>(1000*CHOOSE(CONTROL!$C$42, 0.0916, 0.0916)*CHOOSE(CONTROL!$C$42, 121.5, 121.5)*CHOOSE(CONTROL!$C$42, 30, 30))/1000000</f>
        <v>0.33388200000000001</v>
      </c>
      <c r="X465" s="56">
        <f>(30*0.1790888*145000/1000000)+(30*0.2374*100000/1000000)</f>
        <v>1.4912362799999999</v>
      </c>
      <c r="Y465" s="56"/>
      <c r="Z465" s="17"/>
      <c r="AA465" s="55"/>
      <c r="AB465" s="48">
        <f>(B465*194.205+C465*267.466+D465*133.845+E465*153.484+F465*40+G465*85+H465*0+I465*100+J465*300)/(194.205+267.466+133.845+153.484+0+40+85+100+300)</f>
        <v>18.207253663971745</v>
      </c>
      <c r="AC465" s="45">
        <f>(M465*'RAP TEMPLATE-GAS AVAILABILITY'!O464+N465*'RAP TEMPLATE-GAS AVAILABILITY'!P464+O465*'RAP TEMPLATE-GAS AVAILABILITY'!Q464+P465*'RAP TEMPLATE-GAS AVAILABILITY'!R464)/('RAP TEMPLATE-GAS AVAILABILITY'!O464+'RAP TEMPLATE-GAS AVAILABILITY'!P464+'RAP TEMPLATE-GAS AVAILABILITY'!Q464+'RAP TEMPLATE-GAS AVAILABILITY'!R464)</f>
        <v>18.0730381294964</v>
      </c>
    </row>
    <row r="466" spans="1:29" ht="15.75" x14ac:dyDescent="0.25">
      <c r="A466" s="14">
        <v>54727</v>
      </c>
      <c r="B466" s="17">
        <f>CHOOSE(CONTROL!$C$42, 17.7626, 17.7626) * CHOOSE(CONTROL!$C$21, $C$9, 100%, $E$9)</f>
        <v>17.762599999999999</v>
      </c>
      <c r="C466" s="17">
        <f>CHOOSE(CONTROL!$C$42, 17.7679, 17.7679) * CHOOSE(CONTROL!$C$21, $C$9, 100%, $E$9)</f>
        <v>17.767900000000001</v>
      </c>
      <c r="D466" s="17">
        <f>CHOOSE(CONTROL!$C$42, 18.0327, 18.0327) * CHOOSE(CONTROL!$C$21, $C$9, 100%, $E$9)</f>
        <v>18.032699999999998</v>
      </c>
      <c r="E466" s="17">
        <f>CHOOSE(CONTROL!$C$42, 18.0616, 18.0616) * CHOOSE(CONTROL!$C$21, $C$9, 100%, $E$9)</f>
        <v>18.061599999999999</v>
      </c>
      <c r="F466" s="17">
        <f>CHOOSE(CONTROL!$C$42, 17.7754, 17.7754)*CHOOSE(CONTROL!$C$21, $C$9, 100%, $E$9)</f>
        <v>17.775400000000001</v>
      </c>
      <c r="G466" s="17">
        <f>CHOOSE(CONTROL!$C$42, 17.792, 17.792)*CHOOSE(CONTROL!$C$21, $C$9, 100%, $E$9)</f>
        <v>17.792000000000002</v>
      </c>
      <c r="H466" s="17">
        <f>CHOOSE(CONTROL!$C$42, 18.0517, 18.0517) * CHOOSE(CONTROL!$C$21, $C$9, 100%, $E$9)</f>
        <v>18.0517</v>
      </c>
      <c r="I466" s="17">
        <f>CHOOSE(CONTROL!$C$42, 17.8432, 17.8432)* CHOOSE(CONTROL!$C$21, $C$9, 100%, $E$9)</f>
        <v>17.8432</v>
      </c>
      <c r="J466" s="17">
        <f>CHOOSE(CONTROL!$C$42, 17.768, 17.768)* CHOOSE(CONTROL!$C$21, $C$9, 100%, $E$9)</f>
        <v>17.768000000000001</v>
      </c>
      <c r="K466" s="52">
        <f>CHOOSE(CONTROL!$C$42, 17.8372, 17.8372) * CHOOSE(CONTROL!$C$21, $C$9, 100%, $E$9)</f>
        <v>17.837199999999999</v>
      </c>
      <c r="L466" s="17">
        <f>CHOOSE(CONTROL!$C$42, 18.6387, 18.6387) * CHOOSE(CONTROL!$C$21, $C$9, 100%, $E$9)</f>
        <v>18.6387</v>
      </c>
      <c r="M466" s="17">
        <f>CHOOSE(CONTROL!$C$42, 17.6152, 17.6152) * CHOOSE(CONTROL!$C$21, $C$9, 100%, $E$9)</f>
        <v>17.615200000000002</v>
      </c>
      <c r="N466" s="17">
        <f>CHOOSE(CONTROL!$C$42, 17.6316, 17.6316) * CHOOSE(CONTROL!$C$21, $C$9, 100%, $E$9)</f>
        <v>17.631599999999999</v>
      </c>
      <c r="O466" s="17">
        <f>CHOOSE(CONTROL!$C$42, 17.8964, 17.8964) * CHOOSE(CONTROL!$C$21, $C$9, 100%, $E$9)</f>
        <v>17.8964</v>
      </c>
      <c r="P466" s="17">
        <f>CHOOSE(CONTROL!$C$42, 17.6893, 17.6893) * CHOOSE(CONTROL!$C$21, $C$9, 100%, $E$9)</f>
        <v>17.689299999999999</v>
      </c>
      <c r="Q466" s="17">
        <f>CHOOSE(CONTROL!$C$42, 18.4911, 18.4911) * CHOOSE(CONTROL!$C$21, $C$9, 100%, $E$9)</f>
        <v>18.491099999999999</v>
      </c>
      <c r="R466" s="17">
        <f>CHOOSE(CONTROL!$C$42, 19.1243, 19.1243) * CHOOSE(CONTROL!$C$21, $C$9, 100%, $E$9)</f>
        <v>19.124300000000002</v>
      </c>
      <c r="S466" s="17">
        <f>CHOOSE(CONTROL!$C$42, 17.2144, 17.2144) * CHOOSE(CONTROL!$C$21, $C$9, 100%, $E$9)</f>
        <v>17.214400000000001</v>
      </c>
      <c r="T466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466" s="56">
        <f>(1000*CHOOSE(CONTROL!$C$42, 695, 695)*CHOOSE(CONTROL!$C$42, 0.5599, 0.5599)*CHOOSE(CONTROL!$C$42, 31, 31))/1000000</f>
        <v>12.063045499999998</v>
      </c>
      <c r="V466" s="56">
        <f>(1000*CHOOSE(CONTROL!$C$42, 500, 500)*CHOOSE(CONTROL!$C$42, 0.275, 0.275)*CHOOSE(CONTROL!$C$42, 31, 31))/1000000</f>
        <v>4.2625000000000002</v>
      </c>
      <c r="W466" s="56">
        <f>(1000*CHOOSE(CONTROL!$C$42, 0.0916, 0.0916)*CHOOSE(CONTROL!$C$42, 121.5, 121.5)*CHOOSE(CONTROL!$C$42, 31, 31))/1000000</f>
        <v>0.34501139999999997</v>
      </c>
      <c r="X466" s="56">
        <f>(31*0.1790888*145000/1000000)+(31*0.2374*100000/1000000)</f>
        <v>1.5409441560000001</v>
      </c>
      <c r="Y466" s="56"/>
      <c r="Z466" s="17"/>
      <c r="AA466" s="55"/>
      <c r="AB466" s="48">
        <f>(B466*131.881+C466*277.167+D466*79.08+E466*225.872+F466*40+G466*85+H466*0+I466*100+J466*300)/(131.881+277.167+79.08+225.872+0+40+85+100+300)</f>
        <v>17.845776126795805</v>
      </c>
      <c r="AC466" s="45">
        <f>(M466*'RAP TEMPLATE-GAS AVAILABILITY'!O465+N466*'RAP TEMPLATE-GAS AVAILABILITY'!P465+O466*'RAP TEMPLATE-GAS AVAILABILITY'!Q465+P466*'RAP TEMPLATE-GAS AVAILABILITY'!R465)/('RAP TEMPLATE-GAS AVAILABILITY'!O465+'RAP TEMPLATE-GAS AVAILABILITY'!P465+'RAP TEMPLATE-GAS AVAILABILITY'!Q465+'RAP TEMPLATE-GAS AVAILABILITY'!R465)</f>
        <v>17.708535251798562</v>
      </c>
    </row>
    <row r="467" spans="1:29" ht="15.75" x14ac:dyDescent="0.25">
      <c r="A467" s="14">
        <v>54757</v>
      </c>
      <c r="B467" s="17">
        <f>CHOOSE(CONTROL!$C$42, 18.2298, 18.2298) * CHOOSE(CONTROL!$C$21, $C$9, 100%, $E$9)</f>
        <v>18.229800000000001</v>
      </c>
      <c r="C467" s="17">
        <f>CHOOSE(CONTROL!$C$42, 18.2349, 18.2349) * CHOOSE(CONTROL!$C$21, $C$9, 100%, $E$9)</f>
        <v>18.2349</v>
      </c>
      <c r="D467" s="17">
        <f>CHOOSE(CONTROL!$C$42, 18.3755, 18.3755) * CHOOSE(CONTROL!$C$21, $C$9, 100%, $E$9)</f>
        <v>18.375499999999999</v>
      </c>
      <c r="E467" s="17">
        <f>CHOOSE(CONTROL!$C$42, 18.4093, 18.4093) * CHOOSE(CONTROL!$C$21, $C$9, 100%, $E$9)</f>
        <v>18.409300000000002</v>
      </c>
      <c r="F467" s="17">
        <f>CHOOSE(CONTROL!$C$42, 18.2431, 18.2431)*CHOOSE(CONTROL!$C$21, $C$9, 100%, $E$9)</f>
        <v>18.243099999999998</v>
      </c>
      <c r="G467" s="17">
        <f>CHOOSE(CONTROL!$C$42, 18.26, 18.26)*CHOOSE(CONTROL!$C$21, $C$9, 100%, $E$9)</f>
        <v>18.260000000000002</v>
      </c>
      <c r="H467" s="17">
        <f>CHOOSE(CONTROL!$C$42, 18.3982, 18.3982) * CHOOSE(CONTROL!$C$21, $C$9, 100%, $E$9)</f>
        <v>18.398199999999999</v>
      </c>
      <c r="I467" s="17">
        <f>CHOOSE(CONTROL!$C$42, 18.3087, 18.3087)* CHOOSE(CONTROL!$C$21, $C$9, 100%, $E$9)</f>
        <v>18.308700000000002</v>
      </c>
      <c r="J467" s="17">
        <f>CHOOSE(CONTROL!$C$42, 18.2357, 18.2357)* CHOOSE(CONTROL!$C$21, $C$9, 100%, $E$9)</f>
        <v>18.235700000000001</v>
      </c>
      <c r="K467" s="52">
        <f>CHOOSE(CONTROL!$C$42, 18.3027, 18.3027) * CHOOSE(CONTROL!$C$21, $C$9, 100%, $E$9)</f>
        <v>18.302700000000002</v>
      </c>
      <c r="L467" s="17">
        <f>CHOOSE(CONTROL!$C$42, 18.9852, 18.9852) * CHOOSE(CONTROL!$C$21, $C$9, 100%, $E$9)</f>
        <v>18.985199999999999</v>
      </c>
      <c r="M467" s="17">
        <f>CHOOSE(CONTROL!$C$42, 18.0787, 18.0787) * CHOOSE(CONTROL!$C$21, $C$9, 100%, $E$9)</f>
        <v>18.078700000000001</v>
      </c>
      <c r="N467" s="17">
        <f>CHOOSE(CONTROL!$C$42, 18.0954, 18.0954) * CHOOSE(CONTROL!$C$21, $C$9, 100%, $E$9)</f>
        <v>18.095400000000001</v>
      </c>
      <c r="O467" s="17">
        <f>CHOOSE(CONTROL!$C$42, 18.2397, 18.2397) * CHOOSE(CONTROL!$C$21, $C$9, 100%, $E$9)</f>
        <v>18.239699999999999</v>
      </c>
      <c r="P467" s="17">
        <f>CHOOSE(CONTROL!$C$42, 18.1506, 18.1506) * CHOOSE(CONTROL!$C$21, $C$9, 100%, $E$9)</f>
        <v>18.150600000000001</v>
      </c>
      <c r="Q467" s="17">
        <f>CHOOSE(CONTROL!$C$42, 18.8344, 18.8344) * CHOOSE(CONTROL!$C$21, $C$9, 100%, $E$9)</f>
        <v>18.834399999999999</v>
      </c>
      <c r="R467" s="17">
        <f>CHOOSE(CONTROL!$C$42, 19.4685, 19.4685) * CHOOSE(CONTROL!$C$21, $C$9, 100%, $E$9)</f>
        <v>19.468499999999999</v>
      </c>
      <c r="S467" s="17">
        <f>CHOOSE(CONTROL!$C$42, 17.6679, 17.6679) * CHOOSE(CONTROL!$C$21, $C$9, 100%, $E$9)</f>
        <v>17.667899999999999</v>
      </c>
      <c r="T467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467" s="56">
        <f>(1000*CHOOSE(CONTROL!$C$42, 695, 695)*CHOOSE(CONTROL!$C$42, 0.5599, 0.5599)*CHOOSE(CONTROL!$C$42, 30, 30))/1000000</f>
        <v>11.673914999999997</v>
      </c>
      <c r="V467" s="56">
        <f>(1000*CHOOSE(CONTROL!$C$42, 500, 500)*CHOOSE(CONTROL!$C$42, 0.275, 0.275)*CHOOSE(CONTROL!$C$42, 30, 30))/1000000</f>
        <v>4.125</v>
      </c>
      <c r="W467" s="56">
        <f>(1000*CHOOSE(CONTROL!$C$42, 0.0916, 0.0916)*CHOOSE(CONTROL!$C$42, 121.5, 121.5)*CHOOSE(CONTROL!$C$42, 30, 30))/1000000</f>
        <v>0.33388200000000001</v>
      </c>
      <c r="X467" s="56">
        <f>(30*0.2374*100000/1000000)</f>
        <v>0.71220000000000006</v>
      </c>
      <c r="Y467" s="56"/>
      <c r="Z467" s="17"/>
      <c r="AA467" s="55"/>
      <c r="AB467" s="48">
        <f>(B467*122.58+C467*297.941+D467*89.177+E467*140.302+F467*40+G467*60+H467*0+I467*100+J467*300)/(122.58+297.941+89.177+140.302+0+40+60+100+300)</f>
        <v>18.274757214782611</v>
      </c>
      <c r="AC467" s="45">
        <f>(M467*'RAP TEMPLATE-GAS AVAILABILITY'!O466+N467*'RAP TEMPLATE-GAS AVAILABILITY'!P466+O467*'RAP TEMPLATE-GAS AVAILABILITY'!Q466+P467*'RAP TEMPLATE-GAS AVAILABILITY'!R466)/('RAP TEMPLATE-GAS AVAILABILITY'!O466+'RAP TEMPLATE-GAS AVAILABILITY'!P466+'RAP TEMPLATE-GAS AVAILABILITY'!Q466+'RAP TEMPLATE-GAS AVAILABILITY'!R466)</f>
        <v>18.162977697841725</v>
      </c>
    </row>
    <row r="468" spans="1:29" ht="15.75" x14ac:dyDescent="0.25">
      <c r="A468" s="14">
        <v>54788</v>
      </c>
      <c r="B468" s="17">
        <f>CHOOSE(CONTROL!$C$42, 19.472, 19.472) * CHOOSE(CONTROL!$C$21, $C$9, 100%, $E$9)</f>
        <v>19.472000000000001</v>
      </c>
      <c r="C468" s="17">
        <f>CHOOSE(CONTROL!$C$42, 19.4771, 19.4771) * CHOOSE(CONTROL!$C$21, $C$9, 100%, $E$9)</f>
        <v>19.4771</v>
      </c>
      <c r="D468" s="17">
        <f>CHOOSE(CONTROL!$C$42, 19.6177, 19.6177) * CHOOSE(CONTROL!$C$21, $C$9, 100%, $E$9)</f>
        <v>19.617699999999999</v>
      </c>
      <c r="E468" s="17">
        <f>CHOOSE(CONTROL!$C$42, 19.6515, 19.6515) * CHOOSE(CONTROL!$C$21, $C$9, 100%, $E$9)</f>
        <v>19.651499999999999</v>
      </c>
      <c r="F468" s="17">
        <f>CHOOSE(CONTROL!$C$42, 19.4877, 19.4877)*CHOOSE(CONTROL!$C$21, $C$9, 100%, $E$9)</f>
        <v>19.4877</v>
      </c>
      <c r="G468" s="17">
        <f>CHOOSE(CONTROL!$C$42, 19.5052, 19.5052)*CHOOSE(CONTROL!$C$21, $C$9, 100%, $E$9)</f>
        <v>19.505199999999999</v>
      </c>
      <c r="H468" s="17">
        <f>CHOOSE(CONTROL!$C$42, 19.6404, 19.6404) * CHOOSE(CONTROL!$C$21, $C$9, 100%, $E$9)</f>
        <v>19.6404</v>
      </c>
      <c r="I468" s="17">
        <f>CHOOSE(CONTROL!$C$42, 19.5548, 19.5548)* CHOOSE(CONTROL!$C$21, $C$9, 100%, $E$9)</f>
        <v>19.5548</v>
      </c>
      <c r="J468" s="17">
        <f>CHOOSE(CONTROL!$C$42, 19.4803, 19.4803)* CHOOSE(CONTROL!$C$21, $C$9, 100%, $E$9)</f>
        <v>19.4803</v>
      </c>
      <c r="K468" s="52">
        <f>CHOOSE(CONTROL!$C$42, 19.5487, 19.5487) * CHOOSE(CONTROL!$C$21, $C$9, 100%, $E$9)</f>
        <v>19.5487</v>
      </c>
      <c r="L468" s="17">
        <f>CHOOSE(CONTROL!$C$42, 20.2274, 20.2274) * CHOOSE(CONTROL!$C$21, $C$9, 100%, $E$9)</f>
        <v>20.227399999999999</v>
      </c>
      <c r="M468" s="17">
        <f>CHOOSE(CONTROL!$C$42, 19.3121, 19.3121) * CHOOSE(CONTROL!$C$21, $C$9, 100%, $E$9)</f>
        <v>19.312100000000001</v>
      </c>
      <c r="N468" s="17">
        <f>CHOOSE(CONTROL!$C$42, 19.3294, 19.3294) * CHOOSE(CONTROL!$C$21, $C$9, 100%, $E$9)</f>
        <v>19.3294</v>
      </c>
      <c r="O468" s="17">
        <f>CHOOSE(CONTROL!$C$42, 19.4707, 19.4707) * CHOOSE(CONTROL!$C$21, $C$9, 100%, $E$9)</f>
        <v>19.470700000000001</v>
      </c>
      <c r="P468" s="17">
        <f>CHOOSE(CONTROL!$C$42, 19.3854, 19.3854) * CHOOSE(CONTROL!$C$21, $C$9, 100%, $E$9)</f>
        <v>19.385400000000001</v>
      </c>
      <c r="Q468" s="17">
        <f>CHOOSE(CONTROL!$C$42, 20.0654, 20.0654) * CHOOSE(CONTROL!$C$21, $C$9, 100%, $E$9)</f>
        <v>20.0654</v>
      </c>
      <c r="R468" s="17">
        <f>CHOOSE(CONTROL!$C$42, 20.7026, 20.7026) * CHOOSE(CONTROL!$C$21, $C$9, 100%, $E$9)</f>
        <v>20.7026</v>
      </c>
      <c r="S468" s="17">
        <f>CHOOSE(CONTROL!$C$42, 18.8725, 18.8725) * CHOOSE(CONTROL!$C$21, $C$9, 100%, $E$9)</f>
        <v>18.872499999999999</v>
      </c>
      <c r="T468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468" s="56">
        <f>(1000*CHOOSE(CONTROL!$C$42, 695, 695)*CHOOSE(CONTROL!$C$42, 0.5599, 0.5599)*CHOOSE(CONTROL!$C$42, 31, 31))/1000000</f>
        <v>12.063045499999998</v>
      </c>
      <c r="V468" s="56">
        <f>(1000*CHOOSE(CONTROL!$C$42, 500, 500)*CHOOSE(CONTROL!$C$42, 0.275, 0.275)*CHOOSE(CONTROL!$C$42, 31, 31))/1000000</f>
        <v>4.2625000000000002</v>
      </c>
      <c r="W468" s="56">
        <f>(1000*CHOOSE(CONTROL!$C$42, 0.0916, 0.0916)*CHOOSE(CONTROL!$C$42, 121.5, 121.5)*CHOOSE(CONTROL!$C$42, 31, 31))/1000000</f>
        <v>0.34501139999999997</v>
      </c>
      <c r="X468" s="56">
        <f>(31*0.2374*100000/1000000)</f>
        <v>0.73594000000000004</v>
      </c>
      <c r="Y468" s="56"/>
      <c r="Z468" s="17"/>
      <c r="AA468" s="55"/>
      <c r="AB468" s="48">
        <f>(B468*122.58+C468*297.941+D468*89.177+E468*140.302+F468*40+G468*60+H468*0+I468*100+J468*300)/(122.58+297.941+89.177+140.302+0+40+60+100+300)</f>
        <v>19.518162432173913</v>
      </c>
      <c r="AC468" s="45">
        <f>(M468*'RAP TEMPLATE-GAS AVAILABILITY'!O467+N468*'RAP TEMPLATE-GAS AVAILABILITY'!P467+O468*'RAP TEMPLATE-GAS AVAILABILITY'!Q467+P468*'RAP TEMPLATE-GAS AVAILABILITY'!R467)/('RAP TEMPLATE-GAS AVAILABILITY'!O467+'RAP TEMPLATE-GAS AVAILABILITY'!P467+'RAP TEMPLATE-GAS AVAILABILITY'!Q467+'RAP TEMPLATE-GAS AVAILABILITY'!R467)</f>
        <v>19.395525899280578</v>
      </c>
    </row>
    <row r="469" spans="1:29" ht="15.75" x14ac:dyDescent="0.25">
      <c r="A469" s="14">
        <v>54819</v>
      </c>
      <c r="B469" s="17">
        <f>CHOOSE(CONTROL!$C$42, 20.9677, 20.9677) * CHOOSE(CONTROL!$C$21, $C$9, 100%, $E$9)</f>
        <v>20.967700000000001</v>
      </c>
      <c r="C469" s="17">
        <f>CHOOSE(CONTROL!$C$42, 20.9727, 20.9727) * CHOOSE(CONTROL!$C$21, $C$9, 100%, $E$9)</f>
        <v>20.9727</v>
      </c>
      <c r="D469" s="17">
        <f>CHOOSE(CONTROL!$C$42, 21.1067, 21.1067) * CHOOSE(CONTROL!$C$21, $C$9, 100%, $E$9)</f>
        <v>21.1067</v>
      </c>
      <c r="E469" s="17">
        <f>CHOOSE(CONTROL!$C$42, 21.1405, 21.1405) * CHOOSE(CONTROL!$C$21, $C$9, 100%, $E$9)</f>
        <v>21.140499999999999</v>
      </c>
      <c r="F469" s="17">
        <f>CHOOSE(CONTROL!$C$42, 20.9811, 20.9811)*CHOOSE(CONTROL!$C$21, $C$9, 100%, $E$9)</f>
        <v>20.981100000000001</v>
      </c>
      <c r="G469" s="17">
        <f>CHOOSE(CONTROL!$C$42, 20.998, 20.998)*CHOOSE(CONTROL!$C$21, $C$9, 100%, $E$9)</f>
        <v>20.998000000000001</v>
      </c>
      <c r="H469" s="17">
        <f>CHOOSE(CONTROL!$C$42, 21.1293, 21.1293) * CHOOSE(CONTROL!$C$21, $C$9, 100%, $E$9)</f>
        <v>21.129300000000001</v>
      </c>
      <c r="I469" s="17">
        <f>CHOOSE(CONTROL!$C$42, 21.0592, 21.0592)* CHOOSE(CONTROL!$C$21, $C$9, 100%, $E$9)</f>
        <v>21.059200000000001</v>
      </c>
      <c r="J469" s="17">
        <f>CHOOSE(CONTROL!$C$42, 20.9737, 20.9737)* CHOOSE(CONTROL!$C$21, $C$9, 100%, $E$9)</f>
        <v>20.973700000000001</v>
      </c>
      <c r="K469" s="52">
        <f>CHOOSE(CONTROL!$C$42, 21.0532, 21.0532) * CHOOSE(CONTROL!$C$21, $C$9, 100%, $E$9)</f>
        <v>21.0532</v>
      </c>
      <c r="L469" s="17">
        <f>CHOOSE(CONTROL!$C$42, 21.7163, 21.7163) * CHOOSE(CONTROL!$C$21, $C$9, 100%, $E$9)</f>
        <v>21.7163</v>
      </c>
      <c r="M469" s="17">
        <f>CHOOSE(CONTROL!$C$42, 20.7921, 20.7921) * CHOOSE(CONTROL!$C$21, $C$9, 100%, $E$9)</f>
        <v>20.792100000000001</v>
      </c>
      <c r="N469" s="17">
        <f>CHOOSE(CONTROL!$C$42, 20.8088, 20.8088) * CHOOSE(CONTROL!$C$21, $C$9, 100%, $E$9)</f>
        <v>20.808800000000002</v>
      </c>
      <c r="O469" s="17">
        <f>CHOOSE(CONTROL!$C$42, 20.9463, 20.9463) * CHOOSE(CONTROL!$C$21, $C$9, 100%, $E$9)</f>
        <v>20.946300000000001</v>
      </c>
      <c r="P469" s="17">
        <f>CHOOSE(CONTROL!$C$42, 20.8763, 20.8763) * CHOOSE(CONTROL!$C$21, $C$9, 100%, $E$9)</f>
        <v>20.876300000000001</v>
      </c>
      <c r="Q469" s="17">
        <f>CHOOSE(CONTROL!$C$42, 21.541, 21.541) * CHOOSE(CONTROL!$C$21, $C$9, 100%, $E$9)</f>
        <v>21.541</v>
      </c>
      <c r="R469" s="17">
        <f>CHOOSE(CONTROL!$C$42, 22.1819, 22.1819) * CHOOSE(CONTROL!$C$21, $C$9, 100%, $E$9)</f>
        <v>22.181899999999999</v>
      </c>
      <c r="S469" s="17">
        <f>CHOOSE(CONTROL!$C$42, 20.3228, 20.3228) * CHOOSE(CONTROL!$C$21, $C$9, 100%, $E$9)</f>
        <v>20.322800000000001</v>
      </c>
      <c r="T469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469" s="56">
        <f>(1000*CHOOSE(CONTROL!$C$42, 695, 695)*CHOOSE(CONTROL!$C$42, 0.5599, 0.5599)*CHOOSE(CONTROL!$C$42, 31, 31))/1000000</f>
        <v>12.063045499999998</v>
      </c>
      <c r="V469" s="56">
        <f>(1000*CHOOSE(CONTROL!$C$42, 500, 500)*CHOOSE(CONTROL!$C$42, 0.275, 0.275)*CHOOSE(CONTROL!$C$42, 31, 31))/1000000</f>
        <v>4.2625000000000002</v>
      </c>
      <c r="W469" s="56">
        <f>(1000*CHOOSE(CONTROL!$C$42, 0.0916, 0.0916)*CHOOSE(CONTROL!$C$42, 121.5, 121.5)*CHOOSE(CONTROL!$C$42, 31, 31))/1000000</f>
        <v>0.34501139999999997</v>
      </c>
      <c r="X469" s="56">
        <f>(31*0.2374*100000/1000000)</f>
        <v>0.73594000000000004</v>
      </c>
      <c r="Y469" s="56"/>
      <c r="Z469" s="17"/>
      <c r="AA469" s="55"/>
      <c r="AB469" s="48">
        <f>(B469*122.58+C469*297.941+D469*89.177+E469*140.302+F469*40+G469*60+H469*0+I469*100+J469*300)/(122.58+297.941+89.177+140.302+0+40+60+100+300)</f>
        <v>21.012424777043474</v>
      </c>
      <c r="AC469" s="45">
        <f>(M469*'RAP TEMPLATE-GAS AVAILABILITY'!O468+N469*'RAP TEMPLATE-GAS AVAILABILITY'!P468+O469*'RAP TEMPLATE-GAS AVAILABILITY'!Q468+P469*'RAP TEMPLATE-GAS AVAILABILITY'!R468)/('RAP TEMPLATE-GAS AVAILABILITY'!O468+'RAP TEMPLATE-GAS AVAILABILITY'!P468+'RAP TEMPLATE-GAS AVAILABILITY'!Q468+'RAP TEMPLATE-GAS AVAILABILITY'!R468)</f>
        <v>20.875065467625898</v>
      </c>
    </row>
    <row r="470" spans="1:29" ht="15.75" x14ac:dyDescent="0.25">
      <c r="A470" s="14">
        <v>54847</v>
      </c>
      <c r="B470" s="17">
        <f>CHOOSE(CONTROL!$C$42, 21.3407, 21.3407) * CHOOSE(CONTROL!$C$21, $C$9, 100%, $E$9)</f>
        <v>21.340699999999998</v>
      </c>
      <c r="C470" s="17">
        <f>CHOOSE(CONTROL!$C$42, 21.3458, 21.3458) * CHOOSE(CONTROL!$C$21, $C$9, 100%, $E$9)</f>
        <v>21.345800000000001</v>
      </c>
      <c r="D470" s="17">
        <f>CHOOSE(CONTROL!$C$42, 21.4798, 21.4798) * CHOOSE(CONTROL!$C$21, $C$9, 100%, $E$9)</f>
        <v>21.479800000000001</v>
      </c>
      <c r="E470" s="17">
        <f>CHOOSE(CONTROL!$C$42, 21.5135, 21.5135) * CHOOSE(CONTROL!$C$21, $C$9, 100%, $E$9)</f>
        <v>21.513500000000001</v>
      </c>
      <c r="F470" s="17">
        <f>CHOOSE(CONTROL!$C$42, 21.3541, 21.3541)*CHOOSE(CONTROL!$C$21, $C$9, 100%, $E$9)</f>
        <v>21.354099999999999</v>
      </c>
      <c r="G470" s="17">
        <f>CHOOSE(CONTROL!$C$42, 21.371, 21.371)*CHOOSE(CONTROL!$C$21, $C$9, 100%, $E$9)</f>
        <v>21.370999999999999</v>
      </c>
      <c r="H470" s="17">
        <f>CHOOSE(CONTROL!$C$42, 21.5024, 21.5024) * CHOOSE(CONTROL!$C$21, $C$9, 100%, $E$9)</f>
        <v>21.502400000000002</v>
      </c>
      <c r="I470" s="17">
        <f>CHOOSE(CONTROL!$C$42, 21.4335, 21.4335)* CHOOSE(CONTROL!$C$21, $C$9, 100%, $E$9)</f>
        <v>21.433499999999999</v>
      </c>
      <c r="J470" s="17">
        <f>CHOOSE(CONTROL!$C$42, 21.3467, 21.3467)* CHOOSE(CONTROL!$C$21, $C$9, 100%, $E$9)</f>
        <v>21.346699999999998</v>
      </c>
      <c r="K470" s="52">
        <f>CHOOSE(CONTROL!$C$42, 21.4274, 21.4274) * CHOOSE(CONTROL!$C$21, $C$9, 100%, $E$9)</f>
        <v>21.427399999999999</v>
      </c>
      <c r="L470" s="17">
        <f>CHOOSE(CONTROL!$C$42, 22.0894, 22.0894) * CHOOSE(CONTROL!$C$21, $C$9, 100%, $E$9)</f>
        <v>22.089400000000001</v>
      </c>
      <c r="M470" s="17">
        <f>CHOOSE(CONTROL!$C$42, 21.1618, 21.1618) * CHOOSE(CONTROL!$C$21, $C$9, 100%, $E$9)</f>
        <v>21.161799999999999</v>
      </c>
      <c r="N470" s="17">
        <f>CHOOSE(CONTROL!$C$42, 21.1785, 21.1785) * CHOOSE(CONTROL!$C$21, $C$9, 100%, $E$9)</f>
        <v>21.1785</v>
      </c>
      <c r="O470" s="17">
        <f>CHOOSE(CONTROL!$C$42, 21.316, 21.316) * CHOOSE(CONTROL!$C$21, $C$9, 100%, $E$9)</f>
        <v>21.315999999999999</v>
      </c>
      <c r="P470" s="17">
        <f>CHOOSE(CONTROL!$C$42, 21.2472, 21.2472) * CHOOSE(CONTROL!$C$21, $C$9, 100%, $E$9)</f>
        <v>21.247199999999999</v>
      </c>
      <c r="Q470" s="17">
        <f>CHOOSE(CONTROL!$C$42, 21.9107, 21.9107) * CHOOSE(CONTROL!$C$21, $C$9, 100%, $E$9)</f>
        <v>21.910699999999999</v>
      </c>
      <c r="R470" s="17">
        <f>CHOOSE(CONTROL!$C$42, 22.5525, 22.5525) * CHOOSE(CONTROL!$C$21, $C$9, 100%, $E$9)</f>
        <v>22.552499999999998</v>
      </c>
      <c r="S470" s="17">
        <f>CHOOSE(CONTROL!$C$42, 20.6846, 20.6846) * CHOOSE(CONTROL!$C$21, $C$9, 100%, $E$9)</f>
        <v>20.6846</v>
      </c>
      <c r="T470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470" s="56">
        <f>(1000*CHOOSE(CONTROL!$C$42, 695, 695)*CHOOSE(CONTROL!$C$42, 0.5599, 0.5599)*CHOOSE(CONTROL!$C$42, 28, 28))/1000000</f>
        <v>10.895653999999999</v>
      </c>
      <c r="V470" s="56">
        <f>(1000*CHOOSE(CONTROL!$C$42, 500, 500)*CHOOSE(CONTROL!$C$42, 0.275, 0.275)*CHOOSE(CONTROL!$C$42, 28, 28))/1000000</f>
        <v>3.85</v>
      </c>
      <c r="W470" s="56">
        <f>(1000*CHOOSE(CONTROL!$C$42, 0.0916, 0.0916)*CHOOSE(CONTROL!$C$42, 121.5, 121.5)*CHOOSE(CONTROL!$C$42, 28, 28))/1000000</f>
        <v>0.31162319999999999</v>
      </c>
      <c r="X470" s="56">
        <f>(28*0.2374*100000/1000000)</f>
        <v>0.66471999999999998</v>
      </c>
      <c r="Y470" s="56"/>
      <c r="Z470" s="17"/>
      <c r="AA470" s="55"/>
      <c r="AB470" s="48">
        <f>(B470*122.58+C470*297.941+D470*89.177+E470*140.302+F470*40+G470*60+H470*0+I470*100+J470*300)/(122.58+297.941+89.177+140.302+0+40+60+100+300)</f>
        <v>21.385571482956522</v>
      </c>
      <c r="AC470" s="45">
        <f>(M470*'RAP TEMPLATE-GAS AVAILABILITY'!O469+N470*'RAP TEMPLATE-GAS AVAILABILITY'!P469+O470*'RAP TEMPLATE-GAS AVAILABILITY'!Q469+P470*'RAP TEMPLATE-GAS AVAILABILITY'!R469)/('RAP TEMPLATE-GAS AVAILABILITY'!O469+'RAP TEMPLATE-GAS AVAILABILITY'!P469+'RAP TEMPLATE-GAS AVAILABILITY'!Q469+'RAP TEMPLATE-GAS AVAILABILITY'!R469)</f>
        <v>21.244938129496404</v>
      </c>
    </row>
    <row r="471" spans="1:29" ht="15.75" x14ac:dyDescent="0.25">
      <c r="A471" s="14">
        <v>54878</v>
      </c>
      <c r="B471" s="17">
        <f>CHOOSE(CONTROL!$C$42, 20.7351, 20.7351) * CHOOSE(CONTROL!$C$21, $C$9, 100%, $E$9)</f>
        <v>20.735099999999999</v>
      </c>
      <c r="C471" s="17">
        <f>CHOOSE(CONTROL!$C$42, 20.7402, 20.7402) * CHOOSE(CONTROL!$C$21, $C$9, 100%, $E$9)</f>
        <v>20.740200000000002</v>
      </c>
      <c r="D471" s="17">
        <f>CHOOSE(CONTROL!$C$42, 20.8742, 20.8742) * CHOOSE(CONTROL!$C$21, $C$9, 100%, $E$9)</f>
        <v>20.874199999999998</v>
      </c>
      <c r="E471" s="17">
        <f>CHOOSE(CONTROL!$C$42, 20.9079, 20.9079) * CHOOSE(CONTROL!$C$21, $C$9, 100%, $E$9)</f>
        <v>20.907900000000001</v>
      </c>
      <c r="F471" s="17">
        <f>CHOOSE(CONTROL!$C$42, 20.7478, 20.7478)*CHOOSE(CONTROL!$C$21, $C$9, 100%, $E$9)</f>
        <v>20.747800000000002</v>
      </c>
      <c r="G471" s="17">
        <f>CHOOSE(CONTROL!$C$42, 20.7645, 20.7645)*CHOOSE(CONTROL!$C$21, $C$9, 100%, $E$9)</f>
        <v>20.764500000000002</v>
      </c>
      <c r="H471" s="17">
        <f>CHOOSE(CONTROL!$C$42, 20.8968, 20.8968) * CHOOSE(CONTROL!$C$21, $C$9, 100%, $E$9)</f>
        <v>20.896799999999999</v>
      </c>
      <c r="I471" s="17">
        <f>CHOOSE(CONTROL!$C$42, 20.826, 20.826)* CHOOSE(CONTROL!$C$21, $C$9, 100%, $E$9)</f>
        <v>20.826000000000001</v>
      </c>
      <c r="J471" s="17">
        <f>CHOOSE(CONTROL!$C$42, 20.7404, 20.7404)* CHOOSE(CONTROL!$C$21, $C$9, 100%, $E$9)</f>
        <v>20.740400000000001</v>
      </c>
      <c r="K471" s="52">
        <f>CHOOSE(CONTROL!$C$42, 20.82, 20.82) * CHOOSE(CONTROL!$C$21, $C$9, 100%, $E$9)</f>
        <v>20.82</v>
      </c>
      <c r="L471" s="17">
        <f>CHOOSE(CONTROL!$C$42, 21.4838, 21.4838) * CHOOSE(CONTROL!$C$21, $C$9, 100%, $E$9)</f>
        <v>21.483799999999999</v>
      </c>
      <c r="M471" s="17">
        <f>CHOOSE(CONTROL!$C$42, 20.5609, 20.5609) * CHOOSE(CONTROL!$C$21, $C$9, 100%, $E$9)</f>
        <v>20.5609</v>
      </c>
      <c r="N471" s="17">
        <f>CHOOSE(CONTROL!$C$42, 20.5774, 20.5774) * CHOOSE(CONTROL!$C$21, $C$9, 100%, $E$9)</f>
        <v>20.577400000000001</v>
      </c>
      <c r="O471" s="17">
        <f>CHOOSE(CONTROL!$C$42, 20.7159, 20.7159) * CHOOSE(CONTROL!$C$21, $C$9, 100%, $E$9)</f>
        <v>20.715900000000001</v>
      </c>
      <c r="P471" s="17">
        <f>CHOOSE(CONTROL!$C$42, 20.6452, 20.6452) * CHOOSE(CONTROL!$C$21, $C$9, 100%, $E$9)</f>
        <v>20.645199999999999</v>
      </c>
      <c r="Q471" s="17">
        <f>CHOOSE(CONTROL!$C$42, 21.3106, 21.3106) * CHOOSE(CONTROL!$C$21, $C$9, 100%, $E$9)</f>
        <v>21.310600000000001</v>
      </c>
      <c r="R471" s="17">
        <f>CHOOSE(CONTROL!$C$42, 21.9509, 21.9509) * CHOOSE(CONTROL!$C$21, $C$9, 100%, $E$9)</f>
        <v>21.950900000000001</v>
      </c>
      <c r="S471" s="17">
        <f>CHOOSE(CONTROL!$C$42, 20.0974, 20.0974) * CHOOSE(CONTROL!$C$21, $C$9, 100%, $E$9)</f>
        <v>20.0974</v>
      </c>
      <c r="T471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471" s="56">
        <f>(1000*CHOOSE(CONTROL!$C$42, 695, 695)*CHOOSE(CONTROL!$C$42, 0.5599, 0.5599)*CHOOSE(CONTROL!$C$42, 31, 31))/1000000</f>
        <v>12.063045499999998</v>
      </c>
      <c r="V471" s="56">
        <f>(1000*CHOOSE(CONTROL!$C$42, 500, 500)*CHOOSE(CONTROL!$C$42, 0.275, 0.275)*CHOOSE(CONTROL!$C$42, 31, 31))/1000000</f>
        <v>4.2625000000000002</v>
      </c>
      <c r="W471" s="56">
        <f>(1000*CHOOSE(CONTROL!$C$42, 0.0916, 0.0916)*CHOOSE(CONTROL!$C$42, 121.5, 121.5)*CHOOSE(CONTROL!$C$42, 31, 31))/1000000</f>
        <v>0.34501139999999997</v>
      </c>
      <c r="X471" s="56">
        <f>(31*0.2374*100000/1000000)</f>
        <v>0.73594000000000004</v>
      </c>
      <c r="Y471" s="56"/>
      <c r="Z471" s="17"/>
      <c r="AA471" s="55"/>
      <c r="AB471" s="48">
        <f>(B471*122.58+C471*297.941+D471*89.177+E471*140.302+F471*40+G471*60+H471*0+I471*100+J471*300)/(122.58+297.941+89.177+140.302+0+40+60+100+300)</f>
        <v>20.779552352521737</v>
      </c>
      <c r="AC471" s="45">
        <f>(M471*'RAP TEMPLATE-GAS AVAILABILITY'!O470+N471*'RAP TEMPLATE-GAS AVAILABILITY'!P470+O471*'RAP TEMPLATE-GAS AVAILABILITY'!Q470+P471*'RAP TEMPLATE-GAS AVAILABILITY'!R470)/('RAP TEMPLATE-GAS AVAILABILITY'!O470+'RAP TEMPLATE-GAS AVAILABILITY'!P470+'RAP TEMPLATE-GAS AVAILABILITY'!Q470+'RAP TEMPLATE-GAS AVAILABILITY'!R470)</f>
        <v>20.644230935251798</v>
      </c>
    </row>
    <row r="472" spans="1:29" ht="15.75" x14ac:dyDescent="0.25">
      <c r="A472" s="14">
        <v>54908</v>
      </c>
      <c r="B472" s="17">
        <f>CHOOSE(CONTROL!$C$42, 20.6741, 20.6741) * CHOOSE(CONTROL!$C$21, $C$9, 100%, $E$9)</f>
        <v>20.674099999999999</v>
      </c>
      <c r="C472" s="17">
        <f>CHOOSE(CONTROL!$C$42, 20.6786, 20.6786) * CHOOSE(CONTROL!$C$21, $C$9, 100%, $E$9)</f>
        <v>20.678599999999999</v>
      </c>
      <c r="D472" s="17">
        <f>CHOOSE(CONTROL!$C$42, 20.9417, 20.9417) * CHOOSE(CONTROL!$C$21, $C$9, 100%, $E$9)</f>
        <v>20.941700000000001</v>
      </c>
      <c r="E472" s="17">
        <f>CHOOSE(CONTROL!$C$42, 20.9735, 20.9735) * CHOOSE(CONTROL!$C$21, $C$9, 100%, $E$9)</f>
        <v>20.973500000000001</v>
      </c>
      <c r="F472" s="17">
        <f>CHOOSE(CONTROL!$C$42, 20.6851, 20.6851)*CHOOSE(CONTROL!$C$21, $C$9, 100%, $E$9)</f>
        <v>20.685099999999998</v>
      </c>
      <c r="G472" s="17">
        <f>CHOOSE(CONTROL!$C$42, 20.7012, 20.7012)*CHOOSE(CONTROL!$C$21, $C$9, 100%, $E$9)</f>
        <v>20.7012</v>
      </c>
      <c r="H472" s="17">
        <f>CHOOSE(CONTROL!$C$42, 20.9629, 20.9629) * CHOOSE(CONTROL!$C$21, $C$9, 100%, $E$9)</f>
        <v>20.962900000000001</v>
      </c>
      <c r="I472" s="17">
        <f>CHOOSE(CONTROL!$C$42, 20.7635, 20.7635)* CHOOSE(CONTROL!$C$21, $C$9, 100%, $E$9)</f>
        <v>20.763500000000001</v>
      </c>
      <c r="J472" s="17">
        <f>CHOOSE(CONTROL!$C$42, 20.6777, 20.6777)* CHOOSE(CONTROL!$C$21, $C$9, 100%, $E$9)</f>
        <v>20.677700000000002</v>
      </c>
      <c r="K472" s="52">
        <f>CHOOSE(CONTROL!$C$42, 20.7575, 20.7575) * CHOOSE(CONTROL!$C$21, $C$9, 100%, $E$9)</f>
        <v>20.7575</v>
      </c>
      <c r="L472" s="17">
        <f>CHOOSE(CONTROL!$C$42, 21.5499, 21.5499) * CHOOSE(CONTROL!$C$21, $C$9, 100%, $E$9)</f>
        <v>21.549900000000001</v>
      </c>
      <c r="M472" s="17">
        <f>CHOOSE(CONTROL!$C$42, 20.4987, 20.4987) * CHOOSE(CONTROL!$C$21, $C$9, 100%, $E$9)</f>
        <v>20.498699999999999</v>
      </c>
      <c r="N472" s="17">
        <f>CHOOSE(CONTROL!$C$42, 20.5147, 20.5147) * CHOOSE(CONTROL!$C$21, $C$9, 100%, $E$9)</f>
        <v>20.514700000000001</v>
      </c>
      <c r="O472" s="17">
        <f>CHOOSE(CONTROL!$C$42, 20.7814, 20.7814) * CHOOSE(CONTROL!$C$21, $C$9, 100%, $E$9)</f>
        <v>20.781400000000001</v>
      </c>
      <c r="P472" s="17">
        <f>CHOOSE(CONTROL!$C$42, 20.5833, 20.5833) * CHOOSE(CONTROL!$C$21, $C$9, 100%, $E$9)</f>
        <v>20.583300000000001</v>
      </c>
      <c r="Q472" s="17">
        <f>CHOOSE(CONTROL!$C$42, 21.3761, 21.3761) * CHOOSE(CONTROL!$C$21, $C$9, 100%, $E$9)</f>
        <v>21.376100000000001</v>
      </c>
      <c r="R472" s="17">
        <f>CHOOSE(CONTROL!$C$42, 22.0165, 22.0165) * CHOOSE(CONTROL!$C$21, $C$9, 100%, $E$9)</f>
        <v>22.016500000000001</v>
      </c>
      <c r="S472" s="17">
        <f>CHOOSE(CONTROL!$C$42, 20.0375, 20.0375) * CHOOSE(CONTROL!$C$21, $C$9, 100%, $E$9)</f>
        <v>20.037500000000001</v>
      </c>
      <c r="T472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472" s="56">
        <f>(1000*CHOOSE(CONTROL!$C$42, 695, 695)*CHOOSE(CONTROL!$C$42, 0.5599, 0.5599)*CHOOSE(CONTROL!$C$42, 30, 30))/1000000</f>
        <v>11.673914999999997</v>
      </c>
      <c r="V472" s="56">
        <f>(1000*CHOOSE(CONTROL!$C$42, 500, 500)*CHOOSE(CONTROL!$C$42, 0.275, 0.275)*CHOOSE(CONTROL!$C$42, 30, 30))/1000000</f>
        <v>4.125</v>
      </c>
      <c r="W472" s="56">
        <f>(1000*CHOOSE(CONTROL!$C$42, 0.0916, 0.0916)*CHOOSE(CONTROL!$C$42, 121.5, 121.5)*CHOOSE(CONTROL!$C$42, 30, 30))/1000000</f>
        <v>0.33388200000000001</v>
      </c>
      <c r="X472" s="56">
        <f>(30*0.1790888*145000/1000000)+(30*0.2374*100000/1000000)</f>
        <v>1.4912362799999999</v>
      </c>
      <c r="Y472" s="56"/>
      <c r="Z472" s="17"/>
      <c r="AA472" s="55"/>
      <c r="AB472" s="48">
        <f>(B472*141.293+C472*267.993+D472*115.016+E472*189.698+F472*40+G472*85+H472*0+I472*100+J472*300)/(141.293+267.993+115.016+189.698+0+40+85+100+300)</f>
        <v>20.75605587675545</v>
      </c>
      <c r="AC472" s="45">
        <f>(M472*'RAP TEMPLATE-GAS AVAILABILITY'!O471+N472*'RAP TEMPLATE-GAS AVAILABILITY'!P471+O472*'RAP TEMPLATE-GAS AVAILABILITY'!Q471+P472*'RAP TEMPLATE-GAS AVAILABILITY'!R471)/('RAP TEMPLATE-GAS AVAILABILITY'!O471+'RAP TEMPLATE-GAS AVAILABILITY'!P471+'RAP TEMPLATE-GAS AVAILABILITY'!Q471+'RAP TEMPLATE-GAS AVAILABILITY'!R471)</f>
        <v>20.593874820143885</v>
      </c>
    </row>
    <row r="473" spans="1:29" ht="15.75" x14ac:dyDescent="0.25">
      <c r="A473" s="14">
        <v>54939</v>
      </c>
      <c r="B473" s="17">
        <f>CHOOSE(CONTROL!$C$42, 20.8579, 20.8579) * CHOOSE(CONTROL!$C$21, $C$9, 100%, $E$9)</f>
        <v>20.857900000000001</v>
      </c>
      <c r="C473" s="17">
        <f>CHOOSE(CONTROL!$C$42, 20.8659, 20.8659) * CHOOSE(CONTROL!$C$21, $C$9, 100%, $E$9)</f>
        <v>20.8659</v>
      </c>
      <c r="D473" s="17">
        <f>CHOOSE(CONTROL!$C$42, 21.1258, 21.1258) * CHOOSE(CONTROL!$C$21, $C$9, 100%, $E$9)</f>
        <v>21.125800000000002</v>
      </c>
      <c r="E473" s="17">
        <f>CHOOSE(CONTROL!$C$42, 21.157, 21.157) * CHOOSE(CONTROL!$C$21, $C$9, 100%, $E$9)</f>
        <v>21.157</v>
      </c>
      <c r="F473" s="17">
        <f>CHOOSE(CONTROL!$C$42, 20.8675, 20.8675)*CHOOSE(CONTROL!$C$21, $C$9, 100%, $E$9)</f>
        <v>20.8675</v>
      </c>
      <c r="G473" s="17">
        <f>CHOOSE(CONTROL!$C$42, 20.884, 20.884)*CHOOSE(CONTROL!$C$21, $C$9, 100%, $E$9)</f>
        <v>20.884</v>
      </c>
      <c r="H473" s="17">
        <f>CHOOSE(CONTROL!$C$42, 21.1453, 21.1453) * CHOOSE(CONTROL!$C$21, $C$9, 100%, $E$9)</f>
        <v>21.145299999999999</v>
      </c>
      <c r="I473" s="17">
        <f>CHOOSE(CONTROL!$C$42, 20.9464, 20.9464)* CHOOSE(CONTROL!$C$21, $C$9, 100%, $E$9)</f>
        <v>20.946400000000001</v>
      </c>
      <c r="J473" s="17">
        <f>CHOOSE(CONTROL!$C$42, 20.8601, 20.8601)* CHOOSE(CONTROL!$C$21, $C$9, 100%, $E$9)</f>
        <v>20.860099999999999</v>
      </c>
      <c r="K473" s="52">
        <f>CHOOSE(CONTROL!$C$42, 20.9404, 20.9404) * CHOOSE(CONTROL!$C$21, $C$9, 100%, $E$9)</f>
        <v>20.9404</v>
      </c>
      <c r="L473" s="17">
        <f>CHOOSE(CONTROL!$C$42, 21.7323, 21.7323) * CHOOSE(CONTROL!$C$21, $C$9, 100%, $E$9)</f>
        <v>21.732299999999999</v>
      </c>
      <c r="M473" s="17">
        <f>CHOOSE(CONTROL!$C$42, 20.6795, 20.6795) * CHOOSE(CONTROL!$C$21, $C$9, 100%, $E$9)</f>
        <v>20.679500000000001</v>
      </c>
      <c r="N473" s="17">
        <f>CHOOSE(CONTROL!$C$42, 20.6959, 20.6959) * CHOOSE(CONTROL!$C$21, $C$9, 100%, $E$9)</f>
        <v>20.695900000000002</v>
      </c>
      <c r="O473" s="17">
        <f>CHOOSE(CONTROL!$C$42, 20.9621, 20.9621) * CHOOSE(CONTROL!$C$21, $C$9, 100%, $E$9)</f>
        <v>20.9621</v>
      </c>
      <c r="P473" s="17">
        <f>CHOOSE(CONTROL!$C$42, 20.7645, 20.7645) * CHOOSE(CONTROL!$C$21, $C$9, 100%, $E$9)</f>
        <v>20.764500000000002</v>
      </c>
      <c r="Q473" s="17">
        <f>CHOOSE(CONTROL!$C$42, 21.5568, 21.5568) * CHOOSE(CONTROL!$C$21, $C$9, 100%, $E$9)</f>
        <v>21.556799999999999</v>
      </c>
      <c r="R473" s="17">
        <f>CHOOSE(CONTROL!$C$42, 22.1977, 22.1977) * CHOOSE(CONTROL!$C$21, $C$9, 100%, $E$9)</f>
        <v>22.197700000000001</v>
      </c>
      <c r="S473" s="17">
        <f>CHOOSE(CONTROL!$C$42, 20.2143, 20.2143) * CHOOSE(CONTROL!$C$21, $C$9, 100%, $E$9)</f>
        <v>20.214300000000001</v>
      </c>
      <c r="T473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473" s="56">
        <f>(1000*CHOOSE(CONTROL!$C$42, 695, 695)*CHOOSE(CONTROL!$C$42, 0.5599, 0.5599)*CHOOSE(CONTROL!$C$42, 31, 31))/1000000</f>
        <v>12.063045499999998</v>
      </c>
      <c r="V473" s="56">
        <f>(1000*CHOOSE(CONTROL!$C$42, 500, 500)*CHOOSE(CONTROL!$C$42, 0.275, 0.275)*CHOOSE(CONTROL!$C$42, 31, 31))/1000000</f>
        <v>4.2625000000000002</v>
      </c>
      <c r="W473" s="56">
        <f>(1000*CHOOSE(CONTROL!$C$42, 0.0916, 0.0916)*CHOOSE(CONTROL!$C$42, 121.5, 121.5)*CHOOSE(CONTROL!$C$42, 31, 31))/1000000</f>
        <v>0.34501139999999997</v>
      </c>
      <c r="X473" s="56">
        <f>(31*0.1790888*145000/1000000)+(31*0.2374*100000/1000000)</f>
        <v>1.5409441560000001</v>
      </c>
      <c r="Y473" s="56"/>
      <c r="Z473" s="17"/>
      <c r="AA473" s="55"/>
      <c r="AB473" s="48">
        <f>(B473*194.205+C473*267.466+D473*133.845+E473*153.484+F473*40+G473*85+H473*0+I473*100+J473*300)/(194.205+267.466+133.845+153.484+0+40+85+100+300)</f>
        <v>20.93326606585557</v>
      </c>
      <c r="AC473" s="45">
        <f>(M473*'RAP TEMPLATE-GAS AVAILABILITY'!O472+N473*'RAP TEMPLATE-GAS AVAILABILITY'!P472+O473*'RAP TEMPLATE-GAS AVAILABILITY'!Q472+P473*'RAP TEMPLATE-GAS AVAILABILITY'!R472)/('RAP TEMPLATE-GAS AVAILABILITY'!O472+'RAP TEMPLATE-GAS AVAILABILITY'!P472+'RAP TEMPLATE-GAS AVAILABILITY'!Q472+'RAP TEMPLATE-GAS AVAILABILITY'!R472)</f>
        <v>20.774796402877698</v>
      </c>
    </row>
    <row r="474" spans="1:29" ht="15.75" x14ac:dyDescent="0.25">
      <c r="A474" s="14">
        <v>54969</v>
      </c>
      <c r="B474" s="17">
        <f>CHOOSE(CONTROL!$C$42, 21.4492, 21.4492) * CHOOSE(CONTROL!$C$21, $C$9, 100%, $E$9)</f>
        <v>21.449200000000001</v>
      </c>
      <c r="C474" s="17">
        <f>CHOOSE(CONTROL!$C$42, 21.4571, 21.4571) * CHOOSE(CONTROL!$C$21, $C$9, 100%, $E$9)</f>
        <v>21.457100000000001</v>
      </c>
      <c r="D474" s="17">
        <f>CHOOSE(CONTROL!$C$42, 21.7171, 21.7171) * CHOOSE(CONTROL!$C$21, $C$9, 100%, $E$9)</f>
        <v>21.717099999999999</v>
      </c>
      <c r="E474" s="17">
        <f>CHOOSE(CONTROL!$C$42, 21.7483, 21.7483) * CHOOSE(CONTROL!$C$21, $C$9, 100%, $E$9)</f>
        <v>21.7483</v>
      </c>
      <c r="F474" s="17">
        <f>CHOOSE(CONTROL!$C$42, 21.4591, 21.4591)*CHOOSE(CONTROL!$C$21, $C$9, 100%, $E$9)</f>
        <v>21.459099999999999</v>
      </c>
      <c r="G474" s="17">
        <f>CHOOSE(CONTROL!$C$42, 21.4757, 21.4757)*CHOOSE(CONTROL!$C$21, $C$9, 100%, $E$9)</f>
        <v>21.4757</v>
      </c>
      <c r="H474" s="17">
        <f>CHOOSE(CONTROL!$C$42, 21.7366, 21.7366) * CHOOSE(CONTROL!$C$21, $C$9, 100%, $E$9)</f>
        <v>21.736599999999999</v>
      </c>
      <c r="I474" s="17">
        <f>CHOOSE(CONTROL!$C$42, 21.5396, 21.5396)* CHOOSE(CONTROL!$C$21, $C$9, 100%, $E$9)</f>
        <v>21.5396</v>
      </c>
      <c r="J474" s="17">
        <f>CHOOSE(CONTROL!$C$42, 21.4517, 21.4517)* CHOOSE(CONTROL!$C$21, $C$9, 100%, $E$9)</f>
        <v>21.451699999999999</v>
      </c>
      <c r="K474" s="52">
        <f>CHOOSE(CONTROL!$C$42, 21.5335, 21.5335) * CHOOSE(CONTROL!$C$21, $C$9, 100%, $E$9)</f>
        <v>21.5335</v>
      </c>
      <c r="L474" s="17">
        <f>CHOOSE(CONTROL!$C$42, 22.3236, 22.3236) * CHOOSE(CONTROL!$C$21, $C$9, 100%, $E$9)</f>
        <v>22.323599999999999</v>
      </c>
      <c r="M474" s="17">
        <f>CHOOSE(CONTROL!$C$42, 21.2658, 21.2658) * CHOOSE(CONTROL!$C$21, $C$9, 100%, $E$9)</f>
        <v>21.265799999999999</v>
      </c>
      <c r="N474" s="17">
        <f>CHOOSE(CONTROL!$C$42, 21.2822, 21.2822) * CHOOSE(CONTROL!$C$21, $C$9, 100%, $E$9)</f>
        <v>21.2822</v>
      </c>
      <c r="O474" s="17">
        <f>CHOOSE(CONTROL!$C$42, 21.5481, 21.5481) * CHOOSE(CONTROL!$C$21, $C$9, 100%, $E$9)</f>
        <v>21.548100000000002</v>
      </c>
      <c r="P474" s="17">
        <f>CHOOSE(CONTROL!$C$42, 21.3523, 21.3523) * CHOOSE(CONTROL!$C$21, $C$9, 100%, $E$9)</f>
        <v>21.3523</v>
      </c>
      <c r="Q474" s="17">
        <f>CHOOSE(CONTROL!$C$42, 22.1428, 22.1428) * CHOOSE(CONTROL!$C$21, $C$9, 100%, $E$9)</f>
        <v>22.142800000000001</v>
      </c>
      <c r="R474" s="17">
        <f>CHOOSE(CONTROL!$C$42, 22.7852, 22.7852) * CHOOSE(CONTROL!$C$21, $C$9, 100%, $E$9)</f>
        <v>22.7852</v>
      </c>
      <c r="S474" s="17">
        <f>CHOOSE(CONTROL!$C$42, 20.7877, 20.7877) * CHOOSE(CONTROL!$C$21, $C$9, 100%, $E$9)</f>
        <v>20.787700000000001</v>
      </c>
      <c r="T474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474" s="56">
        <f>(1000*CHOOSE(CONTROL!$C$42, 695, 695)*CHOOSE(CONTROL!$C$42, 0.5599, 0.5599)*CHOOSE(CONTROL!$C$42, 30, 30))/1000000</f>
        <v>11.673914999999997</v>
      </c>
      <c r="V474" s="56">
        <f>(1000*CHOOSE(CONTROL!$C$42, 500, 500)*CHOOSE(CONTROL!$C$42, 0.275, 0.275)*CHOOSE(CONTROL!$C$42, 30, 30))/1000000</f>
        <v>4.125</v>
      </c>
      <c r="W474" s="56">
        <f>(1000*CHOOSE(CONTROL!$C$42, 0.0916, 0.0916)*CHOOSE(CONTROL!$C$42, 121.5, 121.5)*CHOOSE(CONTROL!$C$42, 30, 30))/1000000</f>
        <v>0.33388200000000001</v>
      </c>
      <c r="X474" s="56">
        <f>(30*0.1790888*145000/1000000)+(30*0.2374*100000/1000000)</f>
        <v>1.4912362799999999</v>
      </c>
      <c r="Y474" s="56"/>
      <c r="Z474" s="17"/>
      <c r="AA474" s="55"/>
      <c r="AB474" s="48">
        <f>(B474*194.205+C474*267.466+D474*133.845+E474*153.484+F474*40+G474*85+H474*0+I474*100+J474*300)/(194.205+267.466+133.845+153.484+0+40+85+100+300)</f>
        <v>21.52480095863422</v>
      </c>
      <c r="AC474" s="45">
        <f>(M474*'RAP TEMPLATE-GAS AVAILABILITY'!O473+N474*'RAP TEMPLATE-GAS AVAILABILITY'!P473+O474*'RAP TEMPLATE-GAS AVAILABILITY'!Q473+P474*'RAP TEMPLATE-GAS AVAILABILITY'!R473)/('RAP TEMPLATE-GAS AVAILABILITY'!O473+'RAP TEMPLATE-GAS AVAILABILITY'!P473+'RAP TEMPLATE-GAS AVAILABILITY'!Q473+'RAP TEMPLATE-GAS AVAILABILITY'!R473)</f>
        <v>21.361228057553955</v>
      </c>
    </row>
    <row r="475" spans="1:29" ht="15.75" x14ac:dyDescent="0.25">
      <c r="A475" s="14">
        <v>55000</v>
      </c>
      <c r="B475" s="17">
        <f>CHOOSE(CONTROL!$C$42, 21.0379, 21.0379) * CHOOSE(CONTROL!$C$21, $C$9, 100%, $E$9)</f>
        <v>21.0379</v>
      </c>
      <c r="C475" s="17">
        <f>CHOOSE(CONTROL!$C$42, 21.0459, 21.0459) * CHOOSE(CONTROL!$C$21, $C$9, 100%, $E$9)</f>
        <v>21.0459</v>
      </c>
      <c r="D475" s="17">
        <f>CHOOSE(CONTROL!$C$42, 21.3058, 21.3058) * CHOOSE(CONTROL!$C$21, $C$9, 100%, $E$9)</f>
        <v>21.305800000000001</v>
      </c>
      <c r="E475" s="17">
        <f>CHOOSE(CONTROL!$C$42, 21.337, 21.337) * CHOOSE(CONTROL!$C$21, $C$9, 100%, $E$9)</f>
        <v>21.337</v>
      </c>
      <c r="F475" s="17">
        <f>CHOOSE(CONTROL!$C$42, 21.0483, 21.0483)*CHOOSE(CONTROL!$C$21, $C$9, 100%, $E$9)</f>
        <v>21.048300000000001</v>
      </c>
      <c r="G475" s="17">
        <f>CHOOSE(CONTROL!$C$42, 21.065, 21.065)*CHOOSE(CONTROL!$C$21, $C$9, 100%, $E$9)</f>
        <v>21.065000000000001</v>
      </c>
      <c r="H475" s="17">
        <f>CHOOSE(CONTROL!$C$42, 21.3253, 21.3253) * CHOOSE(CONTROL!$C$21, $C$9, 100%, $E$9)</f>
        <v>21.325299999999999</v>
      </c>
      <c r="I475" s="17">
        <f>CHOOSE(CONTROL!$C$42, 21.127, 21.127)* CHOOSE(CONTROL!$C$21, $C$9, 100%, $E$9)</f>
        <v>21.126999999999999</v>
      </c>
      <c r="J475" s="17">
        <f>CHOOSE(CONTROL!$C$42, 21.0409, 21.0409)* CHOOSE(CONTROL!$C$21, $C$9, 100%, $E$9)</f>
        <v>21.040900000000001</v>
      </c>
      <c r="K475" s="52">
        <f>CHOOSE(CONTROL!$C$42, 21.121, 21.121) * CHOOSE(CONTROL!$C$21, $C$9, 100%, $E$9)</f>
        <v>21.120999999999999</v>
      </c>
      <c r="L475" s="17">
        <f>CHOOSE(CONTROL!$C$42, 21.9123, 21.9123) * CHOOSE(CONTROL!$C$21, $C$9, 100%, $E$9)</f>
        <v>21.912299999999998</v>
      </c>
      <c r="M475" s="17">
        <f>CHOOSE(CONTROL!$C$42, 20.8587, 20.8587) * CHOOSE(CONTROL!$C$21, $C$9, 100%, $E$9)</f>
        <v>20.858699999999999</v>
      </c>
      <c r="N475" s="17">
        <f>CHOOSE(CONTROL!$C$42, 20.8752, 20.8752) * CHOOSE(CONTROL!$C$21, $C$9, 100%, $E$9)</f>
        <v>20.8752</v>
      </c>
      <c r="O475" s="17">
        <f>CHOOSE(CONTROL!$C$42, 21.1406, 21.1406) * CHOOSE(CONTROL!$C$21, $C$9, 100%, $E$9)</f>
        <v>21.140599999999999</v>
      </c>
      <c r="P475" s="17">
        <f>CHOOSE(CONTROL!$C$42, 20.9435, 20.9435) * CHOOSE(CONTROL!$C$21, $C$9, 100%, $E$9)</f>
        <v>20.9435</v>
      </c>
      <c r="Q475" s="17">
        <f>CHOOSE(CONTROL!$C$42, 21.7353, 21.7353) * CHOOSE(CONTROL!$C$21, $C$9, 100%, $E$9)</f>
        <v>21.735299999999999</v>
      </c>
      <c r="R475" s="17">
        <f>CHOOSE(CONTROL!$C$42, 22.3766, 22.3766) * CHOOSE(CONTROL!$C$21, $C$9, 100%, $E$9)</f>
        <v>22.3766</v>
      </c>
      <c r="S475" s="17">
        <f>CHOOSE(CONTROL!$C$42, 20.3889, 20.3889) * CHOOSE(CONTROL!$C$21, $C$9, 100%, $E$9)</f>
        <v>20.3889</v>
      </c>
      <c r="T475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475" s="56">
        <f>(1000*CHOOSE(CONTROL!$C$42, 695, 695)*CHOOSE(CONTROL!$C$42, 0.5599, 0.5599)*CHOOSE(CONTROL!$C$42, 31, 31))/1000000</f>
        <v>12.063045499999998</v>
      </c>
      <c r="V475" s="56">
        <f>(1000*CHOOSE(CONTROL!$C$42, 500, 500)*CHOOSE(CONTROL!$C$42, 0.275, 0.275)*CHOOSE(CONTROL!$C$42, 31, 31))/1000000</f>
        <v>4.2625000000000002</v>
      </c>
      <c r="W475" s="56">
        <f>(1000*CHOOSE(CONTROL!$C$42, 0.0916, 0.0916)*CHOOSE(CONTROL!$C$42, 121.5, 121.5)*CHOOSE(CONTROL!$C$42, 31, 31))/1000000</f>
        <v>0.34501139999999997</v>
      </c>
      <c r="X475" s="56">
        <f>(31*0.1790888*145000/1000000)+(31*0.2374*100000/1000000)</f>
        <v>1.5409441560000001</v>
      </c>
      <c r="Y475" s="56"/>
      <c r="Z475" s="17"/>
      <c r="AA475" s="55"/>
      <c r="AB475" s="48">
        <f>(B475*194.205+C475*267.466+D475*133.845+E475*153.484+F475*40+G475*85+H475*0+I475*100+J475*300)/(194.205+267.466+133.845+153.484+0+40+85+100+300)</f>
        <v>21.113593381397177</v>
      </c>
      <c r="AC475" s="45">
        <f>(M475*'RAP TEMPLATE-GAS AVAILABILITY'!O474+N475*'RAP TEMPLATE-GAS AVAILABILITY'!P474+O475*'RAP TEMPLATE-GAS AVAILABILITY'!Q474+P475*'RAP TEMPLATE-GAS AVAILABILITY'!R474)/('RAP TEMPLATE-GAS AVAILABILITY'!O474+'RAP TEMPLATE-GAS AVAILABILITY'!P474+'RAP TEMPLATE-GAS AVAILABILITY'!Q474+'RAP TEMPLATE-GAS AVAILABILITY'!R474)</f>
        <v>20.953794244604314</v>
      </c>
    </row>
    <row r="476" spans="1:29" ht="15.75" x14ac:dyDescent="0.25">
      <c r="A476" s="14">
        <v>55031</v>
      </c>
      <c r="B476" s="17">
        <f>CHOOSE(CONTROL!$C$42, 19.9994, 19.9994) * CHOOSE(CONTROL!$C$21, $C$9, 100%, $E$9)</f>
        <v>19.999400000000001</v>
      </c>
      <c r="C476" s="17">
        <f>CHOOSE(CONTROL!$C$42, 20.0074, 20.0074) * CHOOSE(CONTROL!$C$21, $C$9, 100%, $E$9)</f>
        <v>20.007400000000001</v>
      </c>
      <c r="D476" s="17">
        <f>CHOOSE(CONTROL!$C$42, 20.2673, 20.2673) * CHOOSE(CONTROL!$C$21, $C$9, 100%, $E$9)</f>
        <v>20.267299999999999</v>
      </c>
      <c r="E476" s="17">
        <f>CHOOSE(CONTROL!$C$42, 20.2985, 20.2985) * CHOOSE(CONTROL!$C$21, $C$9, 100%, $E$9)</f>
        <v>20.298500000000001</v>
      </c>
      <c r="F476" s="17">
        <f>CHOOSE(CONTROL!$C$42, 20.01, 20.01)*CHOOSE(CONTROL!$C$21, $C$9, 100%, $E$9)</f>
        <v>20.010000000000002</v>
      </c>
      <c r="G476" s="17">
        <f>CHOOSE(CONTROL!$C$42, 20.0267, 20.0267)*CHOOSE(CONTROL!$C$21, $C$9, 100%, $E$9)</f>
        <v>20.026700000000002</v>
      </c>
      <c r="H476" s="17">
        <f>CHOOSE(CONTROL!$C$42, 20.2868, 20.2868) * CHOOSE(CONTROL!$C$21, $C$9, 100%, $E$9)</f>
        <v>20.286799999999999</v>
      </c>
      <c r="I476" s="17">
        <f>CHOOSE(CONTROL!$C$42, 20.0853, 20.0853)* CHOOSE(CONTROL!$C$21, $C$9, 100%, $E$9)</f>
        <v>20.0853</v>
      </c>
      <c r="J476" s="17">
        <f>CHOOSE(CONTROL!$C$42, 20.0026, 20.0026)* CHOOSE(CONTROL!$C$21, $C$9, 100%, $E$9)</f>
        <v>20.002600000000001</v>
      </c>
      <c r="K476" s="52">
        <f>CHOOSE(CONTROL!$C$42, 20.0792, 20.0792) * CHOOSE(CONTROL!$C$21, $C$9, 100%, $E$9)</f>
        <v>20.0792</v>
      </c>
      <c r="L476" s="17">
        <f>CHOOSE(CONTROL!$C$42, 20.8738, 20.8738) * CHOOSE(CONTROL!$C$21, $C$9, 100%, $E$9)</f>
        <v>20.873799999999999</v>
      </c>
      <c r="M476" s="17">
        <f>CHOOSE(CONTROL!$C$42, 19.8297, 19.8297) * CHOOSE(CONTROL!$C$21, $C$9, 100%, $E$9)</f>
        <v>19.829699999999999</v>
      </c>
      <c r="N476" s="17">
        <f>CHOOSE(CONTROL!$C$42, 19.8463, 19.8463) * CHOOSE(CONTROL!$C$21, $C$9, 100%, $E$9)</f>
        <v>19.846299999999999</v>
      </c>
      <c r="O476" s="17">
        <f>CHOOSE(CONTROL!$C$42, 20.1114, 20.1114) * CHOOSE(CONTROL!$C$21, $C$9, 100%, $E$9)</f>
        <v>20.1114</v>
      </c>
      <c r="P476" s="17">
        <f>CHOOSE(CONTROL!$C$42, 19.9112, 19.9112) * CHOOSE(CONTROL!$C$21, $C$9, 100%, $E$9)</f>
        <v>19.911200000000001</v>
      </c>
      <c r="Q476" s="17">
        <f>CHOOSE(CONTROL!$C$42, 20.7061, 20.7061) * CHOOSE(CONTROL!$C$21, $C$9, 100%, $E$9)</f>
        <v>20.706099999999999</v>
      </c>
      <c r="R476" s="17">
        <f>CHOOSE(CONTROL!$C$42, 21.3448, 21.3448) * CHOOSE(CONTROL!$C$21, $C$9, 100%, $E$9)</f>
        <v>21.344799999999999</v>
      </c>
      <c r="S476" s="17">
        <f>CHOOSE(CONTROL!$C$42, 19.3818, 19.3818) * CHOOSE(CONTROL!$C$21, $C$9, 100%, $E$9)</f>
        <v>19.381799999999998</v>
      </c>
      <c r="T476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476" s="56">
        <f>(1000*CHOOSE(CONTROL!$C$42, 695, 695)*CHOOSE(CONTROL!$C$42, 0.5599, 0.5599)*CHOOSE(CONTROL!$C$42, 31, 31))/1000000</f>
        <v>12.063045499999998</v>
      </c>
      <c r="V476" s="56">
        <f>(1000*CHOOSE(CONTROL!$C$42, 500, 500)*CHOOSE(CONTROL!$C$42, 0.275, 0.275)*CHOOSE(CONTROL!$C$42, 31, 31))/1000000</f>
        <v>4.2625000000000002</v>
      </c>
      <c r="W476" s="56">
        <f>(1000*CHOOSE(CONTROL!$C$42, 0.0916, 0.0916)*CHOOSE(CONTROL!$C$42, 121.5, 121.5)*CHOOSE(CONTROL!$C$42, 31, 31))/1000000</f>
        <v>0.34501139999999997</v>
      </c>
      <c r="X476" s="56">
        <f>(31*0.1790888*145000/1000000)+(31*0.2374*100000/1000000)</f>
        <v>1.5409441560000001</v>
      </c>
      <c r="Y476" s="56"/>
      <c r="Z476" s="17"/>
      <c r="AA476" s="55"/>
      <c r="AB476" s="48">
        <f>(B476*194.205+C476*267.466+D476*133.845+E476*153.484+F476*40+G476*85+H476*0+I476*100+J476*300)/(194.205+267.466+133.845+153.484+0+40+85+100+300)</f>
        <v>20.074908922998429</v>
      </c>
      <c r="AC476" s="45">
        <f>(M476*'RAP TEMPLATE-GAS AVAILABILITY'!O475+N476*'RAP TEMPLATE-GAS AVAILABILITY'!P475+O476*'RAP TEMPLATE-GAS AVAILABILITY'!Q475+P476*'RAP TEMPLATE-GAS AVAILABILITY'!R475)/('RAP TEMPLATE-GAS AVAILABILITY'!O475+'RAP TEMPLATE-GAS AVAILABILITY'!P475+'RAP TEMPLATE-GAS AVAILABILITY'!Q475+'RAP TEMPLATE-GAS AVAILABILITY'!R475)</f>
        <v>19.924286330935253</v>
      </c>
    </row>
    <row r="477" spans="1:29" ht="15.75" x14ac:dyDescent="0.25">
      <c r="A477" s="14">
        <v>55061</v>
      </c>
      <c r="B477" s="17">
        <f>CHOOSE(CONTROL!$C$42, 18.7302, 18.7302) * CHOOSE(CONTROL!$C$21, $C$9, 100%, $E$9)</f>
        <v>18.7302</v>
      </c>
      <c r="C477" s="17">
        <f>CHOOSE(CONTROL!$C$42, 18.7382, 18.7382) * CHOOSE(CONTROL!$C$21, $C$9, 100%, $E$9)</f>
        <v>18.738199999999999</v>
      </c>
      <c r="D477" s="17">
        <f>CHOOSE(CONTROL!$C$42, 18.9981, 18.9981) * CHOOSE(CONTROL!$C$21, $C$9, 100%, $E$9)</f>
        <v>18.998100000000001</v>
      </c>
      <c r="E477" s="17">
        <f>CHOOSE(CONTROL!$C$42, 19.0293, 19.0293) * CHOOSE(CONTROL!$C$21, $C$9, 100%, $E$9)</f>
        <v>19.029299999999999</v>
      </c>
      <c r="F477" s="17">
        <f>CHOOSE(CONTROL!$C$42, 18.7409, 18.7409)*CHOOSE(CONTROL!$C$21, $C$9, 100%, $E$9)</f>
        <v>18.7409</v>
      </c>
      <c r="G477" s="17">
        <f>CHOOSE(CONTROL!$C$42, 18.7576, 18.7576)*CHOOSE(CONTROL!$C$21, $C$9, 100%, $E$9)</f>
        <v>18.7576</v>
      </c>
      <c r="H477" s="17">
        <f>CHOOSE(CONTROL!$C$42, 19.0176, 19.0176) * CHOOSE(CONTROL!$C$21, $C$9, 100%, $E$9)</f>
        <v>19.017600000000002</v>
      </c>
      <c r="I477" s="17">
        <f>CHOOSE(CONTROL!$C$42, 18.8122, 18.8122)* CHOOSE(CONTROL!$C$21, $C$9, 100%, $E$9)</f>
        <v>18.812200000000001</v>
      </c>
      <c r="J477" s="17">
        <f>CHOOSE(CONTROL!$C$42, 18.7335, 18.7335)* CHOOSE(CONTROL!$C$21, $C$9, 100%, $E$9)</f>
        <v>18.733499999999999</v>
      </c>
      <c r="K477" s="52">
        <f>CHOOSE(CONTROL!$C$42, 18.8061, 18.8061) * CHOOSE(CONTROL!$C$21, $C$9, 100%, $E$9)</f>
        <v>18.806100000000001</v>
      </c>
      <c r="L477" s="17">
        <f>CHOOSE(CONTROL!$C$42, 19.6046, 19.6046) * CHOOSE(CONTROL!$C$21, $C$9, 100%, $E$9)</f>
        <v>19.604600000000001</v>
      </c>
      <c r="M477" s="17">
        <f>CHOOSE(CONTROL!$C$42, 18.572, 18.572) * CHOOSE(CONTROL!$C$21, $C$9, 100%, $E$9)</f>
        <v>18.571999999999999</v>
      </c>
      <c r="N477" s="17">
        <f>CHOOSE(CONTROL!$C$42, 18.5885, 18.5885) * CHOOSE(CONTROL!$C$21, $C$9, 100%, $E$9)</f>
        <v>18.5885</v>
      </c>
      <c r="O477" s="17">
        <f>CHOOSE(CONTROL!$C$42, 18.8536, 18.8536) * CHOOSE(CONTROL!$C$21, $C$9, 100%, $E$9)</f>
        <v>18.8536</v>
      </c>
      <c r="P477" s="17">
        <f>CHOOSE(CONTROL!$C$42, 18.6495, 18.6495) * CHOOSE(CONTROL!$C$21, $C$9, 100%, $E$9)</f>
        <v>18.6495</v>
      </c>
      <c r="Q477" s="17">
        <f>CHOOSE(CONTROL!$C$42, 19.4483, 19.4483) * CHOOSE(CONTROL!$C$21, $C$9, 100%, $E$9)</f>
        <v>19.4483</v>
      </c>
      <c r="R477" s="17">
        <f>CHOOSE(CONTROL!$C$42, 20.0839, 20.0839) * CHOOSE(CONTROL!$C$21, $C$9, 100%, $E$9)</f>
        <v>20.0839</v>
      </c>
      <c r="S477" s="17">
        <f>CHOOSE(CONTROL!$C$42, 18.1511, 18.1511) * CHOOSE(CONTROL!$C$21, $C$9, 100%, $E$9)</f>
        <v>18.1511</v>
      </c>
      <c r="T477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477" s="56">
        <f>(1000*CHOOSE(CONTROL!$C$42, 695, 695)*CHOOSE(CONTROL!$C$42, 0.5599, 0.5599)*CHOOSE(CONTROL!$C$42, 30, 30))/1000000</f>
        <v>11.673914999999997</v>
      </c>
      <c r="V477" s="56">
        <f>(1000*CHOOSE(CONTROL!$C$42, 500, 500)*CHOOSE(CONTROL!$C$42, 0.275, 0.275)*CHOOSE(CONTROL!$C$42, 30, 30))/1000000</f>
        <v>4.125</v>
      </c>
      <c r="W477" s="56">
        <f>(1000*CHOOSE(CONTROL!$C$42, 0.0916, 0.0916)*CHOOSE(CONTROL!$C$42, 121.5, 121.5)*CHOOSE(CONTROL!$C$42, 30, 30))/1000000</f>
        <v>0.33388200000000001</v>
      </c>
      <c r="X477" s="56">
        <f>(30*0.1790888*145000/1000000)+(30*0.2374*100000/1000000)</f>
        <v>1.4912362799999999</v>
      </c>
      <c r="Y477" s="56"/>
      <c r="Z477" s="17"/>
      <c r="AA477" s="55"/>
      <c r="AB477" s="48">
        <f>(B477*194.205+C477*267.466+D477*133.845+E477*153.484+F477*40+G477*85+H477*0+I477*100+J477*300)/(194.205+267.466+133.845+153.484+0+40+85+100+300)</f>
        <v>18.805436160047094</v>
      </c>
      <c r="AC477" s="45">
        <f>(M477*'RAP TEMPLATE-GAS AVAILABILITY'!O476+N477*'RAP TEMPLATE-GAS AVAILABILITY'!P476+O477*'RAP TEMPLATE-GAS AVAILABILITY'!Q476+P477*'RAP TEMPLATE-GAS AVAILABILITY'!R476)/('RAP TEMPLATE-GAS AVAILABILITY'!O476+'RAP TEMPLATE-GAS AVAILABILITY'!P476+'RAP TEMPLATE-GAS AVAILABILITY'!Q476+'RAP TEMPLATE-GAS AVAILABILITY'!R476)</f>
        <v>18.665959712230215</v>
      </c>
    </row>
    <row r="478" spans="1:29" ht="15.75" x14ac:dyDescent="0.25">
      <c r="A478" s="14">
        <v>55092</v>
      </c>
      <c r="B478" s="17">
        <f>CHOOSE(CONTROL!$C$42, 18.3484, 18.3484) * CHOOSE(CONTROL!$C$21, $C$9, 100%, $E$9)</f>
        <v>18.348400000000002</v>
      </c>
      <c r="C478" s="17">
        <f>CHOOSE(CONTROL!$C$42, 18.3538, 18.3538) * CHOOSE(CONTROL!$C$21, $C$9, 100%, $E$9)</f>
        <v>18.3538</v>
      </c>
      <c r="D478" s="17">
        <f>CHOOSE(CONTROL!$C$42, 18.6186, 18.6186) * CHOOSE(CONTROL!$C$21, $C$9, 100%, $E$9)</f>
        <v>18.618600000000001</v>
      </c>
      <c r="E478" s="17">
        <f>CHOOSE(CONTROL!$C$42, 18.6475, 18.6475) * CHOOSE(CONTROL!$C$21, $C$9, 100%, $E$9)</f>
        <v>18.647500000000001</v>
      </c>
      <c r="F478" s="17">
        <f>CHOOSE(CONTROL!$C$42, 18.3613, 18.3613)*CHOOSE(CONTROL!$C$21, $C$9, 100%, $E$9)</f>
        <v>18.3613</v>
      </c>
      <c r="G478" s="17">
        <f>CHOOSE(CONTROL!$C$42, 18.3779, 18.3779)*CHOOSE(CONTROL!$C$21, $C$9, 100%, $E$9)</f>
        <v>18.3779</v>
      </c>
      <c r="H478" s="17">
        <f>CHOOSE(CONTROL!$C$42, 18.6376, 18.6376) * CHOOSE(CONTROL!$C$21, $C$9, 100%, $E$9)</f>
        <v>18.637599999999999</v>
      </c>
      <c r="I478" s="17">
        <f>CHOOSE(CONTROL!$C$42, 18.431, 18.431)* CHOOSE(CONTROL!$C$21, $C$9, 100%, $E$9)</f>
        <v>18.431000000000001</v>
      </c>
      <c r="J478" s="17">
        <f>CHOOSE(CONTROL!$C$42, 18.3539, 18.3539)* CHOOSE(CONTROL!$C$21, $C$9, 100%, $E$9)</f>
        <v>18.353899999999999</v>
      </c>
      <c r="K478" s="52">
        <f>CHOOSE(CONTROL!$C$42, 18.4249, 18.4249) * CHOOSE(CONTROL!$C$21, $C$9, 100%, $E$9)</f>
        <v>18.424900000000001</v>
      </c>
      <c r="L478" s="17">
        <f>CHOOSE(CONTROL!$C$42, 19.2246, 19.2246) * CHOOSE(CONTROL!$C$21, $C$9, 100%, $E$9)</f>
        <v>19.224599999999999</v>
      </c>
      <c r="M478" s="17">
        <f>CHOOSE(CONTROL!$C$42, 18.1958, 18.1958) * CHOOSE(CONTROL!$C$21, $C$9, 100%, $E$9)</f>
        <v>18.195799999999998</v>
      </c>
      <c r="N478" s="17">
        <f>CHOOSE(CONTROL!$C$42, 18.2122, 18.2122) * CHOOSE(CONTROL!$C$21, $C$9, 100%, $E$9)</f>
        <v>18.212199999999999</v>
      </c>
      <c r="O478" s="17">
        <f>CHOOSE(CONTROL!$C$42, 18.477, 18.477) * CHOOSE(CONTROL!$C$21, $C$9, 100%, $E$9)</f>
        <v>18.477</v>
      </c>
      <c r="P478" s="17">
        <f>CHOOSE(CONTROL!$C$42, 18.2717, 18.2717) * CHOOSE(CONTROL!$C$21, $C$9, 100%, $E$9)</f>
        <v>18.271699999999999</v>
      </c>
      <c r="Q478" s="17">
        <f>CHOOSE(CONTROL!$C$42, 19.0717, 19.0717) * CHOOSE(CONTROL!$C$21, $C$9, 100%, $E$9)</f>
        <v>19.0717</v>
      </c>
      <c r="R478" s="17">
        <f>CHOOSE(CONTROL!$C$42, 19.7064, 19.7064) * CHOOSE(CONTROL!$C$21, $C$9, 100%, $E$9)</f>
        <v>19.706399999999999</v>
      </c>
      <c r="S478" s="17">
        <f>CHOOSE(CONTROL!$C$42, 17.7826, 17.7826) * CHOOSE(CONTROL!$C$21, $C$9, 100%, $E$9)</f>
        <v>17.782599999999999</v>
      </c>
      <c r="T478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478" s="56">
        <f>(1000*CHOOSE(CONTROL!$C$42, 695, 695)*CHOOSE(CONTROL!$C$42, 0.5599, 0.5599)*CHOOSE(CONTROL!$C$42, 31, 31))/1000000</f>
        <v>12.063045499999998</v>
      </c>
      <c r="V478" s="56">
        <f>(1000*CHOOSE(CONTROL!$C$42, 500, 500)*CHOOSE(CONTROL!$C$42, 0.275, 0.275)*CHOOSE(CONTROL!$C$42, 31, 31))/1000000</f>
        <v>4.2625000000000002</v>
      </c>
      <c r="W478" s="56">
        <f>(1000*CHOOSE(CONTROL!$C$42, 0.0916, 0.0916)*CHOOSE(CONTROL!$C$42, 121.5, 121.5)*CHOOSE(CONTROL!$C$42, 31, 31))/1000000</f>
        <v>0.34501139999999997</v>
      </c>
      <c r="X478" s="56">
        <f>(31*0.1790888*145000/1000000)+(31*0.2374*100000/1000000)</f>
        <v>1.5409441560000001</v>
      </c>
      <c r="Y478" s="56"/>
      <c r="Z478" s="17"/>
      <c r="AA478" s="55"/>
      <c r="AB478" s="48">
        <f>(B478*131.881+C478*277.167+D478*79.08+E478*225.872+F478*40+G478*85+H478*0+I478*100+J478*300)/(131.881+277.167+79.08+225.872+0+40+85+100+300)</f>
        <v>18.43181883212268</v>
      </c>
      <c r="AC478" s="45">
        <f>(M478*'RAP TEMPLATE-GAS AVAILABILITY'!O477+N478*'RAP TEMPLATE-GAS AVAILABILITY'!P477+O478*'RAP TEMPLATE-GAS AVAILABILITY'!Q477+P478*'RAP TEMPLATE-GAS AVAILABILITY'!R477)/('RAP TEMPLATE-GAS AVAILABILITY'!O477+'RAP TEMPLATE-GAS AVAILABILITY'!P477+'RAP TEMPLATE-GAS AVAILABILITY'!Q477+'RAP TEMPLATE-GAS AVAILABILITY'!R477)</f>
        <v>18.289394244604313</v>
      </c>
    </row>
    <row r="479" spans="1:29" ht="15.75" x14ac:dyDescent="0.25">
      <c r="A479" s="14">
        <v>55122</v>
      </c>
      <c r="B479" s="17">
        <f>CHOOSE(CONTROL!$C$42, 18.8311, 18.8311) * CHOOSE(CONTROL!$C$21, $C$9, 100%, $E$9)</f>
        <v>18.831099999999999</v>
      </c>
      <c r="C479" s="17">
        <f>CHOOSE(CONTROL!$C$42, 18.8362, 18.8362) * CHOOSE(CONTROL!$C$21, $C$9, 100%, $E$9)</f>
        <v>18.836200000000002</v>
      </c>
      <c r="D479" s="17">
        <f>CHOOSE(CONTROL!$C$42, 18.9769, 18.9769) * CHOOSE(CONTROL!$C$21, $C$9, 100%, $E$9)</f>
        <v>18.976900000000001</v>
      </c>
      <c r="E479" s="17">
        <f>CHOOSE(CONTROL!$C$42, 19.0106, 19.0106) * CHOOSE(CONTROL!$C$21, $C$9, 100%, $E$9)</f>
        <v>19.0106</v>
      </c>
      <c r="F479" s="17">
        <f>CHOOSE(CONTROL!$C$42, 18.8444, 18.8444)*CHOOSE(CONTROL!$C$21, $C$9, 100%, $E$9)</f>
        <v>18.8444</v>
      </c>
      <c r="G479" s="17">
        <f>CHOOSE(CONTROL!$C$42, 18.8613, 18.8613)*CHOOSE(CONTROL!$C$21, $C$9, 100%, $E$9)</f>
        <v>18.8613</v>
      </c>
      <c r="H479" s="17">
        <f>CHOOSE(CONTROL!$C$42, 18.9995, 18.9995) * CHOOSE(CONTROL!$C$21, $C$9, 100%, $E$9)</f>
        <v>18.999500000000001</v>
      </c>
      <c r="I479" s="17">
        <f>CHOOSE(CONTROL!$C$42, 18.9119, 18.9119)* CHOOSE(CONTROL!$C$21, $C$9, 100%, $E$9)</f>
        <v>18.911899999999999</v>
      </c>
      <c r="J479" s="17">
        <f>CHOOSE(CONTROL!$C$42, 18.837, 18.837)* CHOOSE(CONTROL!$C$21, $C$9, 100%, $E$9)</f>
        <v>18.837</v>
      </c>
      <c r="K479" s="52">
        <f>CHOOSE(CONTROL!$C$42, 18.9059, 18.9059) * CHOOSE(CONTROL!$C$21, $C$9, 100%, $E$9)</f>
        <v>18.905899999999999</v>
      </c>
      <c r="L479" s="17">
        <f>CHOOSE(CONTROL!$C$42, 19.5865, 19.5865) * CHOOSE(CONTROL!$C$21, $C$9, 100%, $E$9)</f>
        <v>19.586500000000001</v>
      </c>
      <c r="M479" s="17">
        <f>CHOOSE(CONTROL!$C$42, 18.6746, 18.6746) * CHOOSE(CONTROL!$C$21, $C$9, 100%, $E$9)</f>
        <v>18.674600000000002</v>
      </c>
      <c r="N479" s="17">
        <f>CHOOSE(CONTROL!$C$42, 18.6913, 18.6913) * CHOOSE(CONTROL!$C$21, $C$9, 100%, $E$9)</f>
        <v>18.691299999999998</v>
      </c>
      <c r="O479" s="17">
        <f>CHOOSE(CONTROL!$C$42, 18.8356, 18.8356) * CHOOSE(CONTROL!$C$21, $C$9, 100%, $E$9)</f>
        <v>18.835599999999999</v>
      </c>
      <c r="P479" s="17">
        <f>CHOOSE(CONTROL!$C$42, 18.7484, 18.7484) * CHOOSE(CONTROL!$C$21, $C$9, 100%, $E$9)</f>
        <v>18.7484</v>
      </c>
      <c r="Q479" s="17">
        <f>CHOOSE(CONTROL!$C$42, 19.4303, 19.4303) * CHOOSE(CONTROL!$C$21, $C$9, 100%, $E$9)</f>
        <v>19.430299999999999</v>
      </c>
      <c r="R479" s="17">
        <f>CHOOSE(CONTROL!$C$42, 20.0659, 20.0659) * CHOOSE(CONTROL!$C$21, $C$9, 100%, $E$9)</f>
        <v>20.065899999999999</v>
      </c>
      <c r="S479" s="17">
        <f>CHOOSE(CONTROL!$C$42, 18.251, 18.251) * CHOOSE(CONTROL!$C$21, $C$9, 100%, $E$9)</f>
        <v>18.251000000000001</v>
      </c>
      <c r="T479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479" s="56">
        <f>(1000*CHOOSE(CONTROL!$C$42, 695, 695)*CHOOSE(CONTROL!$C$42, 0.5599, 0.5599)*CHOOSE(CONTROL!$C$42, 30, 30))/1000000</f>
        <v>11.673914999999997</v>
      </c>
      <c r="V479" s="56">
        <f>(1000*CHOOSE(CONTROL!$C$42, 500, 500)*CHOOSE(CONTROL!$C$42, 0.275, 0.275)*CHOOSE(CONTROL!$C$42, 30, 30))/1000000</f>
        <v>4.125</v>
      </c>
      <c r="W479" s="56">
        <f>(1000*CHOOSE(CONTROL!$C$42, 0.0916, 0.0916)*CHOOSE(CONTROL!$C$42, 121.5, 121.5)*CHOOSE(CONTROL!$C$42, 30, 30))/1000000</f>
        <v>0.33388200000000001</v>
      </c>
      <c r="X479" s="56">
        <f>(30*0.2374*100000/1000000)</f>
        <v>0.71220000000000006</v>
      </c>
      <c r="Y479" s="56"/>
      <c r="Z479" s="17"/>
      <c r="AA479" s="55"/>
      <c r="AB479" s="48">
        <f>(B479*122.58+C479*297.941+D479*89.177+E479*140.302+F479*40+G479*60+H479*0+I479*100+J479*300)/(122.58+297.941+89.177+140.302+0+40+60+100+300)</f>
        <v>18.876230186695654</v>
      </c>
      <c r="AC479" s="45">
        <f>(M479*'RAP TEMPLATE-GAS AVAILABILITY'!O478+N479*'RAP TEMPLATE-GAS AVAILABILITY'!P478+O479*'RAP TEMPLATE-GAS AVAILABILITY'!Q478+P479*'RAP TEMPLATE-GAS AVAILABILITY'!R478)/('RAP TEMPLATE-GAS AVAILABILITY'!O478+'RAP TEMPLATE-GAS AVAILABILITY'!P478+'RAP TEMPLATE-GAS AVAILABILITY'!Q478+'RAP TEMPLATE-GAS AVAILABILITY'!R478)</f>
        <v>18.759151079136693</v>
      </c>
    </row>
    <row r="480" spans="1:29" ht="15.75" x14ac:dyDescent="0.25">
      <c r="A480" s="14">
        <v>55153</v>
      </c>
      <c r="B480" s="17">
        <f>CHOOSE(CONTROL!$C$42, 20.1143, 20.1143) * CHOOSE(CONTROL!$C$21, $C$9, 100%, $E$9)</f>
        <v>20.1143</v>
      </c>
      <c r="C480" s="17">
        <f>CHOOSE(CONTROL!$C$42, 20.1194, 20.1194) * CHOOSE(CONTROL!$C$21, $C$9, 100%, $E$9)</f>
        <v>20.119399999999999</v>
      </c>
      <c r="D480" s="17">
        <f>CHOOSE(CONTROL!$C$42, 20.2601, 20.2601) * CHOOSE(CONTROL!$C$21, $C$9, 100%, $E$9)</f>
        <v>20.260100000000001</v>
      </c>
      <c r="E480" s="17">
        <f>CHOOSE(CONTROL!$C$42, 20.2938, 20.2938) * CHOOSE(CONTROL!$C$21, $C$9, 100%, $E$9)</f>
        <v>20.293800000000001</v>
      </c>
      <c r="F480" s="17">
        <f>CHOOSE(CONTROL!$C$42, 20.13, 20.13)*CHOOSE(CONTROL!$C$21, $C$9, 100%, $E$9)</f>
        <v>20.13</v>
      </c>
      <c r="G480" s="17">
        <f>CHOOSE(CONTROL!$C$42, 20.1475, 20.1475)*CHOOSE(CONTROL!$C$21, $C$9, 100%, $E$9)</f>
        <v>20.147500000000001</v>
      </c>
      <c r="H480" s="17">
        <f>CHOOSE(CONTROL!$C$42, 20.2827, 20.2827) * CHOOSE(CONTROL!$C$21, $C$9, 100%, $E$9)</f>
        <v>20.282699999999998</v>
      </c>
      <c r="I480" s="17">
        <f>CHOOSE(CONTROL!$C$42, 20.1991, 20.1991)* CHOOSE(CONTROL!$C$21, $C$9, 100%, $E$9)</f>
        <v>20.199100000000001</v>
      </c>
      <c r="J480" s="17">
        <f>CHOOSE(CONTROL!$C$42, 20.1226, 20.1226)* CHOOSE(CONTROL!$C$21, $C$9, 100%, $E$9)</f>
        <v>20.122599999999998</v>
      </c>
      <c r="K480" s="52">
        <f>CHOOSE(CONTROL!$C$42, 20.1931, 20.1931) * CHOOSE(CONTROL!$C$21, $C$9, 100%, $E$9)</f>
        <v>20.193100000000001</v>
      </c>
      <c r="L480" s="17">
        <f>CHOOSE(CONTROL!$C$42, 20.8697, 20.8697) * CHOOSE(CONTROL!$C$21, $C$9, 100%, $E$9)</f>
        <v>20.869700000000002</v>
      </c>
      <c r="M480" s="17">
        <f>CHOOSE(CONTROL!$C$42, 19.9487, 19.9487) * CHOOSE(CONTROL!$C$21, $C$9, 100%, $E$9)</f>
        <v>19.948699999999999</v>
      </c>
      <c r="N480" s="17">
        <f>CHOOSE(CONTROL!$C$42, 19.966, 19.966) * CHOOSE(CONTROL!$C$21, $C$9, 100%, $E$9)</f>
        <v>19.966000000000001</v>
      </c>
      <c r="O480" s="17">
        <f>CHOOSE(CONTROL!$C$42, 20.1073, 20.1073) * CHOOSE(CONTROL!$C$21, $C$9, 100%, $E$9)</f>
        <v>20.107299999999999</v>
      </c>
      <c r="P480" s="17">
        <f>CHOOSE(CONTROL!$C$42, 20.0239, 20.0239) * CHOOSE(CONTROL!$C$21, $C$9, 100%, $E$9)</f>
        <v>20.023900000000001</v>
      </c>
      <c r="Q480" s="17">
        <f>CHOOSE(CONTROL!$C$42, 20.702, 20.702) * CHOOSE(CONTROL!$C$21, $C$9, 100%, $E$9)</f>
        <v>20.702000000000002</v>
      </c>
      <c r="R480" s="17">
        <f>CHOOSE(CONTROL!$C$42, 21.3407, 21.3407) * CHOOSE(CONTROL!$C$21, $C$9, 100%, $E$9)</f>
        <v>21.340699999999998</v>
      </c>
      <c r="S480" s="17">
        <f>CHOOSE(CONTROL!$C$42, 19.4953, 19.4953) * CHOOSE(CONTROL!$C$21, $C$9, 100%, $E$9)</f>
        <v>19.4953</v>
      </c>
      <c r="T480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480" s="56">
        <f>(1000*CHOOSE(CONTROL!$C$42, 695, 695)*CHOOSE(CONTROL!$C$42, 0.5599, 0.5599)*CHOOSE(CONTROL!$C$42, 31, 31))/1000000</f>
        <v>12.063045499999998</v>
      </c>
      <c r="V480" s="56">
        <f>(1000*CHOOSE(CONTROL!$C$42, 500, 500)*CHOOSE(CONTROL!$C$42, 0.275, 0.275)*CHOOSE(CONTROL!$C$42, 31, 31))/1000000</f>
        <v>4.2625000000000002</v>
      </c>
      <c r="W480" s="56">
        <f>(1000*CHOOSE(CONTROL!$C$42, 0.0916, 0.0916)*CHOOSE(CONTROL!$C$42, 121.5, 121.5)*CHOOSE(CONTROL!$C$42, 31, 31))/1000000</f>
        <v>0.34501139999999997</v>
      </c>
      <c r="X480" s="56">
        <f>(31*0.2374*100000/1000000)</f>
        <v>0.73594000000000004</v>
      </c>
      <c r="Y480" s="56"/>
      <c r="Z480" s="17"/>
      <c r="AA480" s="55"/>
      <c r="AB480" s="48">
        <f>(B480*122.58+C480*297.941+D480*89.177+E480*140.302+F480*40+G480*60+H480*0+I480*100+J480*300)/(122.58+297.941+89.177+140.302+0+40+60+100+300)</f>
        <v>20.16064409973913</v>
      </c>
      <c r="AC480" s="45">
        <f>(M480*'RAP TEMPLATE-GAS AVAILABILITY'!O479+N480*'RAP TEMPLATE-GAS AVAILABILITY'!P479+O480*'RAP TEMPLATE-GAS AVAILABILITY'!Q479+P480*'RAP TEMPLATE-GAS AVAILABILITY'!R479)/('RAP TEMPLATE-GAS AVAILABILITY'!O479+'RAP TEMPLATE-GAS AVAILABILITY'!P479+'RAP TEMPLATE-GAS AVAILABILITY'!Q479+'RAP TEMPLATE-GAS AVAILABILITY'!R479)</f>
        <v>20.032399280575536</v>
      </c>
    </row>
    <row r="481" spans="1:29" ht="15.75" x14ac:dyDescent="0.25">
      <c r="A481" s="14">
        <v>55184</v>
      </c>
      <c r="B481" s="17">
        <f>CHOOSE(CONTROL!$C$42, 21.6593, 21.6593) * CHOOSE(CONTROL!$C$21, $C$9, 100%, $E$9)</f>
        <v>21.659300000000002</v>
      </c>
      <c r="C481" s="17">
        <f>CHOOSE(CONTROL!$C$42, 21.6644, 21.6644) * CHOOSE(CONTROL!$C$21, $C$9, 100%, $E$9)</f>
        <v>21.664400000000001</v>
      </c>
      <c r="D481" s="17">
        <f>CHOOSE(CONTROL!$C$42, 21.7984, 21.7984) * CHOOSE(CONTROL!$C$21, $C$9, 100%, $E$9)</f>
        <v>21.798400000000001</v>
      </c>
      <c r="E481" s="17">
        <f>CHOOSE(CONTROL!$C$42, 21.8321, 21.8321) * CHOOSE(CONTROL!$C$21, $C$9, 100%, $E$9)</f>
        <v>21.832100000000001</v>
      </c>
      <c r="F481" s="17">
        <f>CHOOSE(CONTROL!$C$42, 21.6728, 21.6728)*CHOOSE(CONTROL!$C$21, $C$9, 100%, $E$9)</f>
        <v>21.672799999999999</v>
      </c>
      <c r="G481" s="17">
        <f>CHOOSE(CONTROL!$C$42, 21.6897, 21.6897)*CHOOSE(CONTROL!$C$21, $C$9, 100%, $E$9)</f>
        <v>21.689699999999998</v>
      </c>
      <c r="H481" s="17">
        <f>CHOOSE(CONTROL!$C$42, 21.821, 21.821) * CHOOSE(CONTROL!$C$21, $C$9, 100%, $E$9)</f>
        <v>21.821000000000002</v>
      </c>
      <c r="I481" s="17">
        <f>CHOOSE(CONTROL!$C$42, 21.7531, 21.7531)* CHOOSE(CONTROL!$C$21, $C$9, 100%, $E$9)</f>
        <v>21.7531</v>
      </c>
      <c r="J481" s="17">
        <f>CHOOSE(CONTROL!$C$42, 21.6654, 21.6654)* CHOOSE(CONTROL!$C$21, $C$9, 100%, $E$9)</f>
        <v>21.665400000000002</v>
      </c>
      <c r="K481" s="52">
        <f>CHOOSE(CONTROL!$C$42, 21.747, 21.747) * CHOOSE(CONTROL!$C$21, $C$9, 100%, $E$9)</f>
        <v>21.747</v>
      </c>
      <c r="L481" s="17">
        <f>CHOOSE(CONTROL!$C$42, 22.408, 22.408) * CHOOSE(CONTROL!$C$21, $C$9, 100%, $E$9)</f>
        <v>22.408000000000001</v>
      </c>
      <c r="M481" s="17">
        <f>CHOOSE(CONTROL!$C$42, 21.4776, 21.4776) * CHOOSE(CONTROL!$C$21, $C$9, 100%, $E$9)</f>
        <v>21.477599999999999</v>
      </c>
      <c r="N481" s="17">
        <f>CHOOSE(CONTROL!$C$42, 21.4943, 21.4943) * CHOOSE(CONTROL!$C$21, $C$9, 100%, $E$9)</f>
        <v>21.494299999999999</v>
      </c>
      <c r="O481" s="17">
        <f>CHOOSE(CONTROL!$C$42, 21.6318, 21.6318) * CHOOSE(CONTROL!$C$21, $C$9, 100%, $E$9)</f>
        <v>21.631799999999998</v>
      </c>
      <c r="P481" s="17">
        <f>CHOOSE(CONTROL!$C$42, 21.5639, 21.5639) * CHOOSE(CONTROL!$C$21, $C$9, 100%, $E$9)</f>
        <v>21.5639</v>
      </c>
      <c r="Q481" s="17">
        <f>CHOOSE(CONTROL!$C$42, 22.2265, 22.2265) * CHOOSE(CONTROL!$C$21, $C$9, 100%, $E$9)</f>
        <v>22.226500000000001</v>
      </c>
      <c r="R481" s="17">
        <f>CHOOSE(CONTROL!$C$42, 22.8691, 22.8691) * CHOOSE(CONTROL!$C$21, $C$9, 100%, $E$9)</f>
        <v>22.8691</v>
      </c>
      <c r="S481" s="17">
        <f>CHOOSE(CONTROL!$C$42, 20.9936, 20.9936) * CHOOSE(CONTROL!$C$21, $C$9, 100%, $E$9)</f>
        <v>20.993600000000001</v>
      </c>
      <c r="T481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481" s="56">
        <f>(1000*CHOOSE(CONTROL!$C$42, 695, 695)*CHOOSE(CONTROL!$C$42, 0.5599, 0.5599)*CHOOSE(CONTROL!$C$42, 31, 31))/1000000</f>
        <v>12.063045499999998</v>
      </c>
      <c r="V481" s="56">
        <f>(1000*CHOOSE(CONTROL!$C$42, 500, 500)*CHOOSE(CONTROL!$C$42, 0.275, 0.275)*CHOOSE(CONTROL!$C$42, 31, 31))/1000000</f>
        <v>4.2625000000000002</v>
      </c>
      <c r="W481" s="56">
        <f>(1000*CHOOSE(CONTROL!$C$42, 0.0916, 0.0916)*CHOOSE(CONTROL!$C$42, 121.5, 121.5)*CHOOSE(CONTROL!$C$42, 31, 31))/1000000</f>
        <v>0.34501139999999997</v>
      </c>
      <c r="X481" s="56">
        <f>(31*0.2374*100000/1000000)</f>
        <v>0.73594000000000004</v>
      </c>
      <c r="Y481" s="56"/>
      <c r="Z481" s="17"/>
      <c r="AA481" s="55"/>
      <c r="AB481" s="48">
        <f>(B481*122.58+C481*297.941+D481*89.177+E481*140.302+F481*40+G481*60+H481*0+I481*100+J481*300)/(122.58+297.941+89.177+140.302+0+40+60+100+300)</f>
        <v>21.70429322208696</v>
      </c>
      <c r="AC481" s="45">
        <f>(M481*'RAP TEMPLATE-GAS AVAILABILITY'!O480+N481*'RAP TEMPLATE-GAS AVAILABILITY'!P480+O481*'RAP TEMPLATE-GAS AVAILABILITY'!Q480+P481*'RAP TEMPLATE-GAS AVAILABILITY'!R480)/('RAP TEMPLATE-GAS AVAILABILITY'!O480+'RAP TEMPLATE-GAS AVAILABILITY'!P480+'RAP TEMPLATE-GAS AVAILABILITY'!Q480+'RAP TEMPLATE-GAS AVAILABILITY'!R480)</f>
        <v>21.560867625899281</v>
      </c>
    </row>
    <row r="482" spans="1:29" ht="15.75" x14ac:dyDescent="0.25">
      <c r="A482" s="14">
        <v>55212</v>
      </c>
      <c r="B482" s="17">
        <f>CHOOSE(CONTROL!$C$42, 22.0447, 22.0447) * CHOOSE(CONTROL!$C$21, $C$9, 100%, $E$9)</f>
        <v>22.044699999999999</v>
      </c>
      <c r="C482" s="17">
        <f>CHOOSE(CONTROL!$C$42, 22.0498, 22.0498) * CHOOSE(CONTROL!$C$21, $C$9, 100%, $E$9)</f>
        <v>22.049800000000001</v>
      </c>
      <c r="D482" s="17">
        <f>CHOOSE(CONTROL!$C$42, 22.1838, 22.1838) * CHOOSE(CONTROL!$C$21, $C$9, 100%, $E$9)</f>
        <v>22.183800000000002</v>
      </c>
      <c r="E482" s="17">
        <f>CHOOSE(CONTROL!$C$42, 22.2175, 22.2175) * CHOOSE(CONTROL!$C$21, $C$9, 100%, $E$9)</f>
        <v>22.217500000000001</v>
      </c>
      <c r="F482" s="17">
        <f>CHOOSE(CONTROL!$C$42, 22.0581, 22.0581)*CHOOSE(CONTROL!$C$21, $C$9, 100%, $E$9)</f>
        <v>22.0581</v>
      </c>
      <c r="G482" s="17">
        <f>CHOOSE(CONTROL!$C$42, 22.075, 22.075)*CHOOSE(CONTROL!$C$21, $C$9, 100%, $E$9)</f>
        <v>22.074999999999999</v>
      </c>
      <c r="H482" s="17">
        <f>CHOOSE(CONTROL!$C$42, 22.2064, 22.2064) * CHOOSE(CONTROL!$C$21, $C$9, 100%, $E$9)</f>
        <v>22.206399999999999</v>
      </c>
      <c r="I482" s="17">
        <f>CHOOSE(CONTROL!$C$42, 22.1396, 22.1396)* CHOOSE(CONTROL!$C$21, $C$9, 100%, $E$9)</f>
        <v>22.139600000000002</v>
      </c>
      <c r="J482" s="17">
        <f>CHOOSE(CONTROL!$C$42, 22.0507, 22.0507)* CHOOSE(CONTROL!$C$21, $C$9, 100%, $E$9)</f>
        <v>22.050699999999999</v>
      </c>
      <c r="K482" s="52">
        <f>CHOOSE(CONTROL!$C$42, 22.1336, 22.1336) * CHOOSE(CONTROL!$C$21, $C$9, 100%, $E$9)</f>
        <v>22.133600000000001</v>
      </c>
      <c r="L482" s="17">
        <f>CHOOSE(CONTROL!$C$42, 22.7934, 22.7934) * CHOOSE(CONTROL!$C$21, $C$9, 100%, $E$9)</f>
        <v>22.793399999999998</v>
      </c>
      <c r="M482" s="17">
        <f>CHOOSE(CONTROL!$C$42, 21.8594, 21.8594) * CHOOSE(CONTROL!$C$21, $C$9, 100%, $E$9)</f>
        <v>21.859400000000001</v>
      </c>
      <c r="N482" s="17">
        <f>CHOOSE(CONTROL!$C$42, 21.8762, 21.8762) * CHOOSE(CONTROL!$C$21, $C$9, 100%, $E$9)</f>
        <v>21.876200000000001</v>
      </c>
      <c r="O482" s="17">
        <f>CHOOSE(CONTROL!$C$42, 22.0137, 22.0137) * CHOOSE(CONTROL!$C$21, $C$9, 100%, $E$9)</f>
        <v>22.0137</v>
      </c>
      <c r="P482" s="17">
        <f>CHOOSE(CONTROL!$C$42, 21.947, 21.947) * CHOOSE(CONTROL!$C$21, $C$9, 100%, $E$9)</f>
        <v>21.946999999999999</v>
      </c>
      <c r="Q482" s="17">
        <f>CHOOSE(CONTROL!$C$42, 22.6084, 22.6084) * CHOOSE(CONTROL!$C$21, $C$9, 100%, $E$9)</f>
        <v>22.6084</v>
      </c>
      <c r="R482" s="17">
        <f>CHOOSE(CONTROL!$C$42, 23.2519, 23.2519) * CHOOSE(CONTROL!$C$21, $C$9, 100%, $E$9)</f>
        <v>23.251899999999999</v>
      </c>
      <c r="S482" s="17">
        <f>CHOOSE(CONTROL!$C$42, 21.3673, 21.3673) * CHOOSE(CONTROL!$C$21, $C$9, 100%, $E$9)</f>
        <v>21.3673</v>
      </c>
      <c r="T482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482" s="56">
        <f>(1000*CHOOSE(CONTROL!$C$42, 695, 695)*CHOOSE(CONTROL!$C$42, 0.5599, 0.5599)*CHOOSE(CONTROL!$C$42, 28, 28))/1000000</f>
        <v>10.895653999999999</v>
      </c>
      <c r="V482" s="56">
        <f>(1000*CHOOSE(CONTROL!$C$42, 500, 500)*CHOOSE(CONTROL!$C$42, 0.275, 0.275)*CHOOSE(CONTROL!$C$42, 28, 28))/1000000</f>
        <v>3.85</v>
      </c>
      <c r="W482" s="56">
        <f>(1000*CHOOSE(CONTROL!$C$42, 0.0916, 0.0916)*CHOOSE(CONTROL!$C$42, 121.5, 121.5)*CHOOSE(CONTROL!$C$42, 28, 28))/1000000</f>
        <v>0.31162319999999999</v>
      </c>
      <c r="X482" s="56">
        <f>(28*0.2374*100000/1000000)</f>
        <v>0.66471999999999998</v>
      </c>
      <c r="Y482" s="56"/>
      <c r="Z482" s="17"/>
      <c r="AA482" s="55"/>
      <c r="AB482" s="48">
        <f>(B482*122.58+C482*297.941+D482*89.177+E482*140.302+F482*40+G482*60+H482*0+I482*100+J482*300)/(122.58+297.941+89.177+140.302+0+40+60+100+300)</f>
        <v>22.089754091652175</v>
      </c>
      <c r="AC482" s="45">
        <f>(M482*'RAP TEMPLATE-GAS AVAILABILITY'!O481+N482*'RAP TEMPLATE-GAS AVAILABILITY'!P481+O482*'RAP TEMPLATE-GAS AVAILABILITY'!Q481+P482*'RAP TEMPLATE-GAS AVAILABILITY'!R481)/('RAP TEMPLATE-GAS AVAILABILITY'!O481+'RAP TEMPLATE-GAS AVAILABILITY'!P481+'RAP TEMPLATE-GAS AVAILABILITY'!Q481+'RAP TEMPLATE-GAS AVAILABILITY'!R481)</f>
        <v>21.942905755395685</v>
      </c>
    </row>
    <row r="483" spans="1:29" ht="15.75" x14ac:dyDescent="0.25">
      <c r="A483" s="14">
        <v>55243</v>
      </c>
      <c r="B483" s="17">
        <f>CHOOSE(CONTROL!$C$42, 21.4192, 21.4192) * CHOOSE(CONTROL!$C$21, $C$9, 100%, $E$9)</f>
        <v>21.4192</v>
      </c>
      <c r="C483" s="17">
        <f>CHOOSE(CONTROL!$C$42, 21.4242, 21.4242) * CHOOSE(CONTROL!$C$21, $C$9, 100%, $E$9)</f>
        <v>21.424199999999999</v>
      </c>
      <c r="D483" s="17">
        <f>CHOOSE(CONTROL!$C$42, 21.5582, 21.5582) * CHOOSE(CONTROL!$C$21, $C$9, 100%, $E$9)</f>
        <v>21.558199999999999</v>
      </c>
      <c r="E483" s="17">
        <f>CHOOSE(CONTROL!$C$42, 21.592, 21.592) * CHOOSE(CONTROL!$C$21, $C$9, 100%, $E$9)</f>
        <v>21.591999999999999</v>
      </c>
      <c r="F483" s="17">
        <f>CHOOSE(CONTROL!$C$42, 21.4318, 21.4318)*CHOOSE(CONTROL!$C$21, $C$9, 100%, $E$9)</f>
        <v>21.431799999999999</v>
      </c>
      <c r="G483" s="17">
        <f>CHOOSE(CONTROL!$C$42, 21.4485, 21.4485)*CHOOSE(CONTROL!$C$21, $C$9, 100%, $E$9)</f>
        <v>21.448499999999999</v>
      </c>
      <c r="H483" s="17">
        <f>CHOOSE(CONTROL!$C$42, 21.5808, 21.5808) * CHOOSE(CONTROL!$C$21, $C$9, 100%, $E$9)</f>
        <v>21.5808</v>
      </c>
      <c r="I483" s="17">
        <f>CHOOSE(CONTROL!$C$42, 21.5121, 21.5121)* CHOOSE(CONTROL!$C$21, $C$9, 100%, $E$9)</f>
        <v>21.5121</v>
      </c>
      <c r="J483" s="17">
        <f>CHOOSE(CONTROL!$C$42, 21.4244, 21.4244)* CHOOSE(CONTROL!$C$21, $C$9, 100%, $E$9)</f>
        <v>21.424399999999999</v>
      </c>
      <c r="K483" s="52">
        <f>CHOOSE(CONTROL!$C$42, 21.5061, 21.5061) * CHOOSE(CONTROL!$C$21, $C$9, 100%, $E$9)</f>
        <v>21.5061</v>
      </c>
      <c r="L483" s="17">
        <f>CHOOSE(CONTROL!$C$42, 22.1678, 22.1678) * CHOOSE(CONTROL!$C$21, $C$9, 100%, $E$9)</f>
        <v>22.1678</v>
      </c>
      <c r="M483" s="17">
        <f>CHOOSE(CONTROL!$C$42, 21.2387, 21.2387) * CHOOSE(CONTROL!$C$21, $C$9, 100%, $E$9)</f>
        <v>21.238700000000001</v>
      </c>
      <c r="N483" s="17">
        <f>CHOOSE(CONTROL!$C$42, 21.2553, 21.2553) * CHOOSE(CONTROL!$C$21, $C$9, 100%, $E$9)</f>
        <v>21.255299999999998</v>
      </c>
      <c r="O483" s="17">
        <f>CHOOSE(CONTROL!$C$42, 21.3938, 21.3938) * CHOOSE(CONTROL!$C$21, $C$9, 100%, $E$9)</f>
        <v>21.393799999999999</v>
      </c>
      <c r="P483" s="17">
        <f>CHOOSE(CONTROL!$C$42, 21.3251, 21.3251) * CHOOSE(CONTROL!$C$21, $C$9, 100%, $E$9)</f>
        <v>21.325099999999999</v>
      </c>
      <c r="Q483" s="17">
        <f>CHOOSE(CONTROL!$C$42, 21.9885, 21.9885) * CHOOSE(CONTROL!$C$21, $C$9, 100%, $E$9)</f>
        <v>21.988499999999998</v>
      </c>
      <c r="R483" s="17">
        <f>CHOOSE(CONTROL!$C$42, 22.6304, 22.6304) * CHOOSE(CONTROL!$C$21, $C$9, 100%, $E$9)</f>
        <v>22.630400000000002</v>
      </c>
      <c r="S483" s="17">
        <f>CHOOSE(CONTROL!$C$42, 20.7607, 20.7607) * CHOOSE(CONTROL!$C$21, $C$9, 100%, $E$9)</f>
        <v>20.7607</v>
      </c>
      <c r="T483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483" s="56">
        <f>(1000*CHOOSE(CONTROL!$C$42, 695, 695)*CHOOSE(CONTROL!$C$42, 0.5599, 0.5599)*CHOOSE(CONTROL!$C$42, 31, 31))/1000000</f>
        <v>12.063045499999998</v>
      </c>
      <c r="V483" s="56">
        <f>(1000*CHOOSE(CONTROL!$C$42, 500, 500)*CHOOSE(CONTROL!$C$42, 0.275, 0.275)*CHOOSE(CONTROL!$C$42, 31, 31))/1000000</f>
        <v>4.2625000000000002</v>
      </c>
      <c r="W483" s="56">
        <f>(1000*CHOOSE(CONTROL!$C$42, 0.0916, 0.0916)*CHOOSE(CONTROL!$C$42, 121.5, 121.5)*CHOOSE(CONTROL!$C$42, 31, 31))/1000000</f>
        <v>0.34501139999999997</v>
      </c>
      <c r="X483" s="56">
        <f>(31*0.2374*100000/1000000)</f>
        <v>0.73594000000000004</v>
      </c>
      <c r="Y483" s="56"/>
      <c r="Z483" s="17"/>
      <c r="AA483" s="55"/>
      <c r="AB483" s="48">
        <f>(B483*122.58+C483*297.941+D483*89.177+E483*140.302+F483*40+G483*60+H483*0+I483*100+J483*300)/(122.58+297.941+89.177+140.302+0+40+60+100+300)</f>
        <v>21.463757820521735</v>
      </c>
      <c r="AC483" s="45">
        <f>(M483*'RAP TEMPLATE-GAS AVAILABILITY'!O482+N483*'RAP TEMPLATE-GAS AVAILABILITY'!P482+O483*'RAP TEMPLATE-GAS AVAILABILITY'!Q482+P483*'RAP TEMPLATE-GAS AVAILABILITY'!R482)/('RAP TEMPLATE-GAS AVAILABILITY'!O482+'RAP TEMPLATE-GAS AVAILABILITY'!P482+'RAP TEMPLATE-GAS AVAILABILITY'!Q482+'RAP TEMPLATE-GAS AVAILABILITY'!R482)</f>
        <v>21.32238417266187</v>
      </c>
    </row>
    <row r="484" spans="1:29" ht="15.75" x14ac:dyDescent="0.25">
      <c r="A484" s="14">
        <v>55273</v>
      </c>
      <c r="B484" s="17">
        <f>CHOOSE(CONTROL!$C$42, 21.3561, 21.3561) * CHOOSE(CONTROL!$C$21, $C$9, 100%, $E$9)</f>
        <v>21.356100000000001</v>
      </c>
      <c r="C484" s="17">
        <f>CHOOSE(CONTROL!$C$42, 21.3606, 21.3606) * CHOOSE(CONTROL!$C$21, $C$9, 100%, $E$9)</f>
        <v>21.360600000000002</v>
      </c>
      <c r="D484" s="17">
        <f>CHOOSE(CONTROL!$C$42, 21.6236, 21.6236) * CHOOSE(CONTROL!$C$21, $C$9, 100%, $E$9)</f>
        <v>21.6236</v>
      </c>
      <c r="E484" s="17">
        <f>CHOOSE(CONTROL!$C$42, 21.6554, 21.6554) * CHOOSE(CONTROL!$C$21, $C$9, 100%, $E$9)</f>
        <v>21.6554</v>
      </c>
      <c r="F484" s="17">
        <f>CHOOSE(CONTROL!$C$42, 21.367, 21.367)*CHOOSE(CONTROL!$C$21, $C$9, 100%, $E$9)</f>
        <v>21.367000000000001</v>
      </c>
      <c r="G484" s="17">
        <f>CHOOSE(CONTROL!$C$42, 21.3832, 21.3832)*CHOOSE(CONTROL!$C$21, $C$9, 100%, $E$9)</f>
        <v>21.383199999999999</v>
      </c>
      <c r="H484" s="17">
        <f>CHOOSE(CONTROL!$C$42, 21.6449, 21.6449) * CHOOSE(CONTROL!$C$21, $C$9, 100%, $E$9)</f>
        <v>21.6449</v>
      </c>
      <c r="I484" s="17">
        <f>CHOOSE(CONTROL!$C$42, 21.4476, 21.4476)* CHOOSE(CONTROL!$C$21, $C$9, 100%, $E$9)</f>
        <v>21.447600000000001</v>
      </c>
      <c r="J484" s="17">
        <f>CHOOSE(CONTROL!$C$42, 21.3596, 21.3596)* CHOOSE(CONTROL!$C$21, $C$9, 100%, $E$9)</f>
        <v>21.3596</v>
      </c>
      <c r="K484" s="52">
        <f>CHOOSE(CONTROL!$C$42, 21.4415, 21.4415) * CHOOSE(CONTROL!$C$21, $C$9, 100%, $E$9)</f>
        <v>21.441500000000001</v>
      </c>
      <c r="L484" s="17">
        <f>CHOOSE(CONTROL!$C$42, 22.2319, 22.2319) * CHOOSE(CONTROL!$C$21, $C$9, 100%, $E$9)</f>
        <v>22.2319</v>
      </c>
      <c r="M484" s="17">
        <f>CHOOSE(CONTROL!$C$42, 21.1745, 21.1745) * CHOOSE(CONTROL!$C$21, $C$9, 100%, $E$9)</f>
        <v>21.174499999999998</v>
      </c>
      <c r="N484" s="17">
        <f>CHOOSE(CONTROL!$C$42, 21.1905, 21.1905) * CHOOSE(CONTROL!$C$21, $C$9, 100%, $E$9)</f>
        <v>21.1905</v>
      </c>
      <c r="O484" s="17">
        <f>CHOOSE(CONTROL!$C$42, 21.4572, 21.4572) * CHOOSE(CONTROL!$C$21, $C$9, 100%, $E$9)</f>
        <v>21.4572</v>
      </c>
      <c r="P484" s="17">
        <f>CHOOSE(CONTROL!$C$42, 21.2612, 21.2612) * CHOOSE(CONTROL!$C$21, $C$9, 100%, $E$9)</f>
        <v>21.261199999999999</v>
      </c>
      <c r="Q484" s="17">
        <f>CHOOSE(CONTROL!$C$42, 22.0519, 22.0519) * CHOOSE(CONTROL!$C$21, $C$9, 100%, $E$9)</f>
        <v>22.0519</v>
      </c>
      <c r="R484" s="17">
        <f>CHOOSE(CONTROL!$C$42, 22.6941, 22.6941) * CHOOSE(CONTROL!$C$21, $C$9, 100%, $E$9)</f>
        <v>22.694099999999999</v>
      </c>
      <c r="S484" s="17">
        <f>CHOOSE(CONTROL!$C$42, 20.6988, 20.6988) * CHOOSE(CONTROL!$C$21, $C$9, 100%, $E$9)</f>
        <v>20.698799999999999</v>
      </c>
      <c r="T484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484" s="56">
        <f>(1000*CHOOSE(CONTROL!$C$42, 695, 695)*CHOOSE(CONTROL!$C$42, 0.5599, 0.5599)*CHOOSE(CONTROL!$C$42, 30, 30))/1000000</f>
        <v>11.673914999999997</v>
      </c>
      <c r="V484" s="56">
        <f>(1000*CHOOSE(CONTROL!$C$42, 500, 500)*CHOOSE(CONTROL!$C$42, 0.275, 0.275)*CHOOSE(CONTROL!$C$42, 30, 30))/1000000</f>
        <v>4.125</v>
      </c>
      <c r="W484" s="56">
        <f>(1000*CHOOSE(CONTROL!$C$42, 0.0916, 0.0916)*CHOOSE(CONTROL!$C$42, 121.5, 121.5)*CHOOSE(CONTROL!$C$42, 30, 30))/1000000</f>
        <v>0.33388200000000001</v>
      </c>
      <c r="X484" s="56">
        <f>(30*0.1790888*145000/1000000)+(30*0.2374*100000/1000000)</f>
        <v>1.4912362799999999</v>
      </c>
      <c r="Y484" s="56"/>
      <c r="Z484" s="17"/>
      <c r="AA484" s="55"/>
      <c r="AB484" s="48">
        <f>(B484*141.293+C484*267.993+D484*115.016+E484*189.698+F484*40+G484*85+H484*0+I484*100+J484*300)/(141.293+267.993+115.016+189.698+0+40+85+100+300)</f>
        <v>21.438173333252621</v>
      </c>
      <c r="AC484" s="45">
        <f>(M484*'RAP TEMPLATE-GAS AVAILABILITY'!O483+N484*'RAP TEMPLATE-GAS AVAILABILITY'!P483+O484*'RAP TEMPLATE-GAS AVAILABILITY'!Q483+P484*'RAP TEMPLATE-GAS AVAILABILITY'!R483)/('RAP TEMPLATE-GAS AVAILABILITY'!O483+'RAP TEMPLATE-GAS AVAILABILITY'!P483+'RAP TEMPLATE-GAS AVAILABILITY'!Q483+'RAP TEMPLATE-GAS AVAILABILITY'!R483)</f>
        <v>21.269976978417265</v>
      </c>
    </row>
    <row r="485" spans="1:29" ht="15.75" x14ac:dyDescent="0.25">
      <c r="A485" s="14">
        <v>55304</v>
      </c>
      <c r="B485" s="17">
        <f>CHOOSE(CONTROL!$C$42, 21.5459, 21.5459) * CHOOSE(CONTROL!$C$21, $C$9, 100%, $E$9)</f>
        <v>21.5459</v>
      </c>
      <c r="C485" s="17">
        <f>CHOOSE(CONTROL!$C$42, 21.5538, 21.5538) * CHOOSE(CONTROL!$C$21, $C$9, 100%, $E$9)</f>
        <v>21.553799999999999</v>
      </c>
      <c r="D485" s="17">
        <f>CHOOSE(CONTROL!$C$42, 21.8138, 21.8138) * CHOOSE(CONTROL!$C$21, $C$9, 100%, $E$9)</f>
        <v>21.813800000000001</v>
      </c>
      <c r="E485" s="17">
        <f>CHOOSE(CONTROL!$C$42, 21.8449, 21.8449) * CHOOSE(CONTROL!$C$21, $C$9, 100%, $E$9)</f>
        <v>21.844899999999999</v>
      </c>
      <c r="F485" s="17">
        <f>CHOOSE(CONTROL!$C$42, 21.5555, 21.5555)*CHOOSE(CONTROL!$C$21, $C$9, 100%, $E$9)</f>
        <v>21.555499999999999</v>
      </c>
      <c r="G485" s="17">
        <f>CHOOSE(CONTROL!$C$42, 21.572, 21.572)*CHOOSE(CONTROL!$C$21, $C$9, 100%, $E$9)</f>
        <v>21.571999999999999</v>
      </c>
      <c r="H485" s="17">
        <f>CHOOSE(CONTROL!$C$42, 21.8333, 21.8333) * CHOOSE(CONTROL!$C$21, $C$9, 100%, $E$9)</f>
        <v>21.833300000000001</v>
      </c>
      <c r="I485" s="17">
        <f>CHOOSE(CONTROL!$C$42, 21.6366, 21.6366)* CHOOSE(CONTROL!$C$21, $C$9, 100%, $E$9)</f>
        <v>21.636600000000001</v>
      </c>
      <c r="J485" s="17">
        <f>CHOOSE(CONTROL!$C$42, 21.5481, 21.5481)* CHOOSE(CONTROL!$C$21, $C$9, 100%, $E$9)</f>
        <v>21.548100000000002</v>
      </c>
      <c r="K485" s="52">
        <f>CHOOSE(CONTROL!$C$42, 21.6305, 21.6305) * CHOOSE(CONTROL!$C$21, $C$9, 100%, $E$9)</f>
        <v>21.630500000000001</v>
      </c>
      <c r="L485" s="17">
        <f>CHOOSE(CONTROL!$C$42, 22.4203, 22.4203) * CHOOSE(CONTROL!$C$21, $C$9, 100%, $E$9)</f>
        <v>22.420300000000001</v>
      </c>
      <c r="M485" s="17">
        <f>CHOOSE(CONTROL!$C$42, 21.3613, 21.3613) * CHOOSE(CONTROL!$C$21, $C$9, 100%, $E$9)</f>
        <v>21.3613</v>
      </c>
      <c r="N485" s="17">
        <f>CHOOSE(CONTROL!$C$42, 21.3777, 21.3777) * CHOOSE(CONTROL!$C$21, $C$9, 100%, $E$9)</f>
        <v>21.377700000000001</v>
      </c>
      <c r="O485" s="17">
        <f>CHOOSE(CONTROL!$C$42, 21.6439, 21.6439) * CHOOSE(CONTROL!$C$21, $C$9, 100%, $E$9)</f>
        <v>21.643899999999999</v>
      </c>
      <c r="P485" s="17">
        <f>CHOOSE(CONTROL!$C$42, 21.4484, 21.4484) * CHOOSE(CONTROL!$C$21, $C$9, 100%, $E$9)</f>
        <v>21.448399999999999</v>
      </c>
      <c r="Q485" s="17">
        <f>CHOOSE(CONTROL!$C$42, 22.2386, 22.2386) * CHOOSE(CONTROL!$C$21, $C$9, 100%, $E$9)</f>
        <v>22.238600000000002</v>
      </c>
      <c r="R485" s="17">
        <f>CHOOSE(CONTROL!$C$42, 22.8812, 22.8812) * CHOOSE(CONTROL!$C$21, $C$9, 100%, $E$9)</f>
        <v>22.8812</v>
      </c>
      <c r="S485" s="17">
        <f>CHOOSE(CONTROL!$C$42, 20.8814, 20.8814) * CHOOSE(CONTROL!$C$21, $C$9, 100%, $E$9)</f>
        <v>20.881399999999999</v>
      </c>
      <c r="T485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485" s="56">
        <f>(1000*CHOOSE(CONTROL!$C$42, 695, 695)*CHOOSE(CONTROL!$C$42, 0.5599, 0.5599)*CHOOSE(CONTROL!$C$42, 31, 31))/1000000</f>
        <v>12.063045499999998</v>
      </c>
      <c r="V485" s="56">
        <f>(1000*CHOOSE(CONTROL!$C$42, 500, 500)*CHOOSE(CONTROL!$C$42, 0.275, 0.275)*CHOOSE(CONTROL!$C$42, 31, 31))/1000000</f>
        <v>4.2625000000000002</v>
      </c>
      <c r="W485" s="56">
        <f>(1000*CHOOSE(CONTROL!$C$42, 0.0916, 0.0916)*CHOOSE(CONTROL!$C$42, 121.5, 121.5)*CHOOSE(CONTROL!$C$42, 31, 31))/1000000</f>
        <v>0.34501139999999997</v>
      </c>
      <c r="X485" s="56">
        <f>(31*0.1790888*145000/1000000)+(31*0.2374*100000/1000000)</f>
        <v>1.5409441560000001</v>
      </c>
      <c r="Y485" s="56"/>
      <c r="Z485" s="17"/>
      <c r="AA485" s="55"/>
      <c r="AB485" s="48">
        <f>(B485*194.205+C485*267.466+D485*133.845+E485*153.484+F485*40+G485*85+H485*0+I485*100+J485*300)/(194.205+267.466+133.845+153.484+0+40+85+100+300)</f>
        <v>21.621405708712718</v>
      </c>
      <c r="AC485" s="45">
        <f>(M485*'RAP TEMPLATE-GAS AVAILABILITY'!O484+N485*'RAP TEMPLATE-GAS AVAILABILITY'!P484+O485*'RAP TEMPLATE-GAS AVAILABILITY'!Q484+P485*'RAP TEMPLATE-GAS AVAILABILITY'!R484)/('RAP TEMPLATE-GAS AVAILABILITY'!O484+'RAP TEMPLATE-GAS AVAILABILITY'!P484+'RAP TEMPLATE-GAS AVAILABILITY'!Q484+'RAP TEMPLATE-GAS AVAILABILITY'!R484)</f>
        <v>21.456898561151078</v>
      </c>
    </row>
    <row r="486" spans="1:29" ht="15.75" x14ac:dyDescent="0.25">
      <c r="A486" s="14">
        <v>55334</v>
      </c>
      <c r="B486" s="17">
        <f>CHOOSE(CONTROL!$C$42, 22.1567, 22.1567) * CHOOSE(CONTROL!$C$21, $C$9, 100%, $E$9)</f>
        <v>22.156700000000001</v>
      </c>
      <c r="C486" s="17">
        <f>CHOOSE(CONTROL!$C$42, 22.1647, 22.1647) * CHOOSE(CONTROL!$C$21, $C$9, 100%, $E$9)</f>
        <v>22.1647</v>
      </c>
      <c r="D486" s="17">
        <f>CHOOSE(CONTROL!$C$42, 22.4246, 22.4246) * CHOOSE(CONTROL!$C$21, $C$9, 100%, $E$9)</f>
        <v>22.424600000000002</v>
      </c>
      <c r="E486" s="17">
        <f>CHOOSE(CONTROL!$C$42, 22.4558, 22.4558) * CHOOSE(CONTROL!$C$21, $C$9, 100%, $E$9)</f>
        <v>22.4558</v>
      </c>
      <c r="F486" s="17">
        <f>CHOOSE(CONTROL!$C$42, 22.1666, 22.1666)*CHOOSE(CONTROL!$C$21, $C$9, 100%, $E$9)</f>
        <v>22.166599999999999</v>
      </c>
      <c r="G486" s="17">
        <f>CHOOSE(CONTROL!$C$42, 22.1832, 22.1832)*CHOOSE(CONTROL!$C$21, $C$9, 100%, $E$9)</f>
        <v>22.183199999999999</v>
      </c>
      <c r="H486" s="17">
        <f>CHOOSE(CONTROL!$C$42, 22.4441, 22.4441) * CHOOSE(CONTROL!$C$21, $C$9, 100%, $E$9)</f>
        <v>22.444099999999999</v>
      </c>
      <c r="I486" s="17">
        <f>CHOOSE(CONTROL!$C$42, 22.2493, 22.2493)* CHOOSE(CONTROL!$C$21, $C$9, 100%, $E$9)</f>
        <v>22.249300000000002</v>
      </c>
      <c r="J486" s="17">
        <f>CHOOSE(CONTROL!$C$42, 22.1592, 22.1592)* CHOOSE(CONTROL!$C$21, $C$9, 100%, $E$9)</f>
        <v>22.159199999999998</v>
      </c>
      <c r="K486" s="52">
        <f>CHOOSE(CONTROL!$C$42, 22.2432, 22.2432) * CHOOSE(CONTROL!$C$21, $C$9, 100%, $E$9)</f>
        <v>22.243200000000002</v>
      </c>
      <c r="L486" s="17">
        <f>CHOOSE(CONTROL!$C$42, 23.0311, 23.0311) * CHOOSE(CONTROL!$C$21, $C$9, 100%, $E$9)</f>
        <v>23.031099999999999</v>
      </c>
      <c r="M486" s="17">
        <f>CHOOSE(CONTROL!$C$42, 21.967, 21.967) * CHOOSE(CONTROL!$C$21, $C$9, 100%, $E$9)</f>
        <v>21.966999999999999</v>
      </c>
      <c r="N486" s="17">
        <f>CHOOSE(CONTROL!$C$42, 21.9833, 21.9833) * CHOOSE(CONTROL!$C$21, $C$9, 100%, $E$9)</f>
        <v>21.9833</v>
      </c>
      <c r="O486" s="17">
        <f>CHOOSE(CONTROL!$C$42, 22.2492, 22.2492) * CHOOSE(CONTROL!$C$21, $C$9, 100%, $E$9)</f>
        <v>22.249199999999998</v>
      </c>
      <c r="P486" s="17">
        <f>CHOOSE(CONTROL!$C$42, 22.0556, 22.0556) * CHOOSE(CONTROL!$C$21, $C$9, 100%, $E$9)</f>
        <v>22.055599999999998</v>
      </c>
      <c r="Q486" s="17">
        <f>CHOOSE(CONTROL!$C$42, 22.8439, 22.8439) * CHOOSE(CONTROL!$C$21, $C$9, 100%, $E$9)</f>
        <v>22.843900000000001</v>
      </c>
      <c r="R486" s="17">
        <f>CHOOSE(CONTROL!$C$42, 23.4881, 23.4881) * CHOOSE(CONTROL!$C$21, $C$9, 100%, $E$9)</f>
        <v>23.488099999999999</v>
      </c>
      <c r="S486" s="17">
        <f>CHOOSE(CONTROL!$C$42, 21.4737, 21.4737) * CHOOSE(CONTROL!$C$21, $C$9, 100%, $E$9)</f>
        <v>21.473700000000001</v>
      </c>
      <c r="T486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486" s="56">
        <f>(1000*CHOOSE(CONTROL!$C$42, 695, 695)*CHOOSE(CONTROL!$C$42, 0.5599, 0.5599)*CHOOSE(CONTROL!$C$42, 30, 30))/1000000</f>
        <v>11.673914999999997</v>
      </c>
      <c r="V486" s="56">
        <f>(1000*CHOOSE(CONTROL!$C$42, 500, 500)*CHOOSE(CONTROL!$C$42, 0.275, 0.275)*CHOOSE(CONTROL!$C$42, 30, 30))/1000000</f>
        <v>4.125</v>
      </c>
      <c r="W486" s="56">
        <f>(1000*CHOOSE(CONTROL!$C$42, 0.0916, 0.0916)*CHOOSE(CONTROL!$C$42, 121.5, 121.5)*CHOOSE(CONTROL!$C$42, 30, 30))/1000000</f>
        <v>0.33388200000000001</v>
      </c>
      <c r="X486" s="56">
        <f>(30*0.1790888*145000/1000000)+(30*0.2374*100000/1000000)</f>
        <v>1.4912362799999999</v>
      </c>
      <c r="Y486" s="56"/>
      <c r="Z486" s="17"/>
      <c r="AA486" s="55"/>
      <c r="AB486" s="48">
        <f>(B486*194.205+C486*267.466+D486*133.845+E486*153.484+F486*40+G486*85+H486*0+I486*100+J486*300)/(194.205+267.466+133.845+153.484+0+40+85+100+300)</f>
        <v>22.232494637284145</v>
      </c>
      <c r="AC486" s="45">
        <f>(M486*'RAP TEMPLATE-GAS AVAILABILITY'!O485+N486*'RAP TEMPLATE-GAS AVAILABILITY'!P485+O486*'RAP TEMPLATE-GAS AVAILABILITY'!Q485+P486*'RAP TEMPLATE-GAS AVAILABILITY'!R485)/('RAP TEMPLATE-GAS AVAILABILITY'!O485+'RAP TEMPLATE-GAS AVAILABILITY'!P485+'RAP TEMPLATE-GAS AVAILABILITY'!Q485+'RAP TEMPLATE-GAS AVAILABILITY'!R485)</f>
        <v>22.062679136690647</v>
      </c>
    </row>
    <row r="487" spans="1:29" ht="15.75" x14ac:dyDescent="0.25">
      <c r="A487" s="14">
        <v>55365</v>
      </c>
      <c r="B487" s="17">
        <f>CHOOSE(CONTROL!$C$42, 21.7318, 21.7318) * CHOOSE(CONTROL!$C$21, $C$9, 100%, $E$9)</f>
        <v>21.7318</v>
      </c>
      <c r="C487" s="17">
        <f>CHOOSE(CONTROL!$C$42, 21.7398, 21.7398) * CHOOSE(CONTROL!$C$21, $C$9, 100%, $E$9)</f>
        <v>21.739799999999999</v>
      </c>
      <c r="D487" s="17">
        <f>CHOOSE(CONTROL!$C$42, 21.9998, 21.9998) * CHOOSE(CONTROL!$C$21, $C$9, 100%, $E$9)</f>
        <v>21.9998</v>
      </c>
      <c r="E487" s="17">
        <f>CHOOSE(CONTROL!$C$42, 22.0309, 22.0309) * CHOOSE(CONTROL!$C$21, $C$9, 100%, $E$9)</f>
        <v>22.030899999999999</v>
      </c>
      <c r="F487" s="17">
        <f>CHOOSE(CONTROL!$C$42, 21.7422, 21.7422)*CHOOSE(CONTROL!$C$21, $C$9, 100%, $E$9)</f>
        <v>21.7422</v>
      </c>
      <c r="G487" s="17">
        <f>CHOOSE(CONTROL!$C$42, 21.7589, 21.7589)*CHOOSE(CONTROL!$C$21, $C$9, 100%, $E$9)</f>
        <v>21.758900000000001</v>
      </c>
      <c r="H487" s="17">
        <f>CHOOSE(CONTROL!$C$42, 22.0193, 22.0193) * CHOOSE(CONTROL!$C$21, $C$9, 100%, $E$9)</f>
        <v>22.019300000000001</v>
      </c>
      <c r="I487" s="17">
        <f>CHOOSE(CONTROL!$C$42, 21.8231, 21.8231)* CHOOSE(CONTROL!$C$21, $C$9, 100%, $E$9)</f>
        <v>21.8231</v>
      </c>
      <c r="J487" s="17">
        <f>CHOOSE(CONTROL!$C$42, 21.7348, 21.7348)* CHOOSE(CONTROL!$C$21, $C$9, 100%, $E$9)</f>
        <v>21.7348</v>
      </c>
      <c r="K487" s="52">
        <f>CHOOSE(CONTROL!$C$42, 21.8171, 21.8171) * CHOOSE(CONTROL!$C$21, $C$9, 100%, $E$9)</f>
        <v>21.8171</v>
      </c>
      <c r="L487" s="17">
        <f>CHOOSE(CONTROL!$C$42, 22.6063, 22.6063) * CHOOSE(CONTROL!$C$21, $C$9, 100%, $E$9)</f>
        <v>22.606300000000001</v>
      </c>
      <c r="M487" s="17">
        <f>CHOOSE(CONTROL!$C$42, 21.5464, 21.5464) * CHOOSE(CONTROL!$C$21, $C$9, 100%, $E$9)</f>
        <v>21.546399999999998</v>
      </c>
      <c r="N487" s="17">
        <f>CHOOSE(CONTROL!$C$42, 21.5629, 21.5629) * CHOOSE(CONTROL!$C$21, $C$9, 100%, $E$9)</f>
        <v>21.562899999999999</v>
      </c>
      <c r="O487" s="17">
        <f>CHOOSE(CONTROL!$C$42, 21.8282, 21.8282) * CHOOSE(CONTROL!$C$21, $C$9, 100%, $E$9)</f>
        <v>21.828199999999999</v>
      </c>
      <c r="P487" s="17">
        <f>CHOOSE(CONTROL!$C$42, 21.6333, 21.6333) * CHOOSE(CONTROL!$C$21, $C$9, 100%, $E$9)</f>
        <v>21.633299999999998</v>
      </c>
      <c r="Q487" s="17">
        <f>CHOOSE(CONTROL!$C$42, 22.4229, 22.4229) * CHOOSE(CONTROL!$C$21, $C$9, 100%, $E$9)</f>
        <v>22.422899999999998</v>
      </c>
      <c r="R487" s="17">
        <f>CHOOSE(CONTROL!$C$42, 23.066, 23.066) * CHOOSE(CONTROL!$C$21, $C$9, 100%, $E$9)</f>
        <v>23.065999999999999</v>
      </c>
      <c r="S487" s="17">
        <f>CHOOSE(CONTROL!$C$42, 21.0618, 21.0618) * CHOOSE(CONTROL!$C$21, $C$9, 100%, $E$9)</f>
        <v>21.061800000000002</v>
      </c>
      <c r="T487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487" s="56">
        <f>(1000*CHOOSE(CONTROL!$C$42, 695, 695)*CHOOSE(CONTROL!$C$42, 0.5599, 0.5599)*CHOOSE(CONTROL!$C$42, 31, 31))/1000000</f>
        <v>12.063045499999998</v>
      </c>
      <c r="V487" s="56">
        <f>(1000*CHOOSE(CONTROL!$C$42, 500, 500)*CHOOSE(CONTROL!$C$42, 0.275, 0.275)*CHOOSE(CONTROL!$C$42, 31, 31))/1000000</f>
        <v>4.2625000000000002</v>
      </c>
      <c r="W487" s="56">
        <f>(1000*CHOOSE(CONTROL!$C$42, 0.0916, 0.0916)*CHOOSE(CONTROL!$C$42, 121.5, 121.5)*CHOOSE(CONTROL!$C$42, 31, 31))/1000000</f>
        <v>0.34501139999999997</v>
      </c>
      <c r="X487" s="56">
        <f>(31*0.1790888*145000/1000000)+(31*0.2374*100000/1000000)</f>
        <v>1.5409441560000001</v>
      </c>
      <c r="Y487" s="56"/>
      <c r="Z487" s="17"/>
      <c r="AA487" s="55"/>
      <c r="AB487" s="48">
        <f>(B487*194.205+C487*267.466+D487*133.845+E487*153.484+F487*40+G487*85+H487*0+I487*100+J487*300)/(194.205+267.466+133.845+153.484+0+40+85+100+300)</f>
        <v>21.80767657174254</v>
      </c>
      <c r="AC487" s="45">
        <f>(M487*'RAP TEMPLATE-GAS AVAILABILITY'!O486+N487*'RAP TEMPLATE-GAS AVAILABILITY'!P486+O487*'RAP TEMPLATE-GAS AVAILABILITY'!Q486+P487*'RAP TEMPLATE-GAS AVAILABILITY'!R486)/('RAP TEMPLATE-GAS AVAILABILITY'!O486+'RAP TEMPLATE-GAS AVAILABILITY'!P486+'RAP TEMPLATE-GAS AVAILABILITY'!Q486+'RAP TEMPLATE-GAS AVAILABILITY'!R486)</f>
        <v>21.64176834532374</v>
      </c>
    </row>
    <row r="488" spans="1:29" ht="15.75" x14ac:dyDescent="0.25">
      <c r="A488" s="14">
        <v>55396</v>
      </c>
      <c r="B488" s="17">
        <f>CHOOSE(CONTROL!$C$42, 20.659, 20.659) * CHOOSE(CONTROL!$C$21, $C$9, 100%, $E$9)</f>
        <v>20.658999999999999</v>
      </c>
      <c r="C488" s="17">
        <f>CHOOSE(CONTROL!$C$42, 20.667, 20.667) * CHOOSE(CONTROL!$C$21, $C$9, 100%, $E$9)</f>
        <v>20.667000000000002</v>
      </c>
      <c r="D488" s="17">
        <f>CHOOSE(CONTROL!$C$42, 20.9269, 20.9269) * CHOOSE(CONTROL!$C$21, $C$9, 100%, $E$9)</f>
        <v>20.9269</v>
      </c>
      <c r="E488" s="17">
        <f>CHOOSE(CONTROL!$C$42, 20.9581, 20.9581) * CHOOSE(CONTROL!$C$21, $C$9, 100%, $E$9)</f>
        <v>20.958100000000002</v>
      </c>
      <c r="F488" s="17">
        <f>CHOOSE(CONTROL!$C$42, 20.6697, 20.6697)*CHOOSE(CONTROL!$C$21, $C$9, 100%, $E$9)</f>
        <v>20.669699999999999</v>
      </c>
      <c r="G488" s="17">
        <f>CHOOSE(CONTROL!$C$42, 20.6864, 20.6864)*CHOOSE(CONTROL!$C$21, $C$9, 100%, $E$9)</f>
        <v>20.686399999999999</v>
      </c>
      <c r="H488" s="17">
        <f>CHOOSE(CONTROL!$C$42, 20.9465, 20.9465) * CHOOSE(CONTROL!$C$21, $C$9, 100%, $E$9)</f>
        <v>20.9465</v>
      </c>
      <c r="I488" s="17">
        <f>CHOOSE(CONTROL!$C$42, 20.747, 20.747)* CHOOSE(CONTROL!$C$21, $C$9, 100%, $E$9)</f>
        <v>20.747</v>
      </c>
      <c r="J488" s="17">
        <f>CHOOSE(CONTROL!$C$42, 20.6623, 20.6623)* CHOOSE(CONTROL!$C$21, $C$9, 100%, $E$9)</f>
        <v>20.662299999999998</v>
      </c>
      <c r="K488" s="52">
        <f>CHOOSE(CONTROL!$C$42, 20.7409, 20.7409) * CHOOSE(CONTROL!$C$21, $C$9, 100%, $E$9)</f>
        <v>20.7409</v>
      </c>
      <c r="L488" s="17">
        <f>CHOOSE(CONTROL!$C$42, 21.5335, 21.5335) * CHOOSE(CONTROL!$C$21, $C$9, 100%, $E$9)</f>
        <v>21.5335</v>
      </c>
      <c r="M488" s="17">
        <f>CHOOSE(CONTROL!$C$42, 20.4834, 20.4834) * CHOOSE(CONTROL!$C$21, $C$9, 100%, $E$9)</f>
        <v>20.4834</v>
      </c>
      <c r="N488" s="17">
        <f>CHOOSE(CONTROL!$C$42, 20.5, 20.5) * CHOOSE(CONTROL!$C$21, $C$9, 100%, $E$9)</f>
        <v>20.5</v>
      </c>
      <c r="O488" s="17">
        <f>CHOOSE(CONTROL!$C$42, 20.7651, 20.7651) * CHOOSE(CONTROL!$C$21, $C$9, 100%, $E$9)</f>
        <v>20.7651</v>
      </c>
      <c r="P488" s="17">
        <f>CHOOSE(CONTROL!$C$42, 20.5669, 20.5669) * CHOOSE(CONTROL!$C$21, $C$9, 100%, $E$9)</f>
        <v>20.5669</v>
      </c>
      <c r="Q488" s="17">
        <f>CHOOSE(CONTROL!$C$42, 21.3598, 21.3598) * CHOOSE(CONTROL!$C$21, $C$9, 100%, $E$9)</f>
        <v>21.3598</v>
      </c>
      <c r="R488" s="17">
        <f>CHOOSE(CONTROL!$C$42, 22.0002, 22.0002) * CHOOSE(CONTROL!$C$21, $C$9, 100%, $E$9)</f>
        <v>22.0002</v>
      </c>
      <c r="S488" s="17">
        <f>CHOOSE(CONTROL!$C$42, 20.0215, 20.0215) * CHOOSE(CONTROL!$C$21, $C$9, 100%, $E$9)</f>
        <v>20.0215</v>
      </c>
      <c r="T488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488" s="56">
        <f>(1000*CHOOSE(CONTROL!$C$42, 695, 695)*CHOOSE(CONTROL!$C$42, 0.5599, 0.5599)*CHOOSE(CONTROL!$C$42, 31, 31))/1000000</f>
        <v>12.063045499999998</v>
      </c>
      <c r="V488" s="56">
        <f>(1000*CHOOSE(CONTROL!$C$42, 500, 500)*CHOOSE(CONTROL!$C$42, 0.275, 0.275)*CHOOSE(CONTROL!$C$42, 31, 31))/1000000</f>
        <v>4.2625000000000002</v>
      </c>
      <c r="W488" s="56">
        <f>(1000*CHOOSE(CONTROL!$C$42, 0.0916, 0.0916)*CHOOSE(CONTROL!$C$42, 121.5, 121.5)*CHOOSE(CONTROL!$C$42, 31, 31))/1000000</f>
        <v>0.34501139999999997</v>
      </c>
      <c r="X488" s="56">
        <f>(31*0.1790888*145000/1000000)+(31*0.2374*100000/1000000)</f>
        <v>1.5409441560000001</v>
      </c>
      <c r="Y488" s="56"/>
      <c r="Z488" s="17"/>
      <c r="AA488" s="55"/>
      <c r="AB488" s="48">
        <f>(B488*194.205+C488*267.466+D488*133.845+E488*153.484+F488*40+G488*85+H488*0+I488*100+J488*300)/(194.205+267.466+133.845+153.484+0+40+85+100+300)</f>
        <v>20.734707117660911</v>
      </c>
      <c r="AC488" s="45">
        <f>(M488*'RAP TEMPLATE-GAS AVAILABILITY'!O487+N488*'RAP TEMPLATE-GAS AVAILABILITY'!P487+O488*'RAP TEMPLATE-GAS AVAILABILITY'!Q487+P488*'RAP TEMPLATE-GAS AVAILABILITY'!R487)/('RAP TEMPLATE-GAS AVAILABILITY'!O487+'RAP TEMPLATE-GAS AVAILABILITY'!P487+'RAP TEMPLATE-GAS AVAILABILITY'!Q487+'RAP TEMPLATE-GAS AVAILABILITY'!R487)</f>
        <v>20.578274100719423</v>
      </c>
    </row>
    <row r="489" spans="1:29" ht="15.75" x14ac:dyDescent="0.25">
      <c r="A489" s="14">
        <v>55426</v>
      </c>
      <c r="B489" s="17">
        <f>CHOOSE(CONTROL!$C$42, 19.348, 19.348) * CHOOSE(CONTROL!$C$21, $C$9, 100%, $E$9)</f>
        <v>19.347999999999999</v>
      </c>
      <c r="C489" s="17">
        <f>CHOOSE(CONTROL!$C$42, 19.356, 19.356) * CHOOSE(CONTROL!$C$21, $C$9, 100%, $E$9)</f>
        <v>19.356000000000002</v>
      </c>
      <c r="D489" s="17">
        <f>CHOOSE(CONTROL!$C$42, 19.6159, 19.6159) * CHOOSE(CONTROL!$C$21, $C$9, 100%, $E$9)</f>
        <v>19.6159</v>
      </c>
      <c r="E489" s="17">
        <f>CHOOSE(CONTROL!$C$42, 19.6471, 19.6471) * CHOOSE(CONTROL!$C$21, $C$9, 100%, $E$9)</f>
        <v>19.647099999999998</v>
      </c>
      <c r="F489" s="17">
        <f>CHOOSE(CONTROL!$C$42, 19.3586, 19.3586)*CHOOSE(CONTROL!$C$21, $C$9, 100%, $E$9)</f>
        <v>19.358599999999999</v>
      </c>
      <c r="G489" s="17">
        <f>CHOOSE(CONTROL!$C$42, 19.3753, 19.3753)*CHOOSE(CONTROL!$C$21, $C$9, 100%, $E$9)</f>
        <v>19.375299999999999</v>
      </c>
      <c r="H489" s="17">
        <f>CHOOSE(CONTROL!$C$42, 19.6354, 19.6354) * CHOOSE(CONTROL!$C$21, $C$9, 100%, $E$9)</f>
        <v>19.635400000000001</v>
      </c>
      <c r="I489" s="17">
        <f>CHOOSE(CONTROL!$C$42, 19.4319, 19.4319)* CHOOSE(CONTROL!$C$21, $C$9, 100%, $E$9)</f>
        <v>19.431899999999999</v>
      </c>
      <c r="J489" s="17">
        <f>CHOOSE(CONTROL!$C$42, 19.3512, 19.3512)* CHOOSE(CONTROL!$C$21, $C$9, 100%, $E$9)</f>
        <v>19.351199999999999</v>
      </c>
      <c r="K489" s="52">
        <f>CHOOSE(CONTROL!$C$42, 19.4258, 19.4258) * CHOOSE(CONTROL!$C$21, $C$9, 100%, $E$9)</f>
        <v>19.425799999999999</v>
      </c>
      <c r="L489" s="17">
        <f>CHOOSE(CONTROL!$C$42, 20.2224, 20.2224) * CHOOSE(CONTROL!$C$21, $C$9, 100%, $E$9)</f>
        <v>20.2224</v>
      </c>
      <c r="M489" s="17">
        <f>CHOOSE(CONTROL!$C$42, 19.1842, 19.1842) * CHOOSE(CONTROL!$C$21, $C$9, 100%, $E$9)</f>
        <v>19.184200000000001</v>
      </c>
      <c r="N489" s="17">
        <f>CHOOSE(CONTROL!$C$42, 19.2008, 19.2008) * CHOOSE(CONTROL!$C$21, $C$9, 100%, $E$9)</f>
        <v>19.200800000000001</v>
      </c>
      <c r="O489" s="17">
        <f>CHOOSE(CONTROL!$C$42, 19.4658, 19.4658) * CHOOSE(CONTROL!$C$21, $C$9, 100%, $E$9)</f>
        <v>19.465800000000002</v>
      </c>
      <c r="P489" s="17">
        <f>CHOOSE(CONTROL!$C$42, 19.2636, 19.2636) * CHOOSE(CONTROL!$C$21, $C$9, 100%, $E$9)</f>
        <v>19.2636</v>
      </c>
      <c r="Q489" s="17">
        <f>CHOOSE(CONTROL!$C$42, 20.0605, 20.0605) * CHOOSE(CONTROL!$C$21, $C$9, 100%, $E$9)</f>
        <v>20.060500000000001</v>
      </c>
      <c r="R489" s="17">
        <f>CHOOSE(CONTROL!$C$42, 20.6977, 20.6977) * CHOOSE(CONTROL!$C$21, $C$9, 100%, $E$9)</f>
        <v>20.697700000000001</v>
      </c>
      <c r="S489" s="17">
        <f>CHOOSE(CONTROL!$C$42, 18.7502, 18.7502) * CHOOSE(CONTROL!$C$21, $C$9, 100%, $E$9)</f>
        <v>18.7502</v>
      </c>
      <c r="T489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489" s="56">
        <f>(1000*CHOOSE(CONTROL!$C$42, 695, 695)*CHOOSE(CONTROL!$C$42, 0.5599, 0.5599)*CHOOSE(CONTROL!$C$42, 30, 30))/1000000</f>
        <v>11.673914999999997</v>
      </c>
      <c r="V489" s="56">
        <f>(1000*CHOOSE(CONTROL!$C$42, 500, 500)*CHOOSE(CONTROL!$C$42, 0.275, 0.275)*CHOOSE(CONTROL!$C$42, 30, 30))/1000000</f>
        <v>4.125</v>
      </c>
      <c r="W489" s="56">
        <f>(1000*CHOOSE(CONTROL!$C$42, 0.0916, 0.0916)*CHOOSE(CONTROL!$C$42, 121.5, 121.5)*CHOOSE(CONTROL!$C$42, 30, 30))/1000000</f>
        <v>0.33388200000000001</v>
      </c>
      <c r="X489" s="56">
        <f>(30*0.1790888*145000/1000000)+(30*0.2374*100000/1000000)</f>
        <v>1.4912362799999999</v>
      </c>
      <c r="Y489" s="56"/>
      <c r="Z489" s="17"/>
      <c r="AA489" s="55"/>
      <c r="AB489" s="48">
        <f>(B489*194.205+C489*267.466+D489*133.845+E489*153.484+F489*40+G489*85+H489*0+I489*100+J489*300)/(194.205+267.466+133.845+153.484+0+40+85+100+300)</f>
        <v>19.423351937127158</v>
      </c>
      <c r="AC489" s="45">
        <f>(M489*'RAP TEMPLATE-GAS AVAILABILITY'!O488+N489*'RAP TEMPLATE-GAS AVAILABILITY'!P488+O489*'RAP TEMPLATE-GAS AVAILABILITY'!Q488+P489*'RAP TEMPLATE-GAS AVAILABILITY'!R488)/('RAP TEMPLATE-GAS AVAILABILITY'!O488+'RAP TEMPLATE-GAS AVAILABILITY'!P488+'RAP TEMPLATE-GAS AVAILABILITY'!Q488+'RAP TEMPLATE-GAS AVAILABILITY'!R488)</f>
        <v>19.278456115107918</v>
      </c>
    </row>
    <row r="490" spans="1:29" ht="15.75" x14ac:dyDescent="0.25">
      <c r="A490" s="14">
        <v>55457</v>
      </c>
      <c r="B490" s="17">
        <f>CHOOSE(CONTROL!$C$42, 18.9537, 18.9537) * CHOOSE(CONTROL!$C$21, $C$9, 100%, $E$9)</f>
        <v>18.953700000000001</v>
      </c>
      <c r="C490" s="17">
        <f>CHOOSE(CONTROL!$C$42, 18.959, 18.959) * CHOOSE(CONTROL!$C$21, $C$9, 100%, $E$9)</f>
        <v>18.959</v>
      </c>
      <c r="D490" s="17">
        <f>CHOOSE(CONTROL!$C$42, 19.2238, 19.2238) * CHOOSE(CONTROL!$C$21, $C$9, 100%, $E$9)</f>
        <v>19.223800000000001</v>
      </c>
      <c r="E490" s="17">
        <f>CHOOSE(CONTROL!$C$42, 19.2527, 19.2527) * CHOOSE(CONTROL!$C$21, $C$9, 100%, $E$9)</f>
        <v>19.252700000000001</v>
      </c>
      <c r="F490" s="17">
        <f>CHOOSE(CONTROL!$C$42, 18.9665, 18.9665)*CHOOSE(CONTROL!$C$21, $C$9, 100%, $E$9)</f>
        <v>18.9665</v>
      </c>
      <c r="G490" s="17">
        <f>CHOOSE(CONTROL!$C$42, 18.9831, 18.9831)*CHOOSE(CONTROL!$C$21, $C$9, 100%, $E$9)</f>
        <v>18.9831</v>
      </c>
      <c r="H490" s="17">
        <f>CHOOSE(CONTROL!$C$42, 19.2428, 19.2428) * CHOOSE(CONTROL!$C$21, $C$9, 100%, $E$9)</f>
        <v>19.242799999999999</v>
      </c>
      <c r="I490" s="17">
        <f>CHOOSE(CONTROL!$C$42, 19.0381, 19.0381)* CHOOSE(CONTROL!$C$21, $C$9, 100%, $E$9)</f>
        <v>19.0381</v>
      </c>
      <c r="J490" s="17">
        <f>CHOOSE(CONTROL!$C$42, 18.9591, 18.9591)* CHOOSE(CONTROL!$C$21, $C$9, 100%, $E$9)</f>
        <v>18.959099999999999</v>
      </c>
      <c r="K490" s="52">
        <f>CHOOSE(CONTROL!$C$42, 19.032, 19.032) * CHOOSE(CONTROL!$C$21, $C$9, 100%, $E$9)</f>
        <v>19.032</v>
      </c>
      <c r="L490" s="17">
        <f>CHOOSE(CONTROL!$C$42, 19.8298, 19.8298) * CHOOSE(CONTROL!$C$21, $C$9, 100%, $E$9)</f>
        <v>19.829799999999999</v>
      </c>
      <c r="M490" s="17">
        <f>CHOOSE(CONTROL!$C$42, 18.7956, 18.7956) * CHOOSE(CONTROL!$C$21, $C$9, 100%, $E$9)</f>
        <v>18.7956</v>
      </c>
      <c r="N490" s="17">
        <f>CHOOSE(CONTROL!$C$42, 18.812, 18.812) * CHOOSE(CONTROL!$C$21, $C$9, 100%, $E$9)</f>
        <v>18.812000000000001</v>
      </c>
      <c r="O490" s="17">
        <f>CHOOSE(CONTROL!$C$42, 19.0768, 19.0768) * CHOOSE(CONTROL!$C$21, $C$9, 100%, $E$9)</f>
        <v>19.076799999999999</v>
      </c>
      <c r="P490" s="17">
        <f>CHOOSE(CONTROL!$C$42, 18.8734, 18.8734) * CHOOSE(CONTROL!$C$21, $C$9, 100%, $E$9)</f>
        <v>18.8734</v>
      </c>
      <c r="Q490" s="17">
        <f>CHOOSE(CONTROL!$C$42, 19.6715, 19.6715) * CHOOSE(CONTROL!$C$21, $C$9, 100%, $E$9)</f>
        <v>19.671500000000002</v>
      </c>
      <c r="R490" s="17">
        <f>CHOOSE(CONTROL!$C$42, 20.3076, 20.3076) * CHOOSE(CONTROL!$C$21, $C$9, 100%, $E$9)</f>
        <v>20.307600000000001</v>
      </c>
      <c r="S490" s="17">
        <f>CHOOSE(CONTROL!$C$42, 18.3695, 18.3695) * CHOOSE(CONTROL!$C$21, $C$9, 100%, $E$9)</f>
        <v>18.369499999999999</v>
      </c>
      <c r="T490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490" s="56">
        <f>(1000*CHOOSE(CONTROL!$C$42, 695, 695)*CHOOSE(CONTROL!$C$42, 0.5599, 0.5599)*CHOOSE(CONTROL!$C$42, 31, 31))/1000000</f>
        <v>12.063045499999998</v>
      </c>
      <c r="V490" s="56">
        <f>(1000*CHOOSE(CONTROL!$C$42, 500, 500)*CHOOSE(CONTROL!$C$42, 0.275, 0.275)*CHOOSE(CONTROL!$C$42, 31, 31))/1000000</f>
        <v>4.2625000000000002</v>
      </c>
      <c r="W490" s="56">
        <f>(1000*CHOOSE(CONTROL!$C$42, 0.0916, 0.0916)*CHOOSE(CONTROL!$C$42, 121.5, 121.5)*CHOOSE(CONTROL!$C$42, 31, 31))/1000000</f>
        <v>0.34501139999999997</v>
      </c>
      <c r="X490" s="56">
        <f>(31*0.1790888*145000/1000000)+(31*0.2374*100000/1000000)</f>
        <v>1.5409441560000001</v>
      </c>
      <c r="Y490" s="56"/>
      <c r="Z490" s="17"/>
      <c r="AA490" s="55"/>
      <c r="AB490" s="48">
        <f>(B490*131.881+C490*277.167+D490*79.08+E490*225.872+F490*40+G490*85+H490*0+I490*100+J490*300)/(131.881+277.167+79.08+225.872+0+40+85+100+300)</f>
        <v>19.037182825746573</v>
      </c>
      <c r="AC490" s="45">
        <f>(M490*'RAP TEMPLATE-GAS AVAILABILITY'!O489+N490*'RAP TEMPLATE-GAS AVAILABILITY'!P489+O490*'RAP TEMPLATE-GAS AVAILABILITY'!Q489+P490*'RAP TEMPLATE-GAS AVAILABILITY'!R489)/('RAP TEMPLATE-GAS AVAILABILITY'!O489+'RAP TEMPLATE-GAS AVAILABILITY'!P489+'RAP TEMPLATE-GAS AVAILABILITY'!Q489+'RAP TEMPLATE-GAS AVAILABILITY'!R489)</f>
        <v>18.889467625899282</v>
      </c>
    </row>
    <row r="491" spans="1:29" ht="15.75" x14ac:dyDescent="0.25">
      <c r="A491" s="14">
        <v>55487</v>
      </c>
      <c r="B491" s="17">
        <f>CHOOSE(CONTROL!$C$42, 19.4523, 19.4523) * CHOOSE(CONTROL!$C$21, $C$9, 100%, $E$9)</f>
        <v>19.452300000000001</v>
      </c>
      <c r="C491" s="17">
        <f>CHOOSE(CONTROL!$C$42, 19.4574, 19.4574) * CHOOSE(CONTROL!$C$21, $C$9, 100%, $E$9)</f>
        <v>19.4574</v>
      </c>
      <c r="D491" s="17">
        <f>CHOOSE(CONTROL!$C$42, 19.598, 19.598) * CHOOSE(CONTROL!$C$21, $C$9, 100%, $E$9)</f>
        <v>19.597999999999999</v>
      </c>
      <c r="E491" s="17">
        <f>CHOOSE(CONTROL!$C$42, 19.6318, 19.6318) * CHOOSE(CONTROL!$C$21, $C$9, 100%, $E$9)</f>
        <v>19.631799999999998</v>
      </c>
      <c r="F491" s="17">
        <f>CHOOSE(CONTROL!$C$42, 19.4656, 19.4656)*CHOOSE(CONTROL!$C$21, $C$9, 100%, $E$9)</f>
        <v>19.465599999999998</v>
      </c>
      <c r="G491" s="17">
        <f>CHOOSE(CONTROL!$C$42, 19.4825, 19.4825)*CHOOSE(CONTROL!$C$21, $C$9, 100%, $E$9)</f>
        <v>19.482500000000002</v>
      </c>
      <c r="H491" s="17">
        <f>CHOOSE(CONTROL!$C$42, 19.6207, 19.6207) * CHOOSE(CONTROL!$C$21, $C$9, 100%, $E$9)</f>
        <v>19.620699999999999</v>
      </c>
      <c r="I491" s="17">
        <f>CHOOSE(CONTROL!$C$42, 19.535, 19.535)* CHOOSE(CONTROL!$C$21, $C$9, 100%, $E$9)</f>
        <v>19.535</v>
      </c>
      <c r="J491" s="17">
        <f>CHOOSE(CONTROL!$C$42, 19.4582, 19.4582)* CHOOSE(CONTROL!$C$21, $C$9, 100%, $E$9)</f>
        <v>19.458200000000001</v>
      </c>
      <c r="K491" s="52">
        <f>CHOOSE(CONTROL!$C$42, 19.529, 19.529) * CHOOSE(CONTROL!$C$21, $C$9, 100%, $E$9)</f>
        <v>19.529</v>
      </c>
      <c r="L491" s="17">
        <f>CHOOSE(CONTROL!$C$42, 20.2077, 20.2077) * CHOOSE(CONTROL!$C$21, $C$9, 100%, $E$9)</f>
        <v>20.207699999999999</v>
      </c>
      <c r="M491" s="17">
        <f>CHOOSE(CONTROL!$C$42, 19.2902, 19.2902) * CHOOSE(CONTROL!$C$21, $C$9, 100%, $E$9)</f>
        <v>19.290199999999999</v>
      </c>
      <c r="N491" s="17">
        <f>CHOOSE(CONTROL!$C$42, 19.3069, 19.3069) * CHOOSE(CONTROL!$C$21, $C$9, 100%, $E$9)</f>
        <v>19.306899999999999</v>
      </c>
      <c r="O491" s="17">
        <f>CHOOSE(CONTROL!$C$42, 19.4512, 19.4512) * CHOOSE(CONTROL!$C$21, $C$9, 100%, $E$9)</f>
        <v>19.4512</v>
      </c>
      <c r="P491" s="17">
        <f>CHOOSE(CONTROL!$C$42, 19.3659, 19.3659) * CHOOSE(CONTROL!$C$21, $C$9, 100%, $E$9)</f>
        <v>19.3659</v>
      </c>
      <c r="Q491" s="17">
        <f>CHOOSE(CONTROL!$C$42, 20.0459, 20.0459) * CHOOSE(CONTROL!$C$21, $C$9, 100%, $E$9)</f>
        <v>20.0459</v>
      </c>
      <c r="R491" s="17">
        <f>CHOOSE(CONTROL!$C$42, 20.683, 20.683) * CHOOSE(CONTROL!$C$21, $C$9, 100%, $E$9)</f>
        <v>20.683</v>
      </c>
      <c r="S491" s="17">
        <f>CHOOSE(CONTROL!$C$42, 18.8534, 18.8534) * CHOOSE(CONTROL!$C$21, $C$9, 100%, $E$9)</f>
        <v>18.853400000000001</v>
      </c>
      <c r="T491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491" s="56">
        <f>(1000*CHOOSE(CONTROL!$C$42, 695, 695)*CHOOSE(CONTROL!$C$42, 0.5599, 0.5599)*CHOOSE(CONTROL!$C$42, 30, 30))/1000000</f>
        <v>11.673914999999997</v>
      </c>
      <c r="V491" s="56">
        <f>(1000*CHOOSE(CONTROL!$C$42, 500, 500)*CHOOSE(CONTROL!$C$42, 0.275, 0.275)*CHOOSE(CONTROL!$C$42, 30, 30))/1000000</f>
        <v>4.125</v>
      </c>
      <c r="W491" s="56">
        <f>(1000*CHOOSE(CONTROL!$C$42, 0.0916, 0.0916)*CHOOSE(CONTROL!$C$42, 121.5, 121.5)*CHOOSE(CONTROL!$C$42, 30, 30))/1000000</f>
        <v>0.33388200000000001</v>
      </c>
      <c r="X491" s="56">
        <f>(30*0.2374*100000/1000000)</f>
        <v>0.71220000000000006</v>
      </c>
      <c r="Y491" s="56"/>
      <c r="Z491" s="17"/>
      <c r="AA491" s="55"/>
      <c r="AB491" s="48">
        <f>(B491*122.58+C491*297.941+D491*89.177+E491*140.302+F491*40+G491*60+H491*0+I491*100+J491*300)/(122.58+297.941+89.177+140.302+0+40+60+100+300)</f>
        <v>19.497587649565215</v>
      </c>
      <c r="AC491" s="45">
        <f>(M491*'RAP TEMPLATE-GAS AVAILABILITY'!O490+N491*'RAP TEMPLATE-GAS AVAILABILITY'!P490+O491*'RAP TEMPLATE-GAS AVAILABILITY'!Q490+P491*'RAP TEMPLATE-GAS AVAILABILITY'!R490)/('RAP TEMPLATE-GAS AVAILABILITY'!O490+'RAP TEMPLATE-GAS AVAILABILITY'!P490+'RAP TEMPLATE-GAS AVAILABILITY'!Q490+'RAP TEMPLATE-GAS AVAILABILITY'!R490)</f>
        <v>19.375024460431653</v>
      </c>
    </row>
    <row r="492" spans="1:29" ht="15.75" x14ac:dyDescent="0.25">
      <c r="A492" s="14">
        <v>55518</v>
      </c>
      <c r="B492" s="17">
        <f>CHOOSE(CONTROL!$C$42, 20.7778, 20.7778) * CHOOSE(CONTROL!$C$21, $C$9, 100%, $E$9)</f>
        <v>20.777799999999999</v>
      </c>
      <c r="C492" s="17">
        <f>CHOOSE(CONTROL!$C$42, 20.7829, 20.7829) * CHOOSE(CONTROL!$C$21, $C$9, 100%, $E$9)</f>
        <v>20.782900000000001</v>
      </c>
      <c r="D492" s="17">
        <f>CHOOSE(CONTROL!$C$42, 20.9236, 20.9236) * CHOOSE(CONTROL!$C$21, $C$9, 100%, $E$9)</f>
        <v>20.9236</v>
      </c>
      <c r="E492" s="17">
        <f>CHOOSE(CONTROL!$C$42, 20.9573, 20.9573) * CHOOSE(CONTROL!$C$21, $C$9, 100%, $E$9)</f>
        <v>20.9573</v>
      </c>
      <c r="F492" s="17">
        <f>CHOOSE(CONTROL!$C$42, 20.7935, 20.7935)*CHOOSE(CONTROL!$C$21, $C$9, 100%, $E$9)</f>
        <v>20.793500000000002</v>
      </c>
      <c r="G492" s="17">
        <f>CHOOSE(CONTROL!$C$42, 20.811, 20.811)*CHOOSE(CONTROL!$C$21, $C$9, 100%, $E$9)</f>
        <v>20.811</v>
      </c>
      <c r="H492" s="17">
        <f>CHOOSE(CONTROL!$C$42, 20.9462, 20.9462) * CHOOSE(CONTROL!$C$21, $C$9, 100%, $E$9)</f>
        <v>20.946200000000001</v>
      </c>
      <c r="I492" s="17">
        <f>CHOOSE(CONTROL!$C$42, 20.8647, 20.8647)* CHOOSE(CONTROL!$C$21, $C$9, 100%, $E$9)</f>
        <v>20.864699999999999</v>
      </c>
      <c r="J492" s="17">
        <f>CHOOSE(CONTROL!$C$42, 20.7861, 20.7861)* CHOOSE(CONTROL!$C$21, $C$9, 100%, $E$9)</f>
        <v>20.786100000000001</v>
      </c>
      <c r="K492" s="52">
        <f>CHOOSE(CONTROL!$C$42, 20.8586, 20.8586) * CHOOSE(CONTROL!$C$21, $C$9, 100%, $E$9)</f>
        <v>20.858599999999999</v>
      </c>
      <c r="L492" s="17">
        <f>CHOOSE(CONTROL!$C$42, 21.5332, 21.5332) * CHOOSE(CONTROL!$C$21, $C$9, 100%, $E$9)</f>
        <v>21.533200000000001</v>
      </c>
      <c r="M492" s="17">
        <f>CHOOSE(CONTROL!$C$42, 20.6062, 20.6062) * CHOOSE(CONTROL!$C$21, $C$9, 100%, $E$9)</f>
        <v>20.606200000000001</v>
      </c>
      <c r="N492" s="17">
        <f>CHOOSE(CONTROL!$C$42, 20.6235, 20.6235) * CHOOSE(CONTROL!$C$21, $C$9, 100%, $E$9)</f>
        <v>20.6235</v>
      </c>
      <c r="O492" s="17">
        <f>CHOOSE(CONTROL!$C$42, 20.7648, 20.7648) * CHOOSE(CONTROL!$C$21, $C$9, 100%, $E$9)</f>
        <v>20.764800000000001</v>
      </c>
      <c r="P492" s="17">
        <f>CHOOSE(CONTROL!$C$42, 20.6835, 20.6835) * CHOOSE(CONTROL!$C$21, $C$9, 100%, $E$9)</f>
        <v>20.683499999999999</v>
      </c>
      <c r="Q492" s="17">
        <f>CHOOSE(CONTROL!$C$42, 21.3595, 21.3595) * CHOOSE(CONTROL!$C$21, $C$9, 100%, $E$9)</f>
        <v>21.359500000000001</v>
      </c>
      <c r="R492" s="17">
        <f>CHOOSE(CONTROL!$C$42, 21.9999, 21.9999) * CHOOSE(CONTROL!$C$21, $C$9, 100%, $E$9)</f>
        <v>21.9999</v>
      </c>
      <c r="S492" s="17">
        <f>CHOOSE(CONTROL!$C$42, 20.1388, 20.1388) * CHOOSE(CONTROL!$C$21, $C$9, 100%, $E$9)</f>
        <v>20.1388</v>
      </c>
      <c r="T492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492" s="56">
        <f>(1000*CHOOSE(CONTROL!$C$42, 695, 695)*CHOOSE(CONTROL!$C$42, 0.5599, 0.5599)*CHOOSE(CONTROL!$C$42, 31, 31))/1000000</f>
        <v>12.063045499999998</v>
      </c>
      <c r="V492" s="56">
        <f>(1000*CHOOSE(CONTROL!$C$42, 500, 500)*CHOOSE(CONTROL!$C$42, 0.275, 0.275)*CHOOSE(CONTROL!$C$42, 31, 31))/1000000</f>
        <v>4.2625000000000002</v>
      </c>
      <c r="W492" s="56">
        <f>(1000*CHOOSE(CONTROL!$C$42, 0.0916, 0.0916)*CHOOSE(CONTROL!$C$42, 121.5, 121.5)*CHOOSE(CONTROL!$C$42, 31, 31))/1000000</f>
        <v>0.34501139999999997</v>
      </c>
      <c r="X492" s="56">
        <f>(31*0.2374*100000/1000000)</f>
        <v>0.73594000000000004</v>
      </c>
      <c r="Y492" s="56"/>
      <c r="Z492" s="17"/>
      <c r="AA492" s="55"/>
      <c r="AB492" s="48">
        <f>(B492*122.58+C492*297.941+D492*89.177+E492*140.302+F492*40+G492*60+H492*0+I492*100+J492*300)/(122.58+297.941+89.177+140.302+0+40+60+100+300)</f>
        <v>20.824326708434782</v>
      </c>
      <c r="AC492" s="45">
        <f>(M492*'RAP TEMPLATE-GAS AVAILABILITY'!O491+N492*'RAP TEMPLATE-GAS AVAILABILITY'!P491+O492*'RAP TEMPLATE-GAS AVAILABILITY'!Q491+P492*'RAP TEMPLATE-GAS AVAILABILITY'!R491)/('RAP TEMPLATE-GAS AVAILABILITY'!O491+'RAP TEMPLATE-GAS AVAILABILITY'!P491+'RAP TEMPLATE-GAS AVAILABILITY'!Q491+'RAP TEMPLATE-GAS AVAILABILITY'!R491)</f>
        <v>20.69020143884892</v>
      </c>
    </row>
    <row r="493" spans="1:29" ht="15.75" x14ac:dyDescent="0.25">
      <c r="A493" s="14">
        <v>55549</v>
      </c>
      <c r="B493" s="17">
        <f>CHOOSE(CONTROL!$C$42, 22.3739, 22.3739) * CHOOSE(CONTROL!$C$21, $C$9, 100%, $E$9)</f>
        <v>22.373899999999999</v>
      </c>
      <c r="C493" s="17">
        <f>CHOOSE(CONTROL!$C$42, 22.379, 22.379) * CHOOSE(CONTROL!$C$21, $C$9, 100%, $E$9)</f>
        <v>22.379000000000001</v>
      </c>
      <c r="D493" s="17">
        <f>CHOOSE(CONTROL!$C$42, 22.5129, 22.5129) * CHOOSE(CONTROL!$C$21, $C$9, 100%, $E$9)</f>
        <v>22.512899999999998</v>
      </c>
      <c r="E493" s="17">
        <f>CHOOSE(CONTROL!$C$42, 22.5467, 22.5467) * CHOOSE(CONTROL!$C$21, $C$9, 100%, $E$9)</f>
        <v>22.546700000000001</v>
      </c>
      <c r="F493" s="17">
        <f>CHOOSE(CONTROL!$C$42, 22.3873, 22.3873)*CHOOSE(CONTROL!$C$21, $C$9, 100%, $E$9)</f>
        <v>22.3873</v>
      </c>
      <c r="G493" s="17">
        <f>CHOOSE(CONTROL!$C$42, 22.4042, 22.4042)*CHOOSE(CONTROL!$C$21, $C$9, 100%, $E$9)</f>
        <v>22.404199999999999</v>
      </c>
      <c r="H493" s="17">
        <f>CHOOSE(CONTROL!$C$42, 22.5355, 22.5355) * CHOOSE(CONTROL!$C$21, $C$9, 100%, $E$9)</f>
        <v>22.535499999999999</v>
      </c>
      <c r="I493" s="17">
        <f>CHOOSE(CONTROL!$C$42, 22.4698, 22.4698)* CHOOSE(CONTROL!$C$21, $C$9, 100%, $E$9)</f>
        <v>22.469799999999999</v>
      </c>
      <c r="J493" s="17">
        <f>CHOOSE(CONTROL!$C$42, 22.3799, 22.3799)* CHOOSE(CONTROL!$C$21, $C$9, 100%, $E$9)</f>
        <v>22.379899999999999</v>
      </c>
      <c r="K493" s="52">
        <f>CHOOSE(CONTROL!$C$42, 22.4638, 22.4638) * CHOOSE(CONTROL!$C$21, $C$9, 100%, $E$9)</f>
        <v>22.463799999999999</v>
      </c>
      <c r="L493" s="17">
        <f>CHOOSE(CONTROL!$C$42, 23.1225, 23.1225) * CHOOSE(CONTROL!$C$21, $C$9, 100%, $E$9)</f>
        <v>23.122499999999999</v>
      </c>
      <c r="M493" s="17">
        <f>CHOOSE(CONTROL!$C$42, 22.1857, 22.1857) * CHOOSE(CONTROL!$C$21, $C$9, 100%, $E$9)</f>
        <v>22.185700000000001</v>
      </c>
      <c r="N493" s="17">
        <f>CHOOSE(CONTROL!$C$42, 22.2024, 22.2024) * CHOOSE(CONTROL!$C$21, $C$9, 100%, $E$9)</f>
        <v>22.202400000000001</v>
      </c>
      <c r="O493" s="17">
        <f>CHOOSE(CONTROL!$C$42, 22.3399, 22.3399) * CHOOSE(CONTROL!$C$21, $C$9, 100%, $E$9)</f>
        <v>22.3399</v>
      </c>
      <c r="P493" s="17">
        <f>CHOOSE(CONTROL!$C$42, 22.2742, 22.2742) * CHOOSE(CONTROL!$C$21, $C$9, 100%, $E$9)</f>
        <v>22.2742</v>
      </c>
      <c r="Q493" s="17">
        <f>CHOOSE(CONTROL!$C$42, 22.9346, 22.9346) * CHOOSE(CONTROL!$C$21, $C$9, 100%, $E$9)</f>
        <v>22.9346</v>
      </c>
      <c r="R493" s="17">
        <f>CHOOSE(CONTROL!$C$42, 23.5789, 23.5789) * CHOOSE(CONTROL!$C$21, $C$9, 100%, $E$9)</f>
        <v>23.578900000000001</v>
      </c>
      <c r="S493" s="17">
        <f>CHOOSE(CONTROL!$C$42, 21.6864, 21.6864) * CHOOSE(CONTROL!$C$21, $C$9, 100%, $E$9)</f>
        <v>21.686399999999999</v>
      </c>
      <c r="T493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493" s="56">
        <f>(1000*CHOOSE(CONTROL!$C$42, 695, 695)*CHOOSE(CONTROL!$C$42, 0.5599, 0.5599)*CHOOSE(CONTROL!$C$42, 31, 31))/1000000</f>
        <v>12.063045499999998</v>
      </c>
      <c r="V493" s="56">
        <f>(1000*CHOOSE(CONTROL!$C$42, 500, 500)*CHOOSE(CONTROL!$C$42, 0.275, 0.275)*CHOOSE(CONTROL!$C$42, 31, 31))/1000000</f>
        <v>4.2625000000000002</v>
      </c>
      <c r="W493" s="56">
        <f>(1000*CHOOSE(CONTROL!$C$42, 0.0916, 0.0916)*CHOOSE(CONTROL!$C$42, 121.5, 121.5)*CHOOSE(CONTROL!$C$42, 31, 31))/1000000</f>
        <v>0.34501139999999997</v>
      </c>
      <c r="X493" s="56">
        <f>(31*0.2374*100000/1000000)</f>
        <v>0.73594000000000004</v>
      </c>
      <c r="Y493" s="56"/>
      <c r="Z493" s="17"/>
      <c r="AA493" s="55"/>
      <c r="AB493" s="48">
        <f>(B493*122.58+C493*297.941+D493*89.177+E493*140.302+F493*40+G493*60+H493*0+I493*100+J493*300)/(122.58+297.941+89.177+140.302+0+40+60+100+300)</f>
        <v>22.419033293652173</v>
      </c>
      <c r="AC493" s="45">
        <f>(M493*'RAP TEMPLATE-GAS AVAILABILITY'!O492+N493*'RAP TEMPLATE-GAS AVAILABILITY'!P492+O493*'RAP TEMPLATE-GAS AVAILABILITY'!Q492+P493*'RAP TEMPLATE-GAS AVAILABILITY'!R492)/('RAP TEMPLATE-GAS AVAILABILITY'!O492+'RAP TEMPLATE-GAS AVAILABILITY'!P492+'RAP TEMPLATE-GAS AVAILABILITY'!Q492+'RAP TEMPLATE-GAS AVAILABILITY'!R492)</f>
        <v>22.269284172661873</v>
      </c>
    </row>
    <row r="494" spans="1:29" ht="15.75" x14ac:dyDescent="0.25">
      <c r="A494" s="14">
        <v>55577</v>
      </c>
      <c r="B494" s="17">
        <f>CHOOSE(CONTROL!$C$42, 22.772, 22.772) * CHOOSE(CONTROL!$C$21, $C$9, 100%, $E$9)</f>
        <v>22.771999999999998</v>
      </c>
      <c r="C494" s="17">
        <f>CHOOSE(CONTROL!$C$42, 22.7771, 22.7771) * CHOOSE(CONTROL!$C$21, $C$9, 100%, $E$9)</f>
        <v>22.777100000000001</v>
      </c>
      <c r="D494" s="17">
        <f>CHOOSE(CONTROL!$C$42, 22.911, 22.911) * CHOOSE(CONTROL!$C$21, $C$9, 100%, $E$9)</f>
        <v>22.911000000000001</v>
      </c>
      <c r="E494" s="17">
        <f>CHOOSE(CONTROL!$C$42, 22.9448, 22.9448) * CHOOSE(CONTROL!$C$21, $C$9, 100%, $E$9)</f>
        <v>22.944800000000001</v>
      </c>
      <c r="F494" s="17">
        <f>CHOOSE(CONTROL!$C$42, 22.7854, 22.7854)*CHOOSE(CONTROL!$C$21, $C$9, 100%, $E$9)</f>
        <v>22.785399999999999</v>
      </c>
      <c r="G494" s="17">
        <f>CHOOSE(CONTROL!$C$42, 22.8022, 22.8022)*CHOOSE(CONTROL!$C$21, $C$9, 100%, $E$9)</f>
        <v>22.802199999999999</v>
      </c>
      <c r="H494" s="17">
        <f>CHOOSE(CONTROL!$C$42, 22.9336, 22.9336) * CHOOSE(CONTROL!$C$21, $C$9, 100%, $E$9)</f>
        <v>22.933599999999998</v>
      </c>
      <c r="I494" s="17">
        <f>CHOOSE(CONTROL!$C$42, 22.8691, 22.8691)* CHOOSE(CONTROL!$C$21, $C$9, 100%, $E$9)</f>
        <v>22.8691</v>
      </c>
      <c r="J494" s="17">
        <f>CHOOSE(CONTROL!$C$42, 22.778, 22.778)* CHOOSE(CONTROL!$C$21, $C$9, 100%, $E$9)</f>
        <v>22.777999999999999</v>
      </c>
      <c r="K494" s="52">
        <f>CHOOSE(CONTROL!$C$42, 22.8631, 22.8631) * CHOOSE(CONTROL!$C$21, $C$9, 100%, $E$9)</f>
        <v>22.863099999999999</v>
      </c>
      <c r="L494" s="17">
        <f>CHOOSE(CONTROL!$C$42, 23.5206, 23.5206) * CHOOSE(CONTROL!$C$21, $C$9, 100%, $E$9)</f>
        <v>23.520600000000002</v>
      </c>
      <c r="M494" s="17">
        <f>CHOOSE(CONTROL!$C$42, 22.5801, 22.5801) * CHOOSE(CONTROL!$C$21, $C$9, 100%, $E$9)</f>
        <v>22.580100000000002</v>
      </c>
      <c r="N494" s="17">
        <f>CHOOSE(CONTROL!$C$42, 22.5968, 22.5968) * CHOOSE(CONTROL!$C$21, $C$9, 100%, $E$9)</f>
        <v>22.596800000000002</v>
      </c>
      <c r="O494" s="17">
        <f>CHOOSE(CONTROL!$C$42, 22.7344, 22.7344) * CHOOSE(CONTROL!$C$21, $C$9, 100%, $E$9)</f>
        <v>22.734400000000001</v>
      </c>
      <c r="P494" s="17">
        <f>CHOOSE(CONTROL!$C$42, 22.6699, 22.6699) * CHOOSE(CONTROL!$C$21, $C$9, 100%, $E$9)</f>
        <v>22.669899999999998</v>
      </c>
      <c r="Q494" s="17">
        <f>CHOOSE(CONTROL!$C$42, 23.3291, 23.3291) * CHOOSE(CONTROL!$C$21, $C$9, 100%, $E$9)</f>
        <v>23.3291</v>
      </c>
      <c r="R494" s="17">
        <f>CHOOSE(CONTROL!$C$42, 23.9744, 23.9744) * CHOOSE(CONTROL!$C$21, $C$9, 100%, $E$9)</f>
        <v>23.974399999999999</v>
      </c>
      <c r="S494" s="17">
        <f>CHOOSE(CONTROL!$C$42, 22.0725, 22.0725) * CHOOSE(CONTROL!$C$21, $C$9, 100%, $E$9)</f>
        <v>22.072500000000002</v>
      </c>
      <c r="T494" s="56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494" s="56">
        <f>(1000*CHOOSE(CONTROL!$C$42, 695, 695)*CHOOSE(CONTROL!$C$42, 0.5599, 0.5599)*CHOOSE(CONTROL!$C$42, 29, 29))/1000000</f>
        <v>11.284784499999999</v>
      </c>
      <c r="V494" s="56">
        <f>(1000*CHOOSE(CONTROL!$C$42, 500, 500)*CHOOSE(CONTROL!$C$42, 0.275, 0.275)*CHOOSE(CONTROL!$C$42, 29, 29))/1000000</f>
        <v>3.9874999999999998</v>
      </c>
      <c r="W494" s="56">
        <f>(1000*CHOOSE(CONTROL!$C$42, 0.0916, 0.0916)*CHOOSE(CONTROL!$C$42, 121.5, 121.5)*CHOOSE(CONTROL!$C$42, 29, 29))/1000000</f>
        <v>0.3227526</v>
      </c>
      <c r="X494" s="56">
        <f>(29*0.2374*100000/1000000)</f>
        <v>0.68845999999999996</v>
      </c>
      <c r="Y494" s="56"/>
      <c r="Z494" s="17"/>
      <c r="AA494" s="55"/>
      <c r="AB494" s="48">
        <f>(B494*122.58+C494*297.941+D494*89.177+E494*140.302+F494*40+G494*60+H494*0+I494*100+J494*300)/(122.58+297.941+89.177+140.302+0+40+60+100+300)</f>
        <v>22.817232424086953</v>
      </c>
      <c r="AC494" s="45">
        <f>(M494*'RAP TEMPLATE-GAS AVAILABILITY'!O493+N494*'RAP TEMPLATE-GAS AVAILABILITY'!P493+O494*'RAP TEMPLATE-GAS AVAILABILITY'!Q493+P494*'RAP TEMPLATE-GAS AVAILABILITY'!R493)/('RAP TEMPLATE-GAS AVAILABILITY'!O493+'RAP TEMPLATE-GAS AVAILABILITY'!P493+'RAP TEMPLATE-GAS AVAILABILITY'!Q493+'RAP TEMPLATE-GAS AVAILABILITY'!R493)</f>
        <v>22.663916546762589</v>
      </c>
    </row>
    <row r="495" spans="1:29" ht="15.75" x14ac:dyDescent="0.25">
      <c r="A495" s="14">
        <v>55609</v>
      </c>
      <c r="B495" s="17">
        <f>CHOOSE(CONTROL!$C$42, 22.1258, 22.1258) * CHOOSE(CONTROL!$C$21, $C$9, 100%, $E$9)</f>
        <v>22.125800000000002</v>
      </c>
      <c r="C495" s="17">
        <f>CHOOSE(CONTROL!$C$42, 22.1308, 22.1308) * CHOOSE(CONTROL!$C$21, $C$9, 100%, $E$9)</f>
        <v>22.130800000000001</v>
      </c>
      <c r="D495" s="17">
        <f>CHOOSE(CONTROL!$C$42, 22.2648, 22.2648) * CHOOSE(CONTROL!$C$21, $C$9, 100%, $E$9)</f>
        <v>22.264800000000001</v>
      </c>
      <c r="E495" s="17">
        <f>CHOOSE(CONTROL!$C$42, 22.2986, 22.2986) * CHOOSE(CONTROL!$C$21, $C$9, 100%, $E$9)</f>
        <v>22.2986</v>
      </c>
      <c r="F495" s="17">
        <f>CHOOSE(CONTROL!$C$42, 22.1384, 22.1384)*CHOOSE(CONTROL!$C$21, $C$9, 100%, $E$9)</f>
        <v>22.138400000000001</v>
      </c>
      <c r="G495" s="17">
        <f>CHOOSE(CONTROL!$C$42, 22.1551, 22.1551)*CHOOSE(CONTROL!$C$21, $C$9, 100%, $E$9)</f>
        <v>22.155100000000001</v>
      </c>
      <c r="H495" s="17">
        <f>CHOOSE(CONTROL!$C$42, 22.2874, 22.2874) * CHOOSE(CONTROL!$C$21, $C$9, 100%, $E$9)</f>
        <v>22.287400000000002</v>
      </c>
      <c r="I495" s="17">
        <f>CHOOSE(CONTROL!$C$42, 22.2209, 22.2209)* CHOOSE(CONTROL!$C$21, $C$9, 100%, $E$9)</f>
        <v>22.2209</v>
      </c>
      <c r="J495" s="17">
        <f>CHOOSE(CONTROL!$C$42, 22.131, 22.131)* CHOOSE(CONTROL!$C$21, $C$9, 100%, $E$9)</f>
        <v>22.131</v>
      </c>
      <c r="K495" s="52">
        <f>CHOOSE(CONTROL!$C$42, 22.2149, 22.2149) * CHOOSE(CONTROL!$C$21, $C$9, 100%, $E$9)</f>
        <v>22.2149</v>
      </c>
      <c r="L495" s="17">
        <f>CHOOSE(CONTROL!$C$42, 22.8744, 22.8744) * CHOOSE(CONTROL!$C$21, $C$9, 100%, $E$9)</f>
        <v>22.874400000000001</v>
      </c>
      <c r="M495" s="17">
        <f>CHOOSE(CONTROL!$C$42, 21.939, 21.939) * CHOOSE(CONTROL!$C$21, $C$9, 100%, $E$9)</f>
        <v>21.939</v>
      </c>
      <c r="N495" s="17">
        <f>CHOOSE(CONTROL!$C$42, 21.9555, 21.9555) * CHOOSE(CONTROL!$C$21, $C$9, 100%, $E$9)</f>
        <v>21.955500000000001</v>
      </c>
      <c r="O495" s="17">
        <f>CHOOSE(CONTROL!$C$42, 22.094, 22.094) * CHOOSE(CONTROL!$C$21, $C$9, 100%, $E$9)</f>
        <v>22.094000000000001</v>
      </c>
      <c r="P495" s="17">
        <f>CHOOSE(CONTROL!$C$42, 22.0275, 22.0275) * CHOOSE(CONTROL!$C$21, $C$9, 100%, $E$9)</f>
        <v>22.0275</v>
      </c>
      <c r="Q495" s="17">
        <f>CHOOSE(CONTROL!$C$42, 22.6887, 22.6887) * CHOOSE(CONTROL!$C$21, $C$9, 100%, $E$9)</f>
        <v>22.688700000000001</v>
      </c>
      <c r="R495" s="17">
        <f>CHOOSE(CONTROL!$C$42, 23.3324, 23.3324) * CHOOSE(CONTROL!$C$21, $C$9, 100%, $E$9)</f>
        <v>23.3324</v>
      </c>
      <c r="S495" s="17">
        <f>CHOOSE(CONTROL!$C$42, 21.4458, 21.4458) * CHOOSE(CONTROL!$C$21, $C$9, 100%, $E$9)</f>
        <v>21.445799999999998</v>
      </c>
      <c r="T495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495" s="56">
        <f>(1000*CHOOSE(CONTROL!$C$42, 695, 695)*CHOOSE(CONTROL!$C$42, 0.5599, 0.5599)*CHOOSE(CONTROL!$C$42, 31, 31))/1000000</f>
        <v>12.063045499999998</v>
      </c>
      <c r="V495" s="56">
        <f>(1000*CHOOSE(CONTROL!$C$42, 500, 500)*CHOOSE(CONTROL!$C$42, 0.275, 0.275)*CHOOSE(CONTROL!$C$42, 31, 31))/1000000</f>
        <v>4.2625000000000002</v>
      </c>
      <c r="W495" s="56">
        <f>(1000*CHOOSE(CONTROL!$C$42, 0.0916, 0.0916)*CHOOSE(CONTROL!$C$42, 121.5, 121.5)*CHOOSE(CONTROL!$C$42, 31, 31))/1000000</f>
        <v>0.34501139999999997</v>
      </c>
      <c r="X495" s="56">
        <f>(31*0.2374*100000/1000000)</f>
        <v>0.73594000000000004</v>
      </c>
      <c r="Y495" s="56"/>
      <c r="Z495" s="17"/>
      <c r="AA495" s="55"/>
      <c r="AB495" s="48">
        <f>(B495*122.58+C495*297.941+D495*89.177+E495*140.302+F495*40+G495*60+H495*0+I495*100+J495*300)/(122.58+297.941+89.177+140.302+0+40+60+100+300)</f>
        <v>22.170549124869567</v>
      </c>
      <c r="AC495" s="45">
        <f>(M495*'RAP TEMPLATE-GAS AVAILABILITY'!O494+N495*'RAP TEMPLATE-GAS AVAILABILITY'!P494+O495*'RAP TEMPLATE-GAS AVAILABILITY'!Q494+P495*'RAP TEMPLATE-GAS AVAILABILITY'!R494)/('RAP TEMPLATE-GAS AVAILABILITY'!O494+'RAP TEMPLATE-GAS AVAILABILITY'!P494+'RAP TEMPLATE-GAS AVAILABILITY'!Q494+'RAP TEMPLATE-GAS AVAILABILITY'!R494)</f>
        <v>22.022935251798561</v>
      </c>
    </row>
    <row r="496" spans="1:29" ht="15.75" x14ac:dyDescent="0.25">
      <c r="A496" s="14">
        <v>55639</v>
      </c>
      <c r="B496" s="17">
        <f>CHOOSE(CONTROL!$C$42, 22.0606, 22.0606) * CHOOSE(CONTROL!$C$21, $C$9, 100%, $E$9)</f>
        <v>22.060600000000001</v>
      </c>
      <c r="C496" s="17">
        <f>CHOOSE(CONTROL!$C$42, 22.0651, 22.0651) * CHOOSE(CONTROL!$C$21, $C$9, 100%, $E$9)</f>
        <v>22.065100000000001</v>
      </c>
      <c r="D496" s="17">
        <f>CHOOSE(CONTROL!$C$42, 22.3281, 22.3281) * CHOOSE(CONTROL!$C$21, $C$9, 100%, $E$9)</f>
        <v>22.328099999999999</v>
      </c>
      <c r="E496" s="17">
        <f>CHOOSE(CONTROL!$C$42, 22.3599, 22.3599) * CHOOSE(CONTROL!$C$21, $C$9, 100%, $E$9)</f>
        <v>22.3599</v>
      </c>
      <c r="F496" s="17">
        <f>CHOOSE(CONTROL!$C$42, 22.0715, 22.0715)*CHOOSE(CONTROL!$C$21, $C$9, 100%, $E$9)</f>
        <v>22.0715</v>
      </c>
      <c r="G496" s="17">
        <f>CHOOSE(CONTROL!$C$42, 22.0876, 22.0876)*CHOOSE(CONTROL!$C$21, $C$9, 100%, $E$9)</f>
        <v>22.087599999999998</v>
      </c>
      <c r="H496" s="17">
        <f>CHOOSE(CONTROL!$C$42, 22.3494, 22.3494) * CHOOSE(CONTROL!$C$21, $C$9, 100%, $E$9)</f>
        <v>22.349399999999999</v>
      </c>
      <c r="I496" s="17">
        <f>CHOOSE(CONTROL!$C$42, 22.1543, 22.1543)* CHOOSE(CONTROL!$C$21, $C$9, 100%, $E$9)</f>
        <v>22.154299999999999</v>
      </c>
      <c r="J496" s="17">
        <f>CHOOSE(CONTROL!$C$42, 22.0641, 22.0641)* CHOOSE(CONTROL!$C$21, $C$9, 100%, $E$9)</f>
        <v>22.0641</v>
      </c>
      <c r="K496" s="52">
        <f>CHOOSE(CONTROL!$C$42, 22.1482, 22.1482) * CHOOSE(CONTROL!$C$21, $C$9, 100%, $E$9)</f>
        <v>22.148199999999999</v>
      </c>
      <c r="L496" s="17">
        <f>CHOOSE(CONTROL!$C$42, 22.9364, 22.9364) * CHOOSE(CONTROL!$C$21, $C$9, 100%, $E$9)</f>
        <v>22.936399999999999</v>
      </c>
      <c r="M496" s="17">
        <f>CHOOSE(CONTROL!$C$42, 21.8727, 21.8727) * CHOOSE(CONTROL!$C$21, $C$9, 100%, $E$9)</f>
        <v>21.872699999999998</v>
      </c>
      <c r="N496" s="17">
        <f>CHOOSE(CONTROL!$C$42, 21.8887, 21.8887) * CHOOSE(CONTROL!$C$21, $C$9, 100%, $E$9)</f>
        <v>21.8887</v>
      </c>
      <c r="O496" s="17">
        <f>CHOOSE(CONTROL!$C$42, 22.1554, 22.1554) * CHOOSE(CONTROL!$C$21, $C$9, 100%, $E$9)</f>
        <v>22.1554</v>
      </c>
      <c r="P496" s="17">
        <f>CHOOSE(CONTROL!$C$42, 21.9615, 21.9615) * CHOOSE(CONTROL!$C$21, $C$9, 100%, $E$9)</f>
        <v>21.961500000000001</v>
      </c>
      <c r="Q496" s="17">
        <f>CHOOSE(CONTROL!$C$42, 22.7501, 22.7501) * CHOOSE(CONTROL!$C$21, $C$9, 100%, $E$9)</f>
        <v>22.7501</v>
      </c>
      <c r="R496" s="17">
        <f>CHOOSE(CONTROL!$C$42, 23.3939, 23.3939) * CHOOSE(CONTROL!$C$21, $C$9, 100%, $E$9)</f>
        <v>23.393899999999999</v>
      </c>
      <c r="S496" s="17">
        <f>CHOOSE(CONTROL!$C$42, 21.3819, 21.3819) * CHOOSE(CONTROL!$C$21, $C$9, 100%, $E$9)</f>
        <v>21.381900000000002</v>
      </c>
      <c r="T496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496" s="56">
        <f>(1000*CHOOSE(CONTROL!$C$42, 695, 695)*CHOOSE(CONTROL!$C$42, 0.5599, 0.5599)*CHOOSE(CONTROL!$C$42, 30, 30))/1000000</f>
        <v>11.673914999999997</v>
      </c>
      <c r="V496" s="56">
        <f>(1000*CHOOSE(CONTROL!$C$42, 500, 500)*CHOOSE(CONTROL!$C$42, 0.275, 0.275)*CHOOSE(CONTROL!$C$42, 30, 30))/1000000</f>
        <v>4.125</v>
      </c>
      <c r="W496" s="56">
        <f>(1000*CHOOSE(CONTROL!$C$42, 0.0916, 0.0916)*CHOOSE(CONTROL!$C$42, 121.5, 121.5)*CHOOSE(CONTROL!$C$42, 30, 30))/1000000</f>
        <v>0.33388200000000001</v>
      </c>
      <c r="X496" s="56">
        <f>(30*0.1790888*145000/1000000)+(30*0.2374*100000/1000000)</f>
        <v>1.4912362799999999</v>
      </c>
      <c r="Y496" s="56"/>
      <c r="Z496" s="17"/>
      <c r="AA496" s="55"/>
      <c r="AB496" s="48">
        <f>(B496*141.293+C496*267.993+D496*115.016+E496*189.698+F496*40+G496*85+H496*0+I496*100+J496*300)/(141.293+267.993+115.016+189.698+0+40+85+100+300)</f>
        <v>22.1428440354318</v>
      </c>
      <c r="AC496" s="45">
        <f>(M496*'RAP TEMPLATE-GAS AVAILABILITY'!O495+N496*'RAP TEMPLATE-GAS AVAILABILITY'!P495+O496*'RAP TEMPLATE-GAS AVAILABILITY'!Q495+P496*'RAP TEMPLATE-GAS AVAILABILITY'!R495)/('RAP TEMPLATE-GAS AVAILABILITY'!O495+'RAP TEMPLATE-GAS AVAILABILITY'!P495+'RAP TEMPLATE-GAS AVAILABILITY'!Q495+'RAP TEMPLATE-GAS AVAILABILITY'!R495)</f>
        <v>21.968479136690647</v>
      </c>
    </row>
    <row r="497" spans="1:29" ht="15.75" x14ac:dyDescent="0.25">
      <c r="A497" s="14">
        <v>55670</v>
      </c>
      <c r="B497" s="17">
        <f>CHOOSE(CONTROL!$C$42, 22.2565, 22.2565) * CHOOSE(CONTROL!$C$21, $C$9, 100%, $E$9)</f>
        <v>22.256499999999999</v>
      </c>
      <c r="C497" s="17">
        <f>CHOOSE(CONTROL!$C$42, 22.2645, 22.2645) * CHOOSE(CONTROL!$C$21, $C$9, 100%, $E$9)</f>
        <v>22.264500000000002</v>
      </c>
      <c r="D497" s="17">
        <f>CHOOSE(CONTROL!$C$42, 22.5245, 22.5245) * CHOOSE(CONTROL!$C$21, $C$9, 100%, $E$9)</f>
        <v>22.5245</v>
      </c>
      <c r="E497" s="17">
        <f>CHOOSE(CONTROL!$C$42, 22.5556, 22.5556) * CHOOSE(CONTROL!$C$21, $C$9, 100%, $E$9)</f>
        <v>22.555599999999998</v>
      </c>
      <c r="F497" s="17">
        <f>CHOOSE(CONTROL!$C$42, 22.2662, 22.2662)*CHOOSE(CONTROL!$C$21, $C$9, 100%, $E$9)</f>
        <v>22.266200000000001</v>
      </c>
      <c r="G497" s="17">
        <f>CHOOSE(CONTROL!$C$42, 22.2827, 22.2827)*CHOOSE(CONTROL!$C$21, $C$9, 100%, $E$9)</f>
        <v>22.282699999999998</v>
      </c>
      <c r="H497" s="17">
        <f>CHOOSE(CONTROL!$C$42, 22.544, 22.544) * CHOOSE(CONTROL!$C$21, $C$9, 100%, $E$9)</f>
        <v>22.544</v>
      </c>
      <c r="I497" s="17">
        <f>CHOOSE(CONTROL!$C$42, 22.3495, 22.3495)* CHOOSE(CONTROL!$C$21, $C$9, 100%, $E$9)</f>
        <v>22.349499999999999</v>
      </c>
      <c r="J497" s="17">
        <f>CHOOSE(CONTROL!$C$42, 22.2588, 22.2588)* CHOOSE(CONTROL!$C$21, $C$9, 100%, $E$9)</f>
        <v>22.258800000000001</v>
      </c>
      <c r="K497" s="52">
        <f>CHOOSE(CONTROL!$C$42, 22.3434, 22.3434) * CHOOSE(CONTROL!$C$21, $C$9, 100%, $E$9)</f>
        <v>22.343399999999999</v>
      </c>
      <c r="L497" s="17">
        <f>CHOOSE(CONTROL!$C$42, 23.131, 23.131) * CHOOSE(CONTROL!$C$21, $C$9, 100%, $E$9)</f>
        <v>23.131</v>
      </c>
      <c r="M497" s="17">
        <f>CHOOSE(CONTROL!$C$42, 22.0656, 22.0656) * CHOOSE(CONTROL!$C$21, $C$9, 100%, $E$9)</f>
        <v>22.0656</v>
      </c>
      <c r="N497" s="17">
        <f>CHOOSE(CONTROL!$C$42, 22.082, 22.082) * CHOOSE(CONTROL!$C$21, $C$9, 100%, $E$9)</f>
        <v>22.082000000000001</v>
      </c>
      <c r="O497" s="17">
        <f>CHOOSE(CONTROL!$C$42, 22.3482, 22.3482) * CHOOSE(CONTROL!$C$21, $C$9, 100%, $E$9)</f>
        <v>22.348199999999999</v>
      </c>
      <c r="P497" s="17">
        <f>CHOOSE(CONTROL!$C$42, 22.1549, 22.1549) * CHOOSE(CONTROL!$C$21, $C$9, 100%, $E$9)</f>
        <v>22.154900000000001</v>
      </c>
      <c r="Q497" s="17">
        <f>CHOOSE(CONTROL!$C$42, 22.9429, 22.9429) * CHOOSE(CONTROL!$C$21, $C$9, 100%, $E$9)</f>
        <v>22.942900000000002</v>
      </c>
      <c r="R497" s="17">
        <f>CHOOSE(CONTROL!$C$42, 23.5873, 23.5873) * CHOOSE(CONTROL!$C$21, $C$9, 100%, $E$9)</f>
        <v>23.587299999999999</v>
      </c>
      <c r="S497" s="17">
        <f>CHOOSE(CONTROL!$C$42, 21.5706, 21.5706) * CHOOSE(CONTROL!$C$21, $C$9, 100%, $E$9)</f>
        <v>21.570599999999999</v>
      </c>
      <c r="T497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497" s="56">
        <f>(1000*CHOOSE(CONTROL!$C$42, 695, 695)*CHOOSE(CONTROL!$C$42, 0.5599, 0.5599)*CHOOSE(CONTROL!$C$42, 31, 31))/1000000</f>
        <v>12.063045499999998</v>
      </c>
      <c r="V497" s="56">
        <f>(1000*CHOOSE(CONTROL!$C$42, 500, 500)*CHOOSE(CONTROL!$C$42, 0.275, 0.275)*CHOOSE(CONTROL!$C$42, 31, 31))/1000000</f>
        <v>4.2625000000000002</v>
      </c>
      <c r="W497" s="56">
        <f>(1000*CHOOSE(CONTROL!$C$42, 0.0916, 0.0916)*CHOOSE(CONTROL!$C$42, 121.5, 121.5)*CHOOSE(CONTROL!$C$42, 31, 31))/1000000</f>
        <v>0.34501139999999997</v>
      </c>
      <c r="X497" s="56">
        <f>(31*0.1790888*145000/1000000)+(31*0.2374*100000/1000000)</f>
        <v>1.5409441560000001</v>
      </c>
      <c r="Y497" s="56"/>
      <c r="Z497" s="17"/>
      <c r="AA497" s="55"/>
      <c r="AB497" s="48">
        <f>(B497*194.205+C497*267.466+D497*133.845+E497*153.484+F497*40+G497*85+H497*0+I497*100+J497*300)/(194.205+267.466+133.845+153.484+0+40+85+100+300)</f>
        <v>22.332263149450554</v>
      </c>
      <c r="AC497" s="45">
        <f>(M497*'RAP TEMPLATE-GAS AVAILABILITY'!O496+N497*'RAP TEMPLATE-GAS AVAILABILITY'!P496+O497*'RAP TEMPLATE-GAS AVAILABILITY'!Q496+P497*'RAP TEMPLATE-GAS AVAILABILITY'!R496)/('RAP TEMPLATE-GAS AVAILABILITY'!O496+'RAP TEMPLATE-GAS AVAILABILITY'!P496+'RAP TEMPLATE-GAS AVAILABILITY'!Q496+'RAP TEMPLATE-GAS AVAILABILITY'!R496)</f>
        <v>22.161515107913669</v>
      </c>
    </row>
    <row r="498" spans="1:29" ht="15.75" x14ac:dyDescent="0.25">
      <c r="A498" s="14">
        <v>55700</v>
      </c>
      <c r="B498" s="17">
        <f>CHOOSE(CONTROL!$C$42, 22.8875, 22.8875) * CHOOSE(CONTROL!$C$21, $C$9, 100%, $E$9)</f>
        <v>22.887499999999999</v>
      </c>
      <c r="C498" s="17">
        <f>CHOOSE(CONTROL!$C$42, 22.8955, 22.8955) * CHOOSE(CONTROL!$C$21, $C$9, 100%, $E$9)</f>
        <v>22.895499999999998</v>
      </c>
      <c r="D498" s="17">
        <f>CHOOSE(CONTROL!$C$42, 23.1554, 23.1554) * CHOOSE(CONTROL!$C$21, $C$9, 100%, $E$9)</f>
        <v>23.1554</v>
      </c>
      <c r="E498" s="17">
        <f>CHOOSE(CONTROL!$C$42, 23.1866, 23.1866) * CHOOSE(CONTROL!$C$21, $C$9, 100%, $E$9)</f>
        <v>23.186599999999999</v>
      </c>
      <c r="F498" s="17">
        <f>CHOOSE(CONTROL!$C$42, 22.8975, 22.8975)*CHOOSE(CONTROL!$C$21, $C$9, 100%, $E$9)</f>
        <v>22.897500000000001</v>
      </c>
      <c r="G498" s="17">
        <f>CHOOSE(CONTROL!$C$42, 22.914, 22.914)*CHOOSE(CONTROL!$C$21, $C$9, 100%, $E$9)</f>
        <v>22.914000000000001</v>
      </c>
      <c r="H498" s="17">
        <f>CHOOSE(CONTROL!$C$42, 23.1749, 23.1749) * CHOOSE(CONTROL!$C$21, $C$9, 100%, $E$9)</f>
        <v>23.174900000000001</v>
      </c>
      <c r="I498" s="17">
        <f>CHOOSE(CONTROL!$C$42, 22.9824, 22.9824)* CHOOSE(CONTROL!$C$21, $C$9, 100%, $E$9)</f>
        <v>22.982399999999998</v>
      </c>
      <c r="J498" s="17">
        <f>CHOOSE(CONTROL!$C$42, 22.8901, 22.8901)* CHOOSE(CONTROL!$C$21, $C$9, 100%, $E$9)</f>
        <v>22.8901</v>
      </c>
      <c r="K498" s="52">
        <f>CHOOSE(CONTROL!$C$42, 22.9764, 22.9764) * CHOOSE(CONTROL!$C$21, $C$9, 100%, $E$9)</f>
        <v>22.976400000000002</v>
      </c>
      <c r="L498" s="17">
        <f>CHOOSE(CONTROL!$C$42, 23.7619, 23.7619) * CHOOSE(CONTROL!$C$21, $C$9, 100%, $E$9)</f>
        <v>23.761900000000001</v>
      </c>
      <c r="M498" s="17">
        <f>CHOOSE(CONTROL!$C$42, 22.6912, 22.6912) * CHOOSE(CONTROL!$C$21, $C$9, 100%, $E$9)</f>
        <v>22.691199999999998</v>
      </c>
      <c r="N498" s="17">
        <f>CHOOSE(CONTROL!$C$42, 22.7076, 22.7076) * CHOOSE(CONTROL!$C$21, $C$9, 100%, $E$9)</f>
        <v>22.707599999999999</v>
      </c>
      <c r="O498" s="17">
        <f>CHOOSE(CONTROL!$C$42, 22.9735, 22.9735) * CHOOSE(CONTROL!$C$21, $C$9, 100%, $E$9)</f>
        <v>22.973500000000001</v>
      </c>
      <c r="P498" s="17">
        <f>CHOOSE(CONTROL!$C$42, 22.7821, 22.7821) * CHOOSE(CONTROL!$C$21, $C$9, 100%, $E$9)</f>
        <v>22.7821</v>
      </c>
      <c r="Q498" s="17">
        <f>CHOOSE(CONTROL!$C$42, 23.5682, 23.5682) * CHOOSE(CONTROL!$C$21, $C$9, 100%, $E$9)</f>
        <v>23.568200000000001</v>
      </c>
      <c r="R498" s="17">
        <f>CHOOSE(CONTROL!$C$42, 24.2141, 24.2141) * CHOOSE(CONTROL!$C$21, $C$9, 100%, $E$9)</f>
        <v>24.214099999999998</v>
      </c>
      <c r="S498" s="17">
        <f>CHOOSE(CONTROL!$C$42, 22.1825, 22.1825) * CHOOSE(CONTROL!$C$21, $C$9, 100%, $E$9)</f>
        <v>22.182500000000001</v>
      </c>
      <c r="T498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498" s="56">
        <f>(1000*CHOOSE(CONTROL!$C$42, 695, 695)*CHOOSE(CONTROL!$C$42, 0.5599, 0.5599)*CHOOSE(CONTROL!$C$42, 30, 30))/1000000</f>
        <v>11.673914999999997</v>
      </c>
      <c r="V498" s="56">
        <f>(1000*CHOOSE(CONTROL!$C$42, 500, 500)*CHOOSE(CONTROL!$C$42, 0.275, 0.275)*CHOOSE(CONTROL!$C$42, 30, 30))/1000000</f>
        <v>4.125</v>
      </c>
      <c r="W498" s="56">
        <f>(1000*CHOOSE(CONTROL!$C$42, 0.0916, 0.0916)*CHOOSE(CONTROL!$C$42, 121.5, 121.5)*CHOOSE(CONTROL!$C$42, 30, 30))/1000000</f>
        <v>0.33388200000000001</v>
      </c>
      <c r="X498" s="56">
        <f>(30*0.1790888*145000/1000000)+(30*0.2374*100000/1000000)</f>
        <v>1.4912362799999999</v>
      </c>
      <c r="Y498" s="56"/>
      <c r="Z498" s="17"/>
      <c r="AA498" s="55"/>
      <c r="AB498" s="48">
        <f>(B498*194.205+C498*267.466+D498*133.845+E498*153.484+F498*40+G498*85+H498*0+I498*100+J498*300)/(194.205+267.466+133.845+153.484+0+40+85+100+300)</f>
        <v>22.963501858634221</v>
      </c>
      <c r="AC498" s="45">
        <f>(M498*'RAP TEMPLATE-GAS AVAILABILITY'!O497+N498*'RAP TEMPLATE-GAS AVAILABILITY'!P497+O498*'RAP TEMPLATE-GAS AVAILABILITY'!Q497+P498*'RAP TEMPLATE-GAS AVAILABILITY'!R497)/('RAP TEMPLATE-GAS AVAILABILITY'!O497+'RAP TEMPLATE-GAS AVAILABILITY'!P497+'RAP TEMPLATE-GAS AVAILABILITY'!Q497+'RAP TEMPLATE-GAS AVAILABILITY'!R497)</f>
        <v>22.787261151079136</v>
      </c>
    </row>
    <row r="499" spans="1:29" ht="15.75" x14ac:dyDescent="0.25">
      <c r="A499" s="14">
        <v>55731</v>
      </c>
      <c r="B499" s="17">
        <f>CHOOSE(CONTROL!$C$42, 22.4487, 22.4487) * CHOOSE(CONTROL!$C$21, $C$9, 100%, $E$9)</f>
        <v>22.448699999999999</v>
      </c>
      <c r="C499" s="17">
        <f>CHOOSE(CONTROL!$C$42, 22.4567, 22.4567) * CHOOSE(CONTROL!$C$21, $C$9, 100%, $E$9)</f>
        <v>22.456700000000001</v>
      </c>
      <c r="D499" s="17">
        <f>CHOOSE(CONTROL!$C$42, 22.7166, 22.7166) * CHOOSE(CONTROL!$C$21, $C$9, 100%, $E$9)</f>
        <v>22.7166</v>
      </c>
      <c r="E499" s="17">
        <f>CHOOSE(CONTROL!$C$42, 22.7478, 22.7478) * CHOOSE(CONTROL!$C$21, $C$9, 100%, $E$9)</f>
        <v>22.747800000000002</v>
      </c>
      <c r="F499" s="17">
        <f>CHOOSE(CONTROL!$C$42, 22.4591, 22.4591)*CHOOSE(CONTROL!$C$21, $C$9, 100%, $E$9)</f>
        <v>22.459099999999999</v>
      </c>
      <c r="G499" s="17">
        <f>CHOOSE(CONTROL!$C$42, 22.4757, 22.4757)*CHOOSE(CONTROL!$C$21, $C$9, 100%, $E$9)</f>
        <v>22.4757</v>
      </c>
      <c r="H499" s="17">
        <f>CHOOSE(CONTROL!$C$42, 22.7361, 22.7361) * CHOOSE(CONTROL!$C$21, $C$9, 100%, $E$9)</f>
        <v>22.7361</v>
      </c>
      <c r="I499" s="17">
        <f>CHOOSE(CONTROL!$C$42, 22.5422, 22.5422)* CHOOSE(CONTROL!$C$21, $C$9, 100%, $E$9)</f>
        <v>22.542200000000001</v>
      </c>
      <c r="J499" s="17">
        <f>CHOOSE(CONTROL!$C$42, 22.4517, 22.4517)* CHOOSE(CONTROL!$C$21, $C$9, 100%, $E$9)</f>
        <v>22.451699999999999</v>
      </c>
      <c r="K499" s="52">
        <f>CHOOSE(CONTROL!$C$42, 22.5361, 22.5361) * CHOOSE(CONTROL!$C$21, $C$9, 100%, $E$9)</f>
        <v>22.536100000000001</v>
      </c>
      <c r="L499" s="17">
        <f>CHOOSE(CONTROL!$C$42, 23.3231, 23.3231) * CHOOSE(CONTROL!$C$21, $C$9, 100%, $E$9)</f>
        <v>23.3231</v>
      </c>
      <c r="M499" s="17">
        <f>CHOOSE(CONTROL!$C$42, 22.2568, 22.2568) * CHOOSE(CONTROL!$C$21, $C$9, 100%, $E$9)</f>
        <v>22.256799999999998</v>
      </c>
      <c r="N499" s="17">
        <f>CHOOSE(CONTROL!$C$42, 22.2733, 22.2733) * CHOOSE(CONTROL!$C$21, $C$9, 100%, $E$9)</f>
        <v>22.273299999999999</v>
      </c>
      <c r="O499" s="17">
        <f>CHOOSE(CONTROL!$C$42, 22.5386, 22.5386) * CHOOSE(CONTROL!$C$21, $C$9, 100%, $E$9)</f>
        <v>22.538599999999999</v>
      </c>
      <c r="P499" s="17">
        <f>CHOOSE(CONTROL!$C$42, 22.3459, 22.3459) * CHOOSE(CONTROL!$C$21, $C$9, 100%, $E$9)</f>
        <v>22.3459</v>
      </c>
      <c r="Q499" s="17">
        <f>CHOOSE(CONTROL!$C$42, 23.1333, 23.1333) * CHOOSE(CONTROL!$C$21, $C$9, 100%, $E$9)</f>
        <v>23.133299999999998</v>
      </c>
      <c r="R499" s="17">
        <f>CHOOSE(CONTROL!$C$42, 23.7782, 23.7782) * CHOOSE(CONTROL!$C$21, $C$9, 100%, $E$9)</f>
        <v>23.778199999999998</v>
      </c>
      <c r="S499" s="17">
        <f>CHOOSE(CONTROL!$C$42, 21.7569, 21.7569) * CHOOSE(CONTROL!$C$21, $C$9, 100%, $E$9)</f>
        <v>21.756900000000002</v>
      </c>
      <c r="T499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499" s="56">
        <f>(1000*CHOOSE(CONTROL!$C$42, 695, 695)*CHOOSE(CONTROL!$C$42, 0.5599, 0.5599)*CHOOSE(CONTROL!$C$42, 31, 31))/1000000</f>
        <v>12.063045499999998</v>
      </c>
      <c r="V499" s="56">
        <f>(1000*CHOOSE(CONTROL!$C$42, 500, 500)*CHOOSE(CONTROL!$C$42, 0.275, 0.275)*CHOOSE(CONTROL!$C$42, 31, 31))/1000000</f>
        <v>4.2625000000000002</v>
      </c>
      <c r="W499" s="56">
        <f>(1000*CHOOSE(CONTROL!$C$42, 0.0916, 0.0916)*CHOOSE(CONTROL!$C$42, 121.5, 121.5)*CHOOSE(CONTROL!$C$42, 31, 31))/1000000</f>
        <v>0.34501139999999997</v>
      </c>
      <c r="X499" s="56">
        <f>(31*0.1790888*145000/1000000)+(31*0.2374*100000/1000000)</f>
        <v>1.5409441560000001</v>
      </c>
      <c r="Y499" s="56"/>
      <c r="Z499" s="17"/>
      <c r="AA499" s="55"/>
      <c r="AB499" s="48">
        <f>(B499*194.205+C499*267.466+D499*133.845+E499*153.484+F499*40+G499*85+H499*0+I499*100+J499*300)/(194.205+267.466+133.845+153.484+0+40+85+100+300)</f>
        <v>22.524732078414445</v>
      </c>
      <c r="AC499" s="45">
        <f>(M499*'RAP TEMPLATE-GAS AVAILABILITY'!O498+N499*'RAP TEMPLATE-GAS AVAILABILITY'!P498+O499*'RAP TEMPLATE-GAS AVAILABILITY'!Q498+P499*'RAP TEMPLATE-GAS AVAILABILITY'!R498)/('RAP TEMPLATE-GAS AVAILABILITY'!O498+'RAP TEMPLATE-GAS AVAILABILITY'!P498+'RAP TEMPLATE-GAS AVAILABILITY'!Q498+'RAP TEMPLATE-GAS AVAILABILITY'!R498)</f>
        <v>22.352484892086331</v>
      </c>
    </row>
    <row r="500" spans="1:29" ht="15.75" x14ac:dyDescent="0.25">
      <c r="A500" s="14">
        <v>55762</v>
      </c>
      <c r="B500" s="17">
        <f>CHOOSE(CONTROL!$C$42, 21.3405, 21.3405) * CHOOSE(CONTROL!$C$21, $C$9, 100%, $E$9)</f>
        <v>21.340499999999999</v>
      </c>
      <c r="C500" s="17">
        <f>CHOOSE(CONTROL!$C$42, 21.3484, 21.3484) * CHOOSE(CONTROL!$C$21, $C$9, 100%, $E$9)</f>
        <v>21.348400000000002</v>
      </c>
      <c r="D500" s="17">
        <f>CHOOSE(CONTROL!$C$42, 21.6084, 21.6084) * CHOOSE(CONTROL!$C$21, $C$9, 100%, $E$9)</f>
        <v>21.6084</v>
      </c>
      <c r="E500" s="17">
        <f>CHOOSE(CONTROL!$C$42, 21.6395, 21.6395) * CHOOSE(CONTROL!$C$21, $C$9, 100%, $E$9)</f>
        <v>21.639500000000002</v>
      </c>
      <c r="F500" s="17">
        <f>CHOOSE(CONTROL!$C$42, 21.3511, 21.3511)*CHOOSE(CONTROL!$C$21, $C$9, 100%, $E$9)</f>
        <v>21.351099999999999</v>
      </c>
      <c r="G500" s="17">
        <f>CHOOSE(CONTROL!$C$42, 21.3678, 21.3678)*CHOOSE(CONTROL!$C$21, $C$9, 100%, $E$9)</f>
        <v>21.367799999999999</v>
      </c>
      <c r="H500" s="17">
        <f>CHOOSE(CONTROL!$C$42, 21.6279, 21.6279) * CHOOSE(CONTROL!$C$21, $C$9, 100%, $E$9)</f>
        <v>21.6279</v>
      </c>
      <c r="I500" s="17">
        <f>CHOOSE(CONTROL!$C$42, 21.4305, 21.4305)* CHOOSE(CONTROL!$C$21, $C$9, 100%, $E$9)</f>
        <v>21.430499999999999</v>
      </c>
      <c r="J500" s="17">
        <f>CHOOSE(CONTROL!$C$42, 21.3437, 21.3437)* CHOOSE(CONTROL!$C$21, $C$9, 100%, $E$9)</f>
        <v>21.343699999999998</v>
      </c>
      <c r="K500" s="52">
        <f>CHOOSE(CONTROL!$C$42, 21.4245, 21.4245) * CHOOSE(CONTROL!$C$21, $C$9, 100%, $E$9)</f>
        <v>21.424499999999998</v>
      </c>
      <c r="L500" s="17">
        <f>CHOOSE(CONTROL!$C$42, 22.2149, 22.2149) * CHOOSE(CONTROL!$C$21, $C$9, 100%, $E$9)</f>
        <v>22.2149</v>
      </c>
      <c r="M500" s="17">
        <f>CHOOSE(CONTROL!$C$42, 21.1587, 21.1587) * CHOOSE(CONTROL!$C$21, $C$9, 100%, $E$9)</f>
        <v>21.1587</v>
      </c>
      <c r="N500" s="17">
        <f>CHOOSE(CONTROL!$C$42, 21.1753, 21.1753) * CHOOSE(CONTROL!$C$21, $C$9, 100%, $E$9)</f>
        <v>21.1753</v>
      </c>
      <c r="O500" s="17">
        <f>CHOOSE(CONTROL!$C$42, 21.4404, 21.4404) * CHOOSE(CONTROL!$C$21, $C$9, 100%, $E$9)</f>
        <v>21.4404</v>
      </c>
      <c r="P500" s="17">
        <f>CHOOSE(CONTROL!$C$42, 21.2443, 21.2443) * CHOOSE(CONTROL!$C$21, $C$9, 100%, $E$9)</f>
        <v>21.244299999999999</v>
      </c>
      <c r="Q500" s="17">
        <f>CHOOSE(CONTROL!$C$42, 22.0351, 22.0351) * CHOOSE(CONTROL!$C$21, $C$9, 100%, $E$9)</f>
        <v>22.0351</v>
      </c>
      <c r="R500" s="17">
        <f>CHOOSE(CONTROL!$C$42, 22.6772, 22.6772) * CHOOSE(CONTROL!$C$21, $C$9, 100%, $E$9)</f>
        <v>22.677199999999999</v>
      </c>
      <c r="S500" s="17">
        <f>CHOOSE(CONTROL!$C$42, 20.6823, 20.6823) * CHOOSE(CONTROL!$C$21, $C$9, 100%, $E$9)</f>
        <v>20.682300000000001</v>
      </c>
      <c r="T500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500" s="56">
        <f>(1000*CHOOSE(CONTROL!$C$42, 695, 695)*CHOOSE(CONTROL!$C$42, 0.5599, 0.5599)*CHOOSE(CONTROL!$C$42, 31, 31))/1000000</f>
        <v>12.063045499999998</v>
      </c>
      <c r="V500" s="56">
        <f>(1000*CHOOSE(CONTROL!$C$42, 500, 500)*CHOOSE(CONTROL!$C$42, 0.275, 0.275)*CHOOSE(CONTROL!$C$42, 31, 31))/1000000</f>
        <v>4.2625000000000002</v>
      </c>
      <c r="W500" s="56">
        <f>(1000*CHOOSE(CONTROL!$C$42, 0.0916, 0.0916)*CHOOSE(CONTROL!$C$42, 121.5, 121.5)*CHOOSE(CONTROL!$C$42, 31, 31))/1000000</f>
        <v>0.34501139999999997</v>
      </c>
      <c r="X500" s="56">
        <f>(31*0.1790888*145000/1000000)+(31*0.2374*100000/1000000)</f>
        <v>1.5409441560000001</v>
      </c>
      <c r="Y500" s="56"/>
      <c r="Z500" s="17"/>
      <c r="AA500" s="55"/>
      <c r="AB500" s="48">
        <f>(B500*194.205+C500*267.466+D500*133.845+E500*153.484+F500*40+G500*85+H500*0+I500*100+J500*300)/(194.205+267.466+133.845+153.484+0+40+85+100+300)</f>
        <v>21.416297702433283</v>
      </c>
      <c r="AC500" s="45">
        <f>(M500*'RAP TEMPLATE-GAS AVAILABILITY'!O499+N500*'RAP TEMPLATE-GAS AVAILABILITY'!P499+O500*'RAP TEMPLATE-GAS AVAILABILITY'!Q499+P500*'RAP TEMPLATE-GAS AVAILABILITY'!R499)/('RAP TEMPLATE-GAS AVAILABILITY'!O499+'RAP TEMPLATE-GAS AVAILABILITY'!P499+'RAP TEMPLATE-GAS AVAILABILITY'!Q499+'RAP TEMPLATE-GAS AVAILABILITY'!R499)</f>
        <v>21.253876258992804</v>
      </c>
    </row>
    <row r="501" spans="1:29" ht="15.75" x14ac:dyDescent="0.25">
      <c r="A501" s="14">
        <v>55792</v>
      </c>
      <c r="B501" s="17">
        <f>CHOOSE(CONTROL!$C$42, 19.9861, 19.9861) * CHOOSE(CONTROL!$C$21, $C$9, 100%, $E$9)</f>
        <v>19.9861</v>
      </c>
      <c r="C501" s="17">
        <f>CHOOSE(CONTROL!$C$42, 19.9941, 19.9941) * CHOOSE(CONTROL!$C$21, $C$9, 100%, $E$9)</f>
        <v>19.9941</v>
      </c>
      <c r="D501" s="17">
        <f>CHOOSE(CONTROL!$C$42, 20.2541, 20.2541) * CHOOSE(CONTROL!$C$21, $C$9, 100%, $E$9)</f>
        <v>20.254100000000001</v>
      </c>
      <c r="E501" s="17">
        <f>CHOOSE(CONTROL!$C$42, 20.2852, 20.2852) * CHOOSE(CONTROL!$C$21, $C$9, 100%, $E$9)</f>
        <v>20.2852</v>
      </c>
      <c r="F501" s="17">
        <f>CHOOSE(CONTROL!$C$42, 19.9968, 19.9968)*CHOOSE(CONTROL!$C$21, $C$9, 100%, $E$9)</f>
        <v>19.9968</v>
      </c>
      <c r="G501" s="17">
        <f>CHOOSE(CONTROL!$C$42, 20.0135, 20.0135)*CHOOSE(CONTROL!$C$21, $C$9, 100%, $E$9)</f>
        <v>20.013500000000001</v>
      </c>
      <c r="H501" s="17">
        <f>CHOOSE(CONTROL!$C$42, 20.2736, 20.2736) * CHOOSE(CONTROL!$C$21, $C$9, 100%, $E$9)</f>
        <v>20.273599999999998</v>
      </c>
      <c r="I501" s="17">
        <f>CHOOSE(CONTROL!$C$42, 20.072, 20.072)* CHOOSE(CONTROL!$C$21, $C$9, 100%, $E$9)</f>
        <v>20.071999999999999</v>
      </c>
      <c r="J501" s="17">
        <f>CHOOSE(CONTROL!$C$42, 19.9894, 19.9894)* CHOOSE(CONTROL!$C$21, $C$9, 100%, $E$9)</f>
        <v>19.9894</v>
      </c>
      <c r="K501" s="52">
        <f>CHOOSE(CONTROL!$C$42, 20.066, 20.066) * CHOOSE(CONTROL!$C$21, $C$9, 100%, $E$9)</f>
        <v>20.065999999999999</v>
      </c>
      <c r="L501" s="17">
        <f>CHOOSE(CONTROL!$C$42, 20.8606, 20.8606) * CHOOSE(CONTROL!$C$21, $C$9, 100%, $E$9)</f>
        <v>20.860600000000002</v>
      </c>
      <c r="M501" s="17">
        <f>CHOOSE(CONTROL!$C$42, 19.8166, 19.8166) * CHOOSE(CONTROL!$C$21, $C$9, 100%, $E$9)</f>
        <v>19.816600000000001</v>
      </c>
      <c r="N501" s="17">
        <f>CHOOSE(CONTROL!$C$42, 19.8332, 19.8332) * CHOOSE(CONTROL!$C$21, $C$9, 100%, $E$9)</f>
        <v>19.833200000000001</v>
      </c>
      <c r="O501" s="17">
        <f>CHOOSE(CONTROL!$C$42, 20.0982, 20.0982) * CHOOSE(CONTROL!$C$21, $C$9, 100%, $E$9)</f>
        <v>20.098199999999999</v>
      </c>
      <c r="P501" s="17">
        <f>CHOOSE(CONTROL!$C$42, 19.898, 19.898) * CHOOSE(CONTROL!$C$21, $C$9, 100%, $E$9)</f>
        <v>19.898</v>
      </c>
      <c r="Q501" s="17">
        <f>CHOOSE(CONTROL!$C$42, 20.6929, 20.6929) * CHOOSE(CONTROL!$C$21, $C$9, 100%, $E$9)</f>
        <v>20.692900000000002</v>
      </c>
      <c r="R501" s="17">
        <f>CHOOSE(CONTROL!$C$42, 21.3317, 21.3317) * CHOOSE(CONTROL!$C$21, $C$9, 100%, $E$9)</f>
        <v>21.331700000000001</v>
      </c>
      <c r="S501" s="17">
        <f>CHOOSE(CONTROL!$C$42, 19.369, 19.369) * CHOOSE(CONTROL!$C$21, $C$9, 100%, $E$9)</f>
        <v>19.369</v>
      </c>
      <c r="T501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501" s="56">
        <f>(1000*CHOOSE(CONTROL!$C$42, 695, 695)*CHOOSE(CONTROL!$C$42, 0.5599, 0.5599)*CHOOSE(CONTROL!$C$42, 30, 30))/1000000</f>
        <v>11.673914999999997</v>
      </c>
      <c r="V501" s="56">
        <f>(1000*CHOOSE(CONTROL!$C$42, 500, 500)*CHOOSE(CONTROL!$C$42, 0.275, 0.275)*CHOOSE(CONTROL!$C$42, 30, 30))/1000000</f>
        <v>4.125</v>
      </c>
      <c r="W501" s="56">
        <f>(1000*CHOOSE(CONTROL!$C$42, 0.0916, 0.0916)*CHOOSE(CONTROL!$C$42, 121.5, 121.5)*CHOOSE(CONTROL!$C$42, 30, 30))/1000000</f>
        <v>0.33388200000000001</v>
      </c>
      <c r="X501" s="56">
        <f>(30*0.1790888*145000/1000000)+(30*0.2374*100000/1000000)</f>
        <v>1.4912362799999999</v>
      </c>
      <c r="Y501" s="56"/>
      <c r="Z501" s="17"/>
      <c r="AA501" s="55"/>
      <c r="AB501" s="48">
        <f>(B501*194.205+C501*267.466+D501*133.845+E501*153.484+F501*40+G501*85+H501*0+I501*100+J501*300)/(194.205+267.466+133.845+153.484+0+40+85+100+300)</f>
        <v>20.061652788383046</v>
      </c>
      <c r="AC501" s="45">
        <f>(M501*'RAP TEMPLATE-GAS AVAILABILITY'!O500+N501*'RAP TEMPLATE-GAS AVAILABILITY'!P500+O501*'RAP TEMPLATE-GAS AVAILABILITY'!Q500+P501*'RAP TEMPLATE-GAS AVAILABILITY'!R500)/('RAP TEMPLATE-GAS AVAILABILITY'!O500+'RAP TEMPLATE-GAS AVAILABILITY'!P500+'RAP TEMPLATE-GAS AVAILABILITY'!Q500+'RAP TEMPLATE-GAS AVAILABILITY'!R500)</f>
        <v>19.911143884892084</v>
      </c>
    </row>
    <row r="502" spans="1:29" ht="15.75" x14ac:dyDescent="0.25">
      <c r="A502" s="14">
        <v>55823</v>
      </c>
      <c r="B502" s="17">
        <f>CHOOSE(CONTROL!$C$42, 19.5789, 19.5789) * CHOOSE(CONTROL!$C$21, $C$9, 100%, $E$9)</f>
        <v>19.578900000000001</v>
      </c>
      <c r="C502" s="17">
        <f>CHOOSE(CONTROL!$C$42, 19.5842, 19.5842) * CHOOSE(CONTROL!$C$21, $C$9, 100%, $E$9)</f>
        <v>19.584199999999999</v>
      </c>
      <c r="D502" s="17">
        <f>CHOOSE(CONTROL!$C$42, 19.849, 19.849) * CHOOSE(CONTROL!$C$21, $C$9, 100%, $E$9)</f>
        <v>19.849</v>
      </c>
      <c r="E502" s="17">
        <f>CHOOSE(CONTROL!$C$42, 19.8779, 19.8779) * CHOOSE(CONTROL!$C$21, $C$9, 100%, $E$9)</f>
        <v>19.8779</v>
      </c>
      <c r="F502" s="17">
        <f>CHOOSE(CONTROL!$C$42, 19.5917, 19.5917)*CHOOSE(CONTROL!$C$21, $C$9, 100%, $E$9)</f>
        <v>19.591699999999999</v>
      </c>
      <c r="G502" s="17">
        <f>CHOOSE(CONTROL!$C$42, 19.6083, 19.6083)*CHOOSE(CONTROL!$C$21, $C$9, 100%, $E$9)</f>
        <v>19.6083</v>
      </c>
      <c r="H502" s="17">
        <f>CHOOSE(CONTROL!$C$42, 19.868, 19.868) * CHOOSE(CONTROL!$C$21, $C$9, 100%, $E$9)</f>
        <v>19.867999999999999</v>
      </c>
      <c r="I502" s="17">
        <f>CHOOSE(CONTROL!$C$42, 19.6652, 19.6652)* CHOOSE(CONTROL!$C$21, $C$9, 100%, $E$9)</f>
        <v>19.665199999999999</v>
      </c>
      <c r="J502" s="17">
        <f>CHOOSE(CONTROL!$C$42, 19.5843, 19.5843)* CHOOSE(CONTROL!$C$21, $C$9, 100%, $E$9)</f>
        <v>19.584299999999999</v>
      </c>
      <c r="K502" s="52">
        <f>CHOOSE(CONTROL!$C$42, 19.6592, 19.6592) * CHOOSE(CONTROL!$C$21, $C$9, 100%, $E$9)</f>
        <v>19.659199999999998</v>
      </c>
      <c r="L502" s="17">
        <f>CHOOSE(CONTROL!$C$42, 20.455, 20.455) * CHOOSE(CONTROL!$C$21, $C$9, 100%, $E$9)</f>
        <v>20.454999999999998</v>
      </c>
      <c r="M502" s="17">
        <f>CHOOSE(CONTROL!$C$42, 19.4152, 19.4152) * CHOOSE(CONTROL!$C$21, $C$9, 100%, $E$9)</f>
        <v>19.415199999999999</v>
      </c>
      <c r="N502" s="17">
        <f>CHOOSE(CONTROL!$C$42, 19.4316, 19.4316) * CHOOSE(CONTROL!$C$21, $C$9, 100%, $E$9)</f>
        <v>19.4316</v>
      </c>
      <c r="O502" s="17">
        <f>CHOOSE(CONTROL!$C$42, 19.6963, 19.6963) * CHOOSE(CONTROL!$C$21, $C$9, 100%, $E$9)</f>
        <v>19.696300000000001</v>
      </c>
      <c r="P502" s="17">
        <f>CHOOSE(CONTROL!$C$42, 19.4949, 19.4949) * CHOOSE(CONTROL!$C$21, $C$9, 100%, $E$9)</f>
        <v>19.494900000000001</v>
      </c>
      <c r="Q502" s="17">
        <f>CHOOSE(CONTROL!$C$42, 20.291, 20.291) * CHOOSE(CONTROL!$C$21, $C$9, 100%, $E$9)</f>
        <v>20.291</v>
      </c>
      <c r="R502" s="17">
        <f>CHOOSE(CONTROL!$C$42, 20.9288, 20.9288) * CHOOSE(CONTROL!$C$21, $C$9, 100%, $E$9)</f>
        <v>20.928799999999999</v>
      </c>
      <c r="S502" s="17">
        <f>CHOOSE(CONTROL!$C$42, 18.9757, 18.9757) * CHOOSE(CONTROL!$C$21, $C$9, 100%, $E$9)</f>
        <v>18.9757</v>
      </c>
      <c r="T502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502" s="56">
        <f>(1000*CHOOSE(CONTROL!$C$42, 695, 695)*CHOOSE(CONTROL!$C$42, 0.5599, 0.5599)*CHOOSE(CONTROL!$C$42, 31, 31))/1000000</f>
        <v>12.063045499999998</v>
      </c>
      <c r="V502" s="56">
        <f>(1000*CHOOSE(CONTROL!$C$42, 500, 500)*CHOOSE(CONTROL!$C$42, 0.275, 0.275)*CHOOSE(CONTROL!$C$42, 31, 31))/1000000</f>
        <v>4.2625000000000002</v>
      </c>
      <c r="W502" s="56">
        <f>(1000*CHOOSE(CONTROL!$C$42, 0.0916, 0.0916)*CHOOSE(CONTROL!$C$42, 121.5, 121.5)*CHOOSE(CONTROL!$C$42, 31, 31))/1000000</f>
        <v>0.34501139999999997</v>
      </c>
      <c r="X502" s="56">
        <f>(31*0.1790888*145000/1000000)+(31*0.2374*100000/1000000)</f>
        <v>1.5409441560000001</v>
      </c>
      <c r="Y502" s="56"/>
      <c r="Z502" s="17"/>
      <c r="AA502" s="55"/>
      <c r="AB502" s="48">
        <f>(B502*131.881+C502*277.167+D502*79.08+E502*225.872+F502*40+G502*85+H502*0+I502*100+J502*300)/(131.881+277.167+79.08+225.872+0+40+85+100+300)</f>
        <v>19.662536175221955</v>
      </c>
      <c r="AC502" s="45">
        <f>(M502*'RAP TEMPLATE-GAS AVAILABILITY'!O501+N502*'RAP TEMPLATE-GAS AVAILABILITY'!P501+O502*'RAP TEMPLATE-GAS AVAILABILITY'!Q501+P502*'RAP TEMPLATE-GAS AVAILABILITY'!R501)/('RAP TEMPLATE-GAS AVAILABILITY'!O501+'RAP TEMPLATE-GAS AVAILABILITY'!P501+'RAP TEMPLATE-GAS AVAILABILITY'!Q501+'RAP TEMPLATE-GAS AVAILABILITY'!R501)</f>
        <v>19.509312949640286</v>
      </c>
    </row>
    <row r="503" spans="1:29" ht="15.75" x14ac:dyDescent="0.25">
      <c r="A503" s="14">
        <v>55853</v>
      </c>
      <c r="B503" s="17">
        <f>CHOOSE(CONTROL!$C$42, 20.094, 20.094) * CHOOSE(CONTROL!$C$21, $C$9, 100%, $E$9)</f>
        <v>20.094000000000001</v>
      </c>
      <c r="C503" s="17">
        <f>CHOOSE(CONTROL!$C$42, 20.0991, 20.0991) * CHOOSE(CONTROL!$C$21, $C$9, 100%, $E$9)</f>
        <v>20.0991</v>
      </c>
      <c r="D503" s="17">
        <f>CHOOSE(CONTROL!$C$42, 20.2397, 20.2397) * CHOOSE(CONTROL!$C$21, $C$9, 100%, $E$9)</f>
        <v>20.239699999999999</v>
      </c>
      <c r="E503" s="17">
        <f>CHOOSE(CONTROL!$C$42, 20.2735, 20.2735) * CHOOSE(CONTROL!$C$21, $C$9, 100%, $E$9)</f>
        <v>20.273499999999999</v>
      </c>
      <c r="F503" s="17">
        <f>CHOOSE(CONTROL!$C$42, 20.1073, 20.1073)*CHOOSE(CONTROL!$C$21, $C$9, 100%, $E$9)</f>
        <v>20.107299999999999</v>
      </c>
      <c r="G503" s="17">
        <f>CHOOSE(CONTROL!$C$42, 20.1241, 20.1241)*CHOOSE(CONTROL!$C$21, $C$9, 100%, $E$9)</f>
        <v>20.124099999999999</v>
      </c>
      <c r="H503" s="17">
        <f>CHOOSE(CONTROL!$C$42, 20.2624, 20.2624) * CHOOSE(CONTROL!$C$21, $C$9, 100%, $E$9)</f>
        <v>20.2624</v>
      </c>
      <c r="I503" s="17">
        <f>CHOOSE(CONTROL!$C$42, 20.1787, 20.1787)* CHOOSE(CONTROL!$C$21, $C$9, 100%, $E$9)</f>
        <v>20.178699999999999</v>
      </c>
      <c r="J503" s="17">
        <f>CHOOSE(CONTROL!$C$42, 20.0999, 20.0999)* CHOOSE(CONTROL!$C$21, $C$9, 100%, $E$9)</f>
        <v>20.099900000000002</v>
      </c>
      <c r="K503" s="52">
        <f>CHOOSE(CONTROL!$C$42, 20.1727, 20.1727) * CHOOSE(CONTROL!$C$21, $C$9, 100%, $E$9)</f>
        <v>20.172699999999999</v>
      </c>
      <c r="L503" s="17">
        <f>CHOOSE(CONTROL!$C$42, 20.8494, 20.8494) * CHOOSE(CONTROL!$C$21, $C$9, 100%, $E$9)</f>
        <v>20.849399999999999</v>
      </c>
      <c r="M503" s="17">
        <f>CHOOSE(CONTROL!$C$42, 19.9261, 19.9261) * CHOOSE(CONTROL!$C$21, $C$9, 100%, $E$9)</f>
        <v>19.926100000000002</v>
      </c>
      <c r="N503" s="17">
        <f>CHOOSE(CONTROL!$C$42, 19.9428, 19.9428) * CHOOSE(CONTROL!$C$21, $C$9, 100%, $E$9)</f>
        <v>19.942799999999998</v>
      </c>
      <c r="O503" s="17">
        <f>CHOOSE(CONTROL!$C$42, 20.0871, 20.0871) * CHOOSE(CONTROL!$C$21, $C$9, 100%, $E$9)</f>
        <v>20.0871</v>
      </c>
      <c r="P503" s="17">
        <f>CHOOSE(CONTROL!$C$42, 20.0037, 20.0037) * CHOOSE(CONTROL!$C$21, $C$9, 100%, $E$9)</f>
        <v>20.003699999999998</v>
      </c>
      <c r="Q503" s="17">
        <f>CHOOSE(CONTROL!$C$42, 20.6818, 20.6818) * CHOOSE(CONTROL!$C$21, $C$9, 100%, $E$9)</f>
        <v>20.681799999999999</v>
      </c>
      <c r="R503" s="17">
        <f>CHOOSE(CONTROL!$C$42, 21.3205, 21.3205) * CHOOSE(CONTROL!$C$21, $C$9, 100%, $E$9)</f>
        <v>21.320499999999999</v>
      </c>
      <c r="S503" s="17">
        <f>CHOOSE(CONTROL!$C$42, 19.4756, 19.4756) * CHOOSE(CONTROL!$C$21, $C$9, 100%, $E$9)</f>
        <v>19.4756</v>
      </c>
      <c r="T503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503" s="56">
        <f>(1000*CHOOSE(CONTROL!$C$42, 695, 695)*CHOOSE(CONTROL!$C$42, 0.5599, 0.5599)*CHOOSE(CONTROL!$C$42, 30, 30))/1000000</f>
        <v>11.673914999999997</v>
      </c>
      <c r="V503" s="56">
        <f>(1000*CHOOSE(CONTROL!$C$42, 500, 500)*CHOOSE(CONTROL!$C$42, 0.275, 0.275)*CHOOSE(CONTROL!$C$42, 30, 30))/1000000</f>
        <v>4.125</v>
      </c>
      <c r="W503" s="56">
        <f>(1000*CHOOSE(CONTROL!$C$42, 0.0916, 0.0916)*CHOOSE(CONTROL!$C$42, 121.5, 121.5)*CHOOSE(CONTROL!$C$42, 30, 30))/1000000</f>
        <v>0.33388200000000001</v>
      </c>
      <c r="X503" s="56">
        <f>(30*0.2374*100000/1000000)</f>
        <v>0.71220000000000006</v>
      </c>
      <c r="Y503" s="56"/>
      <c r="Z503" s="17"/>
      <c r="AA503" s="55"/>
      <c r="AB503" s="48">
        <f>(B503*122.58+C503*297.941+D503*89.177+E503*140.302+F503*40+G503*60+H503*0+I503*100+J503*300)/(122.58+297.941+89.177+140.302+0+40+60+100+300)</f>
        <v>20.139456345217393</v>
      </c>
      <c r="AC503" s="45">
        <f>(M503*'RAP TEMPLATE-GAS AVAILABILITY'!O502+N503*'RAP TEMPLATE-GAS AVAILABILITY'!P502+O503*'RAP TEMPLATE-GAS AVAILABILITY'!Q502+P503*'RAP TEMPLATE-GAS AVAILABILITY'!R502)/('RAP TEMPLATE-GAS AVAILABILITY'!O502+'RAP TEMPLATE-GAS AVAILABILITY'!P502+'RAP TEMPLATE-GAS AVAILABILITY'!Q502+'RAP TEMPLATE-GAS AVAILABILITY'!R502)</f>
        <v>20.01119784172662</v>
      </c>
    </row>
    <row r="504" spans="1:29" ht="15.75" x14ac:dyDescent="0.25">
      <c r="A504" s="14">
        <v>55884</v>
      </c>
      <c r="B504" s="17">
        <f>CHOOSE(CONTROL!$C$42, 21.4633, 21.4633) * CHOOSE(CONTROL!$C$21, $C$9, 100%, $E$9)</f>
        <v>21.4633</v>
      </c>
      <c r="C504" s="17">
        <f>CHOOSE(CONTROL!$C$42, 21.4683, 21.4683) * CHOOSE(CONTROL!$C$21, $C$9, 100%, $E$9)</f>
        <v>21.468299999999999</v>
      </c>
      <c r="D504" s="17">
        <f>CHOOSE(CONTROL!$C$42, 21.609, 21.609) * CHOOSE(CONTROL!$C$21, $C$9, 100%, $E$9)</f>
        <v>21.609000000000002</v>
      </c>
      <c r="E504" s="17">
        <f>CHOOSE(CONTROL!$C$42, 21.6428, 21.6428) * CHOOSE(CONTROL!$C$21, $C$9, 100%, $E$9)</f>
        <v>21.642800000000001</v>
      </c>
      <c r="F504" s="17">
        <f>CHOOSE(CONTROL!$C$42, 21.479, 21.479)*CHOOSE(CONTROL!$C$21, $C$9, 100%, $E$9)</f>
        <v>21.478999999999999</v>
      </c>
      <c r="G504" s="17">
        <f>CHOOSE(CONTROL!$C$42, 21.4965, 21.4965)*CHOOSE(CONTROL!$C$21, $C$9, 100%, $E$9)</f>
        <v>21.496500000000001</v>
      </c>
      <c r="H504" s="17">
        <f>CHOOSE(CONTROL!$C$42, 21.6316, 21.6316) * CHOOSE(CONTROL!$C$21, $C$9, 100%, $E$9)</f>
        <v>21.631599999999999</v>
      </c>
      <c r="I504" s="17">
        <f>CHOOSE(CONTROL!$C$42, 21.5522, 21.5522)* CHOOSE(CONTROL!$C$21, $C$9, 100%, $E$9)</f>
        <v>21.552199999999999</v>
      </c>
      <c r="J504" s="17">
        <f>CHOOSE(CONTROL!$C$42, 21.4716, 21.4716)* CHOOSE(CONTROL!$C$21, $C$9, 100%, $E$9)</f>
        <v>21.471599999999999</v>
      </c>
      <c r="K504" s="52">
        <f>CHOOSE(CONTROL!$C$42, 21.5462, 21.5462) * CHOOSE(CONTROL!$C$21, $C$9, 100%, $E$9)</f>
        <v>21.546199999999999</v>
      </c>
      <c r="L504" s="17">
        <f>CHOOSE(CONTROL!$C$42, 22.2186, 22.2186) * CHOOSE(CONTROL!$C$21, $C$9, 100%, $E$9)</f>
        <v>22.218599999999999</v>
      </c>
      <c r="M504" s="17">
        <f>CHOOSE(CONTROL!$C$42, 21.2855, 21.2855) * CHOOSE(CONTROL!$C$21, $C$9, 100%, $E$9)</f>
        <v>21.285499999999999</v>
      </c>
      <c r="N504" s="17">
        <f>CHOOSE(CONTROL!$C$42, 21.3028, 21.3028) * CHOOSE(CONTROL!$C$21, $C$9, 100%, $E$9)</f>
        <v>21.302800000000001</v>
      </c>
      <c r="O504" s="17">
        <f>CHOOSE(CONTROL!$C$42, 21.4441, 21.4441) * CHOOSE(CONTROL!$C$21, $C$9, 100%, $E$9)</f>
        <v>21.444099999999999</v>
      </c>
      <c r="P504" s="17">
        <f>CHOOSE(CONTROL!$C$42, 21.3649, 21.3649) * CHOOSE(CONTROL!$C$21, $C$9, 100%, $E$9)</f>
        <v>21.364899999999999</v>
      </c>
      <c r="Q504" s="17">
        <f>CHOOSE(CONTROL!$C$42, 22.0388, 22.0388) * CHOOSE(CONTROL!$C$21, $C$9, 100%, $E$9)</f>
        <v>22.038799999999998</v>
      </c>
      <c r="R504" s="17">
        <f>CHOOSE(CONTROL!$C$42, 22.6809, 22.6809) * CHOOSE(CONTROL!$C$21, $C$9, 100%, $E$9)</f>
        <v>22.680900000000001</v>
      </c>
      <c r="S504" s="17">
        <f>CHOOSE(CONTROL!$C$42, 20.8034, 20.8034) * CHOOSE(CONTROL!$C$21, $C$9, 100%, $E$9)</f>
        <v>20.8034</v>
      </c>
      <c r="T504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504" s="56">
        <f>(1000*CHOOSE(CONTROL!$C$42, 695, 695)*CHOOSE(CONTROL!$C$42, 0.5599, 0.5599)*CHOOSE(CONTROL!$C$42, 31, 31))/1000000</f>
        <v>12.063045499999998</v>
      </c>
      <c r="V504" s="56">
        <f>(1000*CHOOSE(CONTROL!$C$42, 500, 500)*CHOOSE(CONTROL!$C$42, 0.275, 0.275)*CHOOSE(CONTROL!$C$42, 31, 31))/1000000</f>
        <v>4.2625000000000002</v>
      </c>
      <c r="W504" s="56">
        <f>(1000*CHOOSE(CONTROL!$C$42, 0.0916, 0.0916)*CHOOSE(CONTROL!$C$42, 121.5, 121.5)*CHOOSE(CONTROL!$C$42, 31, 31))/1000000</f>
        <v>0.34501139999999997</v>
      </c>
      <c r="X504" s="56">
        <f>(31*0.2374*100000/1000000)</f>
        <v>0.73594000000000004</v>
      </c>
      <c r="Y504" s="56"/>
      <c r="Z504" s="17"/>
      <c r="AA504" s="55"/>
      <c r="AB504" s="48">
        <f>(B504*122.58+C504*297.941+D504*89.177+E504*140.302+F504*40+G504*60+H504*0+I504*100+J504*300)/(122.58+297.941+89.177+140.302+0+40+60+100+300)</f>
        <v>21.509966959043478</v>
      </c>
      <c r="AC504" s="45">
        <f>(M504*'RAP TEMPLATE-GAS AVAILABILITY'!O503+N504*'RAP TEMPLATE-GAS AVAILABILITY'!P503+O504*'RAP TEMPLATE-GAS AVAILABILITY'!Q503+P504*'RAP TEMPLATE-GAS AVAILABILITY'!R503)/('RAP TEMPLATE-GAS AVAILABILITY'!O503+'RAP TEMPLATE-GAS AVAILABILITY'!P503+'RAP TEMPLATE-GAS AVAILABILITY'!Q503+'RAP TEMPLATE-GAS AVAILABILITY'!R503)</f>
        <v>21.369803597122299</v>
      </c>
    </row>
    <row r="505" spans="1:29" ht="15.75" x14ac:dyDescent="0.25">
      <c r="A505" s="14">
        <v>55915</v>
      </c>
      <c r="B505" s="17">
        <f>CHOOSE(CONTROL!$C$42, 23.112, 23.112) * CHOOSE(CONTROL!$C$21, $C$9, 100%, $E$9)</f>
        <v>23.111999999999998</v>
      </c>
      <c r="C505" s="17">
        <f>CHOOSE(CONTROL!$C$42, 23.1171, 23.1171) * CHOOSE(CONTROL!$C$21, $C$9, 100%, $E$9)</f>
        <v>23.117100000000001</v>
      </c>
      <c r="D505" s="17">
        <f>CHOOSE(CONTROL!$C$42, 23.251, 23.251) * CHOOSE(CONTROL!$C$21, $C$9, 100%, $E$9)</f>
        <v>23.251000000000001</v>
      </c>
      <c r="E505" s="17">
        <f>CHOOSE(CONTROL!$C$42, 23.2848, 23.2848) * CHOOSE(CONTROL!$C$21, $C$9, 100%, $E$9)</f>
        <v>23.284800000000001</v>
      </c>
      <c r="F505" s="17">
        <f>CHOOSE(CONTROL!$C$42, 23.1254, 23.1254)*CHOOSE(CONTROL!$C$21, $C$9, 100%, $E$9)</f>
        <v>23.125399999999999</v>
      </c>
      <c r="G505" s="17">
        <f>CHOOSE(CONTROL!$C$42, 23.1423, 23.1423)*CHOOSE(CONTROL!$C$21, $C$9, 100%, $E$9)</f>
        <v>23.142299999999999</v>
      </c>
      <c r="H505" s="17">
        <f>CHOOSE(CONTROL!$C$42, 23.2736, 23.2736) * CHOOSE(CONTROL!$C$21, $C$9, 100%, $E$9)</f>
        <v>23.273599999999998</v>
      </c>
      <c r="I505" s="17">
        <f>CHOOSE(CONTROL!$C$42, 23.2102, 23.2102)* CHOOSE(CONTROL!$C$21, $C$9, 100%, $E$9)</f>
        <v>23.2102</v>
      </c>
      <c r="J505" s="17">
        <f>CHOOSE(CONTROL!$C$42, 23.118, 23.118)* CHOOSE(CONTROL!$C$21, $C$9, 100%, $E$9)</f>
        <v>23.117999999999999</v>
      </c>
      <c r="K505" s="52">
        <f>CHOOSE(CONTROL!$C$42, 23.2042, 23.2042) * CHOOSE(CONTROL!$C$21, $C$9, 100%, $E$9)</f>
        <v>23.2042</v>
      </c>
      <c r="L505" s="17">
        <f>CHOOSE(CONTROL!$C$42, 23.8606, 23.8606) * CHOOSE(CONTROL!$C$21, $C$9, 100%, $E$9)</f>
        <v>23.860600000000002</v>
      </c>
      <c r="M505" s="17">
        <f>CHOOSE(CONTROL!$C$42, 22.9171, 22.9171) * CHOOSE(CONTROL!$C$21, $C$9, 100%, $E$9)</f>
        <v>22.917100000000001</v>
      </c>
      <c r="N505" s="17">
        <f>CHOOSE(CONTROL!$C$42, 22.9339, 22.9339) * CHOOSE(CONTROL!$C$21, $C$9, 100%, $E$9)</f>
        <v>22.933900000000001</v>
      </c>
      <c r="O505" s="17">
        <f>CHOOSE(CONTROL!$C$42, 23.0713, 23.0713) * CHOOSE(CONTROL!$C$21, $C$9, 100%, $E$9)</f>
        <v>23.071300000000001</v>
      </c>
      <c r="P505" s="17">
        <f>CHOOSE(CONTROL!$C$42, 23.0079, 23.0079) * CHOOSE(CONTROL!$C$21, $C$9, 100%, $E$9)</f>
        <v>23.007899999999999</v>
      </c>
      <c r="Q505" s="17">
        <f>CHOOSE(CONTROL!$C$42, 23.666, 23.666) * CHOOSE(CONTROL!$C$21, $C$9, 100%, $E$9)</f>
        <v>23.666</v>
      </c>
      <c r="R505" s="17">
        <f>CHOOSE(CONTROL!$C$42, 24.3122, 24.3122) * CHOOSE(CONTROL!$C$21, $C$9, 100%, $E$9)</f>
        <v>24.312200000000001</v>
      </c>
      <c r="S505" s="17">
        <f>CHOOSE(CONTROL!$C$42, 22.4022, 22.4022) * CHOOSE(CONTROL!$C$21, $C$9, 100%, $E$9)</f>
        <v>22.402200000000001</v>
      </c>
      <c r="T505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505" s="56">
        <f>(1000*CHOOSE(CONTROL!$C$42, 695, 695)*CHOOSE(CONTROL!$C$42, 0.5599, 0.5599)*CHOOSE(CONTROL!$C$42, 31, 31))/1000000</f>
        <v>12.063045499999998</v>
      </c>
      <c r="V505" s="56">
        <f>(1000*CHOOSE(CONTROL!$C$42, 500, 500)*CHOOSE(CONTROL!$C$42, 0.275, 0.275)*CHOOSE(CONTROL!$C$42, 31, 31))/1000000</f>
        <v>4.2625000000000002</v>
      </c>
      <c r="W505" s="56">
        <f>(1000*CHOOSE(CONTROL!$C$42, 0.0916, 0.0916)*CHOOSE(CONTROL!$C$42, 121.5, 121.5)*CHOOSE(CONTROL!$C$42, 31, 31))/1000000</f>
        <v>0.34501139999999997</v>
      </c>
      <c r="X505" s="56">
        <f>(31*0.2374*100000/1000000)</f>
        <v>0.73594000000000004</v>
      </c>
      <c r="Y505" s="56"/>
      <c r="Z505" s="17"/>
      <c r="AA505" s="55"/>
      <c r="AB505" s="48">
        <f>(B505*122.58+C505*297.941+D505*89.177+E505*140.302+F505*40+G505*60+H505*0+I505*100+J505*300)/(122.58+297.941+89.177+140.302+0+40+60+100+300)</f>
        <v>23.157333293652172</v>
      </c>
      <c r="AC505" s="45">
        <f>(M505*'RAP TEMPLATE-GAS AVAILABILITY'!O504+N505*'RAP TEMPLATE-GAS AVAILABILITY'!P504+O505*'RAP TEMPLATE-GAS AVAILABILITY'!Q504+P505*'RAP TEMPLATE-GAS AVAILABILITY'!R504)/('RAP TEMPLATE-GAS AVAILABILITY'!O504+'RAP TEMPLATE-GAS AVAILABILITY'!P504+'RAP TEMPLATE-GAS AVAILABILITY'!Q504+'RAP TEMPLATE-GAS AVAILABILITY'!R504)</f>
        <v>23.001020863309353</v>
      </c>
    </row>
    <row r="506" spans="1:29" ht="15.75" x14ac:dyDescent="0.25">
      <c r="A506" s="14">
        <v>55943</v>
      </c>
      <c r="B506" s="17">
        <f>CHOOSE(CONTROL!$C$42, 23.5232, 23.5232) * CHOOSE(CONTROL!$C$21, $C$9, 100%, $E$9)</f>
        <v>23.523199999999999</v>
      </c>
      <c r="C506" s="17">
        <f>CHOOSE(CONTROL!$C$42, 23.5283, 23.5283) * CHOOSE(CONTROL!$C$21, $C$9, 100%, $E$9)</f>
        <v>23.528300000000002</v>
      </c>
      <c r="D506" s="17">
        <f>CHOOSE(CONTROL!$C$42, 23.6622, 23.6622) * CHOOSE(CONTROL!$C$21, $C$9, 100%, $E$9)</f>
        <v>23.662199999999999</v>
      </c>
      <c r="E506" s="17">
        <f>CHOOSE(CONTROL!$C$42, 23.696, 23.696) * CHOOSE(CONTROL!$C$21, $C$9, 100%, $E$9)</f>
        <v>23.696000000000002</v>
      </c>
      <c r="F506" s="17">
        <f>CHOOSE(CONTROL!$C$42, 23.5366, 23.5366)*CHOOSE(CONTROL!$C$21, $C$9, 100%, $E$9)</f>
        <v>23.5366</v>
      </c>
      <c r="G506" s="17">
        <f>CHOOSE(CONTROL!$C$42, 23.5535, 23.5535)*CHOOSE(CONTROL!$C$21, $C$9, 100%, $E$9)</f>
        <v>23.5535</v>
      </c>
      <c r="H506" s="17">
        <f>CHOOSE(CONTROL!$C$42, 23.6849, 23.6849) * CHOOSE(CONTROL!$C$21, $C$9, 100%, $E$9)</f>
        <v>23.684899999999999</v>
      </c>
      <c r="I506" s="17">
        <f>CHOOSE(CONTROL!$C$42, 23.6227, 23.6227)* CHOOSE(CONTROL!$C$21, $C$9, 100%, $E$9)</f>
        <v>23.622699999999998</v>
      </c>
      <c r="J506" s="17">
        <f>CHOOSE(CONTROL!$C$42, 23.5292, 23.5292)* CHOOSE(CONTROL!$C$21, $C$9, 100%, $E$9)</f>
        <v>23.529199999999999</v>
      </c>
      <c r="K506" s="52">
        <f>CHOOSE(CONTROL!$C$42, 23.6167, 23.6167) * CHOOSE(CONTROL!$C$21, $C$9, 100%, $E$9)</f>
        <v>23.616700000000002</v>
      </c>
      <c r="L506" s="17">
        <f>CHOOSE(CONTROL!$C$42, 24.2719, 24.2719) * CHOOSE(CONTROL!$C$21, $C$9, 100%, $E$9)</f>
        <v>24.271899999999999</v>
      </c>
      <c r="M506" s="17">
        <f>CHOOSE(CONTROL!$C$42, 23.3246, 23.3246) * CHOOSE(CONTROL!$C$21, $C$9, 100%, $E$9)</f>
        <v>23.3246</v>
      </c>
      <c r="N506" s="17">
        <f>CHOOSE(CONTROL!$C$42, 23.3413, 23.3413) * CHOOSE(CONTROL!$C$21, $C$9, 100%, $E$9)</f>
        <v>23.3413</v>
      </c>
      <c r="O506" s="17">
        <f>CHOOSE(CONTROL!$C$42, 23.4789, 23.4789) * CHOOSE(CONTROL!$C$21, $C$9, 100%, $E$9)</f>
        <v>23.478899999999999</v>
      </c>
      <c r="P506" s="17">
        <f>CHOOSE(CONTROL!$C$42, 23.4167, 23.4167) * CHOOSE(CONTROL!$C$21, $C$9, 100%, $E$9)</f>
        <v>23.416699999999999</v>
      </c>
      <c r="Q506" s="17">
        <f>CHOOSE(CONTROL!$C$42, 24.0736, 24.0736) * CHOOSE(CONTROL!$C$21, $C$9, 100%, $E$9)</f>
        <v>24.073599999999999</v>
      </c>
      <c r="R506" s="17">
        <f>CHOOSE(CONTROL!$C$42, 24.7208, 24.7208) * CHOOSE(CONTROL!$C$21, $C$9, 100%, $E$9)</f>
        <v>24.720800000000001</v>
      </c>
      <c r="S506" s="17">
        <f>CHOOSE(CONTROL!$C$42, 22.8009, 22.8009) * CHOOSE(CONTROL!$C$21, $C$9, 100%, $E$9)</f>
        <v>22.800899999999999</v>
      </c>
      <c r="T506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506" s="56">
        <f>(1000*CHOOSE(CONTROL!$C$42, 695, 695)*CHOOSE(CONTROL!$C$42, 0.5599, 0.5599)*CHOOSE(CONTROL!$C$42, 28, 28))/1000000</f>
        <v>10.895653999999999</v>
      </c>
      <c r="V506" s="56">
        <f>(1000*CHOOSE(CONTROL!$C$42, 500, 500)*CHOOSE(CONTROL!$C$42, 0.275, 0.275)*CHOOSE(CONTROL!$C$42, 28, 28))/1000000</f>
        <v>3.85</v>
      </c>
      <c r="W506" s="56">
        <f>(1000*CHOOSE(CONTROL!$C$42, 0.0916, 0.0916)*CHOOSE(CONTROL!$C$42, 121.5, 121.5)*CHOOSE(CONTROL!$C$42, 28, 28))/1000000</f>
        <v>0.31162319999999999</v>
      </c>
      <c r="X506" s="56">
        <f>(28*0.2374*100000/1000000)</f>
        <v>0.66471999999999998</v>
      </c>
      <c r="Y506" s="56"/>
      <c r="Z506" s="17"/>
      <c r="AA506" s="55"/>
      <c r="AB506" s="48">
        <f>(B506*122.58+C506*297.941+D506*89.177+E506*140.302+F506*40+G506*60+H506*0+I506*100+J506*300)/(122.58+297.941+89.177+140.302+0+40+60+100+300)</f>
        <v>23.568646337130435</v>
      </c>
      <c r="AC506" s="45">
        <f>(M506*'RAP TEMPLATE-GAS AVAILABILITY'!O505+N506*'RAP TEMPLATE-GAS AVAILABILITY'!P505+O506*'RAP TEMPLATE-GAS AVAILABILITY'!Q505+P506*'RAP TEMPLATE-GAS AVAILABILITY'!R505)/('RAP TEMPLATE-GAS AVAILABILITY'!O505+'RAP TEMPLATE-GAS AVAILABILITY'!P505+'RAP TEMPLATE-GAS AVAILABILITY'!Q505+'RAP TEMPLATE-GAS AVAILABILITY'!R505)</f>
        <v>23.408747482014391</v>
      </c>
    </row>
    <row r="507" spans="1:29" ht="15.75" x14ac:dyDescent="0.25">
      <c r="A507" s="14">
        <v>55974</v>
      </c>
      <c r="B507" s="17">
        <f>CHOOSE(CONTROL!$C$42, 22.8557, 22.8557) * CHOOSE(CONTROL!$C$21, $C$9, 100%, $E$9)</f>
        <v>22.855699999999999</v>
      </c>
      <c r="C507" s="17">
        <f>CHOOSE(CONTROL!$C$42, 22.8608, 22.8608) * CHOOSE(CONTROL!$C$21, $C$9, 100%, $E$9)</f>
        <v>22.860800000000001</v>
      </c>
      <c r="D507" s="17">
        <f>CHOOSE(CONTROL!$C$42, 22.9947, 22.9947) * CHOOSE(CONTROL!$C$21, $C$9, 100%, $E$9)</f>
        <v>22.994700000000002</v>
      </c>
      <c r="E507" s="17">
        <f>CHOOSE(CONTROL!$C$42, 23.0285, 23.0285) * CHOOSE(CONTROL!$C$21, $C$9, 100%, $E$9)</f>
        <v>23.028500000000001</v>
      </c>
      <c r="F507" s="17">
        <f>CHOOSE(CONTROL!$C$42, 22.8683, 22.8683)*CHOOSE(CONTROL!$C$21, $C$9, 100%, $E$9)</f>
        <v>22.868300000000001</v>
      </c>
      <c r="G507" s="17">
        <f>CHOOSE(CONTROL!$C$42, 22.885, 22.885)*CHOOSE(CONTROL!$C$21, $C$9, 100%, $E$9)</f>
        <v>22.885000000000002</v>
      </c>
      <c r="H507" s="17">
        <f>CHOOSE(CONTROL!$C$42, 23.0173, 23.0173) * CHOOSE(CONTROL!$C$21, $C$9, 100%, $E$9)</f>
        <v>23.017299999999999</v>
      </c>
      <c r="I507" s="17">
        <f>CHOOSE(CONTROL!$C$42, 22.9531, 22.9531)* CHOOSE(CONTROL!$C$21, $C$9, 100%, $E$9)</f>
        <v>22.953099999999999</v>
      </c>
      <c r="J507" s="17">
        <f>CHOOSE(CONTROL!$C$42, 22.8609, 22.8609)* CHOOSE(CONTROL!$C$21, $C$9, 100%, $E$9)</f>
        <v>22.860900000000001</v>
      </c>
      <c r="K507" s="52">
        <f>CHOOSE(CONTROL!$C$42, 22.9471, 22.9471) * CHOOSE(CONTROL!$C$21, $C$9, 100%, $E$9)</f>
        <v>22.947099999999999</v>
      </c>
      <c r="L507" s="17">
        <f>CHOOSE(CONTROL!$C$42, 23.6043, 23.6043) * CHOOSE(CONTROL!$C$21, $C$9, 100%, $E$9)</f>
        <v>23.604299999999999</v>
      </c>
      <c r="M507" s="17">
        <f>CHOOSE(CONTROL!$C$42, 22.6623, 22.6623) * CHOOSE(CONTROL!$C$21, $C$9, 100%, $E$9)</f>
        <v>22.662299999999998</v>
      </c>
      <c r="N507" s="17">
        <f>CHOOSE(CONTROL!$C$42, 22.6788, 22.6788) * CHOOSE(CONTROL!$C$21, $C$9, 100%, $E$9)</f>
        <v>22.678799999999999</v>
      </c>
      <c r="O507" s="17">
        <f>CHOOSE(CONTROL!$C$42, 22.8173, 22.8173) * CHOOSE(CONTROL!$C$21, $C$9, 100%, $E$9)</f>
        <v>22.817299999999999</v>
      </c>
      <c r="P507" s="17">
        <f>CHOOSE(CONTROL!$C$42, 22.7531, 22.7531) * CHOOSE(CONTROL!$C$21, $C$9, 100%, $E$9)</f>
        <v>22.7531</v>
      </c>
      <c r="Q507" s="17">
        <f>CHOOSE(CONTROL!$C$42, 23.412, 23.412) * CHOOSE(CONTROL!$C$21, $C$9, 100%, $E$9)</f>
        <v>23.411999999999999</v>
      </c>
      <c r="R507" s="17">
        <f>CHOOSE(CONTROL!$C$42, 24.0576, 24.0576) * CHOOSE(CONTROL!$C$21, $C$9, 100%, $E$9)</f>
        <v>24.057600000000001</v>
      </c>
      <c r="S507" s="17">
        <f>CHOOSE(CONTROL!$C$42, 22.1536, 22.1536) * CHOOSE(CONTROL!$C$21, $C$9, 100%, $E$9)</f>
        <v>22.153600000000001</v>
      </c>
      <c r="T507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507" s="56">
        <f>(1000*CHOOSE(CONTROL!$C$42, 695, 695)*CHOOSE(CONTROL!$C$42, 0.5599, 0.5599)*CHOOSE(CONTROL!$C$42, 31, 31))/1000000</f>
        <v>12.063045499999998</v>
      </c>
      <c r="V507" s="56">
        <f>(1000*CHOOSE(CONTROL!$C$42, 500, 500)*CHOOSE(CONTROL!$C$42, 0.275, 0.275)*CHOOSE(CONTROL!$C$42, 31, 31))/1000000</f>
        <v>4.2625000000000002</v>
      </c>
      <c r="W507" s="56">
        <f>(1000*CHOOSE(CONTROL!$C$42, 0.0916, 0.0916)*CHOOSE(CONTROL!$C$42, 121.5, 121.5)*CHOOSE(CONTROL!$C$42, 31, 31))/1000000</f>
        <v>0.34501139999999997</v>
      </c>
      <c r="X507" s="56">
        <f>(31*0.2374*100000/1000000)</f>
        <v>0.73594000000000004</v>
      </c>
      <c r="Y507" s="56"/>
      <c r="Z507" s="17"/>
      <c r="AA507" s="55"/>
      <c r="AB507" s="48">
        <f>(B507*122.58+C507*297.941+D507*89.177+E507*140.302+F507*40+G507*60+H507*0+I507*100+J507*300)/(122.58+297.941+89.177+140.302+0+40+60+100+300)</f>
        <v>22.900675032782608</v>
      </c>
      <c r="AC507" s="45">
        <f>(M507*'RAP TEMPLATE-GAS AVAILABILITY'!O506+N507*'RAP TEMPLATE-GAS AVAILABILITY'!P506+O507*'RAP TEMPLATE-GAS AVAILABILITY'!Q506+P507*'RAP TEMPLATE-GAS AVAILABILITY'!R506)/('RAP TEMPLATE-GAS AVAILABILITY'!O506+'RAP TEMPLATE-GAS AVAILABILITY'!P506+'RAP TEMPLATE-GAS AVAILABILITY'!Q506+'RAP TEMPLATE-GAS AVAILABILITY'!R506)</f>
        <v>22.746566187050355</v>
      </c>
    </row>
    <row r="508" spans="1:29" ht="15.75" x14ac:dyDescent="0.25">
      <c r="A508" s="14">
        <v>56004</v>
      </c>
      <c r="B508" s="17">
        <f>CHOOSE(CONTROL!$C$42, 22.7883, 22.7883) * CHOOSE(CONTROL!$C$21, $C$9, 100%, $E$9)</f>
        <v>22.7883</v>
      </c>
      <c r="C508" s="17">
        <f>CHOOSE(CONTROL!$C$42, 22.7928, 22.7928) * CHOOSE(CONTROL!$C$21, $C$9, 100%, $E$9)</f>
        <v>22.7928</v>
      </c>
      <c r="D508" s="17">
        <f>CHOOSE(CONTROL!$C$42, 23.0558, 23.0558) * CHOOSE(CONTROL!$C$21, $C$9, 100%, $E$9)</f>
        <v>23.055800000000001</v>
      </c>
      <c r="E508" s="17">
        <f>CHOOSE(CONTROL!$C$42, 23.0876, 23.0876) * CHOOSE(CONTROL!$C$21, $C$9, 100%, $E$9)</f>
        <v>23.087599999999998</v>
      </c>
      <c r="F508" s="17">
        <f>CHOOSE(CONTROL!$C$42, 22.7992, 22.7992)*CHOOSE(CONTROL!$C$21, $C$9, 100%, $E$9)</f>
        <v>22.799199999999999</v>
      </c>
      <c r="G508" s="17">
        <f>CHOOSE(CONTROL!$C$42, 22.8154, 22.8154)*CHOOSE(CONTROL!$C$21, $C$9, 100%, $E$9)</f>
        <v>22.8154</v>
      </c>
      <c r="H508" s="17">
        <f>CHOOSE(CONTROL!$C$42, 23.0771, 23.0771) * CHOOSE(CONTROL!$C$21, $C$9, 100%, $E$9)</f>
        <v>23.077100000000002</v>
      </c>
      <c r="I508" s="17">
        <f>CHOOSE(CONTROL!$C$42, 22.8842, 22.8842)* CHOOSE(CONTROL!$C$21, $C$9, 100%, $E$9)</f>
        <v>22.8842</v>
      </c>
      <c r="J508" s="17">
        <f>CHOOSE(CONTROL!$C$42, 22.7918, 22.7918)* CHOOSE(CONTROL!$C$21, $C$9, 100%, $E$9)</f>
        <v>22.791799999999999</v>
      </c>
      <c r="K508" s="52">
        <f>CHOOSE(CONTROL!$C$42, 22.8782, 22.8782) * CHOOSE(CONTROL!$C$21, $C$9, 100%, $E$9)</f>
        <v>22.8782</v>
      </c>
      <c r="L508" s="17">
        <f>CHOOSE(CONTROL!$C$42, 23.6641, 23.6641) * CHOOSE(CONTROL!$C$21, $C$9, 100%, $E$9)</f>
        <v>23.664100000000001</v>
      </c>
      <c r="M508" s="17">
        <f>CHOOSE(CONTROL!$C$42, 22.5939, 22.5939) * CHOOSE(CONTROL!$C$21, $C$9, 100%, $E$9)</f>
        <v>22.593900000000001</v>
      </c>
      <c r="N508" s="17">
        <f>CHOOSE(CONTROL!$C$42, 22.6099, 22.6099) * CHOOSE(CONTROL!$C$21, $C$9, 100%, $E$9)</f>
        <v>22.6099</v>
      </c>
      <c r="O508" s="17">
        <f>CHOOSE(CONTROL!$C$42, 22.8766, 22.8766) * CHOOSE(CONTROL!$C$21, $C$9, 100%, $E$9)</f>
        <v>22.8766</v>
      </c>
      <c r="P508" s="17">
        <f>CHOOSE(CONTROL!$C$42, 22.6849, 22.6849) * CHOOSE(CONTROL!$C$21, $C$9, 100%, $E$9)</f>
        <v>22.684899999999999</v>
      </c>
      <c r="Q508" s="17">
        <f>CHOOSE(CONTROL!$C$42, 23.4713, 23.4713) * CHOOSE(CONTROL!$C$21, $C$9, 100%, $E$9)</f>
        <v>23.471299999999999</v>
      </c>
      <c r="R508" s="17">
        <f>CHOOSE(CONTROL!$C$42, 24.1169, 24.1169) * CHOOSE(CONTROL!$C$21, $C$9, 100%, $E$9)</f>
        <v>24.116900000000001</v>
      </c>
      <c r="S508" s="17">
        <f>CHOOSE(CONTROL!$C$42, 22.0876, 22.0876) * CHOOSE(CONTROL!$C$21, $C$9, 100%, $E$9)</f>
        <v>22.087599999999998</v>
      </c>
      <c r="T508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508" s="56">
        <f>(1000*CHOOSE(CONTROL!$C$42, 695, 695)*CHOOSE(CONTROL!$C$42, 0.5599, 0.5599)*CHOOSE(CONTROL!$C$42, 30, 30))/1000000</f>
        <v>11.673914999999997</v>
      </c>
      <c r="V508" s="56">
        <f>(1000*CHOOSE(CONTROL!$C$42, 500, 500)*CHOOSE(CONTROL!$C$42, 0.275, 0.275)*CHOOSE(CONTROL!$C$42, 30, 30))/1000000</f>
        <v>4.125</v>
      </c>
      <c r="W508" s="56">
        <f>(1000*CHOOSE(CONTROL!$C$42, 0.0916, 0.0916)*CHOOSE(CONTROL!$C$42, 121.5, 121.5)*CHOOSE(CONTROL!$C$42, 30, 30))/1000000</f>
        <v>0.33388200000000001</v>
      </c>
      <c r="X508" s="56">
        <f>(30*0.1790888*145000/1000000)+(30*0.2374*100000/1000000)</f>
        <v>1.4912362799999999</v>
      </c>
      <c r="Y508" s="56"/>
      <c r="Z508" s="17"/>
      <c r="AA508" s="55"/>
      <c r="AB508" s="48">
        <f>(B508*141.293+C508*267.993+D508*115.016+E508*189.698+F508*40+G508*85+H508*0+I508*100+J508*300)/(141.293+267.993+115.016+189.698+0+40+85+100+300)</f>
        <v>22.870728458353511</v>
      </c>
      <c r="AC508" s="45">
        <f>(M508*'RAP TEMPLATE-GAS AVAILABILITY'!O507+N508*'RAP TEMPLATE-GAS AVAILABILITY'!P507+O508*'RAP TEMPLATE-GAS AVAILABILITY'!Q507+P508*'RAP TEMPLATE-GAS AVAILABILITY'!R507)/('RAP TEMPLATE-GAS AVAILABILITY'!O507+'RAP TEMPLATE-GAS AVAILABILITY'!P507+'RAP TEMPLATE-GAS AVAILABILITY'!Q507+'RAP TEMPLATE-GAS AVAILABILITY'!R507)</f>
        <v>22.689995683453237</v>
      </c>
    </row>
    <row r="509" spans="1:29" ht="15.75" x14ac:dyDescent="0.25">
      <c r="A509" s="14">
        <v>56035</v>
      </c>
      <c r="B509" s="17">
        <f>CHOOSE(CONTROL!$C$42, 22.9907, 22.9907) * CHOOSE(CONTROL!$C$21, $C$9, 100%, $E$9)</f>
        <v>22.9907</v>
      </c>
      <c r="C509" s="17">
        <f>CHOOSE(CONTROL!$C$42, 22.9987, 22.9987) * CHOOSE(CONTROL!$C$21, $C$9, 100%, $E$9)</f>
        <v>22.998699999999999</v>
      </c>
      <c r="D509" s="17">
        <f>CHOOSE(CONTROL!$C$42, 23.2586, 23.2586) * CHOOSE(CONTROL!$C$21, $C$9, 100%, $E$9)</f>
        <v>23.258600000000001</v>
      </c>
      <c r="E509" s="17">
        <f>CHOOSE(CONTROL!$C$42, 23.2898, 23.2898) * CHOOSE(CONTROL!$C$21, $C$9, 100%, $E$9)</f>
        <v>23.2898</v>
      </c>
      <c r="F509" s="17">
        <f>CHOOSE(CONTROL!$C$42, 23.0004, 23.0004)*CHOOSE(CONTROL!$C$21, $C$9, 100%, $E$9)</f>
        <v>23.000399999999999</v>
      </c>
      <c r="G509" s="17">
        <f>CHOOSE(CONTROL!$C$42, 23.0168, 23.0168)*CHOOSE(CONTROL!$C$21, $C$9, 100%, $E$9)</f>
        <v>23.0168</v>
      </c>
      <c r="H509" s="17">
        <f>CHOOSE(CONTROL!$C$42, 23.2781, 23.2781) * CHOOSE(CONTROL!$C$21, $C$9, 100%, $E$9)</f>
        <v>23.278099999999998</v>
      </c>
      <c r="I509" s="17">
        <f>CHOOSE(CONTROL!$C$42, 23.0859, 23.0859)* CHOOSE(CONTROL!$C$21, $C$9, 100%, $E$9)</f>
        <v>23.085899999999999</v>
      </c>
      <c r="J509" s="17">
        <f>CHOOSE(CONTROL!$C$42, 22.993, 22.993)* CHOOSE(CONTROL!$C$21, $C$9, 100%, $E$9)</f>
        <v>22.992999999999999</v>
      </c>
      <c r="K509" s="52">
        <f>CHOOSE(CONTROL!$C$42, 23.0799, 23.0799) * CHOOSE(CONTROL!$C$21, $C$9, 100%, $E$9)</f>
        <v>23.079899999999999</v>
      </c>
      <c r="L509" s="17">
        <f>CHOOSE(CONTROL!$C$42, 23.8651, 23.8651) * CHOOSE(CONTROL!$C$21, $C$9, 100%, $E$9)</f>
        <v>23.865100000000002</v>
      </c>
      <c r="M509" s="17">
        <f>CHOOSE(CONTROL!$C$42, 22.7932, 22.7932) * CHOOSE(CONTROL!$C$21, $C$9, 100%, $E$9)</f>
        <v>22.793199999999999</v>
      </c>
      <c r="N509" s="17">
        <f>CHOOSE(CONTROL!$C$42, 22.8095, 22.8095) * CHOOSE(CONTROL!$C$21, $C$9, 100%, $E$9)</f>
        <v>22.8095</v>
      </c>
      <c r="O509" s="17">
        <f>CHOOSE(CONTROL!$C$42, 23.0758, 23.0758) * CHOOSE(CONTROL!$C$21, $C$9, 100%, $E$9)</f>
        <v>23.075800000000001</v>
      </c>
      <c r="P509" s="17">
        <f>CHOOSE(CONTROL!$C$42, 22.8847, 22.8847) * CHOOSE(CONTROL!$C$21, $C$9, 100%, $E$9)</f>
        <v>22.884699999999999</v>
      </c>
      <c r="Q509" s="17">
        <f>CHOOSE(CONTROL!$C$42, 23.6705, 23.6705) * CHOOSE(CONTROL!$C$21, $C$9, 100%, $E$9)</f>
        <v>23.670500000000001</v>
      </c>
      <c r="R509" s="17">
        <f>CHOOSE(CONTROL!$C$42, 24.3167, 24.3167) * CHOOSE(CONTROL!$C$21, $C$9, 100%, $E$9)</f>
        <v>24.316700000000001</v>
      </c>
      <c r="S509" s="17">
        <f>CHOOSE(CONTROL!$C$42, 22.2825, 22.2825) * CHOOSE(CONTROL!$C$21, $C$9, 100%, $E$9)</f>
        <v>22.282499999999999</v>
      </c>
      <c r="T509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509" s="56">
        <f>(1000*CHOOSE(CONTROL!$C$42, 695, 695)*CHOOSE(CONTROL!$C$42, 0.5599, 0.5599)*CHOOSE(CONTROL!$C$42, 31, 31))/1000000</f>
        <v>12.063045499999998</v>
      </c>
      <c r="V509" s="56">
        <f>(1000*CHOOSE(CONTROL!$C$42, 500, 500)*CHOOSE(CONTROL!$C$42, 0.275, 0.275)*CHOOSE(CONTROL!$C$42, 31, 31))/1000000</f>
        <v>4.2625000000000002</v>
      </c>
      <c r="W509" s="56">
        <f>(1000*CHOOSE(CONTROL!$C$42, 0.0916, 0.0916)*CHOOSE(CONTROL!$C$42, 121.5, 121.5)*CHOOSE(CONTROL!$C$42, 31, 31))/1000000</f>
        <v>0.34501139999999997</v>
      </c>
      <c r="X509" s="56">
        <f>(31*0.1790888*145000/1000000)+(31*0.2374*100000/1000000)</f>
        <v>1.5409441560000001</v>
      </c>
      <c r="Y509" s="56"/>
      <c r="Z509" s="17"/>
      <c r="AA509" s="55"/>
      <c r="AB509" s="48">
        <f>(B509*194.205+C509*267.466+D509*133.845+E509*153.484+F509*40+G509*85+H509*0+I509*100+J509*300)/(194.205+267.466+133.845+153.484+0+40+85+100+300)</f>
        <v>23.066618656122451</v>
      </c>
      <c r="AC509" s="45">
        <f>(M509*'RAP TEMPLATE-GAS AVAILABILITY'!O508+N509*'RAP TEMPLATE-GAS AVAILABILITY'!P508+O509*'RAP TEMPLATE-GAS AVAILABILITY'!Q508+P509*'RAP TEMPLATE-GAS AVAILABILITY'!R508)/('RAP TEMPLATE-GAS AVAILABILITY'!O508+'RAP TEMPLATE-GAS AVAILABILITY'!P508+'RAP TEMPLATE-GAS AVAILABILITY'!Q508+'RAP TEMPLATE-GAS AVAILABILITY'!R508)</f>
        <v>22.88940863309352</v>
      </c>
    </row>
    <row r="510" spans="1:29" ht="15.75" x14ac:dyDescent="0.25">
      <c r="A510" s="14">
        <v>56065</v>
      </c>
      <c r="B510" s="17">
        <f>CHOOSE(CONTROL!$C$42, 23.6425, 23.6425) * CHOOSE(CONTROL!$C$21, $C$9, 100%, $E$9)</f>
        <v>23.642499999999998</v>
      </c>
      <c r="C510" s="17">
        <f>CHOOSE(CONTROL!$C$42, 23.6505, 23.6505) * CHOOSE(CONTROL!$C$21, $C$9, 100%, $E$9)</f>
        <v>23.650500000000001</v>
      </c>
      <c r="D510" s="17">
        <f>CHOOSE(CONTROL!$C$42, 23.9104, 23.9104) * CHOOSE(CONTROL!$C$21, $C$9, 100%, $E$9)</f>
        <v>23.910399999999999</v>
      </c>
      <c r="E510" s="17">
        <f>CHOOSE(CONTROL!$C$42, 23.9416, 23.9416) * CHOOSE(CONTROL!$C$21, $C$9, 100%, $E$9)</f>
        <v>23.941600000000001</v>
      </c>
      <c r="F510" s="17">
        <f>CHOOSE(CONTROL!$C$42, 23.6525, 23.6525)*CHOOSE(CONTROL!$C$21, $C$9, 100%, $E$9)</f>
        <v>23.6525</v>
      </c>
      <c r="G510" s="17">
        <f>CHOOSE(CONTROL!$C$42, 23.669, 23.669)*CHOOSE(CONTROL!$C$21, $C$9, 100%, $E$9)</f>
        <v>23.669</v>
      </c>
      <c r="H510" s="17">
        <f>CHOOSE(CONTROL!$C$42, 23.9299, 23.9299) * CHOOSE(CONTROL!$C$21, $C$9, 100%, $E$9)</f>
        <v>23.9299</v>
      </c>
      <c r="I510" s="17">
        <f>CHOOSE(CONTROL!$C$42, 23.7397, 23.7397)* CHOOSE(CONTROL!$C$21, $C$9, 100%, $E$9)</f>
        <v>23.739699999999999</v>
      </c>
      <c r="J510" s="17">
        <f>CHOOSE(CONTROL!$C$42, 23.6451, 23.6451)* CHOOSE(CONTROL!$C$21, $C$9, 100%, $E$9)</f>
        <v>23.645099999999999</v>
      </c>
      <c r="K510" s="52">
        <f>CHOOSE(CONTROL!$C$42, 23.7337, 23.7337) * CHOOSE(CONTROL!$C$21, $C$9, 100%, $E$9)</f>
        <v>23.733699999999999</v>
      </c>
      <c r="L510" s="17">
        <f>CHOOSE(CONTROL!$C$42, 24.5169, 24.5169) * CHOOSE(CONTROL!$C$21, $C$9, 100%, $E$9)</f>
        <v>24.5169</v>
      </c>
      <c r="M510" s="17">
        <f>CHOOSE(CONTROL!$C$42, 23.4394, 23.4394) * CHOOSE(CONTROL!$C$21, $C$9, 100%, $E$9)</f>
        <v>23.439399999999999</v>
      </c>
      <c r="N510" s="17">
        <f>CHOOSE(CONTROL!$C$42, 23.4558, 23.4558) * CHOOSE(CONTROL!$C$21, $C$9, 100%, $E$9)</f>
        <v>23.4558</v>
      </c>
      <c r="O510" s="17">
        <f>CHOOSE(CONTROL!$C$42, 23.7217, 23.7217) * CHOOSE(CONTROL!$C$21, $C$9, 100%, $E$9)</f>
        <v>23.721699999999998</v>
      </c>
      <c r="P510" s="17">
        <f>CHOOSE(CONTROL!$C$42, 23.5326, 23.5326) * CHOOSE(CONTROL!$C$21, $C$9, 100%, $E$9)</f>
        <v>23.532599999999999</v>
      </c>
      <c r="Q510" s="17">
        <f>CHOOSE(CONTROL!$C$42, 24.3164, 24.3164) * CHOOSE(CONTROL!$C$21, $C$9, 100%, $E$9)</f>
        <v>24.316400000000002</v>
      </c>
      <c r="R510" s="17">
        <f>CHOOSE(CONTROL!$C$42, 24.9642, 24.9642) * CHOOSE(CONTROL!$C$21, $C$9, 100%, $E$9)</f>
        <v>24.964200000000002</v>
      </c>
      <c r="S510" s="17">
        <f>CHOOSE(CONTROL!$C$42, 22.9146, 22.9146) * CHOOSE(CONTROL!$C$21, $C$9, 100%, $E$9)</f>
        <v>22.9146</v>
      </c>
      <c r="T510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510" s="56">
        <f>(1000*CHOOSE(CONTROL!$C$42, 695, 695)*CHOOSE(CONTROL!$C$42, 0.5599, 0.5599)*CHOOSE(CONTROL!$C$42, 30, 30))/1000000</f>
        <v>11.673914999999997</v>
      </c>
      <c r="V510" s="56">
        <f>(1000*CHOOSE(CONTROL!$C$42, 500, 500)*CHOOSE(CONTROL!$C$42, 0.275, 0.275)*CHOOSE(CONTROL!$C$42, 30, 30))/1000000</f>
        <v>4.125</v>
      </c>
      <c r="W510" s="56">
        <f>(1000*CHOOSE(CONTROL!$C$42, 0.0916, 0.0916)*CHOOSE(CONTROL!$C$42, 121.5, 121.5)*CHOOSE(CONTROL!$C$42, 30, 30))/1000000</f>
        <v>0.33388200000000001</v>
      </c>
      <c r="X510" s="56">
        <f>(30*0.1790888*145000/1000000)+(30*0.2374*100000/1000000)</f>
        <v>1.4912362799999999</v>
      </c>
      <c r="Y510" s="56"/>
      <c r="Z510" s="17"/>
      <c r="AA510" s="55"/>
      <c r="AB510" s="48">
        <f>(B510*194.205+C510*267.466+D510*133.845+E510*153.484+F510*40+G510*85+H510*0+I510*100+J510*300)/(194.205+267.466+133.845+153.484+0+40+85+100+300)</f>
        <v>23.718682392386189</v>
      </c>
      <c r="AC510" s="45">
        <f>(M510*'RAP TEMPLATE-GAS AVAILABILITY'!O509+N510*'RAP TEMPLATE-GAS AVAILABILITY'!P509+O510*'RAP TEMPLATE-GAS AVAILABILITY'!Q509+P510*'RAP TEMPLATE-GAS AVAILABILITY'!R509)/('RAP TEMPLATE-GAS AVAILABILITY'!O509+'RAP TEMPLATE-GAS AVAILABILITY'!P509+'RAP TEMPLATE-GAS AVAILABILITY'!Q509+'RAP TEMPLATE-GAS AVAILABILITY'!R509)</f>
        <v>23.535792086330936</v>
      </c>
    </row>
    <row r="511" spans="1:29" ht="15.75" x14ac:dyDescent="0.25">
      <c r="A511" s="14">
        <v>56096</v>
      </c>
      <c r="B511" s="17">
        <f>CHOOSE(CONTROL!$C$42, 23.1892, 23.1892) * CHOOSE(CONTROL!$C$21, $C$9, 100%, $E$9)</f>
        <v>23.1892</v>
      </c>
      <c r="C511" s="17">
        <f>CHOOSE(CONTROL!$C$42, 23.1972, 23.1972) * CHOOSE(CONTROL!$C$21, $C$9, 100%, $E$9)</f>
        <v>23.197199999999999</v>
      </c>
      <c r="D511" s="17">
        <f>CHOOSE(CONTROL!$C$42, 23.4571, 23.4571) * CHOOSE(CONTROL!$C$21, $C$9, 100%, $E$9)</f>
        <v>23.457100000000001</v>
      </c>
      <c r="E511" s="17">
        <f>CHOOSE(CONTROL!$C$42, 23.4883, 23.4883) * CHOOSE(CONTROL!$C$21, $C$9, 100%, $E$9)</f>
        <v>23.488299999999999</v>
      </c>
      <c r="F511" s="17">
        <f>CHOOSE(CONTROL!$C$42, 23.1996, 23.1996)*CHOOSE(CONTROL!$C$21, $C$9, 100%, $E$9)</f>
        <v>23.1996</v>
      </c>
      <c r="G511" s="17">
        <f>CHOOSE(CONTROL!$C$42, 23.2162, 23.2162)*CHOOSE(CONTROL!$C$21, $C$9, 100%, $E$9)</f>
        <v>23.216200000000001</v>
      </c>
      <c r="H511" s="17">
        <f>CHOOSE(CONTROL!$C$42, 23.4766, 23.4766) * CHOOSE(CONTROL!$C$21, $C$9, 100%, $E$9)</f>
        <v>23.476600000000001</v>
      </c>
      <c r="I511" s="17">
        <f>CHOOSE(CONTROL!$C$42, 23.285, 23.285)* CHOOSE(CONTROL!$C$21, $C$9, 100%, $E$9)</f>
        <v>23.285</v>
      </c>
      <c r="J511" s="17">
        <f>CHOOSE(CONTROL!$C$42, 23.1922, 23.1922)* CHOOSE(CONTROL!$C$21, $C$9, 100%, $E$9)</f>
        <v>23.1922</v>
      </c>
      <c r="K511" s="52">
        <f>CHOOSE(CONTROL!$C$42, 23.2789, 23.2789) * CHOOSE(CONTROL!$C$21, $C$9, 100%, $E$9)</f>
        <v>23.2789</v>
      </c>
      <c r="L511" s="17">
        <f>CHOOSE(CONTROL!$C$42, 24.0636, 24.0636) * CHOOSE(CONTROL!$C$21, $C$9, 100%, $E$9)</f>
        <v>24.063600000000001</v>
      </c>
      <c r="M511" s="17">
        <f>CHOOSE(CONTROL!$C$42, 22.9906, 22.9906) * CHOOSE(CONTROL!$C$21, $C$9, 100%, $E$9)</f>
        <v>22.990600000000001</v>
      </c>
      <c r="N511" s="17">
        <f>CHOOSE(CONTROL!$C$42, 23.0071, 23.0071) * CHOOSE(CONTROL!$C$21, $C$9, 100%, $E$9)</f>
        <v>23.007100000000001</v>
      </c>
      <c r="O511" s="17">
        <f>CHOOSE(CONTROL!$C$42, 23.2725, 23.2725) * CHOOSE(CONTROL!$C$21, $C$9, 100%, $E$9)</f>
        <v>23.272500000000001</v>
      </c>
      <c r="P511" s="17">
        <f>CHOOSE(CONTROL!$C$42, 23.082, 23.082) * CHOOSE(CONTROL!$C$21, $C$9, 100%, $E$9)</f>
        <v>23.082000000000001</v>
      </c>
      <c r="Q511" s="17">
        <f>CHOOSE(CONTROL!$C$42, 23.8672, 23.8672) * CHOOSE(CONTROL!$C$21, $C$9, 100%, $E$9)</f>
        <v>23.8672</v>
      </c>
      <c r="R511" s="17">
        <f>CHOOSE(CONTROL!$C$42, 24.5138, 24.5138) * CHOOSE(CONTROL!$C$21, $C$9, 100%, $E$9)</f>
        <v>24.5138</v>
      </c>
      <c r="S511" s="17">
        <f>CHOOSE(CONTROL!$C$42, 22.475, 22.475) * CHOOSE(CONTROL!$C$21, $C$9, 100%, $E$9)</f>
        <v>22.475000000000001</v>
      </c>
      <c r="T511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511" s="56">
        <f>(1000*CHOOSE(CONTROL!$C$42, 695, 695)*CHOOSE(CONTROL!$C$42, 0.5599, 0.5599)*CHOOSE(CONTROL!$C$42, 31, 31))/1000000</f>
        <v>12.063045499999998</v>
      </c>
      <c r="V511" s="56">
        <f>(1000*CHOOSE(CONTROL!$C$42, 500, 500)*CHOOSE(CONTROL!$C$42, 0.275, 0.275)*CHOOSE(CONTROL!$C$42, 31, 31))/1000000</f>
        <v>4.2625000000000002</v>
      </c>
      <c r="W511" s="56">
        <f>(1000*CHOOSE(CONTROL!$C$42, 0.0916, 0.0916)*CHOOSE(CONTROL!$C$42, 121.5, 121.5)*CHOOSE(CONTROL!$C$42, 31, 31))/1000000</f>
        <v>0.34501139999999997</v>
      </c>
      <c r="X511" s="56">
        <f>(31*0.1790888*145000/1000000)+(31*0.2374*100000/1000000)</f>
        <v>1.5409441560000001</v>
      </c>
      <c r="Y511" s="56"/>
      <c r="Z511" s="17"/>
      <c r="AA511" s="55"/>
      <c r="AB511" s="48">
        <f>(B511*194.205+C511*267.466+D511*133.845+E511*153.484+F511*40+G511*85+H511*0+I511*100+J511*300)/(194.205+267.466+133.845+153.484+0+40+85+100+300)</f>
        <v>23.265412612166408</v>
      </c>
      <c r="AC511" s="45">
        <f>(M511*'RAP TEMPLATE-GAS AVAILABILITY'!O510+N511*'RAP TEMPLATE-GAS AVAILABILITY'!P510+O511*'RAP TEMPLATE-GAS AVAILABILITY'!Q510+P511*'RAP TEMPLATE-GAS AVAILABILITY'!R510)/('RAP TEMPLATE-GAS AVAILABILITY'!O510+'RAP TEMPLATE-GAS AVAILABILITY'!P510+'RAP TEMPLATE-GAS AVAILABILITY'!Q510+'RAP TEMPLATE-GAS AVAILABILITY'!R510)</f>
        <v>23.086643884892091</v>
      </c>
    </row>
    <row r="512" spans="1:29" ht="15.75" x14ac:dyDescent="0.25">
      <c r="A512" s="14">
        <v>56127</v>
      </c>
      <c r="B512" s="17">
        <f>CHOOSE(CONTROL!$C$42, 22.0444, 22.0444) * CHOOSE(CONTROL!$C$21, $C$9, 100%, $E$9)</f>
        <v>22.0444</v>
      </c>
      <c r="C512" s="17">
        <f>CHOOSE(CONTROL!$C$42, 22.0524, 22.0524) * CHOOSE(CONTROL!$C$21, $C$9, 100%, $E$9)</f>
        <v>22.052399999999999</v>
      </c>
      <c r="D512" s="17">
        <f>CHOOSE(CONTROL!$C$42, 22.3123, 22.3123) * CHOOSE(CONTROL!$C$21, $C$9, 100%, $E$9)</f>
        <v>22.3123</v>
      </c>
      <c r="E512" s="17">
        <f>CHOOSE(CONTROL!$C$42, 22.3435, 22.3435) * CHOOSE(CONTROL!$C$21, $C$9, 100%, $E$9)</f>
        <v>22.343499999999999</v>
      </c>
      <c r="F512" s="17">
        <f>CHOOSE(CONTROL!$C$42, 22.055, 22.055)*CHOOSE(CONTROL!$C$21, $C$9, 100%, $E$9)</f>
        <v>22.055</v>
      </c>
      <c r="G512" s="17">
        <f>CHOOSE(CONTROL!$C$42, 22.0717, 22.0717)*CHOOSE(CONTROL!$C$21, $C$9, 100%, $E$9)</f>
        <v>22.0717</v>
      </c>
      <c r="H512" s="17">
        <f>CHOOSE(CONTROL!$C$42, 22.3318, 22.3318) * CHOOSE(CONTROL!$C$21, $C$9, 100%, $E$9)</f>
        <v>22.331800000000001</v>
      </c>
      <c r="I512" s="17">
        <f>CHOOSE(CONTROL!$C$42, 22.1366, 22.1366)* CHOOSE(CONTROL!$C$21, $C$9, 100%, $E$9)</f>
        <v>22.136600000000001</v>
      </c>
      <c r="J512" s="17">
        <f>CHOOSE(CONTROL!$C$42, 22.0476, 22.0476)* CHOOSE(CONTROL!$C$21, $C$9, 100%, $E$9)</f>
        <v>22.047599999999999</v>
      </c>
      <c r="K512" s="52">
        <f>CHOOSE(CONTROL!$C$42, 22.1306, 22.1306) * CHOOSE(CONTROL!$C$21, $C$9, 100%, $E$9)</f>
        <v>22.130600000000001</v>
      </c>
      <c r="L512" s="17">
        <f>CHOOSE(CONTROL!$C$42, 22.9188, 22.9188) * CHOOSE(CONTROL!$C$21, $C$9, 100%, $E$9)</f>
        <v>22.918800000000001</v>
      </c>
      <c r="M512" s="17">
        <f>CHOOSE(CONTROL!$C$42, 21.8563, 21.8563) * CHOOSE(CONTROL!$C$21, $C$9, 100%, $E$9)</f>
        <v>21.856300000000001</v>
      </c>
      <c r="N512" s="17">
        <f>CHOOSE(CONTROL!$C$42, 21.8729, 21.8729) * CHOOSE(CONTROL!$C$21, $C$9, 100%, $E$9)</f>
        <v>21.872900000000001</v>
      </c>
      <c r="O512" s="17">
        <f>CHOOSE(CONTROL!$C$42, 22.138, 22.138) * CHOOSE(CONTROL!$C$21, $C$9, 100%, $E$9)</f>
        <v>22.138000000000002</v>
      </c>
      <c r="P512" s="17">
        <f>CHOOSE(CONTROL!$C$42, 21.944, 21.944) * CHOOSE(CONTROL!$C$21, $C$9, 100%, $E$9)</f>
        <v>21.943999999999999</v>
      </c>
      <c r="Q512" s="17">
        <f>CHOOSE(CONTROL!$C$42, 22.7327, 22.7327) * CHOOSE(CONTROL!$C$21, $C$9, 100%, $E$9)</f>
        <v>22.732700000000001</v>
      </c>
      <c r="R512" s="17">
        <f>CHOOSE(CONTROL!$C$42, 23.3765, 23.3765) * CHOOSE(CONTROL!$C$21, $C$9, 100%, $E$9)</f>
        <v>23.3765</v>
      </c>
      <c r="S512" s="17">
        <f>CHOOSE(CONTROL!$C$42, 21.3648, 21.3648) * CHOOSE(CONTROL!$C$21, $C$9, 100%, $E$9)</f>
        <v>21.364799999999999</v>
      </c>
      <c r="T512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512" s="56">
        <f>(1000*CHOOSE(CONTROL!$C$42, 695, 695)*CHOOSE(CONTROL!$C$42, 0.5599, 0.5599)*CHOOSE(CONTROL!$C$42, 31, 31))/1000000</f>
        <v>12.063045499999998</v>
      </c>
      <c r="V512" s="56">
        <f>(1000*CHOOSE(CONTROL!$C$42, 500, 500)*CHOOSE(CONTROL!$C$42, 0.275, 0.275)*CHOOSE(CONTROL!$C$42, 31, 31))/1000000</f>
        <v>4.2625000000000002</v>
      </c>
      <c r="W512" s="56">
        <f>(1000*CHOOSE(CONTROL!$C$42, 0.0916, 0.0916)*CHOOSE(CONTROL!$C$42, 121.5, 121.5)*CHOOSE(CONTROL!$C$42, 31, 31))/1000000</f>
        <v>0.34501139999999997</v>
      </c>
      <c r="X512" s="56">
        <f>(31*0.1790888*145000/1000000)+(31*0.2374*100000/1000000)</f>
        <v>1.5409441560000001</v>
      </c>
      <c r="Y512" s="56"/>
      <c r="Z512" s="17"/>
      <c r="AA512" s="55"/>
      <c r="AB512" s="48">
        <f>(B512*194.205+C512*267.466+D512*133.845+E512*153.484+F512*40+G512*85+H512*0+I512*100+J512*300)/(194.205+267.466+133.845+153.484+0+40+85+100+300)</f>
        <v>22.120403428492935</v>
      </c>
      <c r="AC512" s="45">
        <f>(M512*'RAP TEMPLATE-GAS AVAILABILITY'!O511+N512*'RAP TEMPLATE-GAS AVAILABILITY'!P511+O512*'RAP TEMPLATE-GAS AVAILABILITY'!Q511+P512*'RAP TEMPLATE-GAS AVAILABILITY'!R511)/('RAP TEMPLATE-GAS AVAILABILITY'!O511+'RAP TEMPLATE-GAS AVAILABILITY'!P511+'RAP TEMPLATE-GAS AVAILABILITY'!Q511+'RAP TEMPLATE-GAS AVAILABILITY'!R511)</f>
        <v>21.951778417266191</v>
      </c>
    </row>
    <row r="513" spans="1:29" ht="15.75" x14ac:dyDescent="0.25">
      <c r="A513" s="14">
        <v>56157</v>
      </c>
      <c r="B513" s="17">
        <f>CHOOSE(CONTROL!$C$42, 20.6454, 20.6454) * CHOOSE(CONTROL!$C$21, $C$9, 100%, $E$9)</f>
        <v>20.645399999999999</v>
      </c>
      <c r="C513" s="17">
        <f>CHOOSE(CONTROL!$C$42, 20.6533, 20.6533) * CHOOSE(CONTROL!$C$21, $C$9, 100%, $E$9)</f>
        <v>20.653300000000002</v>
      </c>
      <c r="D513" s="17">
        <f>CHOOSE(CONTROL!$C$42, 20.9133, 20.9133) * CHOOSE(CONTROL!$C$21, $C$9, 100%, $E$9)</f>
        <v>20.9133</v>
      </c>
      <c r="E513" s="17">
        <f>CHOOSE(CONTROL!$C$42, 20.9445, 20.9445) * CHOOSE(CONTROL!$C$21, $C$9, 100%, $E$9)</f>
        <v>20.944500000000001</v>
      </c>
      <c r="F513" s="17">
        <f>CHOOSE(CONTROL!$C$42, 20.656, 20.656)*CHOOSE(CONTROL!$C$21, $C$9, 100%, $E$9)</f>
        <v>20.655999999999999</v>
      </c>
      <c r="G513" s="17">
        <f>CHOOSE(CONTROL!$C$42, 20.6727, 20.6727)*CHOOSE(CONTROL!$C$21, $C$9, 100%, $E$9)</f>
        <v>20.672699999999999</v>
      </c>
      <c r="H513" s="17">
        <f>CHOOSE(CONTROL!$C$42, 20.9328, 20.9328) * CHOOSE(CONTROL!$C$21, $C$9, 100%, $E$9)</f>
        <v>20.9328</v>
      </c>
      <c r="I513" s="17">
        <f>CHOOSE(CONTROL!$C$42, 20.7333, 20.7333)* CHOOSE(CONTROL!$C$21, $C$9, 100%, $E$9)</f>
        <v>20.7333</v>
      </c>
      <c r="J513" s="17">
        <f>CHOOSE(CONTROL!$C$42, 20.6486, 20.6486)* CHOOSE(CONTROL!$C$21, $C$9, 100%, $E$9)</f>
        <v>20.648599999999998</v>
      </c>
      <c r="K513" s="52">
        <f>CHOOSE(CONTROL!$C$42, 20.7272, 20.7272) * CHOOSE(CONTROL!$C$21, $C$9, 100%, $E$9)</f>
        <v>20.7272</v>
      </c>
      <c r="L513" s="17">
        <f>CHOOSE(CONTROL!$C$42, 21.5198, 21.5198) * CHOOSE(CONTROL!$C$21, $C$9, 100%, $E$9)</f>
        <v>21.5198</v>
      </c>
      <c r="M513" s="17">
        <f>CHOOSE(CONTROL!$C$42, 20.4699, 20.4699) * CHOOSE(CONTROL!$C$21, $C$9, 100%, $E$9)</f>
        <v>20.469899999999999</v>
      </c>
      <c r="N513" s="17">
        <f>CHOOSE(CONTROL!$C$42, 20.4865, 20.4865) * CHOOSE(CONTROL!$C$21, $C$9, 100%, $E$9)</f>
        <v>20.486499999999999</v>
      </c>
      <c r="O513" s="17">
        <f>CHOOSE(CONTROL!$C$42, 20.7515, 20.7515) * CHOOSE(CONTROL!$C$21, $C$9, 100%, $E$9)</f>
        <v>20.7515</v>
      </c>
      <c r="P513" s="17">
        <f>CHOOSE(CONTROL!$C$42, 20.5533, 20.5533) * CHOOSE(CONTROL!$C$21, $C$9, 100%, $E$9)</f>
        <v>20.5533</v>
      </c>
      <c r="Q513" s="17">
        <f>CHOOSE(CONTROL!$C$42, 21.3462, 21.3462) * CHOOSE(CONTROL!$C$21, $C$9, 100%, $E$9)</f>
        <v>21.3462</v>
      </c>
      <c r="R513" s="17">
        <f>CHOOSE(CONTROL!$C$42, 21.9866, 21.9866) * CHOOSE(CONTROL!$C$21, $C$9, 100%, $E$9)</f>
        <v>21.986599999999999</v>
      </c>
      <c r="S513" s="17">
        <f>CHOOSE(CONTROL!$C$42, 20.0082, 20.0082) * CHOOSE(CONTROL!$C$21, $C$9, 100%, $E$9)</f>
        <v>20.008199999999999</v>
      </c>
      <c r="T513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513" s="56">
        <f>(1000*CHOOSE(CONTROL!$C$42, 695, 695)*CHOOSE(CONTROL!$C$42, 0.5599, 0.5599)*CHOOSE(CONTROL!$C$42, 30, 30))/1000000</f>
        <v>11.673914999999997</v>
      </c>
      <c r="V513" s="56">
        <f>(1000*CHOOSE(CONTROL!$C$42, 500, 500)*CHOOSE(CONTROL!$C$42, 0.275, 0.275)*CHOOSE(CONTROL!$C$42, 30, 30))/1000000</f>
        <v>4.125</v>
      </c>
      <c r="W513" s="56">
        <f>(1000*CHOOSE(CONTROL!$C$42, 0.0916, 0.0916)*CHOOSE(CONTROL!$C$42, 121.5, 121.5)*CHOOSE(CONTROL!$C$42, 30, 30))/1000000</f>
        <v>0.33388200000000001</v>
      </c>
      <c r="X513" s="56">
        <f>(30*0.1790888*145000/1000000)+(30*0.2374*100000/1000000)</f>
        <v>1.4912362799999999</v>
      </c>
      <c r="Y513" s="56"/>
      <c r="Z513" s="17"/>
      <c r="AA513" s="55"/>
      <c r="AB513" s="48">
        <f>(B513*194.205+C513*267.466+D513*133.845+E513*153.484+F513*40+G513*85+H513*0+I513*100+J513*300)/(194.205+267.466+133.845+153.484+0+40+85+100+300)</f>
        <v>20.721044914678181</v>
      </c>
      <c r="AC513" s="45">
        <f>(M513*'RAP TEMPLATE-GAS AVAILABILITY'!O512+N513*'RAP TEMPLATE-GAS AVAILABILITY'!P512+O513*'RAP TEMPLATE-GAS AVAILABILITY'!Q512+P513*'RAP TEMPLATE-GAS AVAILABILITY'!R512)/('RAP TEMPLATE-GAS AVAILABILITY'!O512+'RAP TEMPLATE-GAS AVAILABILITY'!P512+'RAP TEMPLATE-GAS AVAILABILITY'!Q512+'RAP TEMPLATE-GAS AVAILABILITY'!R512)</f>
        <v>20.564731654676258</v>
      </c>
    </row>
    <row r="514" spans="1:29" ht="15.75" x14ac:dyDescent="0.25">
      <c r="A514" s="14">
        <v>56188</v>
      </c>
      <c r="B514" s="17">
        <f>CHOOSE(CONTROL!$C$42, 20.2247, 20.2247) * CHOOSE(CONTROL!$C$21, $C$9, 100%, $E$9)</f>
        <v>20.224699999999999</v>
      </c>
      <c r="C514" s="17">
        <f>CHOOSE(CONTROL!$C$42, 20.2301, 20.2301) * CHOOSE(CONTROL!$C$21, $C$9, 100%, $E$9)</f>
        <v>20.2301</v>
      </c>
      <c r="D514" s="17">
        <f>CHOOSE(CONTROL!$C$42, 20.4948, 20.4948) * CHOOSE(CONTROL!$C$21, $C$9, 100%, $E$9)</f>
        <v>20.494800000000001</v>
      </c>
      <c r="E514" s="17">
        <f>CHOOSE(CONTROL!$C$42, 20.5237, 20.5237) * CHOOSE(CONTROL!$C$21, $C$9, 100%, $E$9)</f>
        <v>20.523700000000002</v>
      </c>
      <c r="F514" s="17">
        <f>CHOOSE(CONTROL!$C$42, 20.2376, 20.2376)*CHOOSE(CONTROL!$C$21, $C$9, 100%, $E$9)</f>
        <v>20.2376</v>
      </c>
      <c r="G514" s="17">
        <f>CHOOSE(CONTROL!$C$42, 20.2541, 20.2541)*CHOOSE(CONTROL!$C$21, $C$9, 100%, $E$9)</f>
        <v>20.254100000000001</v>
      </c>
      <c r="H514" s="17">
        <f>CHOOSE(CONTROL!$C$42, 20.5139, 20.5139) * CHOOSE(CONTROL!$C$21, $C$9, 100%, $E$9)</f>
        <v>20.5139</v>
      </c>
      <c r="I514" s="17">
        <f>CHOOSE(CONTROL!$C$42, 20.3131, 20.3131)* CHOOSE(CONTROL!$C$21, $C$9, 100%, $E$9)</f>
        <v>20.313099999999999</v>
      </c>
      <c r="J514" s="17">
        <f>CHOOSE(CONTROL!$C$42, 20.2302, 20.2302)* CHOOSE(CONTROL!$C$21, $C$9, 100%, $E$9)</f>
        <v>20.2302</v>
      </c>
      <c r="K514" s="52">
        <f>CHOOSE(CONTROL!$C$42, 20.307, 20.307) * CHOOSE(CONTROL!$C$21, $C$9, 100%, $E$9)</f>
        <v>20.306999999999999</v>
      </c>
      <c r="L514" s="17">
        <f>CHOOSE(CONTROL!$C$42, 21.1009, 21.1009) * CHOOSE(CONTROL!$C$21, $C$9, 100%, $E$9)</f>
        <v>21.100899999999999</v>
      </c>
      <c r="M514" s="17">
        <f>CHOOSE(CONTROL!$C$42, 20.0552, 20.0552) * CHOOSE(CONTROL!$C$21, $C$9, 100%, $E$9)</f>
        <v>20.055199999999999</v>
      </c>
      <c r="N514" s="17">
        <f>CHOOSE(CONTROL!$C$42, 20.0716, 20.0716) * CHOOSE(CONTROL!$C$21, $C$9, 100%, $E$9)</f>
        <v>20.0716</v>
      </c>
      <c r="O514" s="17">
        <f>CHOOSE(CONTROL!$C$42, 20.3364, 20.3364) * CHOOSE(CONTROL!$C$21, $C$9, 100%, $E$9)</f>
        <v>20.336400000000001</v>
      </c>
      <c r="P514" s="17">
        <f>CHOOSE(CONTROL!$C$42, 20.1369, 20.1369) * CHOOSE(CONTROL!$C$21, $C$9, 100%, $E$9)</f>
        <v>20.136900000000001</v>
      </c>
      <c r="Q514" s="17">
        <f>CHOOSE(CONTROL!$C$42, 20.9311, 20.9311) * CHOOSE(CONTROL!$C$21, $C$9, 100%, $E$9)</f>
        <v>20.931100000000001</v>
      </c>
      <c r="R514" s="17">
        <f>CHOOSE(CONTROL!$C$42, 21.5704, 21.5704) * CHOOSE(CONTROL!$C$21, $C$9, 100%, $E$9)</f>
        <v>21.570399999999999</v>
      </c>
      <c r="S514" s="17">
        <f>CHOOSE(CONTROL!$C$42, 19.602, 19.602) * CHOOSE(CONTROL!$C$21, $C$9, 100%, $E$9)</f>
        <v>19.602</v>
      </c>
      <c r="T514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514" s="56">
        <f>(1000*CHOOSE(CONTROL!$C$42, 695, 695)*CHOOSE(CONTROL!$C$42, 0.5599, 0.5599)*CHOOSE(CONTROL!$C$42, 31, 31))/1000000</f>
        <v>12.063045499999998</v>
      </c>
      <c r="V514" s="56">
        <f>(1000*CHOOSE(CONTROL!$C$42, 500, 500)*CHOOSE(CONTROL!$C$42, 0.275, 0.275)*CHOOSE(CONTROL!$C$42, 31, 31))/1000000</f>
        <v>4.2625000000000002</v>
      </c>
      <c r="W514" s="56">
        <f>(1000*CHOOSE(CONTROL!$C$42, 0.0916, 0.0916)*CHOOSE(CONTROL!$C$42, 121.5, 121.5)*CHOOSE(CONTROL!$C$42, 31, 31))/1000000</f>
        <v>0.34501139999999997</v>
      </c>
      <c r="X514" s="56">
        <f>(31*0.1790888*145000/1000000)+(31*0.2374*100000/1000000)</f>
        <v>1.5409441560000001</v>
      </c>
      <c r="Y514" s="56"/>
      <c r="Z514" s="17"/>
      <c r="AA514" s="55"/>
      <c r="AB514" s="48">
        <f>(B514*131.881+C514*277.167+D514*79.08+E514*225.872+F514*40+G514*85+H514*0+I514*100+J514*300)/(131.881+277.167+79.08+225.872+0+40+85+100+300)</f>
        <v>20.308555478450366</v>
      </c>
      <c r="AC514" s="45">
        <f>(M514*'RAP TEMPLATE-GAS AVAILABILITY'!O513+N514*'RAP TEMPLATE-GAS AVAILABILITY'!P513+O514*'RAP TEMPLATE-GAS AVAILABILITY'!Q513+P514*'RAP TEMPLATE-GAS AVAILABILITY'!R513)/('RAP TEMPLATE-GAS AVAILABILITY'!O513+'RAP TEMPLATE-GAS AVAILABILITY'!P513+'RAP TEMPLATE-GAS AVAILABILITY'!Q513+'RAP TEMPLATE-GAS AVAILABILITY'!R513)</f>
        <v>20.149628776978417</v>
      </c>
    </row>
    <row r="515" spans="1:29" ht="15.75" x14ac:dyDescent="0.25">
      <c r="A515" s="14">
        <v>56218</v>
      </c>
      <c r="B515" s="17">
        <f>CHOOSE(CONTROL!$C$42, 20.7568, 20.7568) * CHOOSE(CONTROL!$C$21, $C$9, 100%, $E$9)</f>
        <v>20.756799999999998</v>
      </c>
      <c r="C515" s="17">
        <f>CHOOSE(CONTROL!$C$42, 20.7619, 20.7619) * CHOOSE(CONTROL!$C$21, $C$9, 100%, $E$9)</f>
        <v>20.761900000000001</v>
      </c>
      <c r="D515" s="17">
        <f>CHOOSE(CONTROL!$C$42, 20.9026, 20.9026) * CHOOSE(CONTROL!$C$21, $C$9, 100%, $E$9)</f>
        <v>20.9026</v>
      </c>
      <c r="E515" s="17">
        <f>CHOOSE(CONTROL!$C$42, 20.9363, 20.9363) * CHOOSE(CONTROL!$C$21, $C$9, 100%, $E$9)</f>
        <v>20.936299999999999</v>
      </c>
      <c r="F515" s="17">
        <f>CHOOSE(CONTROL!$C$42, 20.7701, 20.7701)*CHOOSE(CONTROL!$C$21, $C$9, 100%, $E$9)</f>
        <v>20.770099999999999</v>
      </c>
      <c r="G515" s="17">
        <f>CHOOSE(CONTROL!$C$42, 20.787, 20.787)*CHOOSE(CONTROL!$C$21, $C$9, 100%, $E$9)</f>
        <v>20.786999999999999</v>
      </c>
      <c r="H515" s="17">
        <f>CHOOSE(CONTROL!$C$42, 20.9252, 20.9252) * CHOOSE(CONTROL!$C$21, $C$9, 100%, $E$9)</f>
        <v>20.9252</v>
      </c>
      <c r="I515" s="17">
        <f>CHOOSE(CONTROL!$C$42, 20.8436, 20.8436)* CHOOSE(CONTROL!$C$21, $C$9, 100%, $E$9)</f>
        <v>20.843599999999999</v>
      </c>
      <c r="J515" s="17">
        <f>CHOOSE(CONTROL!$C$42, 20.7627, 20.7627)* CHOOSE(CONTROL!$C$21, $C$9, 100%, $E$9)</f>
        <v>20.762699999999999</v>
      </c>
      <c r="K515" s="52">
        <f>CHOOSE(CONTROL!$C$42, 20.8376, 20.8376) * CHOOSE(CONTROL!$C$21, $C$9, 100%, $E$9)</f>
        <v>20.837599999999998</v>
      </c>
      <c r="L515" s="17">
        <f>CHOOSE(CONTROL!$C$42, 21.5122, 21.5122) * CHOOSE(CONTROL!$C$21, $C$9, 100%, $E$9)</f>
        <v>21.5122</v>
      </c>
      <c r="M515" s="17">
        <f>CHOOSE(CONTROL!$C$42, 20.583, 20.583) * CHOOSE(CONTROL!$C$21, $C$9, 100%, $E$9)</f>
        <v>20.582999999999998</v>
      </c>
      <c r="N515" s="17">
        <f>CHOOSE(CONTROL!$C$42, 20.5997, 20.5997) * CHOOSE(CONTROL!$C$21, $C$9, 100%, $E$9)</f>
        <v>20.599699999999999</v>
      </c>
      <c r="O515" s="17">
        <f>CHOOSE(CONTROL!$C$42, 20.744, 20.744) * CHOOSE(CONTROL!$C$21, $C$9, 100%, $E$9)</f>
        <v>20.744</v>
      </c>
      <c r="P515" s="17">
        <f>CHOOSE(CONTROL!$C$42, 20.6626, 20.6626) * CHOOSE(CONTROL!$C$21, $C$9, 100%, $E$9)</f>
        <v>20.662600000000001</v>
      </c>
      <c r="Q515" s="17">
        <f>CHOOSE(CONTROL!$C$42, 21.3387, 21.3387) * CHOOSE(CONTROL!$C$21, $C$9, 100%, $E$9)</f>
        <v>21.338699999999999</v>
      </c>
      <c r="R515" s="17">
        <f>CHOOSE(CONTROL!$C$42, 21.9791, 21.9791) * CHOOSE(CONTROL!$C$21, $C$9, 100%, $E$9)</f>
        <v>21.979099999999999</v>
      </c>
      <c r="S515" s="17">
        <f>CHOOSE(CONTROL!$C$42, 20.1184, 20.1184) * CHOOSE(CONTROL!$C$21, $C$9, 100%, $E$9)</f>
        <v>20.118400000000001</v>
      </c>
      <c r="T515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515" s="56">
        <f>(1000*CHOOSE(CONTROL!$C$42, 695, 695)*CHOOSE(CONTROL!$C$42, 0.5599, 0.5599)*CHOOSE(CONTROL!$C$42, 30, 30))/1000000</f>
        <v>11.673914999999997</v>
      </c>
      <c r="V515" s="56">
        <f>(1000*CHOOSE(CONTROL!$C$42, 500, 500)*CHOOSE(CONTROL!$C$42, 0.275, 0.275)*CHOOSE(CONTROL!$C$42, 30, 30))/1000000</f>
        <v>4.125</v>
      </c>
      <c r="W515" s="56">
        <f>(1000*CHOOSE(CONTROL!$C$42, 0.0916, 0.0916)*CHOOSE(CONTROL!$C$42, 121.5, 121.5)*CHOOSE(CONTROL!$C$42, 30, 30))/1000000</f>
        <v>0.33388200000000001</v>
      </c>
      <c r="X515" s="56">
        <f>(30*0.2374*100000/1000000)</f>
        <v>0.71220000000000006</v>
      </c>
      <c r="Y515" s="56"/>
      <c r="Z515" s="17"/>
      <c r="AA515" s="55"/>
      <c r="AB515" s="48">
        <f>(B515*122.58+C515*297.941+D515*89.177+E515*140.302+F515*40+G515*60+H515*0+I515*100+J515*300)/(122.58+297.941+89.177+140.302+0+40+60+100+300)</f>
        <v>20.802451925826084</v>
      </c>
      <c r="AC515" s="45">
        <f>(M515*'RAP TEMPLATE-GAS AVAILABILITY'!O514+N515*'RAP TEMPLATE-GAS AVAILABILITY'!P514+O515*'RAP TEMPLATE-GAS AVAILABILITY'!Q514+P515*'RAP TEMPLATE-GAS AVAILABILITY'!R514)/('RAP TEMPLATE-GAS AVAILABILITY'!O514+'RAP TEMPLATE-GAS AVAILABILITY'!P514+'RAP TEMPLATE-GAS AVAILABILITY'!Q514+'RAP TEMPLATE-GAS AVAILABILITY'!R514)</f>
        <v>20.668385611510793</v>
      </c>
    </row>
    <row r="516" spans="1:29" ht="15.75" x14ac:dyDescent="0.25">
      <c r="A516" s="14">
        <v>56249</v>
      </c>
      <c r="B516" s="17">
        <f>CHOOSE(CONTROL!$C$42, 22.1713, 22.1713) * CHOOSE(CONTROL!$C$21, $C$9, 100%, $E$9)</f>
        <v>22.171299999999999</v>
      </c>
      <c r="C516" s="17">
        <f>CHOOSE(CONTROL!$C$42, 22.1764, 22.1764) * CHOOSE(CONTROL!$C$21, $C$9, 100%, $E$9)</f>
        <v>22.176400000000001</v>
      </c>
      <c r="D516" s="17">
        <f>CHOOSE(CONTROL!$C$42, 22.3171, 22.3171) * CHOOSE(CONTROL!$C$21, $C$9, 100%, $E$9)</f>
        <v>22.3171</v>
      </c>
      <c r="E516" s="17">
        <f>CHOOSE(CONTROL!$C$42, 22.3508, 22.3508) * CHOOSE(CONTROL!$C$21, $C$9, 100%, $E$9)</f>
        <v>22.3508</v>
      </c>
      <c r="F516" s="17">
        <f>CHOOSE(CONTROL!$C$42, 22.187, 22.187)*CHOOSE(CONTROL!$C$21, $C$9, 100%, $E$9)</f>
        <v>22.187000000000001</v>
      </c>
      <c r="G516" s="17">
        <f>CHOOSE(CONTROL!$C$42, 22.2045, 22.2045)*CHOOSE(CONTROL!$C$21, $C$9, 100%, $E$9)</f>
        <v>22.204499999999999</v>
      </c>
      <c r="H516" s="17">
        <f>CHOOSE(CONTROL!$C$42, 22.3397, 22.3397) * CHOOSE(CONTROL!$C$21, $C$9, 100%, $E$9)</f>
        <v>22.339700000000001</v>
      </c>
      <c r="I516" s="17">
        <f>CHOOSE(CONTROL!$C$42, 22.2625, 22.2625)* CHOOSE(CONTROL!$C$21, $C$9, 100%, $E$9)</f>
        <v>22.262499999999999</v>
      </c>
      <c r="J516" s="17">
        <f>CHOOSE(CONTROL!$C$42, 22.1796, 22.1796)* CHOOSE(CONTROL!$C$21, $C$9, 100%, $E$9)</f>
        <v>22.179600000000001</v>
      </c>
      <c r="K516" s="52">
        <f>CHOOSE(CONTROL!$C$42, 22.2564, 22.2564) * CHOOSE(CONTROL!$C$21, $C$9, 100%, $E$9)</f>
        <v>22.256399999999999</v>
      </c>
      <c r="L516" s="17">
        <f>CHOOSE(CONTROL!$C$42, 22.9267, 22.9267) * CHOOSE(CONTROL!$C$21, $C$9, 100%, $E$9)</f>
        <v>22.9267</v>
      </c>
      <c r="M516" s="17">
        <f>CHOOSE(CONTROL!$C$42, 21.9872, 21.9872) * CHOOSE(CONTROL!$C$21, $C$9, 100%, $E$9)</f>
        <v>21.987200000000001</v>
      </c>
      <c r="N516" s="17">
        <f>CHOOSE(CONTROL!$C$42, 22.0045, 22.0045) * CHOOSE(CONTROL!$C$21, $C$9, 100%, $E$9)</f>
        <v>22.0045</v>
      </c>
      <c r="O516" s="17">
        <f>CHOOSE(CONTROL!$C$42, 22.1458, 22.1458) * CHOOSE(CONTROL!$C$21, $C$9, 100%, $E$9)</f>
        <v>22.145800000000001</v>
      </c>
      <c r="P516" s="17">
        <f>CHOOSE(CONTROL!$C$42, 22.0687, 22.0687) * CHOOSE(CONTROL!$C$21, $C$9, 100%, $E$9)</f>
        <v>22.0687</v>
      </c>
      <c r="Q516" s="17">
        <f>CHOOSE(CONTROL!$C$42, 22.7405, 22.7405) * CHOOSE(CONTROL!$C$21, $C$9, 100%, $E$9)</f>
        <v>22.740500000000001</v>
      </c>
      <c r="R516" s="17">
        <f>CHOOSE(CONTROL!$C$42, 23.3843, 23.3843) * CHOOSE(CONTROL!$C$21, $C$9, 100%, $E$9)</f>
        <v>23.3843</v>
      </c>
      <c r="S516" s="17">
        <f>CHOOSE(CONTROL!$C$42, 21.49, 21.49) * CHOOSE(CONTROL!$C$21, $C$9, 100%, $E$9)</f>
        <v>21.49</v>
      </c>
      <c r="T516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516" s="56">
        <f>(1000*CHOOSE(CONTROL!$C$42, 695, 695)*CHOOSE(CONTROL!$C$42, 0.5599, 0.5599)*CHOOSE(CONTROL!$C$42, 31, 31))/1000000</f>
        <v>12.063045499999998</v>
      </c>
      <c r="V516" s="56">
        <f>(1000*CHOOSE(CONTROL!$C$42, 500, 500)*CHOOSE(CONTROL!$C$42, 0.275, 0.275)*CHOOSE(CONTROL!$C$42, 31, 31))/1000000</f>
        <v>4.2625000000000002</v>
      </c>
      <c r="W516" s="56">
        <f>(1000*CHOOSE(CONTROL!$C$42, 0.0916, 0.0916)*CHOOSE(CONTROL!$C$42, 121.5, 121.5)*CHOOSE(CONTROL!$C$42, 31, 31))/1000000</f>
        <v>0.34501139999999997</v>
      </c>
      <c r="X516" s="56">
        <f>(31*0.2374*100000/1000000)</f>
        <v>0.73594000000000004</v>
      </c>
      <c r="Y516" s="56"/>
      <c r="Z516" s="17"/>
      <c r="AA516" s="55"/>
      <c r="AB516" s="48">
        <f>(B516*122.58+C516*297.941+D516*89.177+E516*140.302+F516*40+G516*60+H516*0+I516*100+J516*300)/(122.58+297.941+89.177+140.302+0+40+60+100+300)</f>
        <v>22.21820062147826</v>
      </c>
      <c r="AC516" s="45">
        <f>(M516*'RAP TEMPLATE-GAS AVAILABILITY'!O515+N516*'RAP TEMPLATE-GAS AVAILABILITY'!P515+O516*'RAP TEMPLATE-GAS AVAILABILITY'!Q515+P516*'RAP TEMPLATE-GAS AVAILABILITY'!R515)/('RAP TEMPLATE-GAS AVAILABILITY'!O515+'RAP TEMPLATE-GAS AVAILABILITY'!P515+'RAP TEMPLATE-GAS AVAILABILITY'!Q515+'RAP TEMPLATE-GAS AVAILABILITY'!R515)</f>
        <v>22.071805755395683</v>
      </c>
    </row>
    <row r="517" spans="1:29" ht="15.75" x14ac:dyDescent="0.25">
      <c r="A517" s="14">
        <v>56280</v>
      </c>
      <c r="B517" s="17">
        <f>CHOOSE(CONTROL!$C$42, 23.8744, 23.8744) * CHOOSE(CONTROL!$C$21, $C$9, 100%, $E$9)</f>
        <v>23.874400000000001</v>
      </c>
      <c r="C517" s="17">
        <f>CHOOSE(CONTROL!$C$42, 23.8795, 23.8795) * CHOOSE(CONTROL!$C$21, $C$9, 100%, $E$9)</f>
        <v>23.8795</v>
      </c>
      <c r="D517" s="17">
        <f>CHOOSE(CONTROL!$C$42, 24.0135, 24.0135) * CHOOSE(CONTROL!$C$21, $C$9, 100%, $E$9)</f>
        <v>24.013500000000001</v>
      </c>
      <c r="E517" s="17">
        <f>CHOOSE(CONTROL!$C$42, 24.0472, 24.0472) * CHOOSE(CONTROL!$C$21, $C$9, 100%, $E$9)</f>
        <v>24.0472</v>
      </c>
      <c r="F517" s="17">
        <f>CHOOSE(CONTROL!$C$42, 23.8879, 23.8879)*CHOOSE(CONTROL!$C$21, $C$9, 100%, $E$9)</f>
        <v>23.887899999999998</v>
      </c>
      <c r="G517" s="17">
        <f>CHOOSE(CONTROL!$C$42, 23.9048, 23.9048)*CHOOSE(CONTROL!$C$21, $C$9, 100%, $E$9)</f>
        <v>23.904800000000002</v>
      </c>
      <c r="H517" s="17">
        <f>CHOOSE(CONTROL!$C$42, 24.0361, 24.0361) * CHOOSE(CONTROL!$C$21, $C$9, 100%, $E$9)</f>
        <v>24.036100000000001</v>
      </c>
      <c r="I517" s="17">
        <f>CHOOSE(CONTROL!$C$42, 23.975, 23.975)* CHOOSE(CONTROL!$C$21, $C$9, 100%, $E$9)</f>
        <v>23.975000000000001</v>
      </c>
      <c r="J517" s="17">
        <f>CHOOSE(CONTROL!$C$42, 23.8805, 23.8805)* CHOOSE(CONTROL!$C$21, $C$9, 100%, $E$9)</f>
        <v>23.880500000000001</v>
      </c>
      <c r="K517" s="52">
        <f>CHOOSE(CONTROL!$C$42, 23.969, 23.969) * CHOOSE(CONTROL!$C$21, $C$9, 100%, $E$9)</f>
        <v>23.969000000000001</v>
      </c>
      <c r="L517" s="17">
        <f>CHOOSE(CONTROL!$C$42, 24.6231, 24.6231) * CHOOSE(CONTROL!$C$21, $C$9, 100%, $E$9)</f>
        <v>24.623100000000001</v>
      </c>
      <c r="M517" s="17">
        <f>CHOOSE(CONTROL!$C$42, 23.6727, 23.6727) * CHOOSE(CONTROL!$C$21, $C$9, 100%, $E$9)</f>
        <v>23.672699999999999</v>
      </c>
      <c r="N517" s="17">
        <f>CHOOSE(CONTROL!$C$42, 23.6895, 23.6895) * CHOOSE(CONTROL!$C$21, $C$9, 100%, $E$9)</f>
        <v>23.689499999999999</v>
      </c>
      <c r="O517" s="17">
        <f>CHOOSE(CONTROL!$C$42, 23.8269, 23.8269) * CHOOSE(CONTROL!$C$21, $C$9, 100%, $E$9)</f>
        <v>23.826899999999998</v>
      </c>
      <c r="P517" s="17">
        <f>CHOOSE(CONTROL!$C$42, 23.7658, 23.7658) * CHOOSE(CONTROL!$C$21, $C$9, 100%, $E$9)</f>
        <v>23.765799999999999</v>
      </c>
      <c r="Q517" s="17">
        <f>CHOOSE(CONTROL!$C$42, 24.4216, 24.4216) * CHOOSE(CONTROL!$C$21, $C$9, 100%, $E$9)</f>
        <v>24.421600000000002</v>
      </c>
      <c r="R517" s="17">
        <f>CHOOSE(CONTROL!$C$42, 25.0697, 25.0697) * CHOOSE(CONTROL!$C$21, $C$9, 100%, $E$9)</f>
        <v>25.069700000000001</v>
      </c>
      <c r="S517" s="17">
        <f>CHOOSE(CONTROL!$C$42, 23.1415, 23.1415) * CHOOSE(CONTROL!$C$21, $C$9, 100%, $E$9)</f>
        <v>23.141500000000001</v>
      </c>
      <c r="T517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517" s="56">
        <f>(1000*CHOOSE(CONTROL!$C$42, 695, 695)*CHOOSE(CONTROL!$C$42, 0.5599, 0.5599)*CHOOSE(CONTROL!$C$42, 31, 31))/1000000</f>
        <v>12.063045499999998</v>
      </c>
      <c r="V517" s="56">
        <f>(1000*CHOOSE(CONTROL!$C$42, 500, 500)*CHOOSE(CONTROL!$C$42, 0.275, 0.275)*CHOOSE(CONTROL!$C$42, 31, 31))/1000000</f>
        <v>4.2625000000000002</v>
      </c>
      <c r="W517" s="56">
        <f>(1000*CHOOSE(CONTROL!$C$42, 0.0916, 0.0916)*CHOOSE(CONTROL!$C$42, 121.5, 121.5)*CHOOSE(CONTROL!$C$42, 31, 31))/1000000</f>
        <v>0.34501139999999997</v>
      </c>
      <c r="X517" s="56">
        <f>(31*0.2374*100000/1000000)</f>
        <v>0.73594000000000004</v>
      </c>
      <c r="Y517" s="56"/>
      <c r="Z517" s="17"/>
      <c r="AA517" s="55"/>
      <c r="AB517" s="48">
        <f>(B517*122.58+C517*297.941+D517*89.177+E517*140.302+F517*40+G517*60+H517*0+I517*100+J517*300)/(122.58+297.941+89.177+140.302+0+40+60+100+300)</f>
        <v>23.919984526434781</v>
      </c>
      <c r="AC517" s="45">
        <f>(M517*'RAP TEMPLATE-GAS AVAILABILITY'!O516+N517*'RAP TEMPLATE-GAS AVAILABILITY'!P516+O517*'RAP TEMPLATE-GAS AVAILABILITY'!Q516+P517*'RAP TEMPLATE-GAS AVAILABILITY'!R516)/('RAP TEMPLATE-GAS AVAILABILITY'!O516+'RAP TEMPLATE-GAS AVAILABILITY'!P516+'RAP TEMPLATE-GAS AVAILABILITY'!Q516+'RAP TEMPLATE-GAS AVAILABILITY'!R516)</f>
        <v>23.75695179856115</v>
      </c>
    </row>
    <row r="518" spans="1:29" ht="15.75" x14ac:dyDescent="0.25">
      <c r="A518" s="14">
        <v>56308</v>
      </c>
      <c r="B518" s="17">
        <f>CHOOSE(CONTROL!$C$42, 24.2992, 24.2992) * CHOOSE(CONTROL!$C$21, $C$9, 100%, $E$9)</f>
        <v>24.299199999999999</v>
      </c>
      <c r="C518" s="17">
        <f>CHOOSE(CONTROL!$C$42, 24.3043, 24.3043) * CHOOSE(CONTROL!$C$21, $C$9, 100%, $E$9)</f>
        <v>24.304300000000001</v>
      </c>
      <c r="D518" s="17">
        <f>CHOOSE(CONTROL!$C$42, 24.4383, 24.4383) * CHOOSE(CONTROL!$C$21, $C$9, 100%, $E$9)</f>
        <v>24.438300000000002</v>
      </c>
      <c r="E518" s="17">
        <f>CHOOSE(CONTROL!$C$42, 24.472, 24.472) * CHOOSE(CONTROL!$C$21, $C$9, 100%, $E$9)</f>
        <v>24.472000000000001</v>
      </c>
      <c r="F518" s="17">
        <f>CHOOSE(CONTROL!$C$42, 24.3126, 24.3126)*CHOOSE(CONTROL!$C$21, $C$9, 100%, $E$9)</f>
        <v>24.3126</v>
      </c>
      <c r="G518" s="17">
        <f>CHOOSE(CONTROL!$C$42, 24.3295, 24.3295)*CHOOSE(CONTROL!$C$21, $C$9, 100%, $E$9)</f>
        <v>24.329499999999999</v>
      </c>
      <c r="H518" s="17">
        <f>CHOOSE(CONTROL!$C$42, 24.4609, 24.4609) * CHOOSE(CONTROL!$C$21, $C$9, 100%, $E$9)</f>
        <v>24.460899999999999</v>
      </c>
      <c r="I518" s="17">
        <f>CHOOSE(CONTROL!$C$42, 24.4012, 24.4012)* CHOOSE(CONTROL!$C$21, $C$9, 100%, $E$9)</f>
        <v>24.401199999999999</v>
      </c>
      <c r="J518" s="17">
        <f>CHOOSE(CONTROL!$C$42, 24.3052, 24.3052)* CHOOSE(CONTROL!$C$21, $C$9, 100%, $E$9)</f>
        <v>24.305199999999999</v>
      </c>
      <c r="K518" s="52">
        <f>CHOOSE(CONTROL!$C$42, 24.3951, 24.3951) * CHOOSE(CONTROL!$C$21, $C$9, 100%, $E$9)</f>
        <v>24.395099999999999</v>
      </c>
      <c r="L518" s="17">
        <f>CHOOSE(CONTROL!$C$42, 25.0479, 25.0479) * CHOOSE(CONTROL!$C$21, $C$9, 100%, $E$9)</f>
        <v>25.047899999999998</v>
      </c>
      <c r="M518" s="17">
        <f>CHOOSE(CONTROL!$C$42, 24.0937, 24.0937) * CHOOSE(CONTROL!$C$21, $C$9, 100%, $E$9)</f>
        <v>24.093699999999998</v>
      </c>
      <c r="N518" s="17">
        <f>CHOOSE(CONTROL!$C$42, 24.1104, 24.1104) * CHOOSE(CONTROL!$C$21, $C$9, 100%, $E$9)</f>
        <v>24.110399999999998</v>
      </c>
      <c r="O518" s="17">
        <f>CHOOSE(CONTROL!$C$42, 24.2479, 24.2479) * CHOOSE(CONTROL!$C$21, $C$9, 100%, $E$9)</f>
        <v>24.247900000000001</v>
      </c>
      <c r="P518" s="17">
        <f>CHOOSE(CONTROL!$C$42, 24.1881, 24.1881) * CHOOSE(CONTROL!$C$21, $C$9, 100%, $E$9)</f>
        <v>24.188099999999999</v>
      </c>
      <c r="Q518" s="17">
        <f>CHOOSE(CONTROL!$C$42, 24.8426, 24.8426) * CHOOSE(CONTROL!$C$21, $C$9, 100%, $E$9)</f>
        <v>24.842600000000001</v>
      </c>
      <c r="R518" s="17">
        <f>CHOOSE(CONTROL!$C$42, 25.4917, 25.4917) * CHOOSE(CONTROL!$C$21, $C$9, 100%, $E$9)</f>
        <v>25.491700000000002</v>
      </c>
      <c r="S518" s="17">
        <f>CHOOSE(CONTROL!$C$42, 23.5535, 23.5535) * CHOOSE(CONTROL!$C$21, $C$9, 100%, $E$9)</f>
        <v>23.5535</v>
      </c>
      <c r="T518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518" s="56">
        <f>(1000*CHOOSE(CONTROL!$C$42, 695, 695)*CHOOSE(CONTROL!$C$42, 0.5599, 0.5599)*CHOOSE(CONTROL!$C$42, 28, 28))/1000000</f>
        <v>10.895653999999999</v>
      </c>
      <c r="V518" s="56">
        <f>(1000*CHOOSE(CONTROL!$C$42, 500, 500)*CHOOSE(CONTROL!$C$42, 0.275, 0.275)*CHOOSE(CONTROL!$C$42, 28, 28))/1000000</f>
        <v>3.85</v>
      </c>
      <c r="W518" s="56">
        <f>(1000*CHOOSE(CONTROL!$C$42, 0.0916, 0.0916)*CHOOSE(CONTROL!$C$42, 121.5, 121.5)*CHOOSE(CONTROL!$C$42, 28, 28))/1000000</f>
        <v>0.31162319999999999</v>
      </c>
      <c r="X518" s="56">
        <f>(28*0.2374*100000/1000000)</f>
        <v>0.66471999999999998</v>
      </c>
      <c r="Y518" s="56"/>
      <c r="Z518" s="17"/>
      <c r="AA518" s="55"/>
      <c r="AB518" s="48">
        <f>(B518*122.58+C518*297.941+D518*89.177+E518*140.302+F518*40+G518*60+H518*0+I518*100+J518*300)/(122.58+297.941+89.177+140.302+0+40+60+100+300)</f>
        <v>24.34487148295652</v>
      </c>
      <c r="AC518" s="45">
        <f>(M518*'RAP TEMPLATE-GAS AVAILABILITY'!O517+N518*'RAP TEMPLATE-GAS AVAILABILITY'!P517+O518*'RAP TEMPLATE-GAS AVAILABILITY'!Q517+P518*'RAP TEMPLATE-GAS AVAILABILITY'!R517)/('RAP TEMPLATE-GAS AVAILABILITY'!O517+'RAP TEMPLATE-GAS AVAILABILITY'!P517+'RAP TEMPLATE-GAS AVAILABILITY'!Q517+'RAP TEMPLATE-GAS AVAILABILITY'!R517)</f>
        <v>24.178133093525183</v>
      </c>
    </row>
    <row r="519" spans="1:29" ht="15.75" x14ac:dyDescent="0.25">
      <c r="A519" s="14">
        <v>56339</v>
      </c>
      <c r="B519" s="17">
        <f>CHOOSE(CONTROL!$C$42, 23.6097, 23.6097) * CHOOSE(CONTROL!$C$21, $C$9, 100%, $E$9)</f>
        <v>23.6097</v>
      </c>
      <c r="C519" s="17">
        <f>CHOOSE(CONTROL!$C$42, 23.6148, 23.6148) * CHOOSE(CONTROL!$C$21, $C$9, 100%, $E$9)</f>
        <v>23.614799999999999</v>
      </c>
      <c r="D519" s="17">
        <f>CHOOSE(CONTROL!$C$42, 23.7487, 23.7487) * CHOOSE(CONTROL!$C$21, $C$9, 100%, $E$9)</f>
        <v>23.748699999999999</v>
      </c>
      <c r="E519" s="17">
        <f>CHOOSE(CONTROL!$C$42, 23.7825, 23.7825) * CHOOSE(CONTROL!$C$21, $C$9, 100%, $E$9)</f>
        <v>23.782499999999999</v>
      </c>
      <c r="F519" s="17">
        <f>CHOOSE(CONTROL!$C$42, 23.6223, 23.6223)*CHOOSE(CONTROL!$C$21, $C$9, 100%, $E$9)</f>
        <v>23.622299999999999</v>
      </c>
      <c r="G519" s="17">
        <f>CHOOSE(CONTROL!$C$42, 23.639, 23.639)*CHOOSE(CONTROL!$C$21, $C$9, 100%, $E$9)</f>
        <v>23.638999999999999</v>
      </c>
      <c r="H519" s="17">
        <f>CHOOSE(CONTROL!$C$42, 23.7713, 23.7713) * CHOOSE(CONTROL!$C$21, $C$9, 100%, $E$9)</f>
        <v>23.7713</v>
      </c>
      <c r="I519" s="17">
        <f>CHOOSE(CONTROL!$C$42, 23.7094, 23.7094)* CHOOSE(CONTROL!$C$21, $C$9, 100%, $E$9)</f>
        <v>23.709399999999999</v>
      </c>
      <c r="J519" s="17">
        <f>CHOOSE(CONTROL!$C$42, 23.6149, 23.6149)* CHOOSE(CONTROL!$C$21, $C$9, 100%, $E$9)</f>
        <v>23.614899999999999</v>
      </c>
      <c r="K519" s="52">
        <f>CHOOSE(CONTROL!$C$42, 23.7034, 23.7034) * CHOOSE(CONTROL!$C$21, $C$9, 100%, $E$9)</f>
        <v>23.703399999999998</v>
      </c>
      <c r="L519" s="17">
        <f>CHOOSE(CONTROL!$C$42, 24.3583, 24.3583) * CHOOSE(CONTROL!$C$21, $C$9, 100%, $E$9)</f>
        <v>24.3583</v>
      </c>
      <c r="M519" s="17">
        <f>CHOOSE(CONTROL!$C$42, 23.4095, 23.4095) * CHOOSE(CONTROL!$C$21, $C$9, 100%, $E$9)</f>
        <v>23.409500000000001</v>
      </c>
      <c r="N519" s="17">
        <f>CHOOSE(CONTROL!$C$42, 23.4261, 23.4261) * CHOOSE(CONTROL!$C$21, $C$9, 100%, $E$9)</f>
        <v>23.426100000000002</v>
      </c>
      <c r="O519" s="17">
        <f>CHOOSE(CONTROL!$C$42, 23.5646, 23.5646) * CHOOSE(CONTROL!$C$21, $C$9, 100%, $E$9)</f>
        <v>23.564599999999999</v>
      </c>
      <c r="P519" s="17">
        <f>CHOOSE(CONTROL!$C$42, 23.5026, 23.5026) * CHOOSE(CONTROL!$C$21, $C$9, 100%, $E$9)</f>
        <v>23.502600000000001</v>
      </c>
      <c r="Q519" s="17">
        <f>CHOOSE(CONTROL!$C$42, 24.1593, 24.1593) * CHOOSE(CONTROL!$C$21, $C$9, 100%, $E$9)</f>
        <v>24.159300000000002</v>
      </c>
      <c r="R519" s="17">
        <f>CHOOSE(CONTROL!$C$42, 24.8067, 24.8067) * CHOOSE(CONTROL!$C$21, $C$9, 100%, $E$9)</f>
        <v>24.806699999999999</v>
      </c>
      <c r="S519" s="17">
        <f>CHOOSE(CONTROL!$C$42, 22.8848, 22.8848) * CHOOSE(CONTROL!$C$21, $C$9, 100%, $E$9)</f>
        <v>22.884799999999998</v>
      </c>
      <c r="T519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519" s="56">
        <f>(1000*CHOOSE(CONTROL!$C$42, 695, 695)*CHOOSE(CONTROL!$C$42, 0.5599, 0.5599)*CHOOSE(CONTROL!$C$42, 31, 31))/1000000</f>
        <v>12.063045499999998</v>
      </c>
      <c r="V519" s="56">
        <f>(1000*CHOOSE(CONTROL!$C$42, 500, 500)*CHOOSE(CONTROL!$C$42, 0.275, 0.275)*CHOOSE(CONTROL!$C$42, 31, 31))/1000000</f>
        <v>4.2625000000000002</v>
      </c>
      <c r="W519" s="56">
        <f>(1000*CHOOSE(CONTROL!$C$42, 0.0916, 0.0916)*CHOOSE(CONTROL!$C$42, 121.5, 121.5)*CHOOSE(CONTROL!$C$42, 31, 31))/1000000</f>
        <v>0.34501139999999997</v>
      </c>
      <c r="X519" s="56">
        <f>(31*0.2374*100000/1000000)</f>
        <v>0.73594000000000004</v>
      </c>
      <c r="Y519" s="56"/>
      <c r="Z519" s="17"/>
      <c r="AA519" s="55"/>
      <c r="AB519" s="48">
        <f>(B519*122.58+C519*297.941+D519*89.177+E519*140.302+F519*40+G519*60+H519*0+I519*100+J519*300)/(122.58+297.941+89.177+140.302+0+40+60+100+300)</f>
        <v>23.654875032782602</v>
      </c>
      <c r="AC519" s="45">
        <f>(M519*'RAP TEMPLATE-GAS AVAILABILITY'!O518+N519*'RAP TEMPLATE-GAS AVAILABILITY'!P518+O519*'RAP TEMPLATE-GAS AVAILABILITY'!Q518+P519*'RAP TEMPLATE-GAS AVAILABILITY'!R518)/('RAP TEMPLATE-GAS AVAILABILITY'!O518+'RAP TEMPLATE-GAS AVAILABILITY'!P518+'RAP TEMPLATE-GAS AVAILABILITY'!Q518+'RAP TEMPLATE-GAS AVAILABILITY'!R518)</f>
        <v>23.494148201438847</v>
      </c>
    </row>
    <row r="520" spans="1:29" ht="15.75" x14ac:dyDescent="0.25">
      <c r="A520" s="14">
        <v>56369</v>
      </c>
      <c r="B520" s="17">
        <f>CHOOSE(CONTROL!$C$42, 23.54, 23.54) * CHOOSE(CONTROL!$C$21, $C$9, 100%, $E$9)</f>
        <v>23.54</v>
      </c>
      <c r="C520" s="17">
        <f>CHOOSE(CONTROL!$C$42, 23.5446, 23.5446) * CHOOSE(CONTROL!$C$21, $C$9, 100%, $E$9)</f>
        <v>23.544599999999999</v>
      </c>
      <c r="D520" s="17">
        <f>CHOOSE(CONTROL!$C$42, 23.8076, 23.8076) * CHOOSE(CONTROL!$C$21, $C$9, 100%, $E$9)</f>
        <v>23.807600000000001</v>
      </c>
      <c r="E520" s="17">
        <f>CHOOSE(CONTROL!$C$42, 23.8394, 23.8394) * CHOOSE(CONTROL!$C$21, $C$9, 100%, $E$9)</f>
        <v>23.839400000000001</v>
      </c>
      <c r="F520" s="17">
        <f>CHOOSE(CONTROL!$C$42, 23.551, 23.551)*CHOOSE(CONTROL!$C$21, $C$9, 100%, $E$9)</f>
        <v>23.550999999999998</v>
      </c>
      <c r="G520" s="17">
        <f>CHOOSE(CONTROL!$C$42, 23.5671, 23.5671)*CHOOSE(CONTROL!$C$21, $C$9, 100%, $E$9)</f>
        <v>23.5671</v>
      </c>
      <c r="H520" s="17">
        <f>CHOOSE(CONTROL!$C$42, 23.8288, 23.8288) * CHOOSE(CONTROL!$C$21, $C$9, 100%, $E$9)</f>
        <v>23.828800000000001</v>
      </c>
      <c r="I520" s="17">
        <f>CHOOSE(CONTROL!$C$42, 23.6383, 23.6383)* CHOOSE(CONTROL!$C$21, $C$9, 100%, $E$9)</f>
        <v>23.638300000000001</v>
      </c>
      <c r="J520" s="17">
        <f>CHOOSE(CONTROL!$C$42, 23.5436, 23.5436)* CHOOSE(CONTROL!$C$21, $C$9, 100%, $E$9)</f>
        <v>23.543600000000001</v>
      </c>
      <c r="K520" s="52">
        <f>CHOOSE(CONTROL!$C$42, 23.6323, 23.6323) * CHOOSE(CONTROL!$C$21, $C$9, 100%, $E$9)</f>
        <v>23.632300000000001</v>
      </c>
      <c r="L520" s="17">
        <f>CHOOSE(CONTROL!$C$42, 24.4158, 24.4158) * CHOOSE(CONTROL!$C$21, $C$9, 100%, $E$9)</f>
        <v>24.415800000000001</v>
      </c>
      <c r="M520" s="17">
        <f>CHOOSE(CONTROL!$C$42, 23.3388, 23.3388) * CHOOSE(CONTROL!$C$21, $C$9, 100%, $E$9)</f>
        <v>23.338799999999999</v>
      </c>
      <c r="N520" s="17">
        <f>CHOOSE(CONTROL!$C$42, 23.3548, 23.3548) * CHOOSE(CONTROL!$C$21, $C$9, 100%, $E$9)</f>
        <v>23.354800000000001</v>
      </c>
      <c r="O520" s="17">
        <f>CHOOSE(CONTROL!$C$42, 23.6215, 23.6215) * CHOOSE(CONTROL!$C$21, $C$9, 100%, $E$9)</f>
        <v>23.621500000000001</v>
      </c>
      <c r="P520" s="17">
        <f>CHOOSE(CONTROL!$C$42, 23.4321, 23.4321) * CHOOSE(CONTROL!$C$21, $C$9, 100%, $E$9)</f>
        <v>23.432099999999998</v>
      </c>
      <c r="Q520" s="17">
        <f>CHOOSE(CONTROL!$C$42, 24.2162, 24.2162) * CHOOSE(CONTROL!$C$21, $C$9, 100%, $E$9)</f>
        <v>24.216200000000001</v>
      </c>
      <c r="R520" s="17">
        <f>CHOOSE(CONTROL!$C$42, 24.8638, 24.8638) * CHOOSE(CONTROL!$C$21, $C$9, 100%, $E$9)</f>
        <v>24.863800000000001</v>
      </c>
      <c r="S520" s="17">
        <f>CHOOSE(CONTROL!$C$42, 22.8165, 22.8165) * CHOOSE(CONTROL!$C$21, $C$9, 100%, $E$9)</f>
        <v>22.816500000000001</v>
      </c>
      <c r="T520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520" s="56">
        <f>(1000*CHOOSE(CONTROL!$C$42, 695, 695)*CHOOSE(CONTROL!$C$42, 0.5599, 0.5599)*CHOOSE(CONTROL!$C$42, 30, 30))/1000000</f>
        <v>11.673914999999997</v>
      </c>
      <c r="V520" s="56">
        <f>(1000*CHOOSE(CONTROL!$C$42, 500, 500)*CHOOSE(CONTROL!$C$42, 0.275, 0.275)*CHOOSE(CONTROL!$C$42, 30, 30))/1000000</f>
        <v>4.125</v>
      </c>
      <c r="W520" s="56">
        <f>(1000*CHOOSE(CONTROL!$C$42, 0.0916, 0.0916)*CHOOSE(CONTROL!$C$42, 121.5, 121.5)*CHOOSE(CONTROL!$C$42, 30, 30))/1000000</f>
        <v>0.33388200000000001</v>
      </c>
      <c r="X520" s="56">
        <f>(30*0.1790888*145000/1000000)+(30*0.2374*100000/1000000)</f>
        <v>1.4912362799999999</v>
      </c>
      <c r="Y520" s="56"/>
      <c r="Z520" s="17"/>
      <c r="AA520" s="55"/>
      <c r="AB520" s="48">
        <f>(B520*141.293+C520*267.993+D520*115.016+E520*189.698+F520*40+G520*85+H520*0+I520*100+J520*300)/(141.293+267.993+115.016+189.698+0+40+85+100+300)</f>
        <v>23.622695827764328</v>
      </c>
      <c r="AC520" s="45">
        <f>(M520*'RAP TEMPLATE-GAS AVAILABILITY'!O519+N520*'RAP TEMPLATE-GAS AVAILABILITY'!P519+O520*'RAP TEMPLATE-GAS AVAILABILITY'!Q519+P520*'RAP TEMPLATE-GAS AVAILABILITY'!R519)/('RAP TEMPLATE-GAS AVAILABILITY'!O519+'RAP TEMPLATE-GAS AVAILABILITY'!P519+'RAP TEMPLATE-GAS AVAILABILITY'!Q519+'RAP TEMPLATE-GAS AVAILABILITY'!R519)</f>
        <v>23.435226618705034</v>
      </c>
    </row>
    <row r="521" spans="1:29" ht="15.75" x14ac:dyDescent="0.25">
      <c r="A521" s="14">
        <v>56400</v>
      </c>
      <c r="B521" s="17">
        <f>CHOOSE(CONTROL!$C$42, 23.7491, 23.7491) * CHOOSE(CONTROL!$C$21, $C$9, 100%, $E$9)</f>
        <v>23.749099999999999</v>
      </c>
      <c r="C521" s="17">
        <f>CHOOSE(CONTROL!$C$42, 23.7571, 23.7571) * CHOOSE(CONTROL!$C$21, $C$9, 100%, $E$9)</f>
        <v>23.757100000000001</v>
      </c>
      <c r="D521" s="17">
        <f>CHOOSE(CONTROL!$C$42, 24.017, 24.017) * CHOOSE(CONTROL!$C$21, $C$9, 100%, $E$9)</f>
        <v>24.016999999999999</v>
      </c>
      <c r="E521" s="17">
        <f>CHOOSE(CONTROL!$C$42, 24.0482, 24.0482) * CHOOSE(CONTROL!$C$21, $C$9, 100%, $E$9)</f>
        <v>24.048200000000001</v>
      </c>
      <c r="F521" s="17">
        <f>CHOOSE(CONTROL!$C$42, 23.7588, 23.7588)*CHOOSE(CONTROL!$C$21, $C$9, 100%, $E$9)</f>
        <v>23.758800000000001</v>
      </c>
      <c r="G521" s="17">
        <f>CHOOSE(CONTROL!$C$42, 23.7752, 23.7752)*CHOOSE(CONTROL!$C$21, $C$9, 100%, $E$9)</f>
        <v>23.775200000000002</v>
      </c>
      <c r="H521" s="17">
        <f>CHOOSE(CONTROL!$C$42, 24.0365, 24.0365) * CHOOSE(CONTROL!$C$21, $C$9, 100%, $E$9)</f>
        <v>24.0365</v>
      </c>
      <c r="I521" s="17">
        <f>CHOOSE(CONTROL!$C$42, 23.8466, 23.8466)* CHOOSE(CONTROL!$C$21, $C$9, 100%, $E$9)</f>
        <v>23.846599999999999</v>
      </c>
      <c r="J521" s="17">
        <f>CHOOSE(CONTROL!$C$42, 23.7514, 23.7514)* CHOOSE(CONTROL!$C$21, $C$9, 100%, $E$9)</f>
        <v>23.7514</v>
      </c>
      <c r="K521" s="52">
        <f>CHOOSE(CONTROL!$C$42, 23.8406, 23.8406) * CHOOSE(CONTROL!$C$21, $C$9, 100%, $E$9)</f>
        <v>23.840599999999998</v>
      </c>
      <c r="L521" s="17">
        <f>CHOOSE(CONTROL!$C$42, 24.6235, 24.6235) * CHOOSE(CONTROL!$C$21, $C$9, 100%, $E$9)</f>
        <v>24.6235</v>
      </c>
      <c r="M521" s="17">
        <f>CHOOSE(CONTROL!$C$42, 23.5448, 23.5448) * CHOOSE(CONTROL!$C$21, $C$9, 100%, $E$9)</f>
        <v>23.544799999999999</v>
      </c>
      <c r="N521" s="17">
        <f>CHOOSE(CONTROL!$C$42, 23.5611, 23.5611) * CHOOSE(CONTROL!$C$21, $C$9, 100%, $E$9)</f>
        <v>23.5611</v>
      </c>
      <c r="O521" s="17">
        <f>CHOOSE(CONTROL!$C$42, 23.8273, 23.8273) * CHOOSE(CONTROL!$C$21, $C$9, 100%, $E$9)</f>
        <v>23.827300000000001</v>
      </c>
      <c r="P521" s="17">
        <f>CHOOSE(CONTROL!$C$42, 23.6386, 23.6386) * CHOOSE(CONTROL!$C$21, $C$9, 100%, $E$9)</f>
        <v>23.6386</v>
      </c>
      <c r="Q521" s="17">
        <f>CHOOSE(CONTROL!$C$42, 24.422, 24.422) * CHOOSE(CONTROL!$C$21, $C$9, 100%, $E$9)</f>
        <v>24.422000000000001</v>
      </c>
      <c r="R521" s="17">
        <f>CHOOSE(CONTROL!$C$42, 25.0701, 25.0701) * CHOOSE(CONTROL!$C$21, $C$9, 100%, $E$9)</f>
        <v>25.0701</v>
      </c>
      <c r="S521" s="17">
        <f>CHOOSE(CONTROL!$C$42, 23.0179, 23.0179) * CHOOSE(CONTROL!$C$21, $C$9, 100%, $E$9)</f>
        <v>23.017900000000001</v>
      </c>
      <c r="T521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521" s="56">
        <f>(1000*CHOOSE(CONTROL!$C$42, 695, 695)*CHOOSE(CONTROL!$C$42, 0.5599, 0.5599)*CHOOSE(CONTROL!$C$42, 31, 31))/1000000</f>
        <v>12.063045499999998</v>
      </c>
      <c r="V521" s="56">
        <f>(1000*CHOOSE(CONTROL!$C$42, 500, 500)*CHOOSE(CONTROL!$C$42, 0.275, 0.275)*CHOOSE(CONTROL!$C$42, 31, 31))/1000000</f>
        <v>4.2625000000000002</v>
      </c>
      <c r="W521" s="56">
        <f>(1000*CHOOSE(CONTROL!$C$42, 0.0916, 0.0916)*CHOOSE(CONTROL!$C$42, 121.5, 121.5)*CHOOSE(CONTROL!$C$42, 31, 31))/1000000</f>
        <v>0.34501139999999997</v>
      </c>
      <c r="X521" s="56">
        <f>(31*0.1790888*145000/1000000)+(31*0.2374*100000/1000000)</f>
        <v>1.5409441560000001</v>
      </c>
      <c r="Y521" s="56"/>
      <c r="Z521" s="17"/>
      <c r="AA521" s="55"/>
      <c r="AB521" s="48">
        <f>(B521*194.205+C521*267.466+D521*133.845+E521*153.484+F521*40+G521*85+H521*0+I521*100+J521*300)/(194.205+267.466+133.845+153.484+0+40+85+100+300)</f>
        <v>23.825199189874407</v>
      </c>
      <c r="AC521" s="45">
        <f>(M521*'RAP TEMPLATE-GAS AVAILABILITY'!O520+N521*'RAP TEMPLATE-GAS AVAILABILITY'!P520+O521*'RAP TEMPLATE-GAS AVAILABILITY'!Q520+P521*'RAP TEMPLATE-GAS AVAILABILITY'!R520)/('RAP TEMPLATE-GAS AVAILABILITY'!O520+'RAP TEMPLATE-GAS AVAILABILITY'!P520+'RAP TEMPLATE-GAS AVAILABILITY'!Q520+'RAP TEMPLATE-GAS AVAILABILITY'!R520)</f>
        <v>23.641311510791365</v>
      </c>
    </row>
    <row r="522" spans="1:29" ht="15.75" x14ac:dyDescent="0.25">
      <c r="A522" s="14">
        <v>56430</v>
      </c>
      <c r="B522" s="17">
        <f>CHOOSE(CONTROL!$C$42, 24.4224, 24.4224) * CHOOSE(CONTROL!$C$21, $C$9, 100%, $E$9)</f>
        <v>24.4224</v>
      </c>
      <c r="C522" s="17">
        <f>CHOOSE(CONTROL!$C$42, 24.4304, 24.4304) * CHOOSE(CONTROL!$C$21, $C$9, 100%, $E$9)</f>
        <v>24.430399999999999</v>
      </c>
      <c r="D522" s="17">
        <f>CHOOSE(CONTROL!$C$42, 24.6903, 24.6903) * CHOOSE(CONTROL!$C$21, $C$9, 100%, $E$9)</f>
        <v>24.690300000000001</v>
      </c>
      <c r="E522" s="17">
        <f>CHOOSE(CONTROL!$C$42, 24.7215, 24.7215) * CHOOSE(CONTROL!$C$21, $C$9, 100%, $E$9)</f>
        <v>24.721499999999999</v>
      </c>
      <c r="F522" s="17">
        <f>CHOOSE(CONTROL!$C$42, 24.4324, 24.4324)*CHOOSE(CONTROL!$C$21, $C$9, 100%, $E$9)</f>
        <v>24.432400000000001</v>
      </c>
      <c r="G522" s="17">
        <f>CHOOSE(CONTROL!$C$42, 24.4489, 24.4489)*CHOOSE(CONTROL!$C$21, $C$9, 100%, $E$9)</f>
        <v>24.448899999999998</v>
      </c>
      <c r="H522" s="17">
        <f>CHOOSE(CONTROL!$C$42, 24.7098, 24.7098) * CHOOSE(CONTROL!$C$21, $C$9, 100%, $E$9)</f>
        <v>24.709800000000001</v>
      </c>
      <c r="I522" s="17">
        <f>CHOOSE(CONTROL!$C$42, 24.522, 24.522)* CHOOSE(CONTROL!$C$21, $C$9, 100%, $E$9)</f>
        <v>24.521999999999998</v>
      </c>
      <c r="J522" s="17">
        <f>CHOOSE(CONTROL!$C$42, 24.425, 24.425)* CHOOSE(CONTROL!$C$21, $C$9, 100%, $E$9)</f>
        <v>24.425000000000001</v>
      </c>
      <c r="K522" s="52">
        <f>CHOOSE(CONTROL!$C$42, 24.516, 24.516) * CHOOSE(CONTROL!$C$21, $C$9, 100%, $E$9)</f>
        <v>24.515999999999998</v>
      </c>
      <c r="L522" s="17">
        <f>CHOOSE(CONTROL!$C$42, 25.2968, 25.2968) * CHOOSE(CONTROL!$C$21, $C$9, 100%, $E$9)</f>
        <v>25.296800000000001</v>
      </c>
      <c r="M522" s="17">
        <f>CHOOSE(CONTROL!$C$42, 24.2123, 24.2123) * CHOOSE(CONTROL!$C$21, $C$9, 100%, $E$9)</f>
        <v>24.212299999999999</v>
      </c>
      <c r="N522" s="17">
        <f>CHOOSE(CONTROL!$C$42, 24.2287, 24.2287) * CHOOSE(CONTROL!$C$21, $C$9, 100%, $E$9)</f>
        <v>24.2287</v>
      </c>
      <c r="O522" s="17">
        <f>CHOOSE(CONTROL!$C$42, 24.4946, 24.4946) * CHOOSE(CONTROL!$C$21, $C$9, 100%, $E$9)</f>
        <v>24.494599999999998</v>
      </c>
      <c r="P522" s="17">
        <f>CHOOSE(CONTROL!$C$42, 24.3079, 24.3079) * CHOOSE(CONTROL!$C$21, $C$9, 100%, $E$9)</f>
        <v>24.3079</v>
      </c>
      <c r="Q522" s="17">
        <f>CHOOSE(CONTROL!$C$42, 25.0893, 25.0893) * CHOOSE(CONTROL!$C$21, $C$9, 100%, $E$9)</f>
        <v>25.089300000000001</v>
      </c>
      <c r="R522" s="17">
        <f>CHOOSE(CONTROL!$C$42, 25.739, 25.739) * CHOOSE(CONTROL!$C$21, $C$9, 100%, $E$9)</f>
        <v>25.739000000000001</v>
      </c>
      <c r="S522" s="17">
        <f>CHOOSE(CONTROL!$C$42, 23.6708, 23.6708) * CHOOSE(CONTROL!$C$21, $C$9, 100%, $E$9)</f>
        <v>23.6708</v>
      </c>
      <c r="T522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522" s="56">
        <f>(1000*CHOOSE(CONTROL!$C$42, 695, 695)*CHOOSE(CONTROL!$C$42, 0.5599, 0.5599)*CHOOSE(CONTROL!$C$42, 30, 30))/1000000</f>
        <v>11.673914999999997</v>
      </c>
      <c r="V522" s="56">
        <f>(1000*CHOOSE(CONTROL!$C$42, 500, 500)*CHOOSE(CONTROL!$C$42, 0.275, 0.275)*CHOOSE(CONTROL!$C$42, 30, 30))/1000000</f>
        <v>4.125</v>
      </c>
      <c r="W522" s="56">
        <f>(1000*CHOOSE(CONTROL!$C$42, 0.0916, 0.0916)*CHOOSE(CONTROL!$C$42, 121.5, 121.5)*CHOOSE(CONTROL!$C$42, 30, 30))/1000000</f>
        <v>0.33388200000000001</v>
      </c>
      <c r="X522" s="56">
        <f>(30*0.1790888*145000/1000000)+(30*0.2374*100000/1000000)</f>
        <v>1.4912362799999999</v>
      </c>
      <c r="Y522" s="56"/>
      <c r="Z522" s="17"/>
      <c r="AA522" s="55"/>
      <c r="AB522" s="48">
        <f>(B522*194.205+C522*267.466+D522*133.845+E522*153.484+F522*40+G522*85+H522*0+I522*100+J522*300)/(194.205+267.466+133.845+153.484+0+40+85+100+300)</f>
        <v>24.498770775431712</v>
      </c>
      <c r="AC522" s="45">
        <f>(M522*'RAP TEMPLATE-GAS AVAILABILITY'!O521+N522*'RAP TEMPLATE-GAS AVAILABILITY'!P521+O522*'RAP TEMPLATE-GAS AVAILABILITY'!Q521+P522*'RAP TEMPLATE-GAS AVAILABILITY'!R521)/('RAP TEMPLATE-GAS AVAILABILITY'!O521+'RAP TEMPLATE-GAS AVAILABILITY'!P521+'RAP TEMPLATE-GAS AVAILABILITY'!Q521+'RAP TEMPLATE-GAS AVAILABILITY'!R521)</f>
        <v>24.309037410071941</v>
      </c>
    </row>
    <row r="523" spans="1:29" ht="15.75" x14ac:dyDescent="0.25">
      <c r="A523" s="14">
        <v>56461</v>
      </c>
      <c r="B523" s="17">
        <f>CHOOSE(CONTROL!$C$42, 23.9541, 23.9541) * CHOOSE(CONTROL!$C$21, $C$9, 100%, $E$9)</f>
        <v>23.9541</v>
      </c>
      <c r="C523" s="17">
        <f>CHOOSE(CONTROL!$C$42, 23.9621, 23.9621) * CHOOSE(CONTROL!$C$21, $C$9, 100%, $E$9)</f>
        <v>23.9621</v>
      </c>
      <c r="D523" s="17">
        <f>CHOOSE(CONTROL!$C$42, 24.222, 24.222) * CHOOSE(CONTROL!$C$21, $C$9, 100%, $E$9)</f>
        <v>24.222000000000001</v>
      </c>
      <c r="E523" s="17">
        <f>CHOOSE(CONTROL!$C$42, 24.2532, 24.2532) * CHOOSE(CONTROL!$C$21, $C$9, 100%, $E$9)</f>
        <v>24.2532</v>
      </c>
      <c r="F523" s="17">
        <f>CHOOSE(CONTROL!$C$42, 23.9645, 23.9645)*CHOOSE(CONTROL!$C$21, $C$9, 100%, $E$9)</f>
        <v>23.964500000000001</v>
      </c>
      <c r="G523" s="17">
        <f>CHOOSE(CONTROL!$C$42, 23.9811, 23.9811)*CHOOSE(CONTROL!$C$21, $C$9, 100%, $E$9)</f>
        <v>23.981100000000001</v>
      </c>
      <c r="H523" s="17">
        <f>CHOOSE(CONTROL!$C$42, 24.2415, 24.2415) * CHOOSE(CONTROL!$C$21, $C$9, 100%, $E$9)</f>
        <v>24.241499999999998</v>
      </c>
      <c r="I523" s="17">
        <f>CHOOSE(CONTROL!$C$42, 24.0523, 24.0523)* CHOOSE(CONTROL!$C$21, $C$9, 100%, $E$9)</f>
        <v>24.052299999999999</v>
      </c>
      <c r="J523" s="17">
        <f>CHOOSE(CONTROL!$C$42, 23.9571, 23.9571)* CHOOSE(CONTROL!$C$21, $C$9, 100%, $E$9)</f>
        <v>23.957100000000001</v>
      </c>
      <c r="K523" s="52">
        <f>CHOOSE(CONTROL!$C$42, 24.0462, 24.0462) * CHOOSE(CONTROL!$C$21, $C$9, 100%, $E$9)</f>
        <v>24.046199999999999</v>
      </c>
      <c r="L523" s="17">
        <f>CHOOSE(CONTROL!$C$42, 24.8285, 24.8285) * CHOOSE(CONTROL!$C$21, $C$9, 100%, $E$9)</f>
        <v>24.828499999999998</v>
      </c>
      <c r="M523" s="17">
        <f>CHOOSE(CONTROL!$C$42, 23.7486, 23.7486) * CHOOSE(CONTROL!$C$21, $C$9, 100%, $E$9)</f>
        <v>23.7486</v>
      </c>
      <c r="N523" s="17">
        <f>CHOOSE(CONTROL!$C$42, 23.7651, 23.7651) * CHOOSE(CONTROL!$C$21, $C$9, 100%, $E$9)</f>
        <v>23.7651</v>
      </c>
      <c r="O523" s="17">
        <f>CHOOSE(CONTROL!$C$42, 24.0305, 24.0305) * CHOOSE(CONTROL!$C$21, $C$9, 100%, $E$9)</f>
        <v>24.0305</v>
      </c>
      <c r="P523" s="17">
        <f>CHOOSE(CONTROL!$C$42, 23.8424, 23.8424) * CHOOSE(CONTROL!$C$21, $C$9, 100%, $E$9)</f>
        <v>23.842400000000001</v>
      </c>
      <c r="Q523" s="17">
        <f>CHOOSE(CONTROL!$C$42, 24.6252, 24.6252) * CHOOSE(CONTROL!$C$21, $C$9, 100%, $E$9)</f>
        <v>24.6252</v>
      </c>
      <c r="R523" s="17">
        <f>CHOOSE(CONTROL!$C$42, 25.2738, 25.2738) * CHOOSE(CONTROL!$C$21, $C$9, 100%, $E$9)</f>
        <v>25.273800000000001</v>
      </c>
      <c r="S523" s="17">
        <f>CHOOSE(CONTROL!$C$42, 23.2167, 23.2167) * CHOOSE(CONTROL!$C$21, $C$9, 100%, $E$9)</f>
        <v>23.216699999999999</v>
      </c>
      <c r="T523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523" s="56">
        <f>(1000*CHOOSE(CONTROL!$C$42, 695, 695)*CHOOSE(CONTROL!$C$42, 0.5599, 0.5599)*CHOOSE(CONTROL!$C$42, 31, 31))/1000000</f>
        <v>12.063045499999998</v>
      </c>
      <c r="V523" s="56">
        <f>(1000*CHOOSE(CONTROL!$C$42, 500, 500)*CHOOSE(CONTROL!$C$42, 0.275, 0.275)*CHOOSE(CONTROL!$C$42, 31, 31))/1000000</f>
        <v>4.2625000000000002</v>
      </c>
      <c r="W523" s="56">
        <f>(1000*CHOOSE(CONTROL!$C$42, 0.0916, 0.0916)*CHOOSE(CONTROL!$C$42, 121.5, 121.5)*CHOOSE(CONTROL!$C$42, 31, 31))/1000000</f>
        <v>0.34501139999999997</v>
      </c>
      <c r="X523" s="56">
        <f>(31*0.1790888*145000/1000000)+(31*0.2374*100000/1000000)</f>
        <v>1.5409441560000001</v>
      </c>
      <c r="Y523" s="56"/>
      <c r="Z523" s="17"/>
      <c r="AA523" s="55"/>
      <c r="AB523" s="48">
        <f>(B523*194.205+C523*267.466+D523*133.845+E523*153.484+F523*40+G523*85+H523*0+I523*100+J523*300)/(194.205+267.466+133.845+153.484+0+40+85+100+300)</f>
        <v>24.030500995211934</v>
      </c>
      <c r="AC523" s="45">
        <f>(M523*'RAP TEMPLATE-GAS AVAILABILITY'!O522+N523*'RAP TEMPLATE-GAS AVAILABILITY'!P522+O523*'RAP TEMPLATE-GAS AVAILABILITY'!Q522+P523*'RAP TEMPLATE-GAS AVAILABILITY'!R522)/('RAP TEMPLATE-GAS AVAILABILITY'!O522+'RAP TEMPLATE-GAS AVAILABILITY'!P522+'RAP TEMPLATE-GAS AVAILABILITY'!Q522+'RAP TEMPLATE-GAS AVAILABILITY'!R522)</f>
        <v>23.844989208633095</v>
      </c>
    </row>
    <row r="524" spans="1:29" ht="15.75" x14ac:dyDescent="0.25">
      <c r="A524" s="14">
        <v>56492</v>
      </c>
      <c r="B524" s="17">
        <f>CHOOSE(CONTROL!$C$42, 22.7715, 22.7715) * CHOOSE(CONTROL!$C$21, $C$9, 100%, $E$9)</f>
        <v>22.7715</v>
      </c>
      <c r="C524" s="17">
        <f>CHOOSE(CONTROL!$C$42, 22.7795, 22.7795) * CHOOSE(CONTROL!$C$21, $C$9, 100%, $E$9)</f>
        <v>22.779499999999999</v>
      </c>
      <c r="D524" s="17">
        <f>CHOOSE(CONTROL!$C$42, 23.0394, 23.0394) * CHOOSE(CONTROL!$C$21, $C$9, 100%, $E$9)</f>
        <v>23.039400000000001</v>
      </c>
      <c r="E524" s="17">
        <f>CHOOSE(CONTROL!$C$42, 23.0706, 23.0706) * CHOOSE(CONTROL!$C$21, $C$9, 100%, $E$9)</f>
        <v>23.070599999999999</v>
      </c>
      <c r="F524" s="17">
        <f>CHOOSE(CONTROL!$C$42, 22.7821, 22.7821)*CHOOSE(CONTROL!$C$21, $C$9, 100%, $E$9)</f>
        <v>22.7821</v>
      </c>
      <c r="G524" s="17">
        <f>CHOOSE(CONTROL!$C$42, 22.7989, 22.7989)*CHOOSE(CONTROL!$C$21, $C$9, 100%, $E$9)</f>
        <v>22.7989</v>
      </c>
      <c r="H524" s="17">
        <f>CHOOSE(CONTROL!$C$42, 23.0589, 23.0589) * CHOOSE(CONTROL!$C$21, $C$9, 100%, $E$9)</f>
        <v>23.058900000000001</v>
      </c>
      <c r="I524" s="17">
        <f>CHOOSE(CONTROL!$C$42, 22.866, 22.866)* CHOOSE(CONTROL!$C$21, $C$9, 100%, $E$9)</f>
        <v>22.866</v>
      </c>
      <c r="J524" s="17">
        <f>CHOOSE(CONTROL!$C$42, 22.7747, 22.7747)* CHOOSE(CONTROL!$C$21, $C$9, 100%, $E$9)</f>
        <v>22.774699999999999</v>
      </c>
      <c r="K524" s="52">
        <f>CHOOSE(CONTROL!$C$42, 22.86, 22.86) * CHOOSE(CONTROL!$C$21, $C$9, 100%, $E$9)</f>
        <v>22.86</v>
      </c>
      <c r="L524" s="17">
        <f>CHOOSE(CONTROL!$C$42, 23.6459, 23.6459) * CHOOSE(CONTROL!$C$21, $C$9, 100%, $E$9)</f>
        <v>23.645900000000001</v>
      </c>
      <c r="M524" s="17">
        <f>CHOOSE(CONTROL!$C$42, 22.5769, 22.5769) * CHOOSE(CONTROL!$C$21, $C$9, 100%, $E$9)</f>
        <v>22.576899999999998</v>
      </c>
      <c r="N524" s="17">
        <f>CHOOSE(CONTROL!$C$42, 22.5935, 22.5935) * CHOOSE(CONTROL!$C$21, $C$9, 100%, $E$9)</f>
        <v>22.593499999999999</v>
      </c>
      <c r="O524" s="17">
        <f>CHOOSE(CONTROL!$C$42, 22.8586, 22.8586) * CHOOSE(CONTROL!$C$21, $C$9, 100%, $E$9)</f>
        <v>22.858599999999999</v>
      </c>
      <c r="P524" s="17">
        <f>CHOOSE(CONTROL!$C$42, 22.6668, 22.6668) * CHOOSE(CONTROL!$C$21, $C$9, 100%, $E$9)</f>
        <v>22.666799999999999</v>
      </c>
      <c r="Q524" s="17">
        <f>CHOOSE(CONTROL!$C$42, 23.4533, 23.4533) * CHOOSE(CONTROL!$C$21, $C$9, 100%, $E$9)</f>
        <v>23.453299999999999</v>
      </c>
      <c r="R524" s="17">
        <f>CHOOSE(CONTROL!$C$42, 24.0989, 24.0989) * CHOOSE(CONTROL!$C$21, $C$9, 100%, $E$9)</f>
        <v>24.0989</v>
      </c>
      <c r="S524" s="17">
        <f>CHOOSE(CONTROL!$C$42, 22.07, 22.07) * CHOOSE(CONTROL!$C$21, $C$9, 100%, $E$9)</f>
        <v>22.07</v>
      </c>
      <c r="T524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524" s="56">
        <f>(1000*CHOOSE(CONTROL!$C$42, 695, 695)*CHOOSE(CONTROL!$C$42, 0.5599, 0.5599)*CHOOSE(CONTROL!$C$42, 31, 31))/1000000</f>
        <v>12.063045499999998</v>
      </c>
      <c r="V524" s="56">
        <f>(1000*CHOOSE(CONTROL!$C$42, 500, 500)*CHOOSE(CONTROL!$C$42, 0.275, 0.275)*CHOOSE(CONTROL!$C$42, 31, 31))/1000000</f>
        <v>4.2625000000000002</v>
      </c>
      <c r="W524" s="56">
        <f>(1000*CHOOSE(CONTROL!$C$42, 0.0916, 0.0916)*CHOOSE(CONTROL!$C$42, 121.5, 121.5)*CHOOSE(CONTROL!$C$42, 31, 31))/1000000</f>
        <v>0.34501139999999997</v>
      </c>
      <c r="X524" s="56">
        <f>(31*0.1790888*145000/1000000)+(31*0.2374*100000/1000000)</f>
        <v>1.5409441560000001</v>
      </c>
      <c r="Y524" s="56"/>
      <c r="Z524" s="17"/>
      <c r="AA524" s="55"/>
      <c r="AB524" s="48">
        <f>(B524*194.205+C524*267.466+D524*133.845+E524*153.484+F524*40+G524*85+H524*0+I524*100+J524*300)/(194.205+267.466+133.845+153.484+0+40+85+100+300)</f>
        <v>22.847690634144428</v>
      </c>
      <c r="AC524" s="45">
        <f>(M524*'RAP TEMPLATE-GAS AVAILABILITY'!O523+N524*'RAP TEMPLATE-GAS AVAILABILITY'!P523+O524*'RAP TEMPLATE-GAS AVAILABILITY'!Q523+P524*'RAP TEMPLATE-GAS AVAILABILITY'!R523)/('RAP TEMPLATE-GAS AVAILABILITY'!O523+'RAP TEMPLATE-GAS AVAILABILITY'!P523+'RAP TEMPLATE-GAS AVAILABILITY'!Q523+'RAP TEMPLATE-GAS AVAILABILITY'!R523)</f>
        <v>22.672694964028775</v>
      </c>
    </row>
    <row r="525" spans="1:29" ht="15.75" x14ac:dyDescent="0.25">
      <c r="A525" s="14">
        <v>56522</v>
      </c>
      <c r="B525" s="17">
        <f>CHOOSE(CONTROL!$C$42, 21.3263, 21.3263) * CHOOSE(CONTROL!$C$21, $C$9, 100%, $E$9)</f>
        <v>21.3263</v>
      </c>
      <c r="C525" s="17">
        <f>CHOOSE(CONTROL!$C$42, 21.3343, 21.3343) * CHOOSE(CONTROL!$C$21, $C$9, 100%, $E$9)</f>
        <v>21.334299999999999</v>
      </c>
      <c r="D525" s="17">
        <f>CHOOSE(CONTROL!$C$42, 21.5943, 21.5943) * CHOOSE(CONTROL!$C$21, $C$9, 100%, $E$9)</f>
        <v>21.5943</v>
      </c>
      <c r="E525" s="17">
        <f>CHOOSE(CONTROL!$C$42, 21.6254, 21.6254) * CHOOSE(CONTROL!$C$21, $C$9, 100%, $E$9)</f>
        <v>21.625399999999999</v>
      </c>
      <c r="F525" s="17">
        <f>CHOOSE(CONTROL!$C$42, 21.337, 21.337)*CHOOSE(CONTROL!$C$21, $C$9, 100%, $E$9)</f>
        <v>21.337</v>
      </c>
      <c r="G525" s="17">
        <f>CHOOSE(CONTROL!$C$42, 21.3537, 21.3537)*CHOOSE(CONTROL!$C$21, $C$9, 100%, $E$9)</f>
        <v>21.3537</v>
      </c>
      <c r="H525" s="17">
        <f>CHOOSE(CONTROL!$C$42, 21.6138, 21.6138) * CHOOSE(CONTROL!$C$21, $C$9, 100%, $E$9)</f>
        <v>21.613800000000001</v>
      </c>
      <c r="I525" s="17">
        <f>CHOOSE(CONTROL!$C$42, 21.4164, 21.4164)* CHOOSE(CONTROL!$C$21, $C$9, 100%, $E$9)</f>
        <v>21.416399999999999</v>
      </c>
      <c r="J525" s="17">
        <f>CHOOSE(CONTROL!$C$42, 21.3296, 21.3296)* CHOOSE(CONTROL!$C$21, $C$9, 100%, $E$9)</f>
        <v>21.329599999999999</v>
      </c>
      <c r="K525" s="52">
        <f>CHOOSE(CONTROL!$C$42, 21.4103, 21.4103) * CHOOSE(CONTROL!$C$21, $C$9, 100%, $E$9)</f>
        <v>21.410299999999999</v>
      </c>
      <c r="L525" s="17">
        <f>CHOOSE(CONTROL!$C$42, 22.2008, 22.2008) * CHOOSE(CONTROL!$C$21, $C$9, 100%, $E$9)</f>
        <v>22.200800000000001</v>
      </c>
      <c r="M525" s="17">
        <f>CHOOSE(CONTROL!$C$42, 21.1448, 21.1448) * CHOOSE(CONTROL!$C$21, $C$9, 100%, $E$9)</f>
        <v>21.1448</v>
      </c>
      <c r="N525" s="17">
        <f>CHOOSE(CONTROL!$C$42, 21.1613, 21.1613) * CHOOSE(CONTROL!$C$21, $C$9, 100%, $E$9)</f>
        <v>21.161300000000001</v>
      </c>
      <c r="O525" s="17">
        <f>CHOOSE(CONTROL!$C$42, 21.4264, 21.4264) * CHOOSE(CONTROL!$C$21, $C$9, 100%, $E$9)</f>
        <v>21.426400000000001</v>
      </c>
      <c r="P525" s="17">
        <f>CHOOSE(CONTROL!$C$42, 21.2302, 21.2302) * CHOOSE(CONTROL!$C$21, $C$9, 100%, $E$9)</f>
        <v>21.2302</v>
      </c>
      <c r="Q525" s="17">
        <f>CHOOSE(CONTROL!$C$42, 22.0211, 22.0211) * CHOOSE(CONTROL!$C$21, $C$9, 100%, $E$9)</f>
        <v>22.021100000000001</v>
      </c>
      <c r="R525" s="17">
        <f>CHOOSE(CONTROL!$C$42, 22.6631, 22.6631) * CHOOSE(CONTROL!$C$21, $C$9, 100%, $E$9)</f>
        <v>22.6631</v>
      </c>
      <c r="S525" s="17">
        <f>CHOOSE(CONTROL!$C$42, 20.6686, 20.6686) * CHOOSE(CONTROL!$C$21, $C$9, 100%, $E$9)</f>
        <v>20.668600000000001</v>
      </c>
      <c r="T525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525" s="56">
        <f>(1000*CHOOSE(CONTROL!$C$42, 695, 695)*CHOOSE(CONTROL!$C$42, 0.5599, 0.5599)*CHOOSE(CONTROL!$C$42, 30, 30))/1000000</f>
        <v>11.673914999999997</v>
      </c>
      <c r="V525" s="56">
        <f>(1000*CHOOSE(CONTROL!$C$42, 500, 500)*CHOOSE(CONTROL!$C$42, 0.275, 0.275)*CHOOSE(CONTROL!$C$42, 30, 30))/1000000</f>
        <v>4.125</v>
      </c>
      <c r="W525" s="56">
        <f>(1000*CHOOSE(CONTROL!$C$42, 0.0916, 0.0916)*CHOOSE(CONTROL!$C$42, 121.5, 121.5)*CHOOSE(CONTROL!$C$42, 30, 30))/1000000</f>
        <v>0.33388200000000001</v>
      </c>
      <c r="X525" s="56">
        <f>(30*0.1790888*145000/1000000)+(30*0.2374*100000/1000000)</f>
        <v>1.4912362799999999</v>
      </c>
      <c r="Y525" s="56"/>
      <c r="Z525" s="17"/>
      <c r="AA525" s="55"/>
      <c r="AB525" s="48">
        <f>(B525*194.205+C525*267.466+D525*133.845+E525*153.484+F525*40+G525*85+H525*0+I525*100+J525*300)/(194.205+267.466+133.845+153.484+0+40+85+100+300)</f>
        <v>21.402182458712716</v>
      </c>
      <c r="AC525" s="45">
        <f>(M525*'RAP TEMPLATE-GAS AVAILABILITY'!O524+N525*'RAP TEMPLATE-GAS AVAILABILITY'!P524+O525*'RAP TEMPLATE-GAS AVAILABILITY'!Q524+P525*'RAP TEMPLATE-GAS AVAILABILITY'!R524)/('RAP TEMPLATE-GAS AVAILABILITY'!O524+'RAP TEMPLATE-GAS AVAILABILITY'!P524+'RAP TEMPLATE-GAS AVAILABILITY'!Q524+'RAP TEMPLATE-GAS AVAILABILITY'!R524)</f>
        <v>21.239896402877701</v>
      </c>
    </row>
    <row r="526" spans="1:29" ht="15.75" x14ac:dyDescent="0.25">
      <c r="A526" s="14">
        <v>56553</v>
      </c>
      <c r="B526" s="17">
        <f>CHOOSE(CONTROL!$C$42, 20.8919, 20.8919) * CHOOSE(CONTROL!$C$21, $C$9, 100%, $E$9)</f>
        <v>20.8919</v>
      </c>
      <c r="C526" s="17">
        <f>CHOOSE(CONTROL!$C$42, 20.8972, 20.8972) * CHOOSE(CONTROL!$C$21, $C$9, 100%, $E$9)</f>
        <v>20.897200000000002</v>
      </c>
      <c r="D526" s="17">
        <f>CHOOSE(CONTROL!$C$42, 21.162, 21.162) * CHOOSE(CONTROL!$C$21, $C$9, 100%, $E$9)</f>
        <v>21.161999999999999</v>
      </c>
      <c r="E526" s="17">
        <f>CHOOSE(CONTROL!$C$42, 21.1909, 21.1909) * CHOOSE(CONTROL!$C$21, $C$9, 100%, $E$9)</f>
        <v>21.190899999999999</v>
      </c>
      <c r="F526" s="17">
        <f>CHOOSE(CONTROL!$C$42, 20.9047, 20.9047)*CHOOSE(CONTROL!$C$21, $C$9, 100%, $E$9)</f>
        <v>20.904699999999998</v>
      </c>
      <c r="G526" s="17">
        <f>CHOOSE(CONTROL!$C$42, 20.9213, 20.9213)*CHOOSE(CONTROL!$C$21, $C$9, 100%, $E$9)</f>
        <v>20.921299999999999</v>
      </c>
      <c r="H526" s="17">
        <f>CHOOSE(CONTROL!$C$42, 21.181, 21.181) * CHOOSE(CONTROL!$C$21, $C$9, 100%, $E$9)</f>
        <v>21.181000000000001</v>
      </c>
      <c r="I526" s="17">
        <f>CHOOSE(CONTROL!$C$42, 20.9823, 20.9823)* CHOOSE(CONTROL!$C$21, $C$9, 100%, $E$9)</f>
        <v>20.982299999999999</v>
      </c>
      <c r="J526" s="17">
        <f>CHOOSE(CONTROL!$C$42, 20.8973, 20.8973)* CHOOSE(CONTROL!$C$21, $C$9, 100%, $E$9)</f>
        <v>20.897300000000001</v>
      </c>
      <c r="K526" s="52">
        <f>CHOOSE(CONTROL!$C$42, 20.9762, 20.9762) * CHOOSE(CONTROL!$C$21, $C$9, 100%, $E$9)</f>
        <v>20.976199999999999</v>
      </c>
      <c r="L526" s="17">
        <f>CHOOSE(CONTROL!$C$42, 21.768, 21.768) * CHOOSE(CONTROL!$C$21, $C$9, 100%, $E$9)</f>
        <v>21.768000000000001</v>
      </c>
      <c r="M526" s="17">
        <f>CHOOSE(CONTROL!$C$42, 20.7164, 20.7164) * CHOOSE(CONTROL!$C$21, $C$9, 100%, $E$9)</f>
        <v>20.7164</v>
      </c>
      <c r="N526" s="17">
        <f>CHOOSE(CONTROL!$C$42, 20.7328, 20.7328) * CHOOSE(CONTROL!$C$21, $C$9, 100%, $E$9)</f>
        <v>20.732800000000001</v>
      </c>
      <c r="O526" s="17">
        <f>CHOOSE(CONTROL!$C$42, 20.9975, 20.9975) * CHOOSE(CONTROL!$C$21, $C$9, 100%, $E$9)</f>
        <v>20.997499999999999</v>
      </c>
      <c r="P526" s="17">
        <f>CHOOSE(CONTROL!$C$42, 20.8001, 20.8001) * CHOOSE(CONTROL!$C$21, $C$9, 100%, $E$9)</f>
        <v>20.8001</v>
      </c>
      <c r="Q526" s="17">
        <f>CHOOSE(CONTROL!$C$42, 21.5922, 21.5922) * CHOOSE(CONTROL!$C$21, $C$9, 100%, $E$9)</f>
        <v>21.592199999999998</v>
      </c>
      <c r="R526" s="17">
        <f>CHOOSE(CONTROL!$C$42, 22.2332, 22.2332) * CHOOSE(CONTROL!$C$21, $C$9, 100%, $E$9)</f>
        <v>22.2332</v>
      </c>
      <c r="S526" s="17">
        <f>CHOOSE(CONTROL!$C$42, 20.2489, 20.2489) * CHOOSE(CONTROL!$C$21, $C$9, 100%, $E$9)</f>
        <v>20.248899999999999</v>
      </c>
      <c r="T526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526" s="56">
        <f>(1000*CHOOSE(CONTROL!$C$42, 695, 695)*CHOOSE(CONTROL!$C$42, 0.5599, 0.5599)*CHOOSE(CONTROL!$C$42, 31, 31))/1000000</f>
        <v>12.063045499999998</v>
      </c>
      <c r="V526" s="56">
        <f>(1000*CHOOSE(CONTROL!$C$42, 500, 500)*CHOOSE(CONTROL!$C$42, 0.275, 0.275)*CHOOSE(CONTROL!$C$42, 31, 31))/1000000</f>
        <v>4.2625000000000002</v>
      </c>
      <c r="W526" s="56">
        <f>(1000*CHOOSE(CONTROL!$C$42, 0.0916, 0.0916)*CHOOSE(CONTROL!$C$42, 121.5, 121.5)*CHOOSE(CONTROL!$C$42, 31, 31))/1000000</f>
        <v>0.34501139999999997</v>
      </c>
      <c r="X526" s="56">
        <f>(31*0.1790888*145000/1000000)+(31*0.2374*100000/1000000)</f>
        <v>1.5409441560000001</v>
      </c>
      <c r="Y526" s="56"/>
      <c r="Z526" s="17"/>
      <c r="AA526" s="55"/>
      <c r="AB526" s="48">
        <f>(B526*131.881+C526*277.167+D526*79.08+E526*225.872+F526*40+G526*85+H526*0+I526*100+J526*300)/(131.881+277.167+79.08+225.872+0+40+85+100+300)</f>
        <v>20.975867087247781</v>
      </c>
      <c r="AC526" s="45">
        <f>(M526*'RAP TEMPLATE-GAS AVAILABILITY'!O525+N526*'RAP TEMPLATE-GAS AVAILABILITY'!P525+O526*'RAP TEMPLATE-GAS AVAILABILITY'!Q525+P526*'RAP TEMPLATE-GAS AVAILABILITY'!R525)/('RAP TEMPLATE-GAS AVAILABILITY'!O525+'RAP TEMPLATE-GAS AVAILABILITY'!P525+'RAP TEMPLATE-GAS AVAILABILITY'!Q525+'RAP TEMPLATE-GAS AVAILABILITY'!R525)</f>
        <v>20.811088489208633</v>
      </c>
    </row>
    <row r="527" spans="1:29" ht="15.75" x14ac:dyDescent="0.25">
      <c r="A527" s="14">
        <v>56583</v>
      </c>
      <c r="B527" s="17">
        <f>CHOOSE(CONTROL!$C$42, 21.4416, 21.4416) * CHOOSE(CONTROL!$C$21, $C$9, 100%, $E$9)</f>
        <v>21.441600000000001</v>
      </c>
      <c r="C527" s="17">
        <f>CHOOSE(CONTROL!$C$42, 21.4467, 21.4467) * CHOOSE(CONTROL!$C$21, $C$9, 100%, $E$9)</f>
        <v>21.4467</v>
      </c>
      <c r="D527" s="17">
        <f>CHOOSE(CONTROL!$C$42, 21.5873, 21.5873) * CHOOSE(CONTROL!$C$21, $C$9, 100%, $E$9)</f>
        <v>21.587299999999999</v>
      </c>
      <c r="E527" s="17">
        <f>CHOOSE(CONTROL!$C$42, 21.6211, 21.6211) * CHOOSE(CONTROL!$C$21, $C$9, 100%, $E$9)</f>
        <v>21.621099999999998</v>
      </c>
      <c r="F527" s="17">
        <f>CHOOSE(CONTROL!$C$42, 21.4549, 21.4549)*CHOOSE(CONTROL!$C$21, $C$9, 100%, $E$9)</f>
        <v>21.454899999999999</v>
      </c>
      <c r="G527" s="17">
        <f>CHOOSE(CONTROL!$C$42, 21.4717, 21.4717)*CHOOSE(CONTROL!$C$21, $C$9, 100%, $E$9)</f>
        <v>21.471699999999998</v>
      </c>
      <c r="H527" s="17">
        <f>CHOOSE(CONTROL!$C$42, 21.6099, 21.6099) * CHOOSE(CONTROL!$C$21, $C$9, 100%, $E$9)</f>
        <v>21.6099</v>
      </c>
      <c r="I527" s="17">
        <f>CHOOSE(CONTROL!$C$42, 21.5305, 21.5305)* CHOOSE(CONTROL!$C$21, $C$9, 100%, $E$9)</f>
        <v>21.5305</v>
      </c>
      <c r="J527" s="17">
        <f>CHOOSE(CONTROL!$C$42, 21.4475, 21.4475)* CHOOSE(CONTROL!$C$21, $C$9, 100%, $E$9)</f>
        <v>21.447500000000002</v>
      </c>
      <c r="K527" s="52">
        <f>CHOOSE(CONTROL!$C$42, 21.5244, 21.5244) * CHOOSE(CONTROL!$C$21, $C$9, 100%, $E$9)</f>
        <v>21.5244</v>
      </c>
      <c r="L527" s="17">
        <f>CHOOSE(CONTROL!$C$42, 22.1969, 22.1969) * CHOOSE(CONTROL!$C$21, $C$9, 100%, $E$9)</f>
        <v>22.196899999999999</v>
      </c>
      <c r="M527" s="17">
        <f>CHOOSE(CONTROL!$C$42, 21.2616, 21.2616) * CHOOSE(CONTROL!$C$21, $C$9, 100%, $E$9)</f>
        <v>21.261600000000001</v>
      </c>
      <c r="N527" s="17">
        <f>CHOOSE(CONTROL!$C$42, 21.2783, 21.2783) * CHOOSE(CONTROL!$C$21, $C$9, 100%, $E$9)</f>
        <v>21.278300000000002</v>
      </c>
      <c r="O527" s="17">
        <f>CHOOSE(CONTROL!$C$42, 21.4226, 21.4226) * CHOOSE(CONTROL!$C$21, $C$9, 100%, $E$9)</f>
        <v>21.422599999999999</v>
      </c>
      <c r="P527" s="17">
        <f>CHOOSE(CONTROL!$C$42, 21.3433, 21.3433) * CHOOSE(CONTROL!$C$21, $C$9, 100%, $E$9)</f>
        <v>21.343299999999999</v>
      </c>
      <c r="Q527" s="17">
        <f>CHOOSE(CONTROL!$C$42, 22.0173, 22.0173) * CHOOSE(CONTROL!$C$21, $C$9, 100%, $E$9)</f>
        <v>22.017299999999999</v>
      </c>
      <c r="R527" s="17">
        <f>CHOOSE(CONTROL!$C$42, 22.6593, 22.6593) * CHOOSE(CONTROL!$C$21, $C$9, 100%, $E$9)</f>
        <v>22.659300000000002</v>
      </c>
      <c r="S527" s="17">
        <f>CHOOSE(CONTROL!$C$42, 20.7824, 20.7824) * CHOOSE(CONTROL!$C$21, $C$9, 100%, $E$9)</f>
        <v>20.782399999999999</v>
      </c>
      <c r="T527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527" s="56">
        <f>(1000*CHOOSE(CONTROL!$C$42, 695, 695)*CHOOSE(CONTROL!$C$42, 0.5599, 0.5599)*CHOOSE(CONTROL!$C$42, 30, 30))/1000000</f>
        <v>11.673914999999997</v>
      </c>
      <c r="V527" s="56">
        <f>(1000*CHOOSE(CONTROL!$C$42, 500, 500)*CHOOSE(CONTROL!$C$42, 0.275, 0.275)*CHOOSE(CONTROL!$C$42, 30, 30))/1000000</f>
        <v>4.125</v>
      </c>
      <c r="W527" s="56">
        <f>(1000*CHOOSE(CONTROL!$C$42, 0.0916, 0.0916)*CHOOSE(CONTROL!$C$42, 121.5, 121.5)*CHOOSE(CONTROL!$C$42, 30, 30))/1000000</f>
        <v>0.33388200000000001</v>
      </c>
      <c r="X527" s="56">
        <f>(30*0.2374*100000/1000000)</f>
        <v>0.71220000000000006</v>
      </c>
      <c r="Y527" s="56"/>
      <c r="Z527" s="17"/>
      <c r="AA527" s="55"/>
      <c r="AB527" s="48">
        <f>(B527*122.58+C527*297.941+D527*89.177+E527*140.302+F527*40+G527*60+H527*0+I527*100+J527*300)/(122.58+297.941+89.177+140.302+0+40+60+100+300)</f>
        <v>21.487421562608692</v>
      </c>
      <c r="AC527" s="45">
        <f>(M527*'RAP TEMPLATE-GAS AVAILABILITY'!O526+N527*'RAP TEMPLATE-GAS AVAILABILITY'!P526+O527*'RAP TEMPLATE-GAS AVAILABILITY'!Q526+P527*'RAP TEMPLATE-GAS AVAILABILITY'!R526)/('RAP TEMPLATE-GAS AVAILABILITY'!O526+'RAP TEMPLATE-GAS AVAILABILITY'!P526+'RAP TEMPLATE-GAS AVAILABILITY'!Q526+'RAP TEMPLATE-GAS AVAILABILITY'!R526)</f>
        <v>21.347287769784174</v>
      </c>
    </row>
    <row r="528" spans="1:29" ht="15.75" x14ac:dyDescent="0.25">
      <c r="A528" s="14">
        <v>56614</v>
      </c>
      <c r="B528" s="17">
        <f>CHOOSE(CONTROL!$C$42, 22.9027, 22.9027) * CHOOSE(CONTROL!$C$21, $C$9, 100%, $E$9)</f>
        <v>22.902699999999999</v>
      </c>
      <c r="C528" s="17">
        <f>CHOOSE(CONTROL!$C$42, 22.9078, 22.9078) * CHOOSE(CONTROL!$C$21, $C$9, 100%, $E$9)</f>
        <v>22.907800000000002</v>
      </c>
      <c r="D528" s="17">
        <f>CHOOSE(CONTROL!$C$42, 23.0485, 23.0485) * CHOOSE(CONTROL!$C$21, $C$9, 100%, $E$9)</f>
        <v>23.048500000000001</v>
      </c>
      <c r="E528" s="17">
        <f>CHOOSE(CONTROL!$C$42, 23.0822, 23.0822) * CHOOSE(CONTROL!$C$21, $C$9, 100%, $E$9)</f>
        <v>23.0822</v>
      </c>
      <c r="F528" s="17">
        <f>CHOOSE(CONTROL!$C$42, 22.9184, 22.9184)*CHOOSE(CONTROL!$C$21, $C$9, 100%, $E$9)</f>
        <v>22.918399999999998</v>
      </c>
      <c r="G528" s="17">
        <f>CHOOSE(CONTROL!$C$42, 22.9359, 22.9359)*CHOOSE(CONTROL!$C$21, $C$9, 100%, $E$9)</f>
        <v>22.9359</v>
      </c>
      <c r="H528" s="17">
        <f>CHOOSE(CONTROL!$C$42, 23.0711, 23.0711) * CHOOSE(CONTROL!$C$21, $C$9, 100%, $E$9)</f>
        <v>23.071100000000001</v>
      </c>
      <c r="I528" s="17">
        <f>CHOOSE(CONTROL!$C$42, 22.9962, 22.9962)* CHOOSE(CONTROL!$C$21, $C$9, 100%, $E$9)</f>
        <v>22.996200000000002</v>
      </c>
      <c r="J528" s="17">
        <f>CHOOSE(CONTROL!$C$42, 22.911, 22.911)* CHOOSE(CONTROL!$C$21, $C$9, 100%, $E$9)</f>
        <v>22.911000000000001</v>
      </c>
      <c r="K528" s="52">
        <f>CHOOSE(CONTROL!$C$42, 22.9901, 22.9901) * CHOOSE(CONTROL!$C$21, $C$9, 100%, $E$9)</f>
        <v>22.990100000000002</v>
      </c>
      <c r="L528" s="17">
        <f>CHOOSE(CONTROL!$C$42, 23.6581, 23.6581) * CHOOSE(CONTROL!$C$21, $C$9, 100%, $E$9)</f>
        <v>23.658100000000001</v>
      </c>
      <c r="M528" s="17">
        <f>CHOOSE(CONTROL!$C$42, 22.712, 22.712) * CHOOSE(CONTROL!$C$21, $C$9, 100%, $E$9)</f>
        <v>22.712</v>
      </c>
      <c r="N528" s="17">
        <f>CHOOSE(CONTROL!$C$42, 22.7293, 22.7293) * CHOOSE(CONTROL!$C$21, $C$9, 100%, $E$9)</f>
        <v>22.729299999999999</v>
      </c>
      <c r="O528" s="17">
        <f>CHOOSE(CONTROL!$C$42, 22.8706, 22.8706) * CHOOSE(CONTROL!$C$21, $C$9, 100%, $E$9)</f>
        <v>22.8706</v>
      </c>
      <c r="P528" s="17">
        <f>CHOOSE(CONTROL!$C$42, 22.7958, 22.7958) * CHOOSE(CONTROL!$C$21, $C$9, 100%, $E$9)</f>
        <v>22.7958</v>
      </c>
      <c r="Q528" s="17">
        <f>CHOOSE(CONTROL!$C$42, 23.4653, 23.4653) * CHOOSE(CONTROL!$C$21, $C$9, 100%, $E$9)</f>
        <v>23.465299999999999</v>
      </c>
      <c r="R528" s="17">
        <f>CHOOSE(CONTROL!$C$42, 24.111, 24.111) * CHOOSE(CONTROL!$C$21, $C$9, 100%, $E$9)</f>
        <v>24.111000000000001</v>
      </c>
      <c r="S528" s="17">
        <f>CHOOSE(CONTROL!$C$42, 22.1993, 22.1993) * CHOOSE(CONTROL!$C$21, $C$9, 100%, $E$9)</f>
        <v>22.199300000000001</v>
      </c>
      <c r="T528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528" s="56">
        <f>(1000*CHOOSE(CONTROL!$C$42, 695, 695)*CHOOSE(CONTROL!$C$42, 0.5599, 0.5599)*CHOOSE(CONTROL!$C$42, 31, 31))/1000000</f>
        <v>12.063045499999998</v>
      </c>
      <c r="V528" s="56">
        <f>(1000*CHOOSE(CONTROL!$C$42, 500, 500)*CHOOSE(CONTROL!$C$42, 0.275, 0.275)*CHOOSE(CONTROL!$C$42, 31, 31))/1000000</f>
        <v>4.2625000000000002</v>
      </c>
      <c r="W528" s="56">
        <f>(1000*CHOOSE(CONTROL!$C$42, 0.0916, 0.0916)*CHOOSE(CONTROL!$C$42, 121.5, 121.5)*CHOOSE(CONTROL!$C$42, 31, 31))/1000000</f>
        <v>0.34501139999999997</v>
      </c>
      <c r="X528" s="56">
        <f>(31*0.2374*100000/1000000)</f>
        <v>0.73594000000000004</v>
      </c>
      <c r="Y528" s="56"/>
      <c r="Z528" s="17"/>
      <c r="AA528" s="55"/>
      <c r="AB528" s="48">
        <f>(B528*122.58+C528*297.941+D528*89.177+E528*140.302+F528*40+G528*60+H528*0+I528*100+J528*300)/(122.58+297.941+89.177+140.302+0+40+60+100+300)</f>
        <v>22.949800621478257</v>
      </c>
      <c r="AC528" s="45">
        <f>(M528*'RAP TEMPLATE-GAS AVAILABILITY'!O527+N528*'RAP TEMPLATE-GAS AVAILABILITY'!P527+O528*'RAP TEMPLATE-GAS AVAILABILITY'!Q527+P528*'RAP TEMPLATE-GAS AVAILABILITY'!R527)/('RAP TEMPLATE-GAS AVAILABILITY'!O527+'RAP TEMPLATE-GAS AVAILABILITY'!P527+'RAP TEMPLATE-GAS AVAILABILITY'!Q527+'RAP TEMPLATE-GAS AVAILABILITY'!R527)</f>
        <v>22.796936690647481</v>
      </c>
    </row>
    <row r="529" spans="1:29" ht="15.75" x14ac:dyDescent="0.25">
      <c r="A529" s="13">
        <v>56645</v>
      </c>
      <c r="B529" s="17">
        <f>CHOOSE(CONTROL!$C$42, 24.6621, 24.6621) * CHOOSE(CONTROL!$C$21, $C$9, 100%, $E$9)</f>
        <v>24.662099999999999</v>
      </c>
      <c r="C529" s="17">
        <f>CHOOSE(CONTROL!$C$42, 24.6671, 24.6671) * CHOOSE(CONTROL!$C$21, $C$9, 100%, $E$9)</f>
        <v>24.667100000000001</v>
      </c>
      <c r="D529" s="17">
        <f>CHOOSE(CONTROL!$C$42, 24.8011, 24.8011) * CHOOSE(CONTROL!$C$21, $C$9, 100%, $E$9)</f>
        <v>24.801100000000002</v>
      </c>
      <c r="E529" s="17">
        <f>CHOOSE(CONTROL!$C$42, 24.8349, 24.8349) * CHOOSE(CONTROL!$C$21, $C$9, 100%, $E$9)</f>
        <v>24.834900000000001</v>
      </c>
      <c r="F529" s="17">
        <f>CHOOSE(CONTROL!$C$42, 24.6755, 24.6755)*CHOOSE(CONTROL!$C$21, $C$9, 100%, $E$9)</f>
        <v>24.6755</v>
      </c>
      <c r="G529" s="17">
        <f>CHOOSE(CONTROL!$C$42, 24.6924, 24.6924)*CHOOSE(CONTROL!$C$21, $C$9, 100%, $E$9)</f>
        <v>24.692399999999999</v>
      </c>
      <c r="H529" s="17">
        <f>CHOOSE(CONTROL!$C$42, 24.8237, 24.8237) * CHOOSE(CONTROL!$C$21, $C$9, 100%, $E$9)</f>
        <v>24.823699999999999</v>
      </c>
      <c r="I529" s="17">
        <f>CHOOSE(CONTROL!$C$42, 24.7651, 24.7651)* CHOOSE(CONTROL!$C$21, $C$9, 100%, $E$9)</f>
        <v>24.7651</v>
      </c>
      <c r="J529" s="17">
        <f>CHOOSE(CONTROL!$C$42, 24.6681, 24.6681)* CHOOSE(CONTROL!$C$21, $C$9, 100%, $E$9)</f>
        <v>24.668099999999999</v>
      </c>
      <c r="K529" s="52">
        <f>CHOOSE(CONTROL!$C$42, 24.7591, 24.7591) * CHOOSE(CONTROL!$C$21, $C$9, 100%, $E$9)</f>
        <v>24.7591</v>
      </c>
      <c r="L529" s="17">
        <f>CHOOSE(CONTROL!$C$42, 25.4107, 25.4107) * CHOOSE(CONTROL!$C$21, $C$9, 100%, $E$9)</f>
        <v>25.410699999999999</v>
      </c>
      <c r="M529" s="17">
        <f>CHOOSE(CONTROL!$C$42, 24.4533, 24.4533) * CHOOSE(CONTROL!$C$21, $C$9, 100%, $E$9)</f>
        <v>24.453299999999999</v>
      </c>
      <c r="N529" s="17">
        <f>CHOOSE(CONTROL!$C$42, 24.47, 24.47) * CHOOSE(CONTROL!$C$21, $C$9, 100%, $E$9)</f>
        <v>24.47</v>
      </c>
      <c r="O529" s="17">
        <f>CHOOSE(CONTROL!$C$42, 24.6075, 24.6075) * CHOOSE(CONTROL!$C$21, $C$9, 100%, $E$9)</f>
        <v>24.607500000000002</v>
      </c>
      <c r="P529" s="17">
        <f>CHOOSE(CONTROL!$C$42, 24.5487, 24.5487) * CHOOSE(CONTROL!$C$21, $C$9, 100%, $E$9)</f>
        <v>24.5487</v>
      </c>
      <c r="Q529" s="17">
        <f>CHOOSE(CONTROL!$C$42, 25.2022, 25.2022) * CHOOSE(CONTROL!$C$21, $C$9, 100%, $E$9)</f>
        <v>25.202200000000001</v>
      </c>
      <c r="R529" s="17">
        <f>CHOOSE(CONTROL!$C$42, 25.8522, 25.8522) * CHOOSE(CONTROL!$C$21, $C$9, 100%, $E$9)</f>
        <v>25.8522</v>
      </c>
      <c r="S529" s="17">
        <f>CHOOSE(CONTROL!$C$42, 23.9053, 23.9053) * CHOOSE(CONTROL!$C$21, $C$9, 100%, $E$9)</f>
        <v>23.9053</v>
      </c>
      <c r="T529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529" s="56">
        <f>(1000*CHOOSE(CONTROL!$C$42, 695, 695)*CHOOSE(CONTROL!$C$42, 0.5599, 0.5599)*CHOOSE(CONTROL!$C$42, 31, 31))/1000000</f>
        <v>12.063045499999998</v>
      </c>
      <c r="V529" s="56">
        <f>(1000*CHOOSE(CONTROL!$C$42, 500, 500)*CHOOSE(CONTROL!$C$42, 0.275, 0.275)*CHOOSE(CONTROL!$C$42, 31, 31))/1000000</f>
        <v>4.2625000000000002</v>
      </c>
      <c r="W529" s="56">
        <f>(1000*CHOOSE(CONTROL!$C$42, 0.0916, 0.0916)*CHOOSE(CONTROL!$C$42, 121.5, 121.5)*CHOOSE(CONTROL!$C$42, 31, 31))/1000000</f>
        <v>0.34501139999999997</v>
      </c>
      <c r="X529" s="56">
        <f>(31*0.2374*100000/1000000)</f>
        <v>0.73594000000000004</v>
      </c>
      <c r="Y529" s="56"/>
      <c r="Z529" s="17"/>
      <c r="AA529" s="55"/>
      <c r="AB529" s="48">
        <f>(B529*122.58+C529*297.941+D529*89.177+E529*140.302+F529*40+G529*60+H529*0+I529*100+J529*300)/(122.58+297.941+89.177+140.302+0+40+60+100+300)</f>
        <v>24.707824777043481</v>
      </c>
      <c r="AC529" s="45">
        <f>(M529*'RAP TEMPLATE-GAS AVAILABILITY'!O528+N529*'RAP TEMPLATE-GAS AVAILABILITY'!P528+O529*'RAP TEMPLATE-GAS AVAILABILITY'!Q528+P529*'RAP TEMPLATE-GAS AVAILABILITY'!R528)/('RAP TEMPLATE-GAS AVAILABILITY'!O528+'RAP TEMPLATE-GAS AVAILABILITY'!P528+'RAP TEMPLATE-GAS AVAILABILITY'!Q528+'RAP TEMPLATE-GAS AVAILABILITY'!R528)</f>
        <v>24.537876978417266</v>
      </c>
    </row>
    <row r="530" spans="1:29" ht="15.75" x14ac:dyDescent="0.25">
      <c r="A530" s="13">
        <v>56673</v>
      </c>
      <c r="B530" s="17">
        <f>CHOOSE(CONTROL!$C$42, 25.1009, 25.1009) * CHOOSE(CONTROL!$C$21, $C$9, 100%, $E$9)</f>
        <v>25.100899999999999</v>
      </c>
      <c r="C530" s="17">
        <f>CHOOSE(CONTROL!$C$42, 25.106, 25.106) * CHOOSE(CONTROL!$C$21, $C$9, 100%, $E$9)</f>
        <v>25.106000000000002</v>
      </c>
      <c r="D530" s="17">
        <f>CHOOSE(CONTROL!$C$42, 25.2399, 25.2399) * CHOOSE(CONTROL!$C$21, $C$9, 100%, $E$9)</f>
        <v>25.239899999999999</v>
      </c>
      <c r="E530" s="17">
        <f>CHOOSE(CONTROL!$C$42, 25.2737, 25.2737) * CHOOSE(CONTROL!$C$21, $C$9, 100%, $E$9)</f>
        <v>25.273700000000002</v>
      </c>
      <c r="F530" s="17">
        <f>CHOOSE(CONTROL!$C$42, 25.1143, 25.1143)*CHOOSE(CONTROL!$C$21, $C$9, 100%, $E$9)</f>
        <v>25.1143</v>
      </c>
      <c r="G530" s="17">
        <f>CHOOSE(CONTROL!$C$42, 25.1312, 25.1312)*CHOOSE(CONTROL!$C$21, $C$9, 100%, $E$9)</f>
        <v>25.1312</v>
      </c>
      <c r="H530" s="17">
        <f>CHOOSE(CONTROL!$C$42, 25.2626, 25.2626) * CHOOSE(CONTROL!$C$21, $C$9, 100%, $E$9)</f>
        <v>25.262599999999999</v>
      </c>
      <c r="I530" s="17">
        <f>CHOOSE(CONTROL!$C$42, 25.2053, 25.2053)* CHOOSE(CONTROL!$C$21, $C$9, 100%, $E$9)</f>
        <v>25.205300000000001</v>
      </c>
      <c r="J530" s="17">
        <f>CHOOSE(CONTROL!$C$42, 25.1069, 25.1069)* CHOOSE(CONTROL!$C$21, $C$9, 100%, $E$9)</f>
        <v>25.1069</v>
      </c>
      <c r="K530" s="52">
        <f>CHOOSE(CONTROL!$C$42, 25.1992, 25.1992) * CHOOSE(CONTROL!$C$21, $C$9, 100%, $E$9)</f>
        <v>25.199200000000001</v>
      </c>
      <c r="L530" s="17">
        <f>CHOOSE(CONTROL!$C$42, 25.8496, 25.8496) * CHOOSE(CONTROL!$C$21, $C$9, 100%, $E$9)</f>
        <v>25.849599999999999</v>
      </c>
      <c r="M530" s="17">
        <f>CHOOSE(CONTROL!$C$42, 24.8881, 24.8881) * CHOOSE(CONTROL!$C$21, $C$9, 100%, $E$9)</f>
        <v>24.888100000000001</v>
      </c>
      <c r="N530" s="17">
        <f>CHOOSE(CONTROL!$C$42, 24.9048, 24.9048) * CHOOSE(CONTROL!$C$21, $C$9, 100%, $E$9)</f>
        <v>24.904800000000002</v>
      </c>
      <c r="O530" s="17">
        <f>CHOOSE(CONTROL!$C$42, 25.0424, 25.0424) * CHOOSE(CONTROL!$C$21, $C$9, 100%, $E$9)</f>
        <v>25.042400000000001</v>
      </c>
      <c r="P530" s="17">
        <f>CHOOSE(CONTROL!$C$42, 24.985, 24.985) * CHOOSE(CONTROL!$C$21, $C$9, 100%, $E$9)</f>
        <v>24.984999999999999</v>
      </c>
      <c r="Q530" s="17">
        <f>CHOOSE(CONTROL!$C$42, 25.6371, 25.6371) * CHOOSE(CONTROL!$C$21, $C$9, 100%, $E$9)</f>
        <v>25.6371</v>
      </c>
      <c r="R530" s="17">
        <f>CHOOSE(CONTROL!$C$42, 26.2882, 26.2882) * CHOOSE(CONTROL!$C$21, $C$9, 100%, $E$9)</f>
        <v>26.2882</v>
      </c>
      <c r="S530" s="17">
        <f>CHOOSE(CONTROL!$C$42, 24.3308, 24.3308) * CHOOSE(CONTROL!$C$21, $C$9, 100%, $E$9)</f>
        <v>24.3308</v>
      </c>
      <c r="T530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530" s="56">
        <f>(1000*CHOOSE(CONTROL!$C$42, 695, 695)*CHOOSE(CONTROL!$C$42, 0.5599, 0.5599)*CHOOSE(CONTROL!$C$42, 28, 28))/1000000</f>
        <v>10.895653999999999</v>
      </c>
      <c r="V530" s="56">
        <f>(1000*CHOOSE(CONTROL!$C$42, 500, 500)*CHOOSE(CONTROL!$C$42, 0.275, 0.275)*CHOOSE(CONTROL!$C$42, 28, 28))/1000000</f>
        <v>3.85</v>
      </c>
      <c r="W530" s="56">
        <f>(1000*CHOOSE(CONTROL!$C$42, 0.0916, 0.0916)*CHOOSE(CONTROL!$C$42, 121.5, 121.5)*CHOOSE(CONTROL!$C$42, 28, 28))/1000000</f>
        <v>0.31162319999999999</v>
      </c>
      <c r="X530" s="56">
        <f>(28*0.2374*100000/1000000)</f>
        <v>0.66471999999999998</v>
      </c>
      <c r="Y530" s="56"/>
      <c r="Z530" s="17"/>
      <c r="AA530" s="55"/>
      <c r="AB530" s="48">
        <f>(B530*122.58+C530*297.941+D530*89.177+E530*140.302+F530*40+G530*60+H530*0+I530*100+J530*300)/(122.58+297.941+89.177+140.302+0+40+60+100+300)</f>
        <v>25.146772424086954</v>
      </c>
      <c r="AC530" s="45">
        <f>(M530*'RAP TEMPLATE-GAS AVAILABILITY'!O529+N530*'RAP TEMPLATE-GAS AVAILABILITY'!P529+O530*'RAP TEMPLATE-GAS AVAILABILITY'!Q529+P530*'RAP TEMPLATE-GAS AVAILABILITY'!R529)/('RAP TEMPLATE-GAS AVAILABILITY'!O529+'RAP TEMPLATE-GAS AVAILABILITY'!P529+'RAP TEMPLATE-GAS AVAILABILITY'!Q529+'RAP TEMPLATE-GAS AVAILABILITY'!R529)</f>
        <v>24.972938129496402</v>
      </c>
    </row>
    <row r="531" spans="1:29" ht="15.75" x14ac:dyDescent="0.25">
      <c r="A531" s="13">
        <v>56704</v>
      </c>
      <c r="B531" s="17">
        <f>CHOOSE(CONTROL!$C$42, 24.3886, 24.3886) * CHOOSE(CONTROL!$C$21, $C$9, 100%, $E$9)</f>
        <v>24.3886</v>
      </c>
      <c r="C531" s="17">
        <f>CHOOSE(CONTROL!$C$42, 24.3936, 24.3936) * CHOOSE(CONTROL!$C$21, $C$9, 100%, $E$9)</f>
        <v>24.393599999999999</v>
      </c>
      <c r="D531" s="17">
        <f>CHOOSE(CONTROL!$C$42, 24.5276, 24.5276) * CHOOSE(CONTROL!$C$21, $C$9, 100%, $E$9)</f>
        <v>24.5276</v>
      </c>
      <c r="E531" s="17">
        <f>CHOOSE(CONTROL!$C$42, 24.5614, 24.5614) * CHOOSE(CONTROL!$C$21, $C$9, 100%, $E$9)</f>
        <v>24.561399999999999</v>
      </c>
      <c r="F531" s="17">
        <f>CHOOSE(CONTROL!$C$42, 24.4012, 24.4012)*CHOOSE(CONTROL!$C$21, $C$9, 100%, $E$9)</f>
        <v>24.401199999999999</v>
      </c>
      <c r="G531" s="17">
        <f>CHOOSE(CONTROL!$C$42, 24.4179, 24.4179)*CHOOSE(CONTROL!$C$21, $C$9, 100%, $E$9)</f>
        <v>24.417899999999999</v>
      </c>
      <c r="H531" s="17">
        <f>CHOOSE(CONTROL!$C$42, 24.5502, 24.5502) * CHOOSE(CONTROL!$C$21, $C$9, 100%, $E$9)</f>
        <v>24.5502</v>
      </c>
      <c r="I531" s="17">
        <f>CHOOSE(CONTROL!$C$42, 24.4907, 24.4907)* CHOOSE(CONTROL!$C$21, $C$9, 100%, $E$9)</f>
        <v>24.4907</v>
      </c>
      <c r="J531" s="17">
        <f>CHOOSE(CONTROL!$C$42, 24.3938, 24.3938)* CHOOSE(CONTROL!$C$21, $C$9, 100%, $E$9)</f>
        <v>24.393799999999999</v>
      </c>
      <c r="K531" s="52">
        <f>CHOOSE(CONTROL!$C$42, 24.4847, 24.4847) * CHOOSE(CONTROL!$C$21, $C$9, 100%, $E$9)</f>
        <v>24.4847</v>
      </c>
      <c r="L531" s="17">
        <f>CHOOSE(CONTROL!$C$42, 25.1372, 25.1372) * CHOOSE(CONTROL!$C$21, $C$9, 100%, $E$9)</f>
        <v>25.1372</v>
      </c>
      <c r="M531" s="17">
        <f>CHOOSE(CONTROL!$C$42, 24.1814, 24.1814) * CHOOSE(CONTROL!$C$21, $C$9, 100%, $E$9)</f>
        <v>24.1814</v>
      </c>
      <c r="N531" s="17">
        <f>CHOOSE(CONTROL!$C$42, 24.198, 24.198) * CHOOSE(CONTROL!$C$21, $C$9, 100%, $E$9)</f>
        <v>24.198</v>
      </c>
      <c r="O531" s="17">
        <f>CHOOSE(CONTROL!$C$42, 24.3365, 24.3365) * CHOOSE(CONTROL!$C$21, $C$9, 100%, $E$9)</f>
        <v>24.336500000000001</v>
      </c>
      <c r="P531" s="17">
        <f>CHOOSE(CONTROL!$C$42, 24.2769, 24.2769) * CHOOSE(CONTROL!$C$21, $C$9, 100%, $E$9)</f>
        <v>24.276900000000001</v>
      </c>
      <c r="Q531" s="17">
        <f>CHOOSE(CONTROL!$C$42, 24.9312, 24.9312) * CHOOSE(CONTROL!$C$21, $C$9, 100%, $E$9)</f>
        <v>24.9312</v>
      </c>
      <c r="R531" s="17">
        <f>CHOOSE(CONTROL!$C$42, 25.5805, 25.5805) * CHOOSE(CONTROL!$C$21, $C$9, 100%, $E$9)</f>
        <v>25.580500000000001</v>
      </c>
      <c r="S531" s="17">
        <f>CHOOSE(CONTROL!$C$42, 23.6401, 23.6401) * CHOOSE(CONTROL!$C$21, $C$9, 100%, $E$9)</f>
        <v>23.6401</v>
      </c>
      <c r="T531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531" s="56">
        <f>(1000*CHOOSE(CONTROL!$C$42, 695, 695)*CHOOSE(CONTROL!$C$42, 0.5599, 0.5599)*CHOOSE(CONTROL!$C$42, 31, 31))/1000000</f>
        <v>12.063045499999998</v>
      </c>
      <c r="V531" s="56">
        <f>(1000*CHOOSE(CONTROL!$C$42, 500, 500)*CHOOSE(CONTROL!$C$42, 0.275, 0.275)*CHOOSE(CONTROL!$C$42, 31, 31))/1000000</f>
        <v>4.2625000000000002</v>
      </c>
      <c r="W531" s="56">
        <f>(1000*CHOOSE(CONTROL!$C$42, 0.0916, 0.0916)*CHOOSE(CONTROL!$C$42, 121.5, 121.5)*CHOOSE(CONTROL!$C$42, 31, 31))/1000000</f>
        <v>0.34501139999999997</v>
      </c>
      <c r="X531" s="56">
        <f>(31*0.2374*100000/1000000)</f>
        <v>0.73594000000000004</v>
      </c>
      <c r="Y531" s="56"/>
      <c r="Z531" s="17"/>
      <c r="AA531" s="55"/>
      <c r="AB531" s="48">
        <f>(B531*122.58+C531*297.941+D531*89.177+E531*140.302+F531*40+G531*60+H531*0+I531*100+J531*300)/(122.58+297.941+89.177+140.302+0+40+60+100+300)</f>
        <v>24.433957820521737</v>
      </c>
      <c r="AC531" s="45">
        <f>(M531*'RAP TEMPLATE-GAS AVAILABILITY'!O530+N531*'RAP TEMPLATE-GAS AVAILABILITY'!P530+O531*'RAP TEMPLATE-GAS AVAILABILITY'!Q530+P531*'RAP TEMPLATE-GAS AVAILABILITY'!R530)/('RAP TEMPLATE-GAS AVAILABILITY'!O530+'RAP TEMPLATE-GAS AVAILABILITY'!P530+'RAP TEMPLATE-GAS AVAILABILITY'!Q530+'RAP TEMPLATE-GAS AVAILABILITY'!R530)</f>
        <v>24.266393525179854</v>
      </c>
    </row>
    <row r="532" spans="1:29" ht="15.75" x14ac:dyDescent="0.25">
      <c r="A532" s="13">
        <v>56734</v>
      </c>
      <c r="B532" s="17">
        <f>CHOOSE(CONTROL!$C$42, 24.3166, 24.3166) * CHOOSE(CONTROL!$C$21, $C$9, 100%, $E$9)</f>
        <v>24.316600000000001</v>
      </c>
      <c r="C532" s="17">
        <f>CHOOSE(CONTROL!$C$42, 24.3211, 24.3211) * CHOOSE(CONTROL!$C$21, $C$9, 100%, $E$9)</f>
        <v>24.321100000000001</v>
      </c>
      <c r="D532" s="17">
        <f>CHOOSE(CONTROL!$C$42, 24.5841, 24.5841) * CHOOSE(CONTROL!$C$21, $C$9, 100%, $E$9)</f>
        <v>24.584099999999999</v>
      </c>
      <c r="E532" s="17">
        <f>CHOOSE(CONTROL!$C$42, 24.6159, 24.6159) * CHOOSE(CONTROL!$C$21, $C$9, 100%, $E$9)</f>
        <v>24.6159</v>
      </c>
      <c r="F532" s="17">
        <f>CHOOSE(CONTROL!$C$42, 24.3275, 24.3275)*CHOOSE(CONTROL!$C$21, $C$9, 100%, $E$9)</f>
        <v>24.327500000000001</v>
      </c>
      <c r="G532" s="17">
        <f>CHOOSE(CONTROL!$C$42, 24.3437, 24.3437)*CHOOSE(CONTROL!$C$21, $C$9, 100%, $E$9)</f>
        <v>24.343699999999998</v>
      </c>
      <c r="H532" s="17">
        <f>CHOOSE(CONTROL!$C$42, 24.6054, 24.6054) * CHOOSE(CONTROL!$C$21, $C$9, 100%, $E$9)</f>
        <v>24.605399999999999</v>
      </c>
      <c r="I532" s="17">
        <f>CHOOSE(CONTROL!$C$42, 24.4173, 24.4173)* CHOOSE(CONTROL!$C$21, $C$9, 100%, $E$9)</f>
        <v>24.417300000000001</v>
      </c>
      <c r="J532" s="17">
        <f>CHOOSE(CONTROL!$C$42, 24.3201, 24.3201)* CHOOSE(CONTROL!$C$21, $C$9, 100%, $E$9)</f>
        <v>24.3201</v>
      </c>
      <c r="K532" s="52">
        <f>CHOOSE(CONTROL!$C$42, 24.4112, 24.4112) * CHOOSE(CONTROL!$C$21, $C$9, 100%, $E$9)</f>
        <v>24.411200000000001</v>
      </c>
      <c r="L532" s="17">
        <f>CHOOSE(CONTROL!$C$42, 25.1924, 25.1924) * CHOOSE(CONTROL!$C$21, $C$9, 100%, $E$9)</f>
        <v>25.192399999999999</v>
      </c>
      <c r="M532" s="17">
        <f>CHOOSE(CONTROL!$C$42, 24.1084, 24.1084) * CHOOSE(CONTROL!$C$21, $C$9, 100%, $E$9)</f>
        <v>24.1084</v>
      </c>
      <c r="N532" s="17">
        <f>CHOOSE(CONTROL!$C$42, 24.1244, 24.1244) * CHOOSE(CONTROL!$C$21, $C$9, 100%, $E$9)</f>
        <v>24.124400000000001</v>
      </c>
      <c r="O532" s="17">
        <f>CHOOSE(CONTROL!$C$42, 24.3911, 24.3911) * CHOOSE(CONTROL!$C$21, $C$9, 100%, $E$9)</f>
        <v>24.391100000000002</v>
      </c>
      <c r="P532" s="17">
        <f>CHOOSE(CONTROL!$C$42, 24.2041, 24.2041) * CHOOSE(CONTROL!$C$21, $C$9, 100%, $E$9)</f>
        <v>24.2041</v>
      </c>
      <c r="Q532" s="17">
        <f>CHOOSE(CONTROL!$C$42, 24.9858, 24.9858) * CHOOSE(CONTROL!$C$21, $C$9, 100%, $E$9)</f>
        <v>24.985800000000001</v>
      </c>
      <c r="R532" s="17">
        <f>CHOOSE(CONTROL!$C$42, 25.6353, 25.6353) * CHOOSE(CONTROL!$C$21, $C$9, 100%, $E$9)</f>
        <v>25.635300000000001</v>
      </c>
      <c r="S532" s="17">
        <f>CHOOSE(CONTROL!$C$42, 23.5696, 23.5696) * CHOOSE(CONTROL!$C$21, $C$9, 100%, $E$9)</f>
        <v>23.569600000000001</v>
      </c>
      <c r="T532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532" s="56">
        <f>(1000*CHOOSE(CONTROL!$C$42, 695, 695)*CHOOSE(CONTROL!$C$42, 0.5599, 0.5599)*CHOOSE(CONTROL!$C$42, 30, 30))/1000000</f>
        <v>11.673914999999997</v>
      </c>
      <c r="V532" s="56">
        <f>(1000*CHOOSE(CONTROL!$C$42, 500, 500)*CHOOSE(CONTROL!$C$42, 0.275, 0.275)*CHOOSE(CONTROL!$C$42, 30, 30))/1000000</f>
        <v>4.125</v>
      </c>
      <c r="W532" s="56">
        <f>(1000*CHOOSE(CONTROL!$C$42, 0.0916, 0.0916)*CHOOSE(CONTROL!$C$42, 121.5, 121.5)*CHOOSE(CONTROL!$C$42, 30, 30))/1000000</f>
        <v>0.33388200000000001</v>
      </c>
      <c r="X532" s="56">
        <f>(30*0.1790888*145000/1000000)+(30*0.2374*100000/1000000)</f>
        <v>1.4912362799999999</v>
      </c>
      <c r="Y532" s="56"/>
      <c r="Z532" s="17"/>
      <c r="AA532" s="55"/>
      <c r="AB532" s="48">
        <f>(B532*141.293+C532*267.993+D532*115.016+E532*189.698+F532*40+G532*85+H532*0+I532*100+J532*300)/(141.293+267.993+115.016+189.698+0+40+85+100+300)</f>
        <v>24.399415867554481</v>
      </c>
      <c r="AC532" s="45">
        <f>(M532*'RAP TEMPLATE-GAS AVAILABILITY'!O531+N532*'RAP TEMPLATE-GAS AVAILABILITY'!P531+O532*'RAP TEMPLATE-GAS AVAILABILITY'!Q531+P532*'RAP TEMPLATE-GAS AVAILABILITY'!R531)/('RAP TEMPLATE-GAS AVAILABILITY'!O531+'RAP TEMPLATE-GAS AVAILABILITY'!P531+'RAP TEMPLATE-GAS AVAILABILITY'!Q531+'RAP TEMPLATE-GAS AVAILABILITY'!R531)</f>
        <v>24.205171942446043</v>
      </c>
    </row>
    <row r="533" spans="1:29" ht="15.75" x14ac:dyDescent="0.25">
      <c r="A533" s="13">
        <v>56765</v>
      </c>
      <c r="B533" s="17">
        <f>CHOOSE(CONTROL!$C$42, 24.5325, 24.5325) * CHOOSE(CONTROL!$C$21, $C$9, 100%, $E$9)</f>
        <v>24.532499999999999</v>
      </c>
      <c r="C533" s="17">
        <f>CHOOSE(CONTROL!$C$42, 24.5405, 24.5405) * CHOOSE(CONTROL!$C$21, $C$9, 100%, $E$9)</f>
        <v>24.540500000000002</v>
      </c>
      <c r="D533" s="17">
        <f>CHOOSE(CONTROL!$C$42, 24.8004, 24.8004) * CHOOSE(CONTROL!$C$21, $C$9, 100%, $E$9)</f>
        <v>24.8004</v>
      </c>
      <c r="E533" s="17">
        <f>CHOOSE(CONTROL!$C$42, 24.8316, 24.8316) * CHOOSE(CONTROL!$C$21, $C$9, 100%, $E$9)</f>
        <v>24.831600000000002</v>
      </c>
      <c r="F533" s="17">
        <f>CHOOSE(CONTROL!$C$42, 24.5422, 24.5422)*CHOOSE(CONTROL!$C$21, $C$9, 100%, $E$9)</f>
        <v>24.542200000000001</v>
      </c>
      <c r="G533" s="17">
        <f>CHOOSE(CONTROL!$C$42, 24.5586, 24.5586)*CHOOSE(CONTROL!$C$21, $C$9, 100%, $E$9)</f>
        <v>24.558599999999998</v>
      </c>
      <c r="H533" s="17">
        <f>CHOOSE(CONTROL!$C$42, 24.8199, 24.8199) * CHOOSE(CONTROL!$C$21, $C$9, 100%, $E$9)</f>
        <v>24.819900000000001</v>
      </c>
      <c r="I533" s="17">
        <f>CHOOSE(CONTROL!$C$42, 24.6325, 24.6325)* CHOOSE(CONTROL!$C$21, $C$9, 100%, $E$9)</f>
        <v>24.6325</v>
      </c>
      <c r="J533" s="17">
        <f>CHOOSE(CONTROL!$C$42, 24.5348, 24.5348)* CHOOSE(CONTROL!$C$21, $C$9, 100%, $E$9)</f>
        <v>24.534800000000001</v>
      </c>
      <c r="K533" s="52">
        <f>CHOOSE(CONTROL!$C$42, 24.6264, 24.6264) * CHOOSE(CONTROL!$C$21, $C$9, 100%, $E$9)</f>
        <v>24.6264</v>
      </c>
      <c r="L533" s="17">
        <f>CHOOSE(CONTROL!$C$42, 25.4069, 25.4069) * CHOOSE(CONTROL!$C$21, $C$9, 100%, $E$9)</f>
        <v>25.4069</v>
      </c>
      <c r="M533" s="17">
        <f>CHOOSE(CONTROL!$C$42, 24.3211, 24.3211) * CHOOSE(CONTROL!$C$21, $C$9, 100%, $E$9)</f>
        <v>24.321100000000001</v>
      </c>
      <c r="N533" s="17">
        <f>CHOOSE(CONTROL!$C$42, 24.3374, 24.3374) * CHOOSE(CONTROL!$C$21, $C$9, 100%, $E$9)</f>
        <v>24.337399999999999</v>
      </c>
      <c r="O533" s="17">
        <f>CHOOSE(CONTROL!$C$42, 24.6037, 24.6037) * CHOOSE(CONTROL!$C$21, $C$9, 100%, $E$9)</f>
        <v>24.6037</v>
      </c>
      <c r="P533" s="17">
        <f>CHOOSE(CONTROL!$C$42, 24.4173, 24.4173) * CHOOSE(CONTROL!$C$21, $C$9, 100%, $E$9)</f>
        <v>24.417300000000001</v>
      </c>
      <c r="Q533" s="17">
        <f>CHOOSE(CONTROL!$C$42, 25.1984, 25.1984) * CHOOSE(CONTROL!$C$21, $C$9, 100%, $E$9)</f>
        <v>25.198399999999999</v>
      </c>
      <c r="R533" s="17">
        <f>CHOOSE(CONTROL!$C$42, 25.8484, 25.8484) * CHOOSE(CONTROL!$C$21, $C$9, 100%, $E$9)</f>
        <v>25.848400000000002</v>
      </c>
      <c r="S533" s="17">
        <f>CHOOSE(CONTROL!$C$42, 23.7776, 23.7776) * CHOOSE(CONTROL!$C$21, $C$9, 100%, $E$9)</f>
        <v>23.7776</v>
      </c>
      <c r="T533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533" s="56">
        <f>(1000*CHOOSE(CONTROL!$C$42, 695, 695)*CHOOSE(CONTROL!$C$42, 0.5599, 0.5599)*CHOOSE(CONTROL!$C$42, 31, 31))/1000000</f>
        <v>12.063045499999998</v>
      </c>
      <c r="V533" s="56">
        <f>(1000*CHOOSE(CONTROL!$C$42, 500, 500)*CHOOSE(CONTROL!$C$42, 0.275, 0.275)*CHOOSE(CONTROL!$C$42, 31, 31))/1000000</f>
        <v>4.2625000000000002</v>
      </c>
      <c r="W533" s="56">
        <f>(1000*CHOOSE(CONTROL!$C$42, 0.0916, 0.0916)*CHOOSE(CONTROL!$C$42, 121.5, 121.5)*CHOOSE(CONTROL!$C$42, 31, 31))/1000000</f>
        <v>0.34501139999999997</v>
      </c>
      <c r="X533" s="56">
        <f>(31*0.1790888*145000/1000000)+(31*0.2374*100000/1000000)</f>
        <v>1.5409441560000001</v>
      </c>
      <c r="Y533" s="56"/>
      <c r="Z533" s="17"/>
      <c r="AA533" s="55"/>
      <c r="AB533" s="48">
        <f>(B533*194.205+C533*267.466+D533*133.845+E533*153.484+F533*40+G533*85+H533*0+I533*100+J533*300)/(194.205+267.466+133.845+153.484+0+40+85+100+300)</f>
        <v>24.608795422213504</v>
      </c>
      <c r="AC533" s="45">
        <f>(M533*'RAP TEMPLATE-GAS AVAILABILITY'!O532+N533*'RAP TEMPLATE-GAS AVAILABILITY'!P532+O533*'RAP TEMPLATE-GAS AVAILABILITY'!Q532+P533*'RAP TEMPLATE-GAS AVAILABILITY'!R532)/('RAP TEMPLATE-GAS AVAILABILITY'!O532+'RAP TEMPLATE-GAS AVAILABILITY'!P532+'RAP TEMPLATE-GAS AVAILABILITY'!Q532+'RAP TEMPLATE-GAS AVAILABILITY'!R532)</f>
        <v>24.417984892086334</v>
      </c>
    </row>
    <row r="534" spans="1:29" ht="15.75" x14ac:dyDescent="0.25">
      <c r="A534" s="13">
        <v>56795</v>
      </c>
      <c r="B534" s="17">
        <f>CHOOSE(CONTROL!$C$42, 25.228, 25.228) * CHOOSE(CONTROL!$C$21, $C$9, 100%, $E$9)</f>
        <v>25.228000000000002</v>
      </c>
      <c r="C534" s="17">
        <f>CHOOSE(CONTROL!$C$42, 25.236, 25.236) * CHOOSE(CONTROL!$C$21, $C$9, 100%, $E$9)</f>
        <v>25.236000000000001</v>
      </c>
      <c r="D534" s="17">
        <f>CHOOSE(CONTROL!$C$42, 25.4959, 25.4959) * CHOOSE(CONTROL!$C$21, $C$9, 100%, $E$9)</f>
        <v>25.495899999999999</v>
      </c>
      <c r="E534" s="17">
        <f>CHOOSE(CONTROL!$C$42, 25.5271, 25.5271) * CHOOSE(CONTROL!$C$21, $C$9, 100%, $E$9)</f>
        <v>25.527100000000001</v>
      </c>
      <c r="F534" s="17">
        <f>CHOOSE(CONTROL!$C$42, 25.238, 25.238)*CHOOSE(CONTROL!$C$21, $C$9, 100%, $E$9)</f>
        <v>25.238</v>
      </c>
      <c r="G534" s="17">
        <f>CHOOSE(CONTROL!$C$42, 25.2545, 25.2545)*CHOOSE(CONTROL!$C$21, $C$9, 100%, $E$9)</f>
        <v>25.2545</v>
      </c>
      <c r="H534" s="17">
        <f>CHOOSE(CONTROL!$C$42, 25.5154, 25.5154) * CHOOSE(CONTROL!$C$21, $C$9, 100%, $E$9)</f>
        <v>25.5154</v>
      </c>
      <c r="I534" s="17">
        <f>CHOOSE(CONTROL!$C$42, 25.3302, 25.3302)* CHOOSE(CONTROL!$C$21, $C$9, 100%, $E$9)</f>
        <v>25.330200000000001</v>
      </c>
      <c r="J534" s="17">
        <f>CHOOSE(CONTROL!$C$42, 25.2306, 25.2306)* CHOOSE(CONTROL!$C$21, $C$9, 100%, $E$9)</f>
        <v>25.230599999999999</v>
      </c>
      <c r="K534" s="52">
        <f>CHOOSE(CONTROL!$C$42, 25.3241, 25.3241) * CHOOSE(CONTROL!$C$21, $C$9, 100%, $E$9)</f>
        <v>25.324100000000001</v>
      </c>
      <c r="L534" s="17">
        <f>CHOOSE(CONTROL!$C$42, 26.1024, 26.1024) * CHOOSE(CONTROL!$C$21, $C$9, 100%, $E$9)</f>
        <v>26.102399999999999</v>
      </c>
      <c r="M534" s="17">
        <f>CHOOSE(CONTROL!$C$42, 25.0107, 25.0107) * CHOOSE(CONTROL!$C$21, $C$9, 100%, $E$9)</f>
        <v>25.0107</v>
      </c>
      <c r="N534" s="17">
        <f>CHOOSE(CONTROL!$C$42, 25.0271, 25.0271) * CHOOSE(CONTROL!$C$21, $C$9, 100%, $E$9)</f>
        <v>25.027100000000001</v>
      </c>
      <c r="O534" s="17">
        <f>CHOOSE(CONTROL!$C$42, 25.293, 25.293) * CHOOSE(CONTROL!$C$21, $C$9, 100%, $E$9)</f>
        <v>25.292999999999999</v>
      </c>
      <c r="P534" s="17">
        <f>CHOOSE(CONTROL!$C$42, 25.1087, 25.1087) * CHOOSE(CONTROL!$C$21, $C$9, 100%, $E$9)</f>
        <v>25.108699999999999</v>
      </c>
      <c r="Q534" s="17">
        <f>CHOOSE(CONTROL!$C$42, 25.8877, 25.8877) * CHOOSE(CONTROL!$C$21, $C$9, 100%, $E$9)</f>
        <v>25.887699999999999</v>
      </c>
      <c r="R534" s="17">
        <f>CHOOSE(CONTROL!$C$42, 26.5394, 26.5394) * CHOOSE(CONTROL!$C$21, $C$9, 100%, $E$9)</f>
        <v>26.539400000000001</v>
      </c>
      <c r="S534" s="17">
        <f>CHOOSE(CONTROL!$C$42, 24.452, 24.452) * CHOOSE(CONTROL!$C$21, $C$9, 100%, $E$9)</f>
        <v>24.452000000000002</v>
      </c>
      <c r="T534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534" s="56">
        <f>(1000*CHOOSE(CONTROL!$C$42, 695, 695)*CHOOSE(CONTROL!$C$42, 0.5599, 0.5599)*CHOOSE(CONTROL!$C$42, 30, 30))/1000000</f>
        <v>11.673914999999997</v>
      </c>
      <c r="V534" s="56">
        <f>(1000*CHOOSE(CONTROL!$C$42, 500, 500)*CHOOSE(CONTROL!$C$42, 0.275, 0.275)*CHOOSE(CONTROL!$C$42, 30, 30))/1000000</f>
        <v>4.125</v>
      </c>
      <c r="W534" s="56">
        <f>(1000*CHOOSE(CONTROL!$C$42, 0.0916, 0.0916)*CHOOSE(CONTROL!$C$42, 121.5, 121.5)*CHOOSE(CONTROL!$C$42, 30, 30))/1000000</f>
        <v>0.33388200000000001</v>
      </c>
      <c r="X534" s="56">
        <f>(30*0.1790888*145000/1000000)+(30*0.2374*100000/1000000)</f>
        <v>1.4912362799999999</v>
      </c>
      <c r="Y534" s="56"/>
      <c r="Z534" s="17"/>
      <c r="AA534" s="55"/>
      <c r="AB534" s="48">
        <f>(B534*194.205+C534*267.466+D534*133.845+E534*153.484+F534*40+G534*85+H534*0+I534*100+J534*300)/(194.205+267.466+133.845+153.484+0+40+85+100+300)</f>
        <v>25.304574857064367</v>
      </c>
      <c r="AC534" s="45">
        <f>(M534*'RAP TEMPLATE-GAS AVAILABILITY'!O533+N534*'RAP TEMPLATE-GAS AVAILABILITY'!P533+O534*'RAP TEMPLATE-GAS AVAILABILITY'!Q533+P534*'RAP TEMPLATE-GAS AVAILABILITY'!R533)/('RAP TEMPLATE-GAS AVAILABILITY'!O533+'RAP TEMPLATE-GAS AVAILABILITY'!P533+'RAP TEMPLATE-GAS AVAILABILITY'!Q533+'RAP TEMPLATE-GAS AVAILABILITY'!R533)</f>
        <v>25.10778273381295</v>
      </c>
    </row>
    <row r="535" spans="1:29" ht="15.75" x14ac:dyDescent="0.25">
      <c r="A535" s="13">
        <v>56826</v>
      </c>
      <c r="B535" s="17">
        <f>CHOOSE(CONTROL!$C$42, 24.7443, 24.7443) * CHOOSE(CONTROL!$C$21, $C$9, 100%, $E$9)</f>
        <v>24.744299999999999</v>
      </c>
      <c r="C535" s="17">
        <f>CHOOSE(CONTROL!$C$42, 24.7523, 24.7523) * CHOOSE(CONTROL!$C$21, $C$9, 100%, $E$9)</f>
        <v>24.752300000000002</v>
      </c>
      <c r="D535" s="17">
        <f>CHOOSE(CONTROL!$C$42, 25.0122, 25.0122) * CHOOSE(CONTROL!$C$21, $C$9, 100%, $E$9)</f>
        <v>25.0122</v>
      </c>
      <c r="E535" s="17">
        <f>CHOOSE(CONTROL!$C$42, 25.0434, 25.0434) * CHOOSE(CONTROL!$C$21, $C$9, 100%, $E$9)</f>
        <v>25.043399999999998</v>
      </c>
      <c r="F535" s="17">
        <f>CHOOSE(CONTROL!$C$42, 24.7547, 24.7547)*CHOOSE(CONTROL!$C$21, $C$9, 100%, $E$9)</f>
        <v>24.7547</v>
      </c>
      <c r="G535" s="17">
        <f>CHOOSE(CONTROL!$C$42, 24.7713, 24.7713)*CHOOSE(CONTROL!$C$21, $C$9, 100%, $E$9)</f>
        <v>24.7713</v>
      </c>
      <c r="H535" s="17">
        <f>CHOOSE(CONTROL!$C$42, 25.0317, 25.0317) * CHOOSE(CONTROL!$C$21, $C$9, 100%, $E$9)</f>
        <v>25.031700000000001</v>
      </c>
      <c r="I535" s="17">
        <f>CHOOSE(CONTROL!$C$42, 24.8449, 24.8449)* CHOOSE(CONTROL!$C$21, $C$9, 100%, $E$9)</f>
        <v>24.844899999999999</v>
      </c>
      <c r="J535" s="17">
        <f>CHOOSE(CONTROL!$C$42, 24.7473, 24.7473)* CHOOSE(CONTROL!$C$21, $C$9, 100%, $E$9)</f>
        <v>24.747299999999999</v>
      </c>
      <c r="K535" s="52">
        <f>CHOOSE(CONTROL!$C$42, 24.8389, 24.8389) * CHOOSE(CONTROL!$C$21, $C$9, 100%, $E$9)</f>
        <v>24.838899999999999</v>
      </c>
      <c r="L535" s="17">
        <f>CHOOSE(CONTROL!$C$42, 25.6187, 25.6187) * CHOOSE(CONTROL!$C$21, $C$9, 100%, $E$9)</f>
        <v>25.6187</v>
      </c>
      <c r="M535" s="17">
        <f>CHOOSE(CONTROL!$C$42, 24.5317, 24.5317) * CHOOSE(CONTROL!$C$21, $C$9, 100%, $E$9)</f>
        <v>24.531700000000001</v>
      </c>
      <c r="N535" s="17">
        <f>CHOOSE(CONTROL!$C$42, 24.5482, 24.5482) * CHOOSE(CONTROL!$C$21, $C$9, 100%, $E$9)</f>
        <v>24.548200000000001</v>
      </c>
      <c r="O535" s="17">
        <f>CHOOSE(CONTROL!$C$42, 24.8136, 24.8136) * CHOOSE(CONTROL!$C$21, $C$9, 100%, $E$9)</f>
        <v>24.813600000000001</v>
      </c>
      <c r="P535" s="17">
        <f>CHOOSE(CONTROL!$C$42, 24.6278, 24.6278) * CHOOSE(CONTROL!$C$21, $C$9, 100%, $E$9)</f>
        <v>24.627800000000001</v>
      </c>
      <c r="Q535" s="17">
        <f>CHOOSE(CONTROL!$C$42, 25.4083, 25.4083) * CHOOSE(CONTROL!$C$21, $C$9, 100%, $E$9)</f>
        <v>25.408300000000001</v>
      </c>
      <c r="R535" s="17">
        <f>CHOOSE(CONTROL!$C$42, 26.0588, 26.0588) * CHOOSE(CONTROL!$C$21, $C$9, 100%, $E$9)</f>
        <v>26.058800000000002</v>
      </c>
      <c r="S535" s="17">
        <f>CHOOSE(CONTROL!$C$42, 23.9829, 23.9829) * CHOOSE(CONTROL!$C$21, $C$9, 100%, $E$9)</f>
        <v>23.982900000000001</v>
      </c>
      <c r="T535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535" s="56">
        <f>(1000*CHOOSE(CONTROL!$C$42, 695, 695)*CHOOSE(CONTROL!$C$42, 0.5599, 0.5599)*CHOOSE(CONTROL!$C$42, 31, 31))/1000000</f>
        <v>12.063045499999998</v>
      </c>
      <c r="V535" s="56">
        <f>(1000*CHOOSE(CONTROL!$C$42, 500, 500)*CHOOSE(CONTROL!$C$42, 0.275, 0.275)*CHOOSE(CONTROL!$C$42, 31, 31))/1000000</f>
        <v>4.2625000000000002</v>
      </c>
      <c r="W535" s="56">
        <f>(1000*CHOOSE(CONTROL!$C$42, 0.0916, 0.0916)*CHOOSE(CONTROL!$C$42, 121.5, 121.5)*CHOOSE(CONTROL!$C$42, 31, 31))/1000000</f>
        <v>0.34501139999999997</v>
      </c>
      <c r="X535" s="56">
        <f>(31*0.1790888*145000/1000000)+(31*0.2374*100000/1000000)</f>
        <v>1.5409441560000001</v>
      </c>
      <c r="Y535" s="56"/>
      <c r="Z535" s="17"/>
      <c r="AA535" s="55"/>
      <c r="AB535" s="48">
        <f>(B535*194.205+C535*267.466+D535*133.845+E535*153.484+F535*40+G535*85+H535*0+I535*100+J535*300)/(194.205+267.466+133.845+153.484+0+40+85+100+300)</f>
        <v>24.820889378257455</v>
      </c>
      <c r="AC535" s="45">
        <f>(M535*'RAP TEMPLATE-GAS AVAILABILITY'!O534+N535*'RAP TEMPLATE-GAS AVAILABILITY'!P534+O535*'RAP TEMPLATE-GAS AVAILABILITY'!Q534+P535*'RAP TEMPLATE-GAS AVAILABILITY'!R534)/('RAP TEMPLATE-GAS AVAILABILITY'!O534+'RAP TEMPLATE-GAS AVAILABILITY'!P534+'RAP TEMPLATE-GAS AVAILABILITY'!Q534+'RAP TEMPLATE-GAS AVAILABILITY'!R534)</f>
        <v>24.628420143884892</v>
      </c>
    </row>
    <row r="536" spans="1:29" ht="15.75" x14ac:dyDescent="0.25">
      <c r="A536" s="13">
        <v>56857</v>
      </c>
      <c r="B536" s="17">
        <f>CHOOSE(CONTROL!$C$42, 23.5227, 23.5227) * CHOOSE(CONTROL!$C$21, $C$9, 100%, $E$9)</f>
        <v>23.5227</v>
      </c>
      <c r="C536" s="17">
        <f>CHOOSE(CONTROL!$C$42, 23.5306, 23.5306) * CHOOSE(CONTROL!$C$21, $C$9, 100%, $E$9)</f>
        <v>23.5306</v>
      </c>
      <c r="D536" s="17">
        <f>CHOOSE(CONTROL!$C$42, 23.7906, 23.7906) * CHOOSE(CONTROL!$C$21, $C$9, 100%, $E$9)</f>
        <v>23.790600000000001</v>
      </c>
      <c r="E536" s="17">
        <f>CHOOSE(CONTROL!$C$42, 23.8218, 23.8218) * CHOOSE(CONTROL!$C$21, $C$9, 100%, $E$9)</f>
        <v>23.8218</v>
      </c>
      <c r="F536" s="17">
        <f>CHOOSE(CONTROL!$C$42, 23.5333, 23.5333)*CHOOSE(CONTROL!$C$21, $C$9, 100%, $E$9)</f>
        <v>23.533300000000001</v>
      </c>
      <c r="G536" s="17">
        <f>CHOOSE(CONTROL!$C$42, 23.55, 23.55)*CHOOSE(CONTROL!$C$21, $C$9, 100%, $E$9)</f>
        <v>23.55</v>
      </c>
      <c r="H536" s="17">
        <f>CHOOSE(CONTROL!$C$42, 23.8101, 23.8101) * CHOOSE(CONTROL!$C$21, $C$9, 100%, $E$9)</f>
        <v>23.810099999999998</v>
      </c>
      <c r="I536" s="17">
        <f>CHOOSE(CONTROL!$C$42, 23.6195, 23.6195)* CHOOSE(CONTROL!$C$21, $C$9, 100%, $E$9)</f>
        <v>23.619499999999999</v>
      </c>
      <c r="J536" s="17">
        <f>CHOOSE(CONTROL!$C$42, 23.5259, 23.5259)* CHOOSE(CONTROL!$C$21, $C$9, 100%, $E$9)</f>
        <v>23.5259</v>
      </c>
      <c r="K536" s="52">
        <f>CHOOSE(CONTROL!$C$42, 23.6135, 23.6135) * CHOOSE(CONTROL!$C$21, $C$9, 100%, $E$9)</f>
        <v>23.613499999999998</v>
      </c>
      <c r="L536" s="17">
        <f>CHOOSE(CONTROL!$C$42, 24.3971, 24.3971) * CHOOSE(CONTROL!$C$21, $C$9, 100%, $E$9)</f>
        <v>24.397099999999998</v>
      </c>
      <c r="M536" s="17">
        <f>CHOOSE(CONTROL!$C$42, 23.3213, 23.3213) * CHOOSE(CONTROL!$C$21, $C$9, 100%, $E$9)</f>
        <v>23.321300000000001</v>
      </c>
      <c r="N536" s="17">
        <f>CHOOSE(CONTROL!$C$42, 23.3379, 23.3379) * CHOOSE(CONTROL!$C$21, $C$9, 100%, $E$9)</f>
        <v>23.337900000000001</v>
      </c>
      <c r="O536" s="17">
        <f>CHOOSE(CONTROL!$C$42, 23.603, 23.603) * CHOOSE(CONTROL!$C$21, $C$9, 100%, $E$9)</f>
        <v>23.603000000000002</v>
      </c>
      <c r="P536" s="17">
        <f>CHOOSE(CONTROL!$C$42, 23.4135, 23.4135) * CHOOSE(CONTROL!$C$21, $C$9, 100%, $E$9)</f>
        <v>23.413499999999999</v>
      </c>
      <c r="Q536" s="17">
        <f>CHOOSE(CONTROL!$C$42, 24.1977, 24.1977) * CHOOSE(CONTROL!$C$21, $C$9, 100%, $E$9)</f>
        <v>24.197700000000001</v>
      </c>
      <c r="R536" s="17">
        <f>CHOOSE(CONTROL!$C$42, 24.8451, 24.8451) * CHOOSE(CONTROL!$C$21, $C$9, 100%, $E$9)</f>
        <v>24.845099999999999</v>
      </c>
      <c r="S536" s="17">
        <f>CHOOSE(CONTROL!$C$42, 22.7983, 22.7983) * CHOOSE(CONTROL!$C$21, $C$9, 100%, $E$9)</f>
        <v>22.798300000000001</v>
      </c>
      <c r="T536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536" s="56">
        <f>(1000*CHOOSE(CONTROL!$C$42, 695, 695)*CHOOSE(CONTROL!$C$42, 0.5599, 0.5599)*CHOOSE(CONTROL!$C$42, 31, 31))/1000000</f>
        <v>12.063045499999998</v>
      </c>
      <c r="V536" s="56">
        <f>(1000*CHOOSE(CONTROL!$C$42, 500, 500)*CHOOSE(CONTROL!$C$42, 0.275, 0.275)*CHOOSE(CONTROL!$C$42, 31, 31))/1000000</f>
        <v>4.2625000000000002</v>
      </c>
      <c r="W536" s="56">
        <f>(1000*CHOOSE(CONTROL!$C$42, 0.0916, 0.0916)*CHOOSE(CONTROL!$C$42, 121.5, 121.5)*CHOOSE(CONTROL!$C$42, 31, 31))/1000000</f>
        <v>0.34501139999999997</v>
      </c>
      <c r="X536" s="56">
        <f>(31*0.1790888*145000/1000000)+(31*0.2374*100000/1000000)</f>
        <v>1.5409441560000001</v>
      </c>
      <c r="Y536" s="56"/>
      <c r="Z536" s="17"/>
      <c r="AA536" s="55"/>
      <c r="AB536" s="48">
        <f>(B536*194.205+C536*267.466+D536*133.845+E536*153.484+F536*40+G536*85+H536*0+I536*100+J536*300)/(194.205+267.466+133.845+153.484+0+40+85+100+300)</f>
        <v>23.599043501805337</v>
      </c>
      <c r="AC536" s="45">
        <f>(M536*'RAP TEMPLATE-GAS AVAILABILITY'!O535+N536*'RAP TEMPLATE-GAS AVAILABILITY'!P535+O536*'RAP TEMPLATE-GAS AVAILABILITY'!Q535+P536*'RAP TEMPLATE-GAS AVAILABILITY'!R535)/('RAP TEMPLATE-GAS AVAILABILITY'!O535+'RAP TEMPLATE-GAS AVAILABILITY'!P535+'RAP TEMPLATE-GAS AVAILABILITY'!Q535+'RAP TEMPLATE-GAS AVAILABILITY'!R535)</f>
        <v>23.417425899280573</v>
      </c>
    </row>
    <row r="537" spans="1:29" ht="15.75" x14ac:dyDescent="0.25">
      <c r="A537" s="13">
        <v>56887</v>
      </c>
      <c r="B537" s="17">
        <f>CHOOSE(CONTROL!$C$42, 22.0298, 22.0298) * CHOOSE(CONTROL!$C$21, $C$9, 100%, $E$9)</f>
        <v>22.029800000000002</v>
      </c>
      <c r="C537" s="17">
        <f>CHOOSE(CONTROL!$C$42, 22.0378, 22.0378) * CHOOSE(CONTROL!$C$21, $C$9, 100%, $E$9)</f>
        <v>22.037800000000001</v>
      </c>
      <c r="D537" s="17">
        <f>CHOOSE(CONTROL!$C$42, 22.2977, 22.2977) * CHOOSE(CONTROL!$C$21, $C$9, 100%, $E$9)</f>
        <v>22.297699999999999</v>
      </c>
      <c r="E537" s="17">
        <f>CHOOSE(CONTROL!$C$42, 22.3289, 22.3289) * CHOOSE(CONTROL!$C$21, $C$9, 100%, $E$9)</f>
        <v>22.328900000000001</v>
      </c>
      <c r="F537" s="17">
        <f>CHOOSE(CONTROL!$C$42, 22.0404, 22.0404)*CHOOSE(CONTROL!$C$21, $C$9, 100%, $E$9)</f>
        <v>22.040400000000002</v>
      </c>
      <c r="G537" s="17">
        <f>CHOOSE(CONTROL!$C$42, 22.0572, 22.0572)*CHOOSE(CONTROL!$C$21, $C$9, 100%, $E$9)</f>
        <v>22.057200000000002</v>
      </c>
      <c r="H537" s="17">
        <f>CHOOSE(CONTROL!$C$42, 22.3172, 22.3172) * CHOOSE(CONTROL!$C$21, $C$9, 100%, $E$9)</f>
        <v>22.3172</v>
      </c>
      <c r="I537" s="17">
        <f>CHOOSE(CONTROL!$C$42, 22.122, 22.122)* CHOOSE(CONTROL!$C$21, $C$9, 100%, $E$9)</f>
        <v>22.122</v>
      </c>
      <c r="J537" s="17">
        <f>CHOOSE(CONTROL!$C$42, 22.033, 22.033)* CHOOSE(CONTROL!$C$21, $C$9, 100%, $E$9)</f>
        <v>22.033000000000001</v>
      </c>
      <c r="K537" s="52">
        <f>CHOOSE(CONTROL!$C$42, 22.116, 22.116) * CHOOSE(CONTROL!$C$21, $C$9, 100%, $E$9)</f>
        <v>22.116</v>
      </c>
      <c r="L537" s="17">
        <f>CHOOSE(CONTROL!$C$42, 22.9042, 22.9042) * CHOOSE(CONTROL!$C$21, $C$9, 100%, $E$9)</f>
        <v>22.904199999999999</v>
      </c>
      <c r="M537" s="17">
        <f>CHOOSE(CONTROL!$C$42, 21.8419, 21.8419) * CHOOSE(CONTROL!$C$21, $C$9, 100%, $E$9)</f>
        <v>21.841899999999999</v>
      </c>
      <c r="N537" s="17">
        <f>CHOOSE(CONTROL!$C$42, 21.8585, 21.8585) * CHOOSE(CONTROL!$C$21, $C$9, 100%, $E$9)</f>
        <v>21.858499999999999</v>
      </c>
      <c r="O537" s="17">
        <f>CHOOSE(CONTROL!$C$42, 22.1235, 22.1235) * CHOOSE(CONTROL!$C$21, $C$9, 100%, $E$9)</f>
        <v>22.1235</v>
      </c>
      <c r="P537" s="17">
        <f>CHOOSE(CONTROL!$C$42, 21.9295, 21.9295) * CHOOSE(CONTROL!$C$21, $C$9, 100%, $E$9)</f>
        <v>21.929500000000001</v>
      </c>
      <c r="Q537" s="17">
        <f>CHOOSE(CONTROL!$C$42, 22.7182, 22.7182) * CHOOSE(CONTROL!$C$21, $C$9, 100%, $E$9)</f>
        <v>22.7182</v>
      </c>
      <c r="R537" s="17">
        <f>CHOOSE(CONTROL!$C$42, 23.362, 23.362) * CHOOSE(CONTROL!$C$21, $C$9, 100%, $E$9)</f>
        <v>23.361999999999998</v>
      </c>
      <c r="S537" s="17">
        <f>CHOOSE(CONTROL!$C$42, 21.3507, 21.3507) * CHOOSE(CONTROL!$C$21, $C$9, 100%, $E$9)</f>
        <v>21.3507</v>
      </c>
      <c r="T537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537" s="56">
        <f>(1000*CHOOSE(CONTROL!$C$42, 695, 695)*CHOOSE(CONTROL!$C$42, 0.5599, 0.5599)*CHOOSE(CONTROL!$C$42, 30, 30))/1000000</f>
        <v>11.673914999999997</v>
      </c>
      <c r="V537" s="56">
        <f>(1000*CHOOSE(CONTROL!$C$42, 500, 500)*CHOOSE(CONTROL!$C$42, 0.275, 0.275)*CHOOSE(CONTROL!$C$42, 30, 30))/1000000</f>
        <v>4.125</v>
      </c>
      <c r="W537" s="56">
        <f>(1000*CHOOSE(CONTROL!$C$42, 0.0916, 0.0916)*CHOOSE(CONTROL!$C$42, 121.5, 121.5)*CHOOSE(CONTROL!$C$42, 30, 30))/1000000</f>
        <v>0.33388200000000001</v>
      </c>
      <c r="X537" s="56">
        <f>(30*0.1790888*145000/1000000)+(30*0.2374*100000/1000000)</f>
        <v>1.4912362799999999</v>
      </c>
      <c r="Y537" s="56"/>
      <c r="Z537" s="17"/>
      <c r="AA537" s="55"/>
      <c r="AB537" s="48">
        <f>(B537*194.205+C537*267.466+D537*133.845+E537*153.484+F537*40+G537*85+H537*0+I537*100+J537*300)/(194.205+267.466+133.845+153.484+0+40+85+100+300)</f>
        <v>22.105810100392471</v>
      </c>
      <c r="AC537" s="45">
        <f>(M537*'RAP TEMPLATE-GAS AVAILABILITY'!O536+N537*'RAP TEMPLATE-GAS AVAILABILITY'!P536+O537*'RAP TEMPLATE-GAS AVAILABILITY'!Q536+P537*'RAP TEMPLATE-GAS AVAILABILITY'!R536)/('RAP TEMPLATE-GAS AVAILABILITY'!O536+'RAP TEMPLATE-GAS AVAILABILITY'!P536+'RAP TEMPLATE-GAS AVAILABILITY'!Q536+'RAP TEMPLATE-GAS AVAILABILITY'!R536)</f>
        <v>21.937335971223021</v>
      </c>
    </row>
    <row r="538" spans="1:29" ht="15.75" x14ac:dyDescent="0.25">
      <c r="A538" s="13">
        <v>56918</v>
      </c>
      <c r="B538" s="17">
        <f>CHOOSE(CONTROL!$C$42, 21.581, 21.581) * CHOOSE(CONTROL!$C$21, $C$9, 100%, $E$9)</f>
        <v>21.581</v>
      </c>
      <c r="C538" s="17">
        <f>CHOOSE(CONTROL!$C$42, 21.5864, 21.5864) * CHOOSE(CONTROL!$C$21, $C$9, 100%, $E$9)</f>
        <v>21.586400000000001</v>
      </c>
      <c r="D538" s="17">
        <f>CHOOSE(CONTROL!$C$42, 21.8512, 21.8512) * CHOOSE(CONTROL!$C$21, $C$9, 100%, $E$9)</f>
        <v>21.851199999999999</v>
      </c>
      <c r="E538" s="17">
        <f>CHOOSE(CONTROL!$C$42, 21.8801, 21.8801) * CHOOSE(CONTROL!$C$21, $C$9, 100%, $E$9)</f>
        <v>21.880099999999999</v>
      </c>
      <c r="F538" s="17">
        <f>CHOOSE(CONTROL!$C$42, 21.5939, 21.5939)*CHOOSE(CONTROL!$C$21, $C$9, 100%, $E$9)</f>
        <v>21.593900000000001</v>
      </c>
      <c r="G538" s="17">
        <f>CHOOSE(CONTROL!$C$42, 21.6105, 21.6105)*CHOOSE(CONTROL!$C$21, $C$9, 100%, $E$9)</f>
        <v>21.610499999999998</v>
      </c>
      <c r="H538" s="17">
        <f>CHOOSE(CONTROL!$C$42, 21.8702, 21.8702) * CHOOSE(CONTROL!$C$21, $C$9, 100%, $E$9)</f>
        <v>21.870200000000001</v>
      </c>
      <c r="I538" s="17">
        <f>CHOOSE(CONTROL!$C$42, 21.6736, 21.6736)* CHOOSE(CONTROL!$C$21, $C$9, 100%, $E$9)</f>
        <v>21.6736</v>
      </c>
      <c r="J538" s="17">
        <f>CHOOSE(CONTROL!$C$42, 21.5865, 21.5865)* CHOOSE(CONTROL!$C$21, $C$9, 100%, $E$9)</f>
        <v>21.586500000000001</v>
      </c>
      <c r="K538" s="52">
        <f>CHOOSE(CONTROL!$C$42, 21.6676, 21.6676) * CHOOSE(CONTROL!$C$21, $C$9, 100%, $E$9)</f>
        <v>21.6676</v>
      </c>
      <c r="L538" s="17">
        <f>CHOOSE(CONTROL!$C$42, 22.4572, 22.4572) * CHOOSE(CONTROL!$C$21, $C$9, 100%, $E$9)</f>
        <v>22.4572</v>
      </c>
      <c r="M538" s="17">
        <f>CHOOSE(CONTROL!$C$42, 21.3994, 21.3994) * CHOOSE(CONTROL!$C$21, $C$9, 100%, $E$9)</f>
        <v>21.3994</v>
      </c>
      <c r="N538" s="17">
        <f>CHOOSE(CONTROL!$C$42, 21.4158, 21.4158) * CHOOSE(CONTROL!$C$21, $C$9, 100%, $E$9)</f>
        <v>21.415800000000001</v>
      </c>
      <c r="O538" s="17">
        <f>CHOOSE(CONTROL!$C$42, 21.6805, 21.6805) * CHOOSE(CONTROL!$C$21, $C$9, 100%, $E$9)</f>
        <v>21.680499999999999</v>
      </c>
      <c r="P538" s="17">
        <f>CHOOSE(CONTROL!$C$42, 21.4851, 21.4851) * CHOOSE(CONTROL!$C$21, $C$9, 100%, $E$9)</f>
        <v>21.485099999999999</v>
      </c>
      <c r="Q538" s="17">
        <f>CHOOSE(CONTROL!$C$42, 22.2752, 22.2752) * CHOOSE(CONTROL!$C$21, $C$9, 100%, $E$9)</f>
        <v>22.275200000000002</v>
      </c>
      <c r="R538" s="17">
        <f>CHOOSE(CONTROL!$C$42, 22.9179, 22.9179) * CHOOSE(CONTROL!$C$21, $C$9, 100%, $E$9)</f>
        <v>22.917899999999999</v>
      </c>
      <c r="S538" s="17">
        <f>CHOOSE(CONTROL!$C$42, 20.9172, 20.9172) * CHOOSE(CONTROL!$C$21, $C$9, 100%, $E$9)</f>
        <v>20.917200000000001</v>
      </c>
      <c r="T538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538" s="56">
        <f>(1000*CHOOSE(CONTROL!$C$42, 695, 695)*CHOOSE(CONTROL!$C$42, 0.5599, 0.5599)*CHOOSE(CONTROL!$C$42, 31, 31))/1000000</f>
        <v>12.063045499999998</v>
      </c>
      <c r="V538" s="56">
        <f>(1000*CHOOSE(CONTROL!$C$42, 500, 500)*CHOOSE(CONTROL!$C$42, 0.275, 0.275)*CHOOSE(CONTROL!$C$42, 31, 31))/1000000</f>
        <v>4.2625000000000002</v>
      </c>
      <c r="W538" s="56">
        <f>(1000*CHOOSE(CONTROL!$C$42, 0.0916, 0.0916)*CHOOSE(CONTROL!$C$42, 121.5, 121.5)*CHOOSE(CONTROL!$C$42, 31, 31))/1000000</f>
        <v>0.34501139999999997</v>
      </c>
      <c r="X538" s="56">
        <f>(31*0.1790888*145000/1000000)+(31*0.2374*100000/1000000)</f>
        <v>1.5409441560000001</v>
      </c>
      <c r="Y538" s="56"/>
      <c r="Z538" s="17"/>
      <c r="AA538" s="55"/>
      <c r="AB538" s="48">
        <f>(B538*131.881+C538*277.167+D538*79.08+E538*225.872+F538*40+G538*85+H538*0+I538*100+J538*300)/(131.881+277.167+79.08+225.872+0+40+85+100+300)</f>
        <v>21.665225934624697</v>
      </c>
      <c r="AC538" s="45">
        <f>(M538*'RAP TEMPLATE-GAS AVAILABILITY'!O537+N538*'RAP TEMPLATE-GAS AVAILABILITY'!P537+O538*'RAP TEMPLATE-GAS AVAILABILITY'!Q537+P538*'RAP TEMPLATE-GAS AVAILABILITY'!R537)/('RAP TEMPLATE-GAS AVAILABILITY'!O537+'RAP TEMPLATE-GAS AVAILABILITY'!P537+'RAP TEMPLATE-GAS AVAILABILITY'!Q537+'RAP TEMPLATE-GAS AVAILABILITY'!R537)</f>
        <v>21.494376258992805</v>
      </c>
    </row>
    <row r="539" spans="1:29" ht="15.75" x14ac:dyDescent="0.25">
      <c r="A539" s="13">
        <v>56948</v>
      </c>
      <c r="B539" s="17">
        <f>CHOOSE(CONTROL!$C$42, 22.1489, 22.1489) * CHOOSE(CONTROL!$C$21, $C$9, 100%, $E$9)</f>
        <v>22.148900000000001</v>
      </c>
      <c r="C539" s="17">
        <f>CHOOSE(CONTROL!$C$42, 22.154, 22.154) * CHOOSE(CONTROL!$C$21, $C$9, 100%, $E$9)</f>
        <v>22.154</v>
      </c>
      <c r="D539" s="17">
        <f>CHOOSE(CONTROL!$C$42, 22.2946, 22.2946) * CHOOSE(CONTROL!$C$21, $C$9, 100%, $E$9)</f>
        <v>22.294599999999999</v>
      </c>
      <c r="E539" s="17">
        <f>CHOOSE(CONTROL!$C$42, 22.3284, 22.3284) * CHOOSE(CONTROL!$C$21, $C$9, 100%, $E$9)</f>
        <v>22.328399999999998</v>
      </c>
      <c r="F539" s="17">
        <f>CHOOSE(CONTROL!$C$42, 22.1622, 22.1622)*CHOOSE(CONTROL!$C$21, $C$9, 100%, $E$9)</f>
        <v>22.162199999999999</v>
      </c>
      <c r="G539" s="17">
        <f>CHOOSE(CONTROL!$C$42, 22.179, 22.179)*CHOOSE(CONTROL!$C$21, $C$9, 100%, $E$9)</f>
        <v>22.178999999999998</v>
      </c>
      <c r="H539" s="17">
        <f>CHOOSE(CONTROL!$C$42, 22.3173, 22.3173) * CHOOSE(CONTROL!$C$21, $C$9, 100%, $E$9)</f>
        <v>22.317299999999999</v>
      </c>
      <c r="I539" s="17">
        <f>CHOOSE(CONTROL!$C$42, 22.24, 22.24)* CHOOSE(CONTROL!$C$21, $C$9, 100%, $E$9)</f>
        <v>22.24</v>
      </c>
      <c r="J539" s="17">
        <f>CHOOSE(CONTROL!$C$42, 22.1548, 22.1548)* CHOOSE(CONTROL!$C$21, $C$9, 100%, $E$9)</f>
        <v>22.154800000000002</v>
      </c>
      <c r="K539" s="52">
        <f>CHOOSE(CONTROL!$C$42, 22.234, 22.234) * CHOOSE(CONTROL!$C$21, $C$9, 100%, $E$9)</f>
        <v>22.234000000000002</v>
      </c>
      <c r="L539" s="17">
        <f>CHOOSE(CONTROL!$C$42, 22.9043, 22.9043) * CHOOSE(CONTROL!$C$21, $C$9, 100%, $E$9)</f>
        <v>22.904299999999999</v>
      </c>
      <c r="M539" s="17">
        <f>CHOOSE(CONTROL!$C$42, 21.9625, 21.9625) * CHOOSE(CONTROL!$C$21, $C$9, 100%, $E$9)</f>
        <v>21.962499999999999</v>
      </c>
      <c r="N539" s="17">
        <f>CHOOSE(CONTROL!$C$42, 21.9792, 21.9792) * CHOOSE(CONTROL!$C$21, $C$9, 100%, $E$9)</f>
        <v>21.979199999999999</v>
      </c>
      <c r="O539" s="17">
        <f>CHOOSE(CONTROL!$C$42, 22.1236, 22.1236) * CHOOSE(CONTROL!$C$21, $C$9, 100%, $E$9)</f>
        <v>22.1236</v>
      </c>
      <c r="P539" s="17">
        <f>CHOOSE(CONTROL!$C$42, 22.0464, 22.0464) * CHOOSE(CONTROL!$C$21, $C$9, 100%, $E$9)</f>
        <v>22.046399999999998</v>
      </c>
      <c r="Q539" s="17">
        <f>CHOOSE(CONTROL!$C$42, 22.7183, 22.7183) * CHOOSE(CONTROL!$C$21, $C$9, 100%, $E$9)</f>
        <v>22.718299999999999</v>
      </c>
      <c r="R539" s="17">
        <f>CHOOSE(CONTROL!$C$42, 23.3621, 23.3621) * CHOOSE(CONTROL!$C$21, $C$9, 100%, $E$9)</f>
        <v>23.362100000000002</v>
      </c>
      <c r="S539" s="17">
        <f>CHOOSE(CONTROL!$C$42, 21.4683, 21.4683) * CHOOSE(CONTROL!$C$21, $C$9, 100%, $E$9)</f>
        <v>21.468299999999999</v>
      </c>
      <c r="T539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539" s="56">
        <f>(1000*CHOOSE(CONTROL!$C$42, 695, 695)*CHOOSE(CONTROL!$C$42, 0.5599, 0.5599)*CHOOSE(CONTROL!$C$42, 30, 30))/1000000</f>
        <v>11.673914999999997</v>
      </c>
      <c r="V539" s="56">
        <f>(1000*CHOOSE(CONTROL!$C$42, 500, 500)*CHOOSE(CONTROL!$C$42, 0.275, 0.275)*CHOOSE(CONTROL!$C$42, 30, 30))/1000000</f>
        <v>4.125</v>
      </c>
      <c r="W539" s="56">
        <f>(1000*CHOOSE(CONTROL!$C$42, 0.0916, 0.0916)*CHOOSE(CONTROL!$C$42, 121.5, 121.5)*CHOOSE(CONTROL!$C$42, 30, 30))/1000000</f>
        <v>0.33388200000000001</v>
      </c>
      <c r="X539" s="56">
        <f>(30*0.2374*100000/1000000)</f>
        <v>0.71220000000000006</v>
      </c>
      <c r="Y539" s="56"/>
      <c r="Z539" s="17"/>
      <c r="AA539" s="55"/>
      <c r="AB539" s="48">
        <f>(B539*122.58+C539*297.941+D539*89.177+E539*140.302+F539*40+G539*60+H539*0+I539*100+J539*300)/(122.58+297.941+89.177+140.302+0+40+60+100+300)</f>
        <v>22.194912866956521</v>
      </c>
      <c r="AC539" s="45">
        <f>(M539*'RAP TEMPLATE-GAS AVAILABILITY'!O538+N539*'RAP TEMPLATE-GAS AVAILABILITY'!P538+O539*'RAP TEMPLATE-GAS AVAILABILITY'!Q538+P539*'RAP TEMPLATE-GAS AVAILABILITY'!R538)/('RAP TEMPLATE-GAS AVAILABILITY'!O538+'RAP TEMPLATE-GAS AVAILABILITY'!P538+'RAP TEMPLATE-GAS AVAILABILITY'!Q538+'RAP TEMPLATE-GAS AVAILABILITY'!R538)</f>
        <v>22.048549640287767</v>
      </c>
    </row>
    <row r="540" spans="1:29" ht="15.75" x14ac:dyDescent="0.25">
      <c r="A540" s="13">
        <v>56979</v>
      </c>
      <c r="B540" s="17">
        <f>CHOOSE(CONTROL!$C$42, 23.6583, 23.6583) * CHOOSE(CONTROL!$C$21, $C$9, 100%, $E$9)</f>
        <v>23.658300000000001</v>
      </c>
      <c r="C540" s="17">
        <f>CHOOSE(CONTROL!$C$42, 23.6634, 23.6634) * CHOOSE(CONTROL!$C$21, $C$9, 100%, $E$9)</f>
        <v>23.663399999999999</v>
      </c>
      <c r="D540" s="17">
        <f>CHOOSE(CONTROL!$C$42, 23.804, 23.804) * CHOOSE(CONTROL!$C$21, $C$9, 100%, $E$9)</f>
        <v>23.803999999999998</v>
      </c>
      <c r="E540" s="17">
        <f>CHOOSE(CONTROL!$C$42, 23.8378, 23.8378) * CHOOSE(CONTROL!$C$21, $C$9, 100%, $E$9)</f>
        <v>23.837800000000001</v>
      </c>
      <c r="F540" s="17">
        <f>CHOOSE(CONTROL!$C$42, 23.674, 23.674)*CHOOSE(CONTROL!$C$21, $C$9, 100%, $E$9)</f>
        <v>23.673999999999999</v>
      </c>
      <c r="G540" s="17">
        <f>CHOOSE(CONTROL!$C$42, 23.6915, 23.6915)*CHOOSE(CONTROL!$C$21, $C$9, 100%, $E$9)</f>
        <v>23.691500000000001</v>
      </c>
      <c r="H540" s="17">
        <f>CHOOSE(CONTROL!$C$42, 23.8267, 23.8267) * CHOOSE(CONTROL!$C$21, $C$9, 100%, $E$9)</f>
        <v>23.826699999999999</v>
      </c>
      <c r="I540" s="17">
        <f>CHOOSE(CONTROL!$C$42, 23.7541, 23.7541)* CHOOSE(CONTROL!$C$21, $C$9, 100%, $E$9)</f>
        <v>23.754100000000001</v>
      </c>
      <c r="J540" s="17">
        <f>CHOOSE(CONTROL!$C$42, 23.6666, 23.6666)* CHOOSE(CONTROL!$C$21, $C$9, 100%, $E$9)</f>
        <v>23.666599999999999</v>
      </c>
      <c r="K540" s="52">
        <f>CHOOSE(CONTROL!$C$42, 23.748, 23.748) * CHOOSE(CONTROL!$C$21, $C$9, 100%, $E$9)</f>
        <v>23.748000000000001</v>
      </c>
      <c r="L540" s="17">
        <f>CHOOSE(CONTROL!$C$42, 24.4137, 24.4137) * CHOOSE(CONTROL!$C$21, $C$9, 100%, $E$9)</f>
        <v>24.413699999999999</v>
      </c>
      <c r="M540" s="17">
        <f>CHOOSE(CONTROL!$C$42, 23.4608, 23.4608) * CHOOSE(CONTROL!$C$21, $C$9, 100%, $E$9)</f>
        <v>23.460799999999999</v>
      </c>
      <c r="N540" s="17">
        <f>CHOOSE(CONTROL!$C$42, 23.4781, 23.4781) * CHOOSE(CONTROL!$C$21, $C$9, 100%, $E$9)</f>
        <v>23.478100000000001</v>
      </c>
      <c r="O540" s="17">
        <f>CHOOSE(CONTROL!$C$42, 23.6194, 23.6194) * CHOOSE(CONTROL!$C$21, $C$9, 100%, $E$9)</f>
        <v>23.619399999999999</v>
      </c>
      <c r="P540" s="17">
        <f>CHOOSE(CONTROL!$C$42, 23.5468, 23.5468) * CHOOSE(CONTROL!$C$21, $C$9, 100%, $E$9)</f>
        <v>23.546800000000001</v>
      </c>
      <c r="Q540" s="17">
        <f>CHOOSE(CONTROL!$C$42, 24.2141, 24.2141) * CHOOSE(CONTROL!$C$21, $C$9, 100%, $E$9)</f>
        <v>24.214099999999998</v>
      </c>
      <c r="R540" s="17">
        <f>CHOOSE(CONTROL!$C$42, 24.8616, 24.8616) * CHOOSE(CONTROL!$C$21, $C$9, 100%, $E$9)</f>
        <v>24.861599999999999</v>
      </c>
      <c r="S540" s="17">
        <f>CHOOSE(CONTROL!$C$42, 22.9319, 22.9319) * CHOOSE(CONTROL!$C$21, $C$9, 100%, $E$9)</f>
        <v>22.931899999999999</v>
      </c>
      <c r="T540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540" s="56">
        <f>(1000*CHOOSE(CONTROL!$C$42, 695, 695)*CHOOSE(CONTROL!$C$42, 0.5599, 0.5599)*CHOOSE(CONTROL!$C$42, 31, 31))/1000000</f>
        <v>12.063045499999998</v>
      </c>
      <c r="V540" s="56">
        <f>(1000*CHOOSE(CONTROL!$C$42, 500, 500)*CHOOSE(CONTROL!$C$42, 0.275, 0.275)*CHOOSE(CONTROL!$C$42, 31, 31))/1000000</f>
        <v>4.2625000000000002</v>
      </c>
      <c r="W540" s="56">
        <f>(1000*CHOOSE(CONTROL!$C$42, 0.0916, 0.0916)*CHOOSE(CONTROL!$C$42, 121.5, 121.5)*CHOOSE(CONTROL!$C$42, 31, 31))/1000000</f>
        <v>0.34501139999999997</v>
      </c>
      <c r="X540" s="56">
        <f>(31*0.2374*100000/1000000)</f>
        <v>0.73594000000000004</v>
      </c>
      <c r="Y540" s="56"/>
      <c r="Z540" s="17"/>
      <c r="AA540" s="55"/>
      <c r="AB540" s="48">
        <f>(B540*122.58+C540*297.941+D540*89.177+E540*140.302+F540*40+G540*60+H540*0+I540*100+J540*300)/(122.58+297.941+89.177+140.302+0+40+60+100+300)</f>
        <v>23.705592866956522</v>
      </c>
      <c r="AC540" s="45">
        <f>(M540*'RAP TEMPLATE-GAS AVAILABILITY'!O539+N540*'RAP TEMPLATE-GAS AVAILABILITY'!P539+O540*'RAP TEMPLATE-GAS AVAILABILITY'!Q539+P540*'RAP TEMPLATE-GAS AVAILABILITY'!R539)/('RAP TEMPLATE-GAS AVAILABILITY'!O539+'RAP TEMPLATE-GAS AVAILABILITY'!P539+'RAP TEMPLATE-GAS AVAILABILITY'!Q539+'RAP TEMPLATE-GAS AVAILABILITY'!R539)</f>
        <v>23.546053237410071</v>
      </c>
    </row>
    <row r="541" spans="1:29" ht="15.75" x14ac:dyDescent="0.25">
      <c r="A541" s="13">
        <v>57010</v>
      </c>
      <c r="B541" s="17">
        <f>CHOOSE(CONTROL!$C$42, 25.4757, 25.4757) * CHOOSE(CONTROL!$C$21, $C$9, 100%, $E$9)</f>
        <v>25.4757</v>
      </c>
      <c r="C541" s="17">
        <f>CHOOSE(CONTROL!$C$42, 25.4808, 25.4808) * CHOOSE(CONTROL!$C$21, $C$9, 100%, $E$9)</f>
        <v>25.480799999999999</v>
      </c>
      <c r="D541" s="17">
        <f>CHOOSE(CONTROL!$C$42, 25.6147, 25.6147) * CHOOSE(CONTROL!$C$21, $C$9, 100%, $E$9)</f>
        <v>25.614699999999999</v>
      </c>
      <c r="E541" s="17">
        <f>CHOOSE(CONTROL!$C$42, 25.6485, 25.6485) * CHOOSE(CONTROL!$C$21, $C$9, 100%, $E$9)</f>
        <v>25.648499999999999</v>
      </c>
      <c r="F541" s="17">
        <f>CHOOSE(CONTROL!$C$42, 25.4891, 25.4891)*CHOOSE(CONTROL!$C$21, $C$9, 100%, $E$9)</f>
        <v>25.489100000000001</v>
      </c>
      <c r="G541" s="17">
        <f>CHOOSE(CONTROL!$C$42, 25.506, 25.506)*CHOOSE(CONTROL!$C$21, $C$9, 100%, $E$9)</f>
        <v>25.506</v>
      </c>
      <c r="H541" s="17">
        <f>CHOOSE(CONTROL!$C$42, 25.6374, 25.6374) * CHOOSE(CONTROL!$C$21, $C$9, 100%, $E$9)</f>
        <v>25.6374</v>
      </c>
      <c r="I541" s="17">
        <f>CHOOSE(CONTROL!$C$42, 25.5812, 25.5812)* CHOOSE(CONTROL!$C$21, $C$9, 100%, $E$9)</f>
        <v>25.581199999999999</v>
      </c>
      <c r="J541" s="17">
        <f>CHOOSE(CONTROL!$C$42, 25.4817, 25.4817)* CHOOSE(CONTROL!$C$21, $C$9, 100%, $E$9)</f>
        <v>25.4817</v>
      </c>
      <c r="K541" s="52">
        <f>CHOOSE(CONTROL!$C$42, 25.5752, 25.5752) * CHOOSE(CONTROL!$C$21, $C$9, 100%, $E$9)</f>
        <v>25.575199999999999</v>
      </c>
      <c r="L541" s="17">
        <f>CHOOSE(CONTROL!$C$42, 26.2244, 26.2244) * CHOOSE(CONTROL!$C$21, $C$9, 100%, $E$9)</f>
        <v>26.224399999999999</v>
      </c>
      <c r="M541" s="17">
        <f>CHOOSE(CONTROL!$C$42, 25.2596, 25.2596) * CHOOSE(CONTROL!$C$21, $C$9, 100%, $E$9)</f>
        <v>25.259599999999999</v>
      </c>
      <c r="N541" s="17">
        <f>CHOOSE(CONTROL!$C$42, 25.2763, 25.2763) * CHOOSE(CONTROL!$C$21, $C$9, 100%, $E$9)</f>
        <v>25.276299999999999</v>
      </c>
      <c r="O541" s="17">
        <f>CHOOSE(CONTROL!$C$42, 25.4138, 25.4138) * CHOOSE(CONTROL!$C$21, $C$9, 100%, $E$9)</f>
        <v>25.413799999999998</v>
      </c>
      <c r="P541" s="17">
        <f>CHOOSE(CONTROL!$C$42, 25.3575, 25.3575) * CHOOSE(CONTROL!$C$21, $C$9, 100%, $E$9)</f>
        <v>25.357500000000002</v>
      </c>
      <c r="Q541" s="17">
        <f>CHOOSE(CONTROL!$C$42, 26.0085, 26.0085) * CHOOSE(CONTROL!$C$21, $C$9, 100%, $E$9)</f>
        <v>26.008500000000002</v>
      </c>
      <c r="R541" s="17">
        <f>CHOOSE(CONTROL!$C$42, 26.6605, 26.6605) * CHOOSE(CONTROL!$C$21, $C$9, 100%, $E$9)</f>
        <v>26.660499999999999</v>
      </c>
      <c r="S541" s="17">
        <f>CHOOSE(CONTROL!$C$42, 24.6943, 24.6943) * CHOOSE(CONTROL!$C$21, $C$9, 100%, $E$9)</f>
        <v>24.694299999999998</v>
      </c>
      <c r="T541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541" s="56">
        <f>(1000*CHOOSE(CONTROL!$C$42, 695, 695)*CHOOSE(CONTROL!$C$42, 0.5599, 0.5599)*CHOOSE(CONTROL!$C$42, 31, 31))/1000000</f>
        <v>12.063045499999998</v>
      </c>
      <c r="V541" s="56">
        <f>(1000*CHOOSE(CONTROL!$C$42, 500, 500)*CHOOSE(CONTROL!$C$42, 0.275, 0.275)*CHOOSE(CONTROL!$C$42, 31, 31))/1000000</f>
        <v>4.2625000000000002</v>
      </c>
      <c r="W541" s="56">
        <f>(1000*CHOOSE(CONTROL!$C$42, 0.0916, 0.0916)*CHOOSE(CONTROL!$C$42, 121.5, 121.5)*CHOOSE(CONTROL!$C$42, 31, 31))/1000000</f>
        <v>0.34501139999999997</v>
      </c>
      <c r="X541" s="56">
        <f>(31*0.2374*100000/1000000)</f>
        <v>0.73594000000000004</v>
      </c>
      <c r="Y541" s="56"/>
      <c r="Z541" s="17"/>
      <c r="AA541" s="55"/>
      <c r="AB541" s="48">
        <f>(B541*122.58+C541*297.941+D541*89.177+E541*140.302+F541*40+G541*60+H541*0+I541*100+J541*300)/(122.58+297.941+89.177+140.302+0+40+60+100+300)</f>
        <v>25.52166807626087</v>
      </c>
      <c r="AC541" s="45">
        <f>(M541*'RAP TEMPLATE-GAS AVAILABILITY'!O540+N541*'RAP TEMPLATE-GAS AVAILABILITY'!P540+O541*'RAP TEMPLATE-GAS AVAILABILITY'!Q540+P541*'RAP TEMPLATE-GAS AVAILABILITY'!R540)/('RAP TEMPLATE-GAS AVAILABILITY'!O540+'RAP TEMPLATE-GAS AVAILABILITY'!P540+'RAP TEMPLATE-GAS AVAILABILITY'!Q540+'RAP TEMPLATE-GAS AVAILABILITY'!R540)</f>
        <v>25.344536690647484</v>
      </c>
    </row>
    <row r="542" spans="1:29" ht="15.75" x14ac:dyDescent="0.25">
      <c r="A542" s="13">
        <v>57038</v>
      </c>
      <c r="B542" s="17">
        <f>CHOOSE(CONTROL!$C$42, 25.929, 25.929) * CHOOSE(CONTROL!$C$21, $C$9, 100%, $E$9)</f>
        <v>25.928999999999998</v>
      </c>
      <c r="C542" s="17">
        <f>CHOOSE(CONTROL!$C$42, 25.9341, 25.9341) * CHOOSE(CONTROL!$C$21, $C$9, 100%, $E$9)</f>
        <v>25.934100000000001</v>
      </c>
      <c r="D542" s="17">
        <f>CHOOSE(CONTROL!$C$42, 26.068, 26.068) * CHOOSE(CONTROL!$C$21, $C$9, 100%, $E$9)</f>
        <v>26.068000000000001</v>
      </c>
      <c r="E542" s="17">
        <f>CHOOSE(CONTROL!$C$42, 26.1018, 26.1018) * CHOOSE(CONTROL!$C$21, $C$9, 100%, $E$9)</f>
        <v>26.101800000000001</v>
      </c>
      <c r="F542" s="17">
        <f>CHOOSE(CONTROL!$C$42, 25.9424, 25.9424)*CHOOSE(CONTROL!$C$21, $C$9, 100%, $E$9)</f>
        <v>25.942399999999999</v>
      </c>
      <c r="G542" s="17">
        <f>CHOOSE(CONTROL!$C$42, 25.9593, 25.9593)*CHOOSE(CONTROL!$C$21, $C$9, 100%, $E$9)</f>
        <v>25.959299999999999</v>
      </c>
      <c r="H542" s="17">
        <f>CHOOSE(CONTROL!$C$42, 26.0907, 26.0907) * CHOOSE(CONTROL!$C$21, $C$9, 100%, $E$9)</f>
        <v>26.090699999999998</v>
      </c>
      <c r="I542" s="17">
        <f>CHOOSE(CONTROL!$C$42, 26.036, 26.036)* CHOOSE(CONTROL!$C$21, $C$9, 100%, $E$9)</f>
        <v>26.036000000000001</v>
      </c>
      <c r="J542" s="17">
        <f>CHOOSE(CONTROL!$C$42, 25.935, 25.935)* CHOOSE(CONTROL!$C$21, $C$9, 100%, $E$9)</f>
        <v>25.934999999999999</v>
      </c>
      <c r="K542" s="52">
        <f>CHOOSE(CONTROL!$C$42, 26.0299, 26.0299) * CHOOSE(CONTROL!$C$21, $C$9, 100%, $E$9)</f>
        <v>26.029900000000001</v>
      </c>
      <c r="L542" s="17">
        <f>CHOOSE(CONTROL!$C$42, 26.6777, 26.6777) * CHOOSE(CONTROL!$C$21, $C$9, 100%, $E$9)</f>
        <v>26.677700000000002</v>
      </c>
      <c r="M542" s="17">
        <f>CHOOSE(CONTROL!$C$42, 25.7088, 25.7088) * CHOOSE(CONTROL!$C$21, $C$9, 100%, $E$9)</f>
        <v>25.7088</v>
      </c>
      <c r="N542" s="17">
        <f>CHOOSE(CONTROL!$C$42, 25.7255, 25.7255) * CHOOSE(CONTROL!$C$21, $C$9, 100%, $E$9)</f>
        <v>25.7255</v>
      </c>
      <c r="O542" s="17">
        <f>CHOOSE(CONTROL!$C$42, 25.863, 25.863) * CHOOSE(CONTROL!$C$21, $C$9, 100%, $E$9)</f>
        <v>25.863</v>
      </c>
      <c r="P542" s="17">
        <f>CHOOSE(CONTROL!$C$42, 25.8082, 25.8082) * CHOOSE(CONTROL!$C$21, $C$9, 100%, $E$9)</f>
        <v>25.808199999999999</v>
      </c>
      <c r="Q542" s="17">
        <f>CHOOSE(CONTROL!$C$42, 26.4577, 26.4577) * CHOOSE(CONTROL!$C$21, $C$9, 100%, $E$9)</f>
        <v>26.457699999999999</v>
      </c>
      <c r="R542" s="17">
        <f>CHOOSE(CONTROL!$C$42, 27.1109, 27.1109) * CHOOSE(CONTROL!$C$21, $C$9, 100%, $E$9)</f>
        <v>27.110900000000001</v>
      </c>
      <c r="S542" s="17">
        <f>CHOOSE(CONTROL!$C$42, 25.1338, 25.1338) * CHOOSE(CONTROL!$C$21, $C$9, 100%, $E$9)</f>
        <v>25.133800000000001</v>
      </c>
      <c r="T542" s="56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542" s="56">
        <f>(1000*CHOOSE(CONTROL!$C$42, 695, 695)*CHOOSE(CONTROL!$C$42, 0.5599, 0.5599)*CHOOSE(CONTROL!$C$42, 29, 29))/1000000</f>
        <v>11.284784499999999</v>
      </c>
      <c r="V542" s="56">
        <f>(1000*CHOOSE(CONTROL!$C$42, 500, 500)*CHOOSE(CONTROL!$C$42, 0.275, 0.275)*CHOOSE(CONTROL!$C$42, 29, 29))/1000000</f>
        <v>3.9874999999999998</v>
      </c>
      <c r="W542" s="56">
        <f>(1000*CHOOSE(CONTROL!$C$42, 0.0916, 0.0916)*CHOOSE(CONTROL!$C$42, 121.5, 121.5)*CHOOSE(CONTROL!$C$42, 29, 29))/1000000</f>
        <v>0.3227526</v>
      </c>
      <c r="X542" s="56">
        <f>(29*0.2374*100000/1000000)</f>
        <v>0.68845999999999996</v>
      </c>
      <c r="Y542" s="56"/>
      <c r="Z542" s="17"/>
      <c r="AA542" s="55"/>
      <c r="AB542" s="48">
        <f>(B542*122.58+C542*297.941+D542*89.177+E542*140.302+F542*40+G542*60+H542*0+I542*100+J542*300)/(122.58+297.941+89.177+140.302+0+40+60+100+300)</f>
        <v>25.975098511043477</v>
      </c>
      <c r="AC542" s="45">
        <f>(M542*'RAP TEMPLATE-GAS AVAILABILITY'!O541+N542*'RAP TEMPLATE-GAS AVAILABILITY'!P541+O542*'RAP TEMPLATE-GAS AVAILABILITY'!Q541+P542*'RAP TEMPLATE-GAS AVAILABILITY'!R541)/('RAP TEMPLATE-GAS AVAILABILITY'!O541+'RAP TEMPLATE-GAS AVAILABILITY'!P541+'RAP TEMPLATE-GAS AVAILABILITY'!Q541+'RAP TEMPLATE-GAS AVAILABILITY'!R541)</f>
        <v>25.793952517985609</v>
      </c>
    </row>
    <row r="543" spans="1:29" ht="15.75" x14ac:dyDescent="0.25">
      <c r="A543" s="13">
        <v>57070</v>
      </c>
      <c r="B543" s="17">
        <f>CHOOSE(CONTROL!$C$42, 25.1932, 25.1932) * CHOOSE(CONTROL!$C$21, $C$9, 100%, $E$9)</f>
        <v>25.193200000000001</v>
      </c>
      <c r="C543" s="17">
        <f>CHOOSE(CONTROL!$C$42, 25.1982, 25.1982) * CHOOSE(CONTROL!$C$21, $C$9, 100%, $E$9)</f>
        <v>25.1982</v>
      </c>
      <c r="D543" s="17">
        <f>CHOOSE(CONTROL!$C$42, 25.3322, 25.3322) * CHOOSE(CONTROL!$C$21, $C$9, 100%, $E$9)</f>
        <v>25.3322</v>
      </c>
      <c r="E543" s="17">
        <f>CHOOSE(CONTROL!$C$42, 25.366, 25.366) * CHOOSE(CONTROL!$C$21, $C$9, 100%, $E$9)</f>
        <v>25.366</v>
      </c>
      <c r="F543" s="17">
        <f>CHOOSE(CONTROL!$C$42, 25.2058, 25.2058)*CHOOSE(CONTROL!$C$21, $C$9, 100%, $E$9)</f>
        <v>25.2058</v>
      </c>
      <c r="G543" s="17">
        <f>CHOOSE(CONTROL!$C$42, 25.2225, 25.2225)*CHOOSE(CONTROL!$C$21, $C$9, 100%, $E$9)</f>
        <v>25.2225</v>
      </c>
      <c r="H543" s="17">
        <f>CHOOSE(CONTROL!$C$42, 25.3548, 25.3548) * CHOOSE(CONTROL!$C$21, $C$9, 100%, $E$9)</f>
        <v>25.354800000000001</v>
      </c>
      <c r="I543" s="17">
        <f>CHOOSE(CONTROL!$C$42, 25.2978, 25.2978)* CHOOSE(CONTROL!$C$21, $C$9, 100%, $E$9)</f>
        <v>25.297799999999999</v>
      </c>
      <c r="J543" s="17">
        <f>CHOOSE(CONTROL!$C$42, 25.1984, 25.1984)* CHOOSE(CONTROL!$C$21, $C$9, 100%, $E$9)</f>
        <v>25.198399999999999</v>
      </c>
      <c r="K543" s="52">
        <f>CHOOSE(CONTROL!$C$42, 25.2918, 25.2918) * CHOOSE(CONTROL!$C$21, $C$9, 100%, $E$9)</f>
        <v>25.291799999999999</v>
      </c>
      <c r="L543" s="17">
        <f>CHOOSE(CONTROL!$C$42, 25.9418, 25.9418) * CHOOSE(CONTROL!$C$21, $C$9, 100%, $E$9)</f>
        <v>25.941800000000001</v>
      </c>
      <c r="M543" s="17">
        <f>CHOOSE(CONTROL!$C$42, 24.9788, 24.9788) * CHOOSE(CONTROL!$C$21, $C$9, 100%, $E$9)</f>
        <v>24.9788</v>
      </c>
      <c r="N543" s="17">
        <f>CHOOSE(CONTROL!$C$42, 24.9953, 24.9953) * CHOOSE(CONTROL!$C$21, $C$9, 100%, $E$9)</f>
        <v>24.9953</v>
      </c>
      <c r="O543" s="17">
        <f>CHOOSE(CONTROL!$C$42, 25.1338, 25.1338) * CHOOSE(CONTROL!$C$21, $C$9, 100%, $E$9)</f>
        <v>25.133800000000001</v>
      </c>
      <c r="P543" s="17">
        <f>CHOOSE(CONTROL!$C$42, 25.0767, 25.0767) * CHOOSE(CONTROL!$C$21, $C$9, 100%, $E$9)</f>
        <v>25.076699999999999</v>
      </c>
      <c r="Q543" s="17">
        <f>CHOOSE(CONTROL!$C$42, 25.7285, 25.7285) * CHOOSE(CONTROL!$C$21, $C$9, 100%, $E$9)</f>
        <v>25.7285</v>
      </c>
      <c r="R543" s="17">
        <f>CHOOSE(CONTROL!$C$42, 26.3798, 26.3798) * CHOOSE(CONTROL!$C$21, $C$9, 100%, $E$9)</f>
        <v>26.379799999999999</v>
      </c>
      <c r="S543" s="17">
        <f>CHOOSE(CONTROL!$C$42, 24.4203, 24.4203) * CHOOSE(CONTROL!$C$21, $C$9, 100%, $E$9)</f>
        <v>24.420300000000001</v>
      </c>
      <c r="T543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543" s="56">
        <f>(1000*CHOOSE(CONTROL!$C$42, 695, 695)*CHOOSE(CONTROL!$C$42, 0.5599, 0.5599)*CHOOSE(CONTROL!$C$42, 31, 31))/1000000</f>
        <v>12.063045499999998</v>
      </c>
      <c r="V543" s="56">
        <f>(1000*CHOOSE(CONTROL!$C$42, 500, 500)*CHOOSE(CONTROL!$C$42, 0.275, 0.275)*CHOOSE(CONTROL!$C$42, 31, 31))/1000000</f>
        <v>4.2625000000000002</v>
      </c>
      <c r="W543" s="56">
        <f>(1000*CHOOSE(CONTROL!$C$42, 0.0916, 0.0916)*CHOOSE(CONTROL!$C$42, 121.5, 121.5)*CHOOSE(CONTROL!$C$42, 31, 31))/1000000</f>
        <v>0.34501139999999997</v>
      </c>
      <c r="X543" s="56">
        <f>(31*0.2374*100000/1000000)</f>
        <v>0.73594000000000004</v>
      </c>
      <c r="Y543" s="56"/>
      <c r="Z543" s="17"/>
      <c r="AA543" s="55"/>
      <c r="AB543" s="48">
        <f>(B543*122.58+C543*297.941+D543*89.177+E543*140.302+F543*40+G543*60+H543*0+I543*100+J543*300)/(122.58+297.941+89.177+140.302+0+40+60+100+300)</f>
        <v>25.238775211826084</v>
      </c>
      <c r="AC543" s="45">
        <f>(M543*'RAP TEMPLATE-GAS AVAILABILITY'!O542+N543*'RAP TEMPLATE-GAS AVAILABILITY'!P542+O543*'RAP TEMPLATE-GAS AVAILABILITY'!Q542+P543*'RAP TEMPLATE-GAS AVAILABILITY'!R542)/('RAP TEMPLATE-GAS AVAILABILITY'!O542+'RAP TEMPLATE-GAS AVAILABILITY'!P542+'RAP TEMPLATE-GAS AVAILABILITY'!Q542+'RAP TEMPLATE-GAS AVAILABILITY'!R542)</f>
        <v>25.06408776978417</v>
      </c>
    </row>
    <row r="544" spans="1:29" ht="15.75" x14ac:dyDescent="0.25">
      <c r="A544" s="13">
        <v>57100</v>
      </c>
      <c r="B544" s="17">
        <f>CHOOSE(CONTROL!$C$42, 25.1188, 25.1188) * CHOOSE(CONTROL!$C$21, $C$9, 100%, $E$9)</f>
        <v>25.1188</v>
      </c>
      <c r="C544" s="17">
        <f>CHOOSE(CONTROL!$C$42, 25.1233, 25.1233) * CHOOSE(CONTROL!$C$21, $C$9, 100%, $E$9)</f>
        <v>25.1233</v>
      </c>
      <c r="D544" s="17">
        <f>CHOOSE(CONTROL!$C$42, 25.3863, 25.3863) * CHOOSE(CONTROL!$C$21, $C$9, 100%, $E$9)</f>
        <v>25.386299999999999</v>
      </c>
      <c r="E544" s="17">
        <f>CHOOSE(CONTROL!$C$42, 25.4181, 25.4181) * CHOOSE(CONTROL!$C$21, $C$9, 100%, $E$9)</f>
        <v>25.418099999999999</v>
      </c>
      <c r="F544" s="17">
        <f>CHOOSE(CONTROL!$C$42, 25.1297, 25.1297)*CHOOSE(CONTROL!$C$21, $C$9, 100%, $E$9)</f>
        <v>25.1297</v>
      </c>
      <c r="G544" s="17">
        <f>CHOOSE(CONTROL!$C$42, 25.1459, 25.1459)*CHOOSE(CONTROL!$C$21, $C$9, 100%, $E$9)</f>
        <v>25.145900000000001</v>
      </c>
      <c r="H544" s="17">
        <f>CHOOSE(CONTROL!$C$42, 25.4076, 25.4076) * CHOOSE(CONTROL!$C$21, $C$9, 100%, $E$9)</f>
        <v>25.407599999999999</v>
      </c>
      <c r="I544" s="17">
        <f>CHOOSE(CONTROL!$C$42, 25.222, 25.222)* CHOOSE(CONTROL!$C$21, $C$9, 100%, $E$9)</f>
        <v>25.222000000000001</v>
      </c>
      <c r="J544" s="17">
        <f>CHOOSE(CONTROL!$C$42, 25.1223, 25.1223)* CHOOSE(CONTROL!$C$21, $C$9, 100%, $E$9)</f>
        <v>25.122299999999999</v>
      </c>
      <c r="K544" s="52">
        <f>CHOOSE(CONTROL!$C$42, 25.2159, 25.2159) * CHOOSE(CONTROL!$C$21, $C$9, 100%, $E$9)</f>
        <v>25.215900000000001</v>
      </c>
      <c r="L544" s="17">
        <f>CHOOSE(CONTROL!$C$42, 25.9946, 25.9946) * CHOOSE(CONTROL!$C$21, $C$9, 100%, $E$9)</f>
        <v>25.994599999999998</v>
      </c>
      <c r="M544" s="17">
        <f>CHOOSE(CONTROL!$C$42, 24.9034, 24.9034) * CHOOSE(CONTROL!$C$21, $C$9, 100%, $E$9)</f>
        <v>24.903400000000001</v>
      </c>
      <c r="N544" s="17">
        <f>CHOOSE(CONTROL!$C$42, 24.9194, 24.9194) * CHOOSE(CONTROL!$C$21, $C$9, 100%, $E$9)</f>
        <v>24.9194</v>
      </c>
      <c r="O544" s="17">
        <f>CHOOSE(CONTROL!$C$42, 25.1861, 25.1861) * CHOOSE(CONTROL!$C$21, $C$9, 100%, $E$9)</f>
        <v>25.1861</v>
      </c>
      <c r="P544" s="17">
        <f>CHOOSE(CONTROL!$C$42, 25.0015, 25.0015) * CHOOSE(CONTROL!$C$21, $C$9, 100%, $E$9)</f>
        <v>25.0015</v>
      </c>
      <c r="Q544" s="17">
        <f>CHOOSE(CONTROL!$C$42, 25.7808, 25.7808) * CHOOSE(CONTROL!$C$21, $C$9, 100%, $E$9)</f>
        <v>25.780799999999999</v>
      </c>
      <c r="R544" s="17">
        <f>CHOOSE(CONTROL!$C$42, 26.4322, 26.4322) * CHOOSE(CONTROL!$C$21, $C$9, 100%, $E$9)</f>
        <v>26.432200000000002</v>
      </c>
      <c r="S544" s="17">
        <f>CHOOSE(CONTROL!$C$42, 24.3474, 24.3474) * CHOOSE(CONTROL!$C$21, $C$9, 100%, $E$9)</f>
        <v>24.3474</v>
      </c>
      <c r="T544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544" s="56">
        <f>(1000*CHOOSE(CONTROL!$C$42, 695, 695)*CHOOSE(CONTROL!$C$42, 0.5599, 0.5599)*CHOOSE(CONTROL!$C$42, 30, 30))/1000000</f>
        <v>11.673914999999997</v>
      </c>
      <c r="V544" s="56">
        <f>(1000*CHOOSE(CONTROL!$C$42, 500, 500)*CHOOSE(CONTROL!$C$42, 0.275, 0.275)*CHOOSE(CONTROL!$C$42, 30, 30))/1000000</f>
        <v>4.125</v>
      </c>
      <c r="W544" s="56">
        <f>(1000*CHOOSE(CONTROL!$C$42, 0.0916, 0.0916)*CHOOSE(CONTROL!$C$42, 121.5, 121.5)*CHOOSE(CONTROL!$C$42, 30, 30))/1000000</f>
        <v>0.33388200000000001</v>
      </c>
      <c r="X544" s="56">
        <f>(30*0.1790888*145000/1000000)+(30*0.2374*100000/1000000)</f>
        <v>1.4912362799999999</v>
      </c>
      <c r="Y544" s="56"/>
      <c r="Z544" s="17"/>
      <c r="AA544" s="55"/>
      <c r="AB544" s="48">
        <f>(B544*141.293+C544*267.993+D544*115.016+E544*189.698+F544*40+G544*85+H544*0+I544*100+J544*300)/(141.293+267.993+115.016+189.698+0+40+85+100+300)</f>
        <v>25.201817643179982</v>
      </c>
      <c r="AC544" s="45">
        <f>(M544*'RAP TEMPLATE-GAS AVAILABILITY'!O543+N544*'RAP TEMPLATE-GAS AVAILABILITY'!P543+O544*'RAP TEMPLATE-GAS AVAILABILITY'!Q543+P544*'RAP TEMPLATE-GAS AVAILABILITY'!R543)/('RAP TEMPLATE-GAS AVAILABILITY'!O543+'RAP TEMPLATE-GAS AVAILABILITY'!P543+'RAP TEMPLATE-GAS AVAILABILITY'!Q543+'RAP TEMPLATE-GAS AVAILABILITY'!R543)</f>
        <v>25.000517266187053</v>
      </c>
    </row>
    <row r="545" spans="1:29" ht="15.75" x14ac:dyDescent="0.25">
      <c r="A545" s="13">
        <v>57131</v>
      </c>
      <c r="B545" s="17">
        <f>CHOOSE(CONTROL!$C$42, 25.3418, 25.3418) * CHOOSE(CONTROL!$C$21, $C$9, 100%, $E$9)</f>
        <v>25.341799999999999</v>
      </c>
      <c r="C545" s="17">
        <f>CHOOSE(CONTROL!$C$42, 25.3497, 25.3497) * CHOOSE(CONTROL!$C$21, $C$9, 100%, $E$9)</f>
        <v>25.349699999999999</v>
      </c>
      <c r="D545" s="17">
        <f>CHOOSE(CONTROL!$C$42, 25.6097, 25.6097) * CHOOSE(CONTROL!$C$21, $C$9, 100%, $E$9)</f>
        <v>25.6097</v>
      </c>
      <c r="E545" s="17">
        <f>CHOOSE(CONTROL!$C$42, 25.6409, 25.6409) * CHOOSE(CONTROL!$C$21, $C$9, 100%, $E$9)</f>
        <v>25.640899999999998</v>
      </c>
      <c r="F545" s="17">
        <f>CHOOSE(CONTROL!$C$42, 25.3514, 25.3514)*CHOOSE(CONTROL!$C$21, $C$9, 100%, $E$9)</f>
        <v>25.351400000000002</v>
      </c>
      <c r="G545" s="17">
        <f>CHOOSE(CONTROL!$C$42, 25.3679, 25.3679)*CHOOSE(CONTROL!$C$21, $C$9, 100%, $E$9)</f>
        <v>25.367899999999999</v>
      </c>
      <c r="H545" s="17">
        <f>CHOOSE(CONTROL!$C$42, 25.6292, 25.6292) * CHOOSE(CONTROL!$C$21, $C$9, 100%, $E$9)</f>
        <v>25.629200000000001</v>
      </c>
      <c r="I545" s="17">
        <f>CHOOSE(CONTROL!$C$42, 25.4442, 25.4442)* CHOOSE(CONTROL!$C$21, $C$9, 100%, $E$9)</f>
        <v>25.444199999999999</v>
      </c>
      <c r="J545" s="17">
        <f>CHOOSE(CONTROL!$C$42, 25.344, 25.344)* CHOOSE(CONTROL!$C$21, $C$9, 100%, $E$9)</f>
        <v>25.344000000000001</v>
      </c>
      <c r="K545" s="52">
        <f>CHOOSE(CONTROL!$C$42, 25.4382, 25.4382) * CHOOSE(CONTROL!$C$21, $C$9, 100%, $E$9)</f>
        <v>25.438199999999998</v>
      </c>
      <c r="L545" s="17">
        <f>CHOOSE(CONTROL!$C$42, 26.2162, 26.2162) * CHOOSE(CONTROL!$C$21, $C$9, 100%, $E$9)</f>
        <v>26.216200000000001</v>
      </c>
      <c r="M545" s="17">
        <f>CHOOSE(CONTROL!$C$42, 25.1231, 25.1231) * CHOOSE(CONTROL!$C$21, $C$9, 100%, $E$9)</f>
        <v>25.123100000000001</v>
      </c>
      <c r="N545" s="17">
        <f>CHOOSE(CONTROL!$C$42, 25.1394, 25.1394) * CHOOSE(CONTROL!$C$21, $C$9, 100%, $E$9)</f>
        <v>25.139399999999998</v>
      </c>
      <c r="O545" s="17">
        <f>CHOOSE(CONTROL!$C$42, 25.4057, 25.4057) * CHOOSE(CONTROL!$C$21, $C$9, 100%, $E$9)</f>
        <v>25.4057</v>
      </c>
      <c r="P545" s="17">
        <f>CHOOSE(CONTROL!$C$42, 25.2218, 25.2218) * CHOOSE(CONTROL!$C$21, $C$9, 100%, $E$9)</f>
        <v>25.221800000000002</v>
      </c>
      <c r="Q545" s="17">
        <f>CHOOSE(CONTROL!$C$42, 26.0004, 26.0004) * CHOOSE(CONTROL!$C$21, $C$9, 100%, $E$9)</f>
        <v>26.000399999999999</v>
      </c>
      <c r="R545" s="17">
        <f>CHOOSE(CONTROL!$C$42, 26.6524, 26.6524) * CHOOSE(CONTROL!$C$21, $C$9, 100%, $E$9)</f>
        <v>26.6524</v>
      </c>
      <c r="S545" s="17">
        <f>CHOOSE(CONTROL!$C$42, 24.5623, 24.5623) * CHOOSE(CONTROL!$C$21, $C$9, 100%, $E$9)</f>
        <v>24.5623</v>
      </c>
      <c r="T545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545" s="56">
        <f>(1000*CHOOSE(CONTROL!$C$42, 695, 695)*CHOOSE(CONTROL!$C$42, 0.5599, 0.5599)*CHOOSE(CONTROL!$C$42, 31, 31))/1000000</f>
        <v>12.063045499999998</v>
      </c>
      <c r="V545" s="56">
        <f>(1000*CHOOSE(CONTROL!$C$42, 500, 500)*CHOOSE(CONTROL!$C$42, 0.275, 0.275)*CHOOSE(CONTROL!$C$42, 31, 31))/1000000</f>
        <v>4.2625000000000002</v>
      </c>
      <c r="W545" s="56">
        <f>(1000*CHOOSE(CONTROL!$C$42, 0.0916, 0.0916)*CHOOSE(CONTROL!$C$42, 121.5, 121.5)*CHOOSE(CONTROL!$C$42, 31, 31))/1000000</f>
        <v>0.34501139999999997</v>
      </c>
      <c r="X545" s="56">
        <f>(31*0.1790888*145000/1000000)+(31*0.2374*100000/1000000)</f>
        <v>1.5409441560000001</v>
      </c>
      <c r="Y545" s="56"/>
      <c r="Z545" s="17"/>
      <c r="AA545" s="55"/>
      <c r="AB545" s="48">
        <f>(B545*194.205+C545*267.466+D545*133.845+E545*153.484+F545*40+G545*85+H545*0+I545*100+J545*300)/(194.205+267.466+133.845+153.484+0+40+85+100+300)</f>
        <v>25.418236123469388</v>
      </c>
      <c r="AC545" s="45">
        <f>(M545*'RAP TEMPLATE-GAS AVAILABILITY'!O544+N545*'RAP TEMPLATE-GAS AVAILABILITY'!P544+O545*'RAP TEMPLATE-GAS AVAILABILITY'!Q544+P545*'RAP TEMPLATE-GAS AVAILABILITY'!R544)/('RAP TEMPLATE-GAS AVAILABILITY'!O544+'RAP TEMPLATE-GAS AVAILABILITY'!P544+'RAP TEMPLATE-GAS AVAILABILITY'!Q544+'RAP TEMPLATE-GAS AVAILABILITY'!R544)</f>
        <v>25.220344604316548</v>
      </c>
    </row>
    <row r="546" spans="1:29" ht="15.75" x14ac:dyDescent="0.25">
      <c r="A546" s="13">
        <v>57161</v>
      </c>
      <c r="B546" s="17">
        <f>CHOOSE(CONTROL!$C$42, 26.0602, 26.0602) * CHOOSE(CONTROL!$C$21, $C$9, 100%, $E$9)</f>
        <v>26.060199999999998</v>
      </c>
      <c r="C546" s="17">
        <f>CHOOSE(CONTROL!$C$42, 26.0682, 26.0682) * CHOOSE(CONTROL!$C$21, $C$9, 100%, $E$9)</f>
        <v>26.068200000000001</v>
      </c>
      <c r="D546" s="17">
        <f>CHOOSE(CONTROL!$C$42, 26.3282, 26.3282) * CHOOSE(CONTROL!$C$21, $C$9, 100%, $E$9)</f>
        <v>26.328199999999999</v>
      </c>
      <c r="E546" s="17">
        <f>CHOOSE(CONTROL!$C$42, 26.3593, 26.3593) * CHOOSE(CONTROL!$C$21, $C$9, 100%, $E$9)</f>
        <v>26.359300000000001</v>
      </c>
      <c r="F546" s="17">
        <f>CHOOSE(CONTROL!$C$42, 26.0702, 26.0702)*CHOOSE(CONTROL!$C$21, $C$9, 100%, $E$9)</f>
        <v>26.0702</v>
      </c>
      <c r="G546" s="17">
        <f>CHOOSE(CONTROL!$C$42, 26.0868, 26.0868)*CHOOSE(CONTROL!$C$21, $C$9, 100%, $E$9)</f>
        <v>26.0868</v>
      </c>
      <c r="H546" s="17">
        <f>CHOOSE(CONTROL!$C$42, 26.3477, 26.3477) * CHOOSE(CONTROL!$C$21, $C$9, 100%, $E$9)</f>
        <v>26.3477</v>
      </c>
      <c r="I546" s="17">
        <f>CHOOSE(CONTROL!$C$42, 26.165, 26.165)* CHOOSE(CONTROL!$C$21, $C$9, 100%, $E$9)</f>
        <v>26.164999999999999</v>
      </c>
      <c r="J546" s="17">
        <f>CHOOSE(CONTROL!$C$42, 26.0628, 26.0628)* CHOOSE(CONTROL!$C$21, $C$9, 100%, $E$9)</f>
        <v>26.062799999999999</v>
      </c>
      <c r="K546" s="52">
        <f>CHOOSE(CONTROL!$C$42, 26.1589, 26.1589) * CHOOSE(CONTROL!$C$21, $C$9, 100%, $E$9)</f>
        <v>26.158899999999999</v>
      </c>
      <c r="L546" s="17">
        <f>CHOOSE(CONTROL!$C$42, 26.9347, 26.9347) * CHOOSE(CONTROL!$C$21, $C$9, 100%, $E$9)</f>
        <v>26.934699999999999</v>
      </c>
      <c r="M546" s="17">
        <f>CHOOSE(CONTROL!$C$42, 25.8354, 25.8354) * CHOOSE(CONTROL!$C$21, $C$9, 100%, $E$9)</f>
        <v>25.8354</v>
      </c>
      <c r="N546" s="17">
        <f>CHOOSE(CONTROL!$C$42, 25.8518, 25.8518) * CHOOSE(CONTROL!$C$21, $C$9, 100%, $E$9)</f>
        <v>25.851800000000001</v>
      </c>
      <c r="O546" s="17">
        <f>CHOOSE(CONTROL!$C$42, 26.1177, 26.1177) * CHOOSE(CONTROL!$C$21, $C$9, 100%, $E$9)</f>
        <v>26.117699999999999</v>
      </c>
      <c r="P546" s="17">
        <f>CHOOSE(CONTROL!$C$42, 25.936, 25.936) * CHOOSE(CONTROL!$C$21, $C$9, 100%, $E$9)</f>
        <v>25.936</v>
      </c>
      <c r="Q546" s="17">
        <f>CHOOSE(CONTROL!$C$42, 26.7124, 26.7124) * CHOOSE(CONTROL!$C$21, $C$9, 100%, $E$9)</f>
        <v>26.712399999999999</v>
      </c>
      <c r="R546" s="17">
        <f>CHOOSE(CONTROL!$C$42, 27.3662, 27.3662) * CHOOSE(CONTROL!$C$21, $C$9, 100%, $E$9)</f>
        <v>27.366199999999999</v>
      </c>
      <c r="S546" s="17">
        <f>CHOOSE(CONTROL!$C$42, 25.259, 25.259) * CHOOSE(CONTROL!$C$21, $C$9, 100%, $E$9)</f>
        <v>25.259</v>
      </c>
      <c r="T546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546" s="56">
        <f>(1000*CHOOSE(CONTROL!$C$42, 695, 695)*CHOOSE(CONTROL!$C$42, 0.5599, 0.5599)*CHOOSE(CONTROL!$C$42, 30, 30))/1000000</f>
        <v>11.673914999999997</v>
      </c>
      <c r="V546" s="56">
        <f>(1000*CHOOSE(CONTROL!$C$42, 500, 500)*CHOOSE(CONTROL!$C$42, 0.275, 0.275)*CHOOSE(CONTROL!$C$42, 30, 30))/1000000</f>
        <v>4.125</v>
      </c>
      <c r="W546" s="56">
        <f>(1000*CHOOSE(CONTROL!$C$42, 0.0916, 0.0916)*CHOOSE(CONTROL!$C$42, 121.5, 121.5)*CHOOSE(CONTROL!$C$42, 30, 30))/1000000</f>
        <v>0.33388200000000001</v>
      </c>
      <c r="X546" s="56">
        <f>(30*0.1790888*145000/1000000)+(30*0.2374*100000/1000000)</f>
        <v>1.4912362799999999</v>
      </c>
      <c r="Y546" s="56"/>
      <c r="Z546" s="17"/>
      <c r="AA546" s="55"/>
      <c r="AB546" s="48">
        <f>(B546*194.205+C546*267.466+D546*133.845+E546*153.484+F546*40+G546*85+H546*0+I546*100+J546*300)/(194.205+267.466+133.845+153.484+0+40+85+100+300)</f>
        <v>26.13699611648352</v>
      </c>
      <c r="AC546" s="45">
        <f>(M546*'RAP TEMPLATE-GAS AVAILABILITY'!O545+N546*'RAP TEMPLATE-GAS AVAILABILITY'!P545+O546*'RAP TEMPLATE-GAS AVAILABILITY'!Q545+P546*'RAP TEMPLATE-GAS AVAILABILITY'!R545)/('RAP TEMPLATE-GAS AVAILABILITY'!O545+'RAP TEMPLATE-GAS AVAILABILITY'!P545+'RAP TEMPLATE-GAS AVAILABILITY'!Q545+'RAP TEMPLATE-GAS AVAILABILITY'!R545)</f>
        <v>25.93285683453237</v>
      </c>
    </row>
    <row r="547" spans="1:29" ht="15.75" x14ac:dyDescent="0.25">
      <c r="A547" s="13">
        <v>57192</v>
      </c>
      <c r="B547" s="17">
        <f>CHOOSE(CONTROL!$C$42, 25.5605, 25.5605) * CHOOSE(CONTROL!$C$21, $C$9, 100%, $E$9)</f>
        <v>25.560500000000001</v>
      </c>
      <c r="C547" s="17">
        <f>CHOOSE(CONTROL!$C$42, 25.5685, 25.5685) * CHOOSE(CONTROL!$C$21, $C$9, 100%, $E$9)</f>
        <v>25.5685</v>
      </c>
      <c r="D547" s="17">
        <f>CHOOSE(CONTROL!$C$42, 25.8285, 25.8285) * CHOOSE(CONTROL!$C$21, $C$9, 100%, $E$9)</f>
        <v>25.828499999999998</v>
      </c>
      <c r="E547" s="17">
        <f>CHOOSE(CONTROL!$C$42, 25.8596, 25.8596) * CHOOSE(CONTROL!$C$21, $C$9, 100%, $E$9)</f>
        <v>25.8596</v>
      </c>
      <c r="F547" s="17">
        <f>CHOOSE(CONTROL!$C$42, 25.5709, 25.5709)*CHOOSE(CONTROL!$C$21, $C$9, 100%, $E$9)</f>
        <v>25.570900000000002</v>
      </c>
      <c r="G547" s="17">
        <f>CHOOSE(CONTROL!$C$42, 25.5876, 25.5876)*CHOOSE(CONTROL!$C$21, $C$9, 100%, $E$9)</f>
        <v>25.587599999999998</v>
      </c>
      <c r="H547" s="17">
        <f>CHOOSE(CONTROL!$C$42, 25.848, 25.848) * CHOOSE(CONTROL!$C$21, $C$9, 100%, $E$9)</f>
        <v>25.847999999999999</v>
      </c>
      <c r="I547" s="17">
        <f>CHOOSE(CONTROL!$C$42, 25.6637, 25.6637)* CHOOSE(CONTROL!$C$21, $C$9, 100%, $E$9)</f>
        <v>25.663699999999999</v>
      </c>
      <c r="J547" s="17">
        <f>CHOOSE(CONTROL!$C$42, 25.5635, 25.5635)* CHOOSE(CONTROL!$C$21, $C$9, 100%, $E$9)</f>
        <v>25.563500000000001</v>
      </c>
      <c r="K547" s="52">
        <f>CHOOSE(CONTROL!$C$42, 25.6577, 25.6577) * CHOOSE(CONTROL!$C$21, $C$9, 100%, $E$9)</f>
        <v>25.657699999999998</v>
      </c>
      <c r="L547" s="17">
        <f>CHOOSE(CONTROL!$C$42, 26.435, 26.435) * CHOOSE(CONTROL!$C$21, $C$9, 100%, $E$9)</f>
        <v>26.434999999999999</v>
      </c>
      <c r="M547" s="17">
        <f>CHOOSE(CONTROL!$C$42, 25.3406, 25.3406) * CHOOSE(CONTROL!$C$21, $C$9, 100%, $E$9)</f>
        <v>25.340599999999998</v>
      </c>
      <c r="N547" s="17">
        <f>CHOOSE(CONTROL!$C$42, 25.3571, 25.3571) * CHOOSE(CONTROL!$C$21, $C$9, 100%, $E$9)</f>
        <v>25.357099999999999</v>
      </c>
      <c r="O547" s="17">
        <f>CHOOSE(CONTROL!$C$42, 25.6225, 25.6225) * CHOOSE(CONTROL!$C$21, $C$9, 100%, $E$9)</f>
        <v>25.622499999999999</v>
      </c>
      <c r="P547" s="17">
        <f>CHOOSE(CONTROL!$C$42, 25.4392, 25.4392) * CHOOSE(CONTROL!$C$21, $C$9, 100%, $E$9)</f>
        <v>25.4392</v>
      </c>
      <c r="Q547" s="17">
        <f>CHOOSE(CONTROL!$C$42, 26.2172, 26.2172) * CHOOSE(CONTROL!$C$21, $C$9, 100%, $E$9)</f>
        <v>26.217199999999998</v>
      </c>
      <c r="R547" s="17">
        <f>CHOOSE(CONTROL!$C$42, 26.8697, 26.8697) * CHOOSE(CONTROL!$C$21, $C$9, 100%, $E$9)</f>
        <v>26.869700000000002</v>
      </c>
      <c r="S547" s="17">
        <f>CHOOSE(CONTROL!$C$42, 24.7745, 24.7745) * CHOOSE(CONTROL!$C$21, $C$9, 100%, $E$9)</f>
        <v>24.7745</v>
      </c>
      <c r="T547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547" s="56">
        <f>(1000*CHOOSE(CONTROL!$C$42, 695, 695)*CHOOSE(CONTROL!$C$42, 0.5599, 0.5599)*CHOOSE(CONTROL!$C$42, 31, 31))/1000000</f>
        <v>12.063045499999998</v>
      </c>
      <c r="V547" s="56">
        <f>(1000*CHOOSE(CONTROL!$C$42, 500, 500)*CHOOSE(CONTROL!$C$42, 0.275, 0.275)*CHOOSE(CONTROL!$C$42, 31, 31))/1000000</f>
        <v>4.2625000000000002</v>
      </c>
      <c r="W547" s="56">
        <f>(1000*CHOOSE(CONTROL!$C$42, 0.0916, 0.0916)*CHOOSE(CONTROL!$C$42, 121.5, 121.5)*CHOOSE(CONTROL!$C$42, 31, 31))/1000000</f>
        <v>0.34501139999999997</v>
      </c>
      <c r="X547" s="56">
        <f>(31*0.1790888*145000/1000000)+(31*0.2374*100000/1000000)</f>
        <v>1.5409441560000001</v>
      </c>
      <c r="Y547" s="56"/>
      <c r="Z547" s="17"/>
      <c r="AA547" s="55"/>
      <c r="AB547" s="48">
        <f>(B547*194.205+C547*267.466+D547*133.845+E547*153.484+F547*40+G547*85+H547*0+I547*100+J547*300)/(194.205+267.466+133.845+153.484+0+40+85+100+300)</f>
        <v>25.63731063767661</v>
      </c>
      <c r="AC547" s="45">
        <f>(M547*'RAP TEMPLATE-GAS AVAILABILITY'!O546+N547*'RAP TEMPLATE-GAS AVAILABILITY'!P546+O547*'RAP TEMPLATE-GAS AVAILABILITY'!Q546+P547*'RAP TEMPLATE-GAS AVAILABILITY'!R546)/('RAP TEMPLATE-GAS AVAILABILITY'!O546+'RAP TEMPLATE-GAS AVAILABILITY'!P546+'RAP TEMPLATE-GAS AVAILABILITY'!Q546+'RAP TEMPLATE-GAS AVAILABILITY'!R546)</f>
        <v>25.437679856115107</v>
      </c>
    </row>
    <row r="548" spans="1:29" ht="15.75" x14ac:dyDescent="0.25">
      <c r="A548" s="13">
        <v>57223</v>
      </c>
      <c r="B548" s="17">
        <f>CHOOSE(CONTROL!$C$42, 24.2986, 24.2986) * CHOOSE(CONTROL!$C$21, $C$9, 100%, $E$9)</f>
        <v>24.2986</v>
      </c>
      <c r="C548" s="17">
        <f>CHOOSE(CONTROL!$C$42, 24.3066, 24.3066) * CHOOSE(CONTROL!$C$21, $C$9, 100%, $E$9)</f>
        <v>24.3066</v>
      </c>
      <c r="D548" s="17">
        <f>CHOOSE(CONTROL!$C$42, 24.5665, 24.5665) * CHOOSE(CONTROL!$C$21, $C$9, 100%, $E$9)</f>
        <v>24.566500000000001</v>
      </c>
      <c r="E548" s="17">
        <f>CHOOSE(CONTROL!$C$42, 24.5977, 24.5977) * CHOOSE(CONTROL!$C$21, $C$9, 100%, $E$9)</f>
        <v>24.5977</v>
      </c>
      <c r="F548" s="17">
        <f>CHOOSE(CONTROL!$C$42, 24.3092, 24.3092)*CHOOSE(CONTROL!$C$21, $C$9, 100%, $E$9)</f>
        <v>24.309200000000001</v>
      </c>
      <c r="G548" s="17">
        <f>CHOOSE(CONTROL!$C$42, 24.3259, 24.3259)*CHOOSE(CONTROL!$C$21, $C$9, 100%, $E$9)</f>
        <v>24.325900000000001</v>
      </c>
      <c r="H548" s="17">
        <f>CHOOSE(CONTROL!$C$42, 24.586, 24.586) * CHOOSE(CONTROL!$C$21, $C$9, 100%, $E$9)</f>
        <v>24.585999999999999</v>
      </c>
      <c r="I548" s="17">
        <f>CHOOSE(CONTROL!$C$42, 24.3979, 24.3979)* CHOOSE(CONTROL!$C$21, $C$9, 100%, $E$9)</f>
        <v>24.3979</v>
      </c>
      <c r="J548" s="17">
        <f>CHOOSE(CONTROL!$C$42, 24.3018, 24.3018)* CHOOSE(CONTROL!$C$21, $C$9, 100%, $E$9)</f>
        <v>24.3018</v>
      </c>
      <c r="K548" s="52">
        <f>CHOOSE(CONTROL!$C$42, 24.3918, 24.3918) * CHOOSE(CONTROL!$C$21, $C$9, 100%, $E$9)</f>
        <v>24.3918</v>
      </c>
      <c r="L548" s="17">
        <f>CHOOSE(CONTROL!$C$42, 25.173, 25.173) * CHOOSE(CONTROL!$C$21, $C$9, 100%, $E$9)</f>
        <v>25.172999999999998</v>
      </c>
      <c r="M548" s="17">
        <f>CHOOSE(CONTROL!$C$42, 24.0903, 24.0903) * CHOOSE(CONTROL!$C$21, $C$9, 100%, $E$9)</f>
        <v>24.090299999999999</v>
      </c>
      <c r="N548" s="17">
        <f>CHOOSE(CONTROL!$C$42, 24.1068, 24.1068) * CHOOSE(CONTROL!$C$21, $C$9, 100%, $E$9)</f>
        <v>24.1068</v>
      </c>
      <c r="O548" s="17">
        <f>CHOOSE(CONTROL!$C$42, 24.3719, 24.3719) * CHOOSE(CONTROL!$C$21, $C$9, 100%, $E$9)</f>
        <v>24.3719</v>
      </c>
      <c r="P548" s="17">
        <f>CHOOSE(CONTROL!$C$42, 24.1848, 24.1848) * CHOOSE(CONTROL!$C$21, $C$9, 100%, $E$9)</f>
        <v>24.184799999999999</v>
      </c>
      <c r="Q548" s="17">
        <f>CHOOSE(CONTROL!$C$42, 24.9666, 24.9666) * CHOOSE(CONTROL!$C$21, $C$9, 100%, $E$9)</f>
        <v>24.9666</v>
      </c>
      <c r="R548" s="17">
        <f>CHOOSE(CONTROL!$C$42, 25.616, 25.616) * CHOOSE(CONTROL!$C$21, $C$9, 100%, $E$9)</f>
        <v>25.616</v>
      </c>
      <c r="S548" s="17">
        <f>CHOOSE(CONTROL!$C$42, 23.5508, 23.5508) * CHOOSE(CONTROL!$C$21, $C$9, 100%, $E$9)</f>
        <v>23.550799999999999</v>
      </c>
      <c r="T548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548" s="56">
        <f>(1000*CHOOSE(CONTROL!$C$42, 695, 695)*CHOOSE(CONTROL!$C$42, 0.5599, 0.5599)*CHOOSE(CONTROL!$C$42, 31, 31))/1000000</f>
        <v>12.063045499999998</v>
      </c>
      <c r="V548" s="56">
        <f>(1000*CHOOSE(CONTROL!$C$42, 500, 500)*CHOOSE(CONTROL!$C$42, 0.275, 0.275)*CHOOSE(CONTROL!$C$42, 31, 31))/1000000</f>
        <v>4.2625000000000002</v>
      </c>
      <c r="W548" s="56">
        <f>(1000*CHOOSE(CONTROL!$C$42, 0.0916, 0.0916)*CHOOSE(CONTROL!$C$42, 121.5, 121.5)*CHOOSE(CONTROL!$C$42, 31, 31))/1000000</f>
        <v>0.34501139999999997</v>
      </c>
      <c r="X548" s="56">
        <f>(31*0.1790888*145000/1000000)+(31*0.2374*100000/1000000)</f>
        <v>1.5409441560000001</v>
      </c>
      <c r="Y548" s="56"/>
      <c r="Z548" s="17"/>
      <c r="AA548" s="55"/>
      <c r="AB548" s="48">
        <f>(B548*194.205+C548*267.466+D548*133.845+E548*153.484+F548*40+G548*85+H548*0+I548*100+J548*300)/(194.205+267.466+133.845+153.484+0+40+85+100+300)</f>
        <v>24.375160728335953</v>
      </c>
      <c r="AC548" s="45">
        <f>(M548*'RAP TEMPLATE-GAS AVAILABILITY'!O547+N548*'RAP TEMPLATE-GAS AVAILABILITY'!P547+O548*'RAP TEMPLATE-GAS AVAILABILITY'!Q547+P548*'RAP TEMPLATE-GAS AVAILABILITY'!R547)/('RAP TEMPLATE-GAS AVAILABILITY'!O547+'RAP TEMPLATE-GAS AVAILABILITY'!P547+'RAP TEMPLATE-GAS AVAILABILITY'!Q547+'RAP TEMPLATE-GAS AVAILABILITY'!R547)</f>
        <v>24.186705755395678</v>
      </c>
    </row>
    <row r="549" spans="1:29" ht="15.75" x14ac:dyDescent="0.25">
      <c r="A549" s="13">
        <v>57253</v>
      </c>
      <c r="B549" s="17">
        <f>CHOOSE(CONTROL!$C$42, 22.7565, 22.7565) * CHOOSE(CONTROL!$C$21, $C$9, 100%, $E$9)</f>
        <v>22.756499999999999</v>
      </c>
      <c r="C549" s="17">
        <f>CHOOSE(CONTROL!$C$42, 22.7645, 22.7645) * CHOOSE(CONTROL!$C$21, $C$9, 100%, $E$9)</f>
        <v>22.764500000000002</v>
      </c>
      <c r="D549" s="17">
        <f>CHOOSE(CONTROL!$C$42, 23.0244, 23.0244) * CHOOSE(CONTROL!$C$21, $C$9, 100%, $E$9)</f>
        <v>23.0244</v>
      </c>
      <c r="E549" s="17">
        <f>CHOOSE(CONTROL!$C$42, 23.0556, 23.0556) * CHOOSE(CONTROL!$C$21, $C$9, 100%, $E$9)</f>
        <v>23.055599999999998</v>
      </c>
      <c r="F549" s="17">
        <f>CHOOSE(CONTROL!$C$42, 22.7671, 22.7671)*CHOOSE(CONTROL!$C$21, $C$9, 100%, $E$9)</f>
        <v>22.767099999999999</v>
      </c>
      <c r="G549" s="17">
        <f>CHOOSE(CONTROL!$C$42, 22.7838, 22.7838)*CHOOSE(CONTROL!$C$21, $C$9, 100%, $E$9)</f>
        <v>22.783799999999999</v>
      </c>
      <c r="H549" s="17">
        <f>CHOOSE(CONTROL!$C$42, 23.0439, 23.0439) * CHOOSE(CONTROL!$C$21, $C$9, 100%, $E$9)</f>
        <v>23.043900000000001</v>
      </c>
      <c r="I549" s="17">
        <f>CHOOSE(CONTROL!$C$42, 22.8509, 22.8509)* CHOOSE(CONTROL!$C$21, $C$9, 100%, $E$9)</f>
        <v>22.850899999999999</v>
      </c>
      <c r="J549" s="17">
        <f>CHOOSE(CONTROL!$C$42, 22.7597, 22.7597)* CHOOSE(CONTROL!$C$21, $C$9, 100%, $E$9)</f>
        <v>22.759699999999999</v>
      </c>
      <c r="K549" s="52">
        <f>CHOOSE(CONTROL!$C$42, 22.8449, 22.8449) * CHOOSE(CONTROL!$C$21, $C$9, 100%, $E$9)</f>
        <v>22.844899999999999</v>
      </c>
      <c r="L549" s="17">
        <f>CHOOSE(CONTROL!$C$42, 23.6309, 23.6309) * CHOOSE(CONTROL!$C$21, $C$9, 100%, $E$9)</f>
        <v>23.6309</v>
      </c>
      <c r="M549" s="17">
        <f>CHOOSE(CONTROL!$C$42, 22.562, 22.562) * CHOOSE(CONTROL!$C$21, $C$9, 100%, $E$9)</f>
        <v>22.562000000000001</v>
      </c>
      <c r="N549" s="17">
        <f>CHOOSE(CONTROL!$C$42, 22.5786, 22.5786) * CHOOSE(CONTROL!$C$21, $C$9, 100%, $E$9)</f>
        <v>22.578600000000002</v>
      </c>
      <c r="O549" s="17">
        <f>CHOOSE(CONTROL!$C$42, 22.8437, 22.8437) * CHOOSE(CONTROL!$C$21, $C$9, 100%, $E$9)</f>
        <v>22.843699999999998</v>
      </c>
      <c r="P549" s="17">
        <f>CHOOSE(CONTROL!$C$42, 22.6519, 22.6519) * CHOOSE(CONTROL!$C$21, $C$9, 100%, $E$9)</f>
        <v>22.651900000000001</v>
      </c>
      <c r="Q549" s="17">
        <f>CHOOSE(CONTROL!$C$42, 23.4384, 23.4384) * CHOOSE(CONTROL!$C$21, $C$9, 100%, $E$9)</f>
        <v>23.438400000000001</v>
      </c>
      <c r="R549" s="17">
        <f>CHOOSE(CONTROL!$C$42, 24.084, 24.084) * CHOOSE(CONTROL!$C$21, $C$9, 100%, $E$9)</f>
        <v>24.084</v>
      </c>
      <c r="S549" s="17">
        <f>CHOOSE(CONTROL!$C$42, 22.0554, 22.0554) * CHOOSE(CONTROL!$C$21, $C$9, 100%, $E$9)</f>
        <v>22.055399999999999</v>
      </c>
      <c r="T549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549" s="56">
        <f>(1000*CHOOSE(CONTROL!$C$42, 695, 695)*CHOOSE(CONTROL!$C$42, 0.5599, 0.5599)*CHOOSE(CONTROL!$C$42, 30, 30))/1000000</f>
        <v>11.673914999999997</v>
      </c>
      <c r="V549" s="56">
        <f>(1000*CHOOSE(CONTROL!$C$42, 500, 500)*CHOOSE(CONTROL!$C$42, 0.275, 0.275)*CHOOSE(CONTROL!$C$42, 30, 30))/1000000</f>
        <v>4.125</v>
      </c>
      <c r="W549" s="56">
        <f>(1000*CHOOSE(CONTROL!$C$42, 0.0916, 0.0916)*CHOOSE(CONTROL!$C$42, 121.5, 121.5)*CHOOSE(CONTROL!$C$42, 30, 30))/1000000</f>
        <v>0.33388200000000001</v>
      </c>
      <c r="X549" s="56">
        <f>(30*0.1790888*145000/1000000)+(30*0.2374*100000/1000000)</f>
        <v>1.4912362799999999</v>
      </c>
      <c r="Y549" s="56"/>
      <c r="Z549" s="17"/>
      <c r="AA549" s="55"/>
      <c r="AB549" s="48">
        <f>(B549*194.205+C549*267.466+D549*133.845+E549*153.484+F549*40+G549*85+H549*0+I549*100+J549*300)/(194.205+267.466+133.845+153.484+0+40+85+100+300)</f>
        <v>22.832676112951336</v>
      </c>
      <c r="AC549" s="45">
        <f>(M549*'RAP TEMPLATE-GAS AVAILABILITY'!O548+N549*'RAP TEMPLATE-GAS AVAILABILITY'!P548+O549*'RAP TEMPLATE-GAS AVAILABILITY'!Q548+P549*'RAP TEMPLATE-GAS AVAILABILITY'!R548)/('RAP TEMPLATE-GAS AVAILABILITY'!O548+'RAP TEMPLATE-GAS AVAILABILITY'!P548+'RAP TEMPLATE-GAS AVAILABILITY'!Q548+'RAP TEMPLATE-GAS AVAILABILITY'!R548)</f>
        <v>22.657794964028778</v>
      </c>
    </row>
    <row r="550" spans="1:29" ht="15.75" x14ac:dyDescent="0.25">
      <c r="A550" s="13">
        <v>57284</v>
      </c>
      <c r="B550" s="17">
        <f>CHOOSE(CONTROL!$C$42, 22.293, 22.293) * CHOOSE(CONTROL!$C$21, $C$9, 100%, $E$9)</f>
        <v>22.292999999999999</v>
      </c>
      <c r="C550" s="17">
        <f>CHOOSE(CONTROL!$C$42, 22.2983, 22.2983) * CHOOSE(CONTROL!$C$21, $C$9, 100%, $E$9)</f>
        <v>22.298300000000001</v>
      </c>
      <c r="D550" s="17">
        <f>CHOOSE(CONTROL!$C$42, 22.5631, 22.5631) * CHOOSE(CONTROL!$C$21, $C$9, 100%, $E$9)</f>
        <v>22.563099999999999</v>
      </c>
      <c r="E550" s="17">
        <f>CHOOSE(CONTROL!$C$42, 22.592, 22.592) * CHOOSE(CONTROL!$C$21, $C$9, 100%, $E$9)</f>
        <v>22.591999999999999</v>
      </c>
      <c r="F550" s="17">
        <f>CHOOSE(CONTROL!$C$42, 22.3058, 22.3058)*CHOOSE(CONTROL!$C$21, $C$9, 100%, $E$9)</f>
        <v>22.305800000000001</v>
      </c>
      <c r="G550" s="17">
        <f>CHOOSE(CONTROL!$C$42, 22.3224, 22.3224)*CHOOSE(CONTROL!$C$21, $C$9, 100%, $E$9)</f>
        <v>22.322399999999998</v>
      </c>
      <c r="H550" s="17">
        <f>CHOOSE(CONTROL!$C$42, 22.5821, 22.5821) * CHOOSE(CONTROL!$C$21, $C$9, 100%, $E$9)</f>
        <v>22.582100000000001</v>
      </c>
      <c r="I550" s="17">
        <f>CHOOSE(CONTROL!$C$42, 22.3877, 22.3877)* CHOOSE(CONTROL!$C$21, $C$9, 100%, $E$9)</f>
        <v>22.387699999999999</v>
      </c>
      <c r="J550" s="17">
        <f>CHOOSE(CONTROL!$C$42, 22.2984, 22.2984)* CHOOSE(CONTROL!$C$21, $C$9, 100%, $E$9)</f>
        <v>22.298400000000001</v>
      </c>
      <c r="K550" s="52">
        <f>CHOOSE(CONTROL!$C$42, 22.3817, 22.3817) * CHOOSE(CONTROL!$C$21, $C$9, 100%, $E$9)</f>
        <v>22.381699999999999</v>
      </c>
      <c r="L550" s="17">
        <f>CHOOSE(CONTROL!$C$42, 23.1691, 23.1691) * CHOOSE(CONTROL!$C$21, $C$9, 100%, $E$9)</f>
        <v>23.1691</v>
      </c>
      <c r="M550" s="17">
        <f>CHOOSE(CONTROL!$C$42, 22.1049, 22.1049) * CHOOSE(CONTROL!$C$21, $C$9, 100%, $E$9)</f>
        <v>22.104900000000001</v>
      </c>
      <c r="N550" s="17">
        <f>CHOOSE(CONTROL!$C$42, 22.1213, 22.1213) * CHOOSE(CONTROL!$C$21, $C$9, 100%, $E$9)</f>
        <v>22.121300000000002</v>
      </c>
      <c r="O550" s="17">
        <f>CHOOSE(CONTROL!$C$42, 22.386, 22.386) * CHOOSE(CONTROL!$C$21, $C$9, 100%, $E$9)</f>
        <v>22.385999999999999</v>
      </c>
      <c r="P550" s="17">
        <f>CHOOSE(CONTROL!$C$42, 22.1928, 22.1928) * CHOOSE(CONTROL!$C$21, $C$9, 100%, $E$9)</f>
        <v>22.192799999999998</v>
      </c>
      <c r="Q550" s="17">
        <f>CHOOSE(CONTROL!$C$42, 22.9807, 22.9807) * CHOOSE(CONTROL!$C$21, $C$9, 100%, $E$9)</f>
        <v>22.980699999999999</v>
      </c>
      <c r="R550" s="17">
        <f>CHOOSE(CONTROL!$C$42, 23.6252, 23.6252) * CHOOSE(CONTROL!$C$21, $C$9, 100%, $E$9)</f>
        <v>23.6252</v>
      </c>
      <c r="S550" s="17">
        <f>CHOOSE(CONTROL!$C$42, 21.6076, 21.6076) * CHOOSE(CONTROL!$C$21, $C$9, 100%, $E$9)</f>
        <v>21.607600000000001</v>
      </c>
      <c r="T550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550" s="56">
        <f>(1000*CHOOSE(CONTROL!$C$42, 695, 695)*CHOOSE(CONTROL!$C$42, 0.5599, 0.5599)*CHOOSE(CONTROL!$C$42, 31, 31))/1000000</f>
        <v>12.063045499999998</v>
      </c>
      <c r="V550" s="56">
        <f>(1000*CHOOSE(CONTROL!$C$42, 500, 500)*CHOOSE(CONTROL!$C$42, 0.275, 0.275)*CHOOSE(CONTROL!$C$42, 31, 31))/1000000</f>
        <v>4.2625000000000002</v>
      </c>
      <c r="W550" s="56">
        <f>(1000*CHOOSE(CONTROL!$C$42, 0.0916, 0.0916)*CHOOSE(CONTROL!$C$42, 121.5, 121.5)*CHOOSE(CONTROL!$C$42, 31, 31))/1000000</f>
        <v>0.34501139999999997</v>
      </c>
      <c r="X550" s="56">
        <f>(31*0.1790888*145000/1000000)+(31*0.2374*100000/1000000)</f>
        <v>1.5409441560000001</v>
      </c>
      <c r="Y550" s="56"/>
      <c r="Z550" s="17"/>
      <c r="AA550" s="55"/>
      <c r="AB550" s="48">
        <f>(B550*131.881+C550*277.167+D550*79.08+E550*225.872+F550*40+G550*85+H550*0+I550*100+J550*300)/(131.881+277.167+79.08+225.872+0+40+85+100+300)</f>
        <v>22.377314141323644</v>
      </c>
      <c r="AC550" s="45">
        <f>(M550*'RAP TEMPLATE-GAS AVAILABILITY'!O549+N550*'RAP TEMPLATE-GAS AVAILABILITY'!P549+O550*'RAP TEMPLATE-GAS AVAILABILITY'!Q549+P550*'RAP TEMPLATE-GAS AVAILABILITY'!R549)/('RAP TEMPLATE-GAS AVAILABILITY'!O549+'RAP TEMPLATE-GAS AVAILABILITY'!P549+'RAP TEMPLATE-GAS AVAILABILITY'!Q549+'RAP TEMPLATE-GAS AVAILABILITY'!R549)</f>
        <v>22.200192805755393</v>
      </c>
    </row>
    <row r="551" spans="1:29" ht="15.75" x14ac:dyDescent="0.25">
      <c r="A551" s="13">
        <v>57314</v>
      </c>
      <c r="B551" s="17">
        <f>CHOOSE(CONTROL!$C$42, 22.8796, 22.8796) * CHOOSE(CONTROL!$C$21, $C$9, 100%, $E$9)</f>
        <v>22.8796</v>
      </c>
      <c r="C551" s="17">
        <f>CHOOSE(CONTROL!$C$42, 22.8847, 22.8847) * CHOOSE(CONTROL!$C$21, $C$9, 100%, $E$9)</f>
        <v>22.884699999999999</v>
      </c>
      <c r="D551" s="17">
        <f>CHOOSE(CONTROL!$C$42, 23.0253, 23.0253) * CHOOSE(CONTROL!$C$21, $C$9, 100%, $E$9)</f>
        <v>23.025300000000001</v>
      </c>
      <c r="E551" s="17">
        <f>CHOOSE(CONTROL!$C$42, 23.0591, 23.0591) * CHOOSE(CONTROL!$C$21, $C$9, 100%, $E$9)</f>
        <v>23.059100000000001</v>
      </c>
      <c r="F551" s="17">
        <f>CHOOSE(CONTROL!$C$42, 22.8929, 22.8929)*CHOOSE(CONTROL!$C$21, $C$9, 100%, $E$9)</f>
        <v>22.892900000000001</v>
      </c>
      <c r="G551" s="17">
        <f>CHOOSE(CONTROL!$C$42, 22.9097, 22.9097)*CHOOSE(CONTROL!$C$21, $C$9, 100%, $E$9)</f>
        <v>22.909700000000001</v>
      </c>
      <c r="H551" s="17">
        <f>CHOOSE(CONTROL!$C$42, 23.048, 23.048) * CHOOSE(CONTROL!$C$21, $C$9, 100%, $E$9)</f>
        <v>23.047999999999998</v>
      </c>
      <c r="I551" s="17">
        <f>CHOOSE(CONTROL!$C$42, 22.9729, 22.9729)* CHOOSE(CONTROL!$C$21, $C$9, 100%, $E$9)</f>
        <v>22.972899999999999</v>
      </c>
      <c r="J551" s="17">
        <f>CHOOSE(CONTROL!$C$42, 22.8855, 22.8855)* CHOOSE(CONTROL!$C$21, $C$9, 100%, $E$9)</f>
        <v>22.8855</v>
      </c>
      <c r="K551" s="52">
        <f>CHOOSE(CONTROL!$C$42, 22.9669, 22.9669) * CHOOSE(CONTROL!$C$21, $C$9, 100%, $E$9)</f>
        <v>22.966899999999999</v>
      </c>
      <c r="L551" s="17">
        <f>CHOOSE(CONTROL!$C$42, 23.635, 23.635) * CHOOSE(CONTROL!$C$21, $C$9, 100%, $E$9)</f>
        <v>23.635000000000002</v>
      </c>
      <c r="M551" s="17">
        <f>CHOOSE(CONTROL!$C$42, 22.6867, 22.6867) * CHOOSE(CONTROL!$C$21, $C$9, 100%, $E$9)</f>
        <v>22.686699999999998</v>
      </c>
      <c r="N551" s="17">
        <f>CHOOSE(CONTROL!$C$42, 22.7034, 22.7034) * CHOOSE(CONTROL!$C$21, $C$9, 100%, $E$9)</f>
        <v>22.703399999999998</v>
      </c>
      <c r="O551" s="17">
        <f>CHOOSE(CONTROL!$C$42, 22.8477, 22.8477) * CHOOSE(CONTROL!$C$21, $C$9, 100%, $E$9)</f>
        <v>22.8477</v>
      </c>
      <c r="P551" s="17">
        <f>CHOOSE(CONTROL!$C$42, 22.7728, 22.7728) * CHOOSE(CONTROL!$C$21, $C$9, 100%, $E$9)</f>
        <v>22.7728</v>
      </c>
      <c r="Q551" s="17">
        <f>CHOOSE(CONTROL!$C$42, 23.4424, 23.4424) * CHOOSE(CONTROL!$C$21, $C$9, 100%, $E$9)</f>
        <v>23.442399999999999</v>
      </c>
      <c r="R551" s="17">
        <f>CHOOSE(CONTROL!$C$42, 24.088, 24.088) * CHOOSE(CONTROL!$C$21, $C$9, 100%, $E$9)</f>
        <v>24.088000000000001</v>
      </c>
      <c r="S551" s="17">
        <f>CHOOSE(CONTROL!$C$42, 22.1768, 22.1768) * CHOOSE(CONTROL!$C$21, $C$9, 100%, $E$9)</f>
        <v>22.1768</v>
      </c>
      <c r="T551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551" s="56">
        <f>(1000*CHOOSE(CONTROL!$C$42, 695, 695)*CHOOSE(CONTROL!$C$42, 0.5599, 0.5599)*CHOOSE(CONTROL!$C$42, 30, 30))/1000000</f>
        <v>11.673914999999997</v>
      </c>
      <c r="V551" s="56">
        <f>(1000*CHOOSE(CONTROL!$C$42, 500, 500)*CHOOSE(CONTROL!$C$42, 0.275, 0.275)*CHOOSE(CONTROL!$C$42, 30, 30))/1000000</f>
        <v>4.125</v>
      </c>
      <c r="W551" s="56">
        <f>(1000*CHOOSE(CONTROL!$C$42, 0.0916, 0.0916)*CHOOSE(CONTROL!$C$42, 121.5, 121.5)*CHOOSE(CONTROL!$C$42, 30, 30))/1000000</f>
        <v>0.33388200000000001</v>
      </c>
      <c r="X551" s="56">
        <f>(30*0.2374*100000/1000000)</f>
        <v>0.71220000000000006</v>
      </c>
      <c r="Y551" s="56"/>
      <c r="Z551" s="17"/>
      <c r="AA551" s="55"/>
      <c r="AB551" s="48">
        <f>(B551*122.58+C551*297.941+D551*89.177+E551*140.302+F551*40+G551*60+H551*0+I551*100+J551*300)/(122.58+297.941+89.177+140.302+0+40+60+100+300)</f>
        <v>22.92580417130435</v>
      </c>
      <c r="AC551" s="45">
        <f>(M551*'RAP TEMPLATE-GAS AVAILABILITY'!O550+N551*'RAP TEMPLATE-GAS AVAILABILITY'!P550+O551*'RAP TEMPLATE-GAS AVAILABILITY'!Q550+P551*'RAP TEMPLATE-GAS AVAILABILITY'!R550)/('RAP TEMPLATE-GAS AVAILABILITY'!O550+'RAP TEMPLATE-GAS AVAILABILITY'!P550+'RAP TEMPLATE-GAS AVAILABILITY'!Q550+'RAP TEMPLATE-GAS AVAILABILITY'!R550)</f>
        <v>22.773020863309352</v>
      </c>
    </row>
    <row r="552" spans="1:29" ht="15.75" x14ac:dyDescent="0.25">
      <c r="A552" s="13">
        <v>57345</v>
      </c>
      <c r="B552" s="17">
        <f>CHOOSE(CONTROL!$C$42, 24.4388, 24.4388) * CHOOSE(CONTROL!$C$21, $C$9, 100%, $E$9)</f>
        <v>24.438800000000001</v>
      </c>
      <c r="C552" s="17">
        <f>CHOOSE(CONTROL!$C$42, 24.4439, 24.4439) * CHOOSE(CONTROL!$C$21, $C$9, 100%, $E$9)</f>
        <v>24.443899999999999</v>
      </c>
      <c r="D552" s="17">
        <f>CHOOSE(CONTROL!$C$42, 24.5845, 24.5845) * CHOOSE(CONTROL!$C$21, $C$9, 100%, $E$9)</f>
        <v>24.584499999999998</v>
      </c>
      <c r="E552" s="17">
        <f>CHOOSE(CONTROL!$C$42, 24.6183, 24.6183) * CHOOSE(CONTROL!$C$21, $C$9, 100%, $E$9)</f>
        <v>24.618300000000001</v>
      </c>
      <c r="F552" s="17">
        <f>CHOOSE(CONTROL!$C$42, 24.4545, 24.4545)*CHOOSE(CONTROL!$C$21, $C$9, 100%, $E$9)</f>
        <v>24.454499999999999</v>
      </c>
      <c r="G552" s="17">
        <f>CHOOSE(CONTROL!$C$42, 24.472, 24.472)*CHOOSE(CONTROL!$C$21, $C$9, 100%, $E$9)</f>
        <v>24.472000000000001</v>
      </c>
      <c r="H552" s="17">
        <f>CHOOSE(CONTROL!$C$42, 24.6072, 24.6072) * CHOOSE(CONTROL!$C$21, $C$9, 100%, $E$9)</f>
        <v>24.607199999999999</v>
      </c>
      <c r="I552" s="17">
        <f>CHOOSE(CONTROL!$C$42, 24.537, 24.537)* CHOOSE(CONTROL!$C$21, $C$9, 100%, $E$9)</f>
        <v>24.536999999999999</v>
      </c>
      <c r="J552" s="17">
        <f>CHOOSE(CONTROL!$C$42, 24.4471, 24.4471)* CHOOSE(CONTROL!$C$21, $C$9, 100%, $E$9)</f>
        <v>24.447099999999999</v>
      </c>
      <c r="K552" s="52">
        <f>CHOOSE(CONTROL!$C$42, 24.5309, 24.5309) * CHOOSE(CONTROL!$C$21, $C$9, 100%, $E$9)</f>
        <v>24.530899999999999</v>
      </c>
      <c r="L552" s="17">
        <f>CHOOSE(CONTROL!$C$42, 25.1942, 25.1942) * CHOOSE(CONTROL!$C$21, $C$9, 100%, $E$9)</f>
        <v>25.194199999999999</v>
      </c>
      <c r="M552" s="17">
        <f>CHOOSE(CONTROL!$C$42, 24.2342, 24.2342) * CHOOSE(CONTROL!$C$21, $C$9, 100%, $E$9)</f>
        <v>24.234200000000001</v>
      </c>
      <c r="N552" s="17">
        <f>CHOOSE(CONTROL!$C$42, 24.2516, 24.2516) * CHOOSE(CONTROL!$C$21, $C$9, 100%, $E$9)</f>
        <v>24.2516</v>
      </c>
      <c r="O552" s="17">
        <f>CHOOSE(CONTROL!$C$42, 24.3929, 24.3929) * CHOOSE(CONTROL!$C$21, $C$9, 100%, $E$9)</f>
        <v>24.392900000000001</v>
      </c>
      <c r="P552" s="17">
        <f>CHOOSE(CONTROL!$C$42, 24.3227, 24.3227) * CHOOSE(CONTROL!$C$21, $C$9, 100%, $E$9)</f>
        <v>24.322700000000001</v>
      </c>
      <c r="Q552" s="17">
        <f>CHOOSE(CONTROL!$C$42, 24.9876, 24.9876) * CHOOSE(CONTROL!$C$21, $C$9, 100%, $E$9)</f>
        <v>24.9876</v>
      </c>
      <c r="R552" s="17">
        <f>CHOOSE(CONTROL!$C$42, 25.637, 25.637) * CHOOSE(CONTROL!$C$21, $C$9, 100%, $E$9)</f>
        <v>25.637</v>
      </c>
      <c r="S552" s="17">
        <f>CHOOSE(CONTROL!$C$42, 23.6888, 23.6888) * CHOOSE(CONTROL!$C$21, $C$9, 100%, $E$9)</f>
        <v>23.688800000000001</v>
      </c>
      <c r="T552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552" s="56">
        <f>(1000*CHOOSE(CONTROL!$C$42, 695, 695)*CHOOSE(CONTROL!$C$42, 0.5599, 0.5599)*CHOOSE(CONTROL!$C$42, 31, 31))/1000000</f>
        <v>12.063045499999998</v>
      </c>
      <c r="V552" s="56">
        <f>(1000*CHOOSE(CONTROL!$C$42, 500, 500)*CHOOSE(CONTROL!$C$42, 0.275, 0.275)*CHOOSE(CONTROL!$C$42, 31, 31))/1000000</f>
        <v>4.2625000000000002</v>
      </c>
      <c r="W552" s="56">
        <f>(1000*CHOOSE(CONTROL!$C$42, 0.0916, 0.0916)*CHOOSE(CONTROL!$C$42, 121.5, 121.5)*CHOOSE(CONTROL!$C$42, 31, 31))/1000000</f>
        <v>0.34501139999999997</v>
      </c>
      <c r="X552" s="56">
        <f>(31*0.2374*100000/1000000)</f>
        <v>0.73594000000000004</v>
      </c>
      <c r="Y552" s="56"/>
      <c r="Z552" s="17"/>
      <c r="AA552" s="55"/>
      <c r="AB552" s="48">
        <f>(B552*122.58+C552*297.941+D552*89.177+E552*140.302+F552*40+G552*60+H552*0+I552*100+J552*300)/(122.58+297.941+89.177+140.302+0+40+60+100+300)</f>
        <v>24.486301562608695</v>
      </c>
      <c r="AC552" s="45">
        <f>(M552*'RAP TEMPLATE-GAS AVAILABILITY'!O551+N552*'RAP TEMPLATE-GAS AVAILABILITY'!P551+O552*'RAP TEMPLATE-GAS AVAILABILITY'!Q551+P552*'RAP TEMPLATE-GAS AVAILABILITY'!R551)/('RAP TEMPLATE-GAS AVAILABILITY'!O551+'RAP TEMPLATE-GAS AVAILABILITY'!P551+'RAP TEMPLATE-GAS AVAILABILITY'!Q551+'RAP TEMPLATE-GAS AVAILABILITY'!R551)</f>
        <v>24.31986402877698</v>
      </c>
    </row>
    <row r="553" spans="1:29" ht="15.75" x14ac:dyDescent="0.25">
      <c r="A553" s="13">
        <v>57376</v>
      </c>
      <c r="B553" s="17">
        <f>CHOOSE(CONTROL!$C$42, 26.3162, 26.3162) * CHOOSE(CONTROL!$C$21, $C$9, 100%, $E$9)</f>
        <v>26.316199999999998</v>
      </c>
      <c r="C553" s="17">
        <f>CHOOSE(CONTROL!$C$42, 26.3212, 26.3212) * CHOOSE(CONTROL!$C$21, $C$9, 100%, $E$9)</f>
        <v>26.321200000000001</v>
      </c>
      <c r="D553" s="17">
        <f>CHOOSE(CONTROL!$C$42, 26.4552, 26.4552) * CHOOSE(CONTROL!$C$21, $C$9, 100%, $E$9)</f>
        <v>26.455200000000001</v>
      </c>
      <c r="E553" s="17">
        <f>CHOOSE(CONTROL!$C$42, 26.489, 26.489) * CHOOSE(CONTROL!$C$21, $C$9, 100%, $E$9)</f>
        <v>26.489000000000001</v>
      </c>
      <c r="F553" s="17">
        <f>CHOOSE(CONTROL!$C$42, 26.3296, 26.3296)*CHOOSE(CONTROL!$C$21, $C$9, 100%, $E$9)</f>
        <v>26.329599999999999</v>
      </c>
      <c r="G553" s="17">
        <f>CHOOSE(CONTROL!$C$42, 26.3465, 26.3465)*CHOOSE(CONTROL!$C$21, $C$9, 100%, $E$9)</f>
        <v>26.346499999999999</v>
      </c>
      <c r="H553" s="17">
        <f>CHOOSE(CONTROL!$C$42, 26.4778, 26.4778) * CHOOSE(CONTROL!$C$21, $C$9, 100%, $E$9)</f>
        <v>26.477799999999998</v>
      </c>
      <c r="I553" s="17">
        <f>CHOOSE(CONTROL!$C$42, 26.4243, 26.4243)* CHOOSE(CONTROL!$C$21, $C$9, 100%, $E$9)</f>
        <v>26.424299999999999</v>
      </c>
      <c r="J553" s="17">
        <f>CHOOSE(CONTROL!$C$42, 26.3222, 26.3222)* CHOOSE(CONTROL!$C$21, $C$9, 100%, $E$9)</f>
        <v>26.322199999999999</v>
      </c>
      <c r="K553" s="52">
        <f>CHOOSE(CONTROL!$C$42, 26.4183, 26.4183) * CHOOSE(CONTROL!$C$21, $C$9, 100%, $E$9)</f>
        <v>26.418299999999999</v>
      </c>
      <c r="L553" s="17">
        <f>CHOOSE(CONTROL!$C$42, 27.0648, 27.0648) * CHOOSE(CONTROL!$C$21, $C$9, 100%, $E$9)</f>
        <v>27.064800000000002</v>
      </c>
      <c r="M553" s="17">
        <f>CHOOSE(CONTROL!$C$42, 26.0925, 26.0925) * CHOOSE(CONTROL!$C$21, $C$9, 100%, $E$9)</f>
        <v>26.092500000000001</v>
      </c>
      <c r="N553" s="17">
        <f>CHOOSE(CONTROL!$C$42, 26.1092, 26.1092) * CHOOSE(CONTROL!$C$21, $C$9, 100%, $E$9)</f>
        <v>26.109200000000001</v>
      </c>
      <c r="O553" s="17">
        <f>CHOOSE(CONTROL!$C$42, 26.2467, 26.2467) * CHOOSE(CONTROL!$C$21, $C$9, 100%, $E$9)</f>
        <v>26.246700000000001</v>
      </c>
      <c r="P553" s="17">
        <f>CHOOSE(CONTROL!$C$42, 26.193, 26.193) * CHOOSE(CONTROL!$C$21, $C$9, 100%, $E$9)</f>
        <v>26.193000000000001</v>
      </c>
      <c r="Q553" s="17">
        <f>CHOOSE(CONTROL!$C$42, 26.8414, 26.8414) * CHOOSE(CONTROL!$C$21, $C$9, 100%, $E$9)</f>
        <v>26.8414</v>
      </c>
      <c r="R553" s="17">
        <f>CHOOSE(CONTROL!$C$42, 27.4955, 27.4955) * CHOOSE(CONTROL!$C$21, $C$9, 100%, $E$9)</f>
        <v>27.4955</v>
      </c>
      <c r="S553" s="17">
        <f>CHOOSE(CONTROL!$C$42, 25.5093, 25.5093) * CHOOSE(CONTROL!$C$21, $C$9, 100%, $E$9)</f>
        <v>25.5093</v>
      </c>
      <c r="T553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553" s="56">
        <f>(1000*CHOOSE(CONTROL!$C$42, 695, 695)*CHOOSE(CONTROL!$C$42, 0.5599, 0.5599)*CHOOSE(CONTROL!$C$42, 31, 31))/1000000</f>
        <v>12.063045499999998</v>
      </c>
      <c r="V553" s="56">
        <f>(1000*CHOOSE(CONTROL!$C$42, 500, 500)*CHOOSE(CONTROL!$C$42, 0.275, 0.275)*CHOOSE(CONTROL!$C$42, 31, 31))/1000000</f>
        <v>4.2625000000000002</v>
      </c>
      <c r="W553" s="56">
        <f>(1000*CHOOSE(CONTROL!$C$42, 0.0916, 0.0916)*CHOOSE(CONTROL!$C$42, 121.5, 121.5)*CHOOSE(CONTROL!$C$42, 31, 31))/1000000</f>
        <v>0.34501139999999997</v>
      </c>
      <c r="X553" s="56">
        <f>(31*0.2374*100000/1000000)</f>
        <v>0.73594000000000004</v>
      </c>
      <c r="Y553" s="56"/>
      <c r="Z553" s="17"/>
      <c r="AA553" s="55"/>
      <c r="AB553" s="48">
        <f>(B553*122.58+C553*297.941+D553*89.177+E553*140.302+F553*40+G553*60+H553*0+I553*100+J553*300)/(122.58+297.941+89.177+140.302+0+40+60+100+300)</f>
        <v>26.36236825530435</v>
      </c>
      <c r="AC553" s="45">
        <f>(M553*'RAP TEMPLATE-GAS AVAILABILITY'!O552+N553*'RAP TEMPLATE-GAS AVAILABILITY'!P552+O553*'RAP TEMPLATE-GAS AVAILABILITY'!Q552+P553*'RAP TEMPLATE-GAS AVAILABILITY'!R552)/('RAP TEMPLATE-GAS AVAILABILITY'!O552+'RAP TEMPLATE-GAS AVAILABILITY'!P552+'RAP TEMPLATE-GAS AVAILABILITY'!Q552+'RAP TEMPLATE-GAS AVAILABILITY'!R552)</f>
        <v>26.177810791366912</v>
      </c>
    </row>
    <row r="554" spans="1:29" ht="15.75" x14ac:dyDescent="0.25">
      <c r="A554" s="13">
        <v>57404</v>
      </c>
      <c r="B554" s="17">
        <f>CHOOSE(CONTROL!$C$42, 26.7844, 26.7844) * CHOOSE(CONTROL!$C$21, $C$9, 100%, $E$9)</f>
        <v>26.784400000000002</v>
      </c>
      <c r="C554" s="17">
        <f>CHOOSE(CONTROL!$C$42, 26.7895, 26.7895) * CHOOSE(CONTROL!$C$21, $C$9, 100%, $E$9)</f>
        <v>26.7895</v>
      </c>
      <c r="D554" s="17">
        <f>CHOOSE(CONTROL!$C$42, 26.9235, 26.9235) * CHOOSE(CONTROL!$C$21, $C$9, 100%, $E$9)</f>
        <v>26.923500000000001</v>
      </c>
      <c r="E554" s="17">
        <f>CHOOSE(CONTROL!$C$42, 26.9572, 26.9572) * CHOOSE(CONTROL!$C$21, $C$9, 100%, $E$9)</f>
        <v>26.9572</v>
      </c>
      <c r="F554" s="17">
        <f>CHOOSE(CONTROL!$C$42, 26.7978, 26.7978)*CHOOSE(CONTROL!$C$21, $C$9, 100%, $E$9)</f>
        <v>26.797799999999999</v>
      </c>
      <c r="G554" s="17">
        <f>CHOOSE(CONTROL!$C$42, 26.8147, 26.8147)*CHOOSE(CONTROL!$C$21, $C$9, 100%, $E$9)</f>
        <v>26.814699999999998</v>
      </c>
      <c r="H554" s="17">
        <f>CHOOSE(CONTROL!$C$42, 26.9461, 26.9461) * CHOOSE(CONTROL!$C$21, $C$9, 100%, $E$9)</f>
        <v>26.946100000000001</v>
      </c>
      <c r="I554" s="17">
        <f>CHOOSE(CONTROL!$C$42, 26.8941, 26.8941)* CHOOSE(CONTROL!$C$21, $C$9, 100%, $E$9)</f>
        <v>26.894100000000002</v>
      </c>
      <c r="J554" s="17">
        <f>CHOOSE(CONTROL!$C$42, 26.7904, 26.7904)* CHOOSE(CONTROL!$C$21, $C$9, 100%, $E$9)</f>
        <v>26.790400000000002</v>
      </c>
      <c r="K554" s="52">
        <f>CHOOSE(CONTROL!$C$42, 26.888, 26.888) * CHOOSE(CONTROL!$C$21, $C$9, 100%, $E$9)</f>
        <v>26.888000000000002</v>
      </c>
      <c r="L554" s="17">
        <f>CHOOSE(CONTROL!$C$42, 27.5331, 27.5331) * CHOOSE(CONTROL!$C$21, $C$9, 100%, $E$9)</f>
        <v>27.533100000000001</v>
      </c>
      <c r="M554" s="17">
        <f>CHOOSE(CONTROL!$C$42, 26.5565, 26.5565) * CHOOSE(CONTROL!$C$21, $C$9, 100%, $E$9)</f>
        <v>26.5565</v>
      </c>
      <c r="N554" s="17">
        <f>CHOOSE(CONTROL!$C$42, 26.5732, 26.5732) * CHOOSE(CONTROL!$C$21, $C$9, 100%, $E$9)</f>
        <v>26.5732</v>
      </c>
      <c r="O554" s="17">
        <f>CHOOSE(CONTROL!$C$42, 26.7108, 26.7108) * CHOOSE(CONTROL!$C$21, $C$9, 100%, $E$9)</f>
        <v>26.710799999999999</v>
      </c>
      <c r="P554" s="17">
        <f>CHOOSE(CONTROL!$C$42, 26.6585, 26.6585) * CHOOSE(CONTROL!$C$21, $C$9, 100%, $E$9)</f>
        <v>26.6585</v>
      </c>
      <c r="Q554" s="17">
        <f>CHOOSE(CONTROL!$C$42, 27.3055, 27.3055) * CHOOSE(CONTROL!$C$21, $C$9, 100%, $E$9)</f>
        <v>27.305499999999999</v>
      </c>
      <c r="R554" s="17">
        <f>CHOOSE(CONTROL!$C$42, 27.9607, 27.9607) * CHOOSE(CONTROL!$C$21, $C$9, 100%, $E$9)</f>
        <v>27.960699999999999</v>
      </c>
      <c r="S554" s="17">
        <f>CHOOSE(CONTROL!$C$42, 25.9634, 25.9634) * CHOOSE(CONTROL!$C$21, $C$9, 100%, $E$9)</f>
        <v>25.9634</v>
      </c>
      <c r="T554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554" s="56">
        <f>(1000*CHOOSE(CONTROL!$C$42, 695, 695)*CHOOSE(CONTROL!$C$42, 0.5599, 0.5599)*CHOOSE(CONTROL!$C$42, 28, 28))/1000000</f>
        <v>10.895653999999999</v>
      </c>
      <c r="V554" s="56">
        <f>(1000*CHOOSE(CONTROL!$C$42, 500, 500)*CHOOSE(CONTROL!$C$42, 0.275, 0.275)*CHOOSE(CONTROL!$C$42, 28, 28))/1000000</f>
        <v>3.85</v>
      </c>
      <c r="W554" s="56">
        <f>(1000*CHOOSE(CONTROL!$C$42, 0.0916, 0.0916)*CHOOSE(CONTROL!$C$42, 121.5, 121.5)*CHOOSE(CONTROL!$C$42, 28, 28))/1000000</f>
        <v>0.31162319999999999</v>
      </c>
      <c r="X554" s="56">
        <f>(28*0.2374*100000/1000000)</f>
        <v>0.66471999999999998</v>
      </c>
      <c r="Y554" s="56"/>
      <c r="Z554" s="17"/>
      <c r="AA554" s="55"/>
      <c r="AB554" s="48">
        <f>(B554*122.58+C554*297.941+D554*89.177+E554*140.302+F554*40+G554*60+H554*0+I554*100+J554*300)/(122.58+297.941+89.177+140.302+0+40+60+100+300)</f>
        <v>26.83074104817392</v>
      </c>
      <c r="AC554" s="45">
        <f>(M554*'RAP TEMPLATE-GAS AVAILABILITY'!O553+N554*'RAP TEMPLATE-GAS AVAILABILITY'!P553+O554*'RAP TEMPLATE-GAS AVAILABILITY'!Q553+P554*'RAP TEMPLATE-GAS AVAILABILITY'!R553)/('RAP TEMPLATE-GAS AVAILABILITY'!O553+'RAP TEMPLATE-GAS AVAILABILITY'!P553+'RAP TEMPLATE-GAS AVAILABILITY'!Q553+'RAP TEMPLATE-GAS AVAILABILITY'!R553)</f>
        <v>26.642071942446041</v>
      </c>
    </row>
    <row r="555" spans="1:29" ht="15.75" x14ac:dyDescent="0.25">
      <c r="A555" s="13">
        <v>57435</v>
      </c>
      <c r="B555" s="17">
        <f>CHOOSE(CONTROL!$C$42, 26.0243, 26.0243) * CHOOSE(CONTROL!$C$21, $C$9, 100%, $E$9)</f>
        <v>26.0243</v>
      </c>
      <c r="C555" s="17">
        <f>CHOOSE(CONTROL!$C$42, 26.0294, 26.0294) * CHOOSE(CONTROL!$C$21, $C$9, 100%, $E$9)</f>
        <v>26.029399999999999</v>
      </c>
      <c r="D555" s="17">
        <f>CHOOSE(CONTROL!$C$42, 26.1633, 26.1633) * CHOOSE(CONTROL!$C$21, $C$9, 100%, $E$9)</f>
        <v>26.1633</v>
      </c>
      <c r="E555" s="17">
        <f>CHOOSE(CONTROL!$C$42, 26.1971, 26.1971) * CHOOSE(CONTROL!$C$21, $C$9, 100%, $E$9)</f>
        <v>26.197099999999999</v>
      </c>
      <c r="F555" s="17">
        <f>CHOOSE(CONTROL!$C$42, 26.037, 26.037)*CHOOSE(CONTROL!$C$21, $C$9, 100%, $E$9)</f>
        <v>26.036999999999999</v>
      </c>
      <c r="G555" s="17">
        <f>CHOOSE(CONTROL!$C$42, 26.0536, 26.0536)*CHOOSE(CONTROL!$C$21, $C$9, 100%, $E$9)</f>
        <v>26.053599999999999</v>
      </c>
      <c r="H555" s="17">
        <f>CHOOSE(CONTROL!$C$42, 26.186, 26.186) * CHOOSE(CONTROL!$C$21, $C$9, 100%, $E$9)</f>
        <v>26.186</v>
      </c>
      <c r="I555" s="17">
        <f>CHOOSE(CONTROL!$C$42, 26.1316, 26.1316)* CHOOSE(CONTROL!$C$21, $C$9, 100%, $E$9)</f>
        <v>26.131599999999999</v>
      </c>
      <c r="J555" s="17">
        <f>CHOOSE(CONTROL!$C$42, 26.0296, 26.0296)* CHOOSE(CONTROL!$C$21, $C$9, 100%, $E$9)</f>
        <v>26.029599999999999</v>
      </c>
      <c r="K555" s="52">
        <f>CHOOSE(CONTROL!$C$42, 26.1255, 26.1255) * CHOOSE(CONTROL!$C$21, $C$9, 100%, $E$9)</f>
        <v>26.125499999999999</v>
      </c>
      <c r="L555" s="17">
        <f>CHOOSE(CONTROL!$C$42, 26.773, 26.773) * CHOOSE(CONTROL!$C$21, $C$9, 100%, $E$9)</f>
        <v>26.773</v>
      </c>
      <c r="M555" s="17">
        <f>CHOOSE(CONTROL!$C$42, 25.8025, 25.8025) * CHOOSE(CONTROL!$C$21, $C$9, 100%, $E$9)</f>
        <v>25.802499999999998</v>
      </c>
      <c r="N555" s="17">
        <f>CHOOSE(CONTROL!$C$42, 25.819, 25.819) * CHOOSE(CONTROL!$C$21, $C$9, 100%, $E$9)</f>
        <v>25.818999999999999</v>
      </c>
      <c r="O555" s="17">
        <f>CHOOSE(CONTROL!$C$42, 25.9575, 25.9575) * CHOOSE(CONTROL!$C$21, $C$9, 100%, $E$9)</f>
        <v>25.9575</v>
      </c>
      <c r="P555" s="17">
        <f>CHOOSE(CONTROL!$C$42, 25.9029, 25.9029) * CHOOSE(CONTROL!$C$21, $C$9, 100%, $E$9)</f>
        <v>25.902899999999999</v>
      </c>
      <c r="Q555" s="17">
        <f>CHOOSE(CONTROL!$C$42, 26.5522, 26.5522) * CHOOSE(CONTROL!$C$21, $C$9, 100%, $E$9)</f>
        <v>26.552199999999999</v>
      </c>
      <c r="R555" s="17">
        <f>CHOOSE(CONTROL!$C$42, 27.2056, 27.2056) * CHOOSE(CONTROL!$C$21, $C$9, 100%, $E$9)</f>
        <v>27.2056</v>
      </c>
      <c r="S555" s="17">
        <f>CHOOSE(CONTROL!$C$42, 25.2263, 25.2263) * CHOOSE(CONTROL!$C$21, $C$9, 100%, $E$9)</f>
        <v>25.226299999999998</v>
      </c>
      <c r="T555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555" s="56">
        <f>(1000*CHOOSE(CONTROL!$C$42, 695, 695)*CHOOSE(CONTROL!$C$42, 0.5599, 0.5599)*CHOOSE(CONTROL!$C$42, 31, 31))/1000000</f>
        <v>12.063045499999998</v>
      </c>
      <c r="V555" s="56">
        <f>(1000*CHOOSE(CONTROL!$C$42, 500, 500)*CHOOSE(CONTROL!$C$42, 0.275, 0.275)*CHOOSE(CONTROL!$C$42, 31, 31))/1000000</f>
        <v>4.2625000000000002</v>
      </c>
      <c r="W555" s="56">
        <f>(1000*CHOOSE(CONTROL!$C$42, 0.0916, 0.0916)*CHOOSE(CONTROL!$C$42, 121.5, 121.5)*CHOOSE(CONTROL!$C$42, 31, 31))/1000000</f>
        <v>0.34501139999999997</v>
      </c>
      <c r="X555" s="56">
        <f>(31*0.2374*100000/1000000)</f>
        <v>0.73594000000000004</v>
      </c>
      <c r="Y555" s="56"/>
      <c r="Z555" s="17"/>
      <c r="AA555" s="55"/>
      <c r="AB555" s="48">
        <f>(B555*122.58+C555*297.941+D555*89.177+E555*140.302+F555*40+G555*60+H555*0+I555*100+J555*300)/(122.58+297.941+89.177+140.302+0+40+60+100+300)</f>
        <v>26.070165467565214</v>
      </c>
      <c r="AC555" s="45">
        <f>(M555*'RAP TEMPLATE-GAS AVAILABILITY'!O554+N555*'RAP TEMPLATE-GAS AVAILABILITY'!P554+O555*'RAP TEMPLATE-GAS AVAILABILITY'!Q554+P555*'RAP TEMPLATE-GAS AVAILABILITY'!R554)/('RAP TEMPLATE-GAS AVAILABILITY'!O554+'RAP TEMPLATE-GAS AVAILABILITY'!P554+'RAP TEMPLATE-GAS AVAILABILITY'!Q554+'RAP TEMPLATE-GAS AVAILABILITY'!R554)</f>
        <v>25.888147482014389</v>
      </c>
    </row>
    <row r="556" spans="1:29" ht="15.75" x14ac:dyDescent="0.25">
      <c r="A556" s="13">
        <v>57465</v>
      </c>
      <c r="B556" s="17">
        <f>CHOOSE(CONTROL!$C$42, 25.9475, 25.9475) * CHOOSE(CONTROL!$C$21, $C$9, 100%, $E$9)</f>
        <v>25.947500000000002</v>
      </c>
      <c r="C556" s="17">
        <f>CHOOSE(CONTROL!$C$42, 25.952, 25.952) * CHOOSE(CONTROL!$C$21, $C$9, 100%, $E$9)</f>
        <v>25.952000000000002</v>
      </c>
      <c r="D556" s="17">
        <f>CHOOSE(CONTROL!$C$42, 26.215, 26.215) * CHOOSE(CONTROL!$C$21, $C$9, 100%, $E$9)</f>
        <v>26.215</v>
      </c>
      <c r="E556" s="17">
        <f>CHOOSE(CONTROL!$C$42, 26.2468, 26.2468) * CHOOSE(CONTROL!$C$21, $C$9, 100%, $E$9)</f>
        <v>26.2468</v>
      </c>
      <c r="F556" s="17">
        <f>CHOOSE(CONTROL!$C$42, 25.9584, 25.9584)*CHOOSE(CONTROL!$C$21, $C$9, 100%, $E$9)</f>
        <v>25.958400000000001</v>
      </c>
      <c r="G556" s="17">
        <f>CHOOSE(CONTROL!$C$42, 25.9745, 25.9745)*CHOOSE(CONTROL!$C$21, $C$9, 100%, $E$9)</f>
        <v>25.974499999999999</v>
      </c>
      <c r="H556" s="17">
        <f>CHOOSE(CONTROL!$C$42, 26.2362, 26.2362) * CHOOSE(CONTROL!$C$21, $C$9, 100%, $E$9)</f>
        <v>26.2362</v>
      </c>
      <c r="I556" s="17">
        <f>CHOOSE(CONTROL!$C$42, 26.0532, 26.0532)* CHOOSE(CONTROL!$C$21, $C$9, 100%, $E$9)</f>
        <v>26.0532</v>
      </c>
      <c r="J556" s="17">
        <f>CHOOSE(CONTROL!$C$42, 25.951, 25.951)* CHOOSE(CONTROL!$C$21, $C$9, 100%, $E$9)</f>
        <v>25.951000000000001</v>
      </c>
      <c r="K556" s="52">
        <f>CHOOSE(CONTROL!$C$42, 26.0472, 26.0472) * CHOOSE(CONTROL!$C$21, $C$9, 100%, $E$9)</f>
        <v>26.0472</v>
      </c>
      <c r="L556" s="17">
        <f>CHOOSE(CONTROL!$C$42, 26.8232, 26.8232) * CHOOSE(CONTROL!$C$21, $C$9, 100%, $E$9)</f>
        <v>26.8232</v>
      </c>
      <c r="M556" s="17">
        <f>CHOOSE(CONTROL!$C$42, 25.7246, 25.7246) * CHOOSE(CONTROL!$C$21, $C$9, 100%, $E$9)</f>
        <v>25.724599999999999</v>
      </c>
      <c r="N556" s="17">
        <f>CHOOSE(CONTROL!$C$42, 25.7406, 25.7406) * CHOOSE(CONTROL!$C$21, $C$9, 100%, $E$9)</f>
        <v>25.740600000000001</v>
      </c>
      <c r="O556" s="17">
        <f>CHOOSE(CONTROL!$C$42, 26.0073, 26.0073) * CHOOSE(CONTROL!$C$21, $C$9, 100%, $E$9)</f>
        <v>26.007300000000001</v>
      </c>
      <c r="P556" s="17">
        <f>CHOOSE(CONTROL!$C$42, 25.8252, 25.8252) * CHOOSE(CONTROL!$C$21, $C$9, 100%, $E$9)</f>
        <v>25.825199999999999</v>
      </c>
      <c r="Q556" s="17">
        <f>CHOOSE(CONTROL!$C$42, 26.602, 26.602) * CHOOSE(CONTROL!$C$21, $C$9, 100%, $E$9)</f>
        <v>26.602</v>
      </c>
      <c r="R556" s="17">
        <f>CHOOSE(CONTROL!$C$42, 27.2555, 27.2555) * CHOOSE(CONTROL!$C$21, $C$9, 100%, $E$9)</f>
        <v>27.255500000000001</v>
      </c>
      <c r="S556" s="17">
        <f>CHOOSE(CONTROL!$C$42, 25.151, 25.151) * CHOOSE(CONTROL!$C$21, $C$9, 100%, $E$9)</f>
        <v>25.151</v>
      </c>
      <c r="T556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556" s="56">
        <f>(1000*CHOOSE(CONTROL!$C$42, 695, 695)*CHOOSE(CONTROL!$C$42, 0.5599, 0.5599)*CHOOSE(CONTROL!$C$42, 30, 30))/1000000</f>
        <v>11.673914999999997</v>
      </c>
      <c r="V556" s="56">
        <f>(1000*CHOOSE(CONTROL!$C$42, 500, 500)*CHOOSE(CONTROL!$C$42, 0.275, 0.275)*CHOOSE(CONTROL!$C$42, 30, 30))/1000000</f>
        <v>4.125</v>
      </c>
      <c r="W556" s="56">
        <f>(1000*CHOOSE(CONTROL!$C$42, 0.0916, 0.0916)*CHOOSE(CONTROL!$C$42, 121.5, 121.5)*CHOOSE(CONTROL!$C$42, 30, 30))/1000000</f>
        <v>0.33388200000000001</v>
      </c>
      <c r="X556" s="56">
        <f>(30*0.1790888*145000/1000000)+(30*0.2374*100000/1000000)</f>
        <v>1.4912362799999999</v>
      </c>
      <c r="Y556" s="56"/>
      <c r="Z556" s="17"/>
      <c r="AA556" s="55"/>
      <c r="AB556" s="48">
        <f>(B556*141.293+C556*267.993+D556*115.016+E556*189.698+F556*40+G556*85+H556*0+I556*100+J556*300)/(141.293+267.993+115.016+189.698+0+40+85+100+300)</f>
        <v>26.030712558434221</v>
      </c>
      <c r="AC556" s="45">
        <f>(M556*'RAP TEMPLATE-GAS AVAILABILITY'!O555+N556*'RAP TEMPLATE-GAS AVAILABILITY'!P555+O556*'RAP TEMPLATE-GAS AVAILABILITY'!Q555+P556*'RAP TEMPLATE-GAS AVAILABILITY'!R555)/('RAP TEMPLATE-GAS AVAILABILITY'!O555+'RAP TEMPLATE-GAS AVAILABILITY'!P555+'RAP TEMPLATE-GAS AVAILABILITY'!Q555+'RAP TEMPLATE-GAS AVAILABILITY'!R555)</f>
        <v>25.822076978417265</v>
      </c>
    </row>
    <row r="557" spans="1:29" ht="15.75" x14ac:dyDescent="0.25">
      <c r="A557" s="13">
        <v>57496</v>
      </c>
      <c r="B557" s="17">
        <f>CHOOSE(CONTROL!$C$42, 26.1777, 26.1777) * CHOOSE(CONTROL!$C$21, $C$9, 100%, $E$9)</f>
        <v>26.177700000000002</v>
      </c>
      <c r="C557" s="17">
        <f>CHOOSE(CONTROL!$C$42, 26.1857, 26.1857) * CHOOSE(CONTROL!$C$21, $C$9, 100%, $E$9)</f>
        <v>26.185700000000001</v>
      </c>
      <c r="D557" s="17">
        <f>CHOOSE(CONTROL!$C$42, 26.4457, 26.4457) * CHOOSE(CONTROL!$C$21, $C$9, 100%, $E$9)</f>
        <v>26.445699999999999</v>
      </c>
      <c r="E557" s="17">
        <f>CHOOSE(CONTROL!$C$42, 26.4768, 26.4768) * CHOOSE(CONTROL!$C$21, $C$9, 100%, $E$9)</f>
        <v>26.476800000000001</v>
      </c>
      <c r="F557" s="17">
        <f>CHOOSE(CONTROL!$C$42, 26.1874, 26.1874)*CHOOSE(CONTROL!$C$21, $C$9, 100%, $E$9)</f>
        <v>26.1874</v>
      </c>
      <c r="G557" s="17">
        <f>CHOOSE(CONTROL!$C$42, 26.2039, 26.2039)*CHOOSE(CONTROL!$C$21, $C$9, 100%, $E$9)</f>
        <v>26.203900000000001</v>
      </c>
      <c r="H557" s="17">
        <f>CHOOSE(CONTROL!$C$42, 26.4652, 26.4652) * CHOOSE(CONTROL!$C$21, $C$9, 100%, $E$9)</f>
        <v>26.465199999999999</v>
      </c>
      <c r="I557" s="17">
        <f>CHOOSE(CONTROL!$C$42, 26.2828, 26.2828)* CHOOSE(CONTROL!$C$21, $C$9, 100%, $E$9)</f>
        <v>26.282800000000002</v>
      </c>
      <c r="J557" s="17">
        <f>CHOOSE(CONTROL!$C$42, 26.18, 26.18)* CHOOSE(CONTROL!$C$21, $C$9, 100%, $E$9)</f>
        <v>26.18</v>
      </c>
      <c r="K557" s="52">
        <f>CHOOSE(CONTROL!$C$42, 26.2768, 26.2768) * CHOOSE(CONTROL!$C$21, $C$9, 100%, $E$9)</f>
        <v>26.276800000000001</v>
      </c>
      <c r="L557" s="17">
        <f>CHOOSE(CONTROL!$C$42, 27.0522, 27.0522) * CHOOSE(CONTROL!$C$21, $C$9, 100%, $E$9)</f>
        <v>27.052199999999999</v>
      </c>
      <c r="M557" s="17">
        <f>CHOOSE(CONTROL!$C$42, 25.9516, 25.9516) * CHOOSE(CONTROL!$C$21, $C$9, 100%, $E$9)</f>
        <v>25.951599999999999</v>
      </c>
      <c r="N557" s="17">
        <f>CHOOSE(CONTROL!$C$42, 25.9679, 25.9679) * CHOOSE(CONTROL!$C$21, $C$9, 100%, $E$9)</f>
        <v>25.9679</v>
      </c>
      <c r="O557" s="17">
        <f>CHOOSE(CONTROL!$C$42, 26.2341, 26.2341) * CHOOSE(CONTROL!$C$21, $C$9, 100%, $E$9)</f>
        <v>26.234100000000002</v>
      </c>
      <c r="P557" s="17">
        <f>CHOOSE(CONTROL!$C$42, 26.0528, 26.0528) * CHOOSE(CONTROL!$C$21, $C$9, 100%, $E$9)</f>
        <v>26.052800000000001</v>
      </c>
      <c r="Q557" s="17">
        <f>CHOOSE(CONTROL!$C$42, 26.8288, 26.8288) * CHOOSE(CONTROL!$C$21, $C$9, 100%, $E$9)</f>
        <v>26.828800000000001</v>
      </c>
      <c r="R557" s="17">
        <f>CHOOSE(CONTROL!$C$42, 27.4829, 27.4829) * CHOOSE(CONTROL!$C$21, $C$9, 100%, $E$9)</f>
        <v>27.482900000000001</v>
      </c>
      <c r="S557" s="17">
        <f>CHOOSE(CONTROL!$C$42, 25.373, 25.373) * CHOOSE(CONTROL!$C$21, $C$9, 100%, $E$9)</f>
        <v>25.373000000000001</v>
      </c>
      <c r="T557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557" s="56">
        <f>(1000*CHOOSE(CONTROL!$C$42, 695, 695)*CHOOSE(CONTROL!$C$42, 0.5599, 0.5599)*CHOOSE(CONTROL!$C$42, 31, 31))/1000000</f>
        <v>12.063045499999998</v>
      </c>
      <c r="V557" s="56">
        <f>(1000*CHOOSE(CONTROL!$C$42, 500, 500)*CHOOSE(CONTROL!$C$42, 0.275, 0.275)*CHOOSE(CONTROL!$C$42, 31, 31))/1000000</f>
        <v>4.2625000000000002</v>
      </c>
      <c r="W557" s="56">
        <f>(1000*CHOOSE(CONTROL!$C$42, 0.0916, 0.0916)*CHOOSE(CONTROL!$C$42, 121.5, 121.5)*CHOOSE(CONTROL!$C$42, 31, 31))/1000000</f>
        <v>0.34501139999999997</v>
      </c>
      <c r="X557" s="56">
        <f>(31*0.1790888*145000/1000000)+(31*0.2374*100000/1000000)</f>
        <v>1.5409441560000001</v>
      </c>
      <c r="Y557" s="56"/>
      <c r="Z557" s="17"/>
      <c r="AA557" s="55"/>
      <c r="AB557" s="48">
        <f>(B557*194.205+C557*267.466+D557*133.845+E557*153.484+F557*40+G557*85+H557*0+I557*100+J557*300)/(194.205+267.466+133.845+153.484+0+40+85+100+300)</f>
        <v>26.254412913971738</v>
      </c>
      <c r="AC557" s="45">
        <f>(M557*'RAP TEMPLATE-GAS AVAILABILITY'!O556+N557*'RAP TEMPLATE-GAS AVAILABILITY'!P556+O557*'RAP TEMPLATE-GAS AVAILABILITY'!Q556+P557*'RAP TEMPLATE-GAS AVAILABILITY'!R556)/('RAP TEMPLATE-GAS AVAILABILITY'!O556+'RAP TEMPLATE-GAS AVAILABILITY'!P556+'RAP TEMPLATE-GAS AVAILABILITY'!Q556+'RAP TEMPLATE-GAS AVAILABILITY'!R556)</f>
        <v>26.049176258992802</v>
      </c>
    </row>
    <row r="558" spans="1:29" ht="15.75" x14ac:dyDescent="0.25">
      <c r="A558" s="13">
        <v>57526</v>
      </c>
      <c r="B558" s="17">
        <f>CHOOSE(CONTROL!$C$42, 26.9199, 26.9199) * CHOOSE(CONTROL!$C$21, $C$9, 100%, $E$9)</f>
        <v>26.919899999999998</v>
      </c>
      <c r="C558" s="17">
        <f>CHOOSE(CONTROL!$C$42, 26.9279, 26.9279) * CHOOSE(CONTROL!$C$21, $C$9, 100%, $E$9)</f>
        <v>26.927900000000001</v>
      </c>
      <c r="D558" s="17">
        <f>CHOOSE(CONTROL!$C$42, 27.1879, 27.1879) * CHOOSE(CONTROL!$C$21, $C$9, 100%, $E$9)</f>
        <v>27.187899999999999</v>
      </c>
      <c r="E558" s="17">
        <f>CHOOSE(CONTROL!$C$42, 27.219, 27.219) * CHOOSE(CONTROL!$C$21, $C$9, 100%, $E$9)</f>
        <v>27.219000000000001</v>
      </c>
      <c r="F558" s="17">
        <f>CHOOSE(CONTROL!$C$42, 26.9299, 26.9299)*CHOOSE(CONTROL!$C$21, $C$9, 100%, $E$9)</f>
        <v>26.9299</v>
      </c>
      <c r="G558" s="17">
        <f>CHOOSE(CONTROL!$C$42, 26.9464, 26.9464)*CHOOSE(CONTROL!$C$21, $C$9, 100%, $E$9)</f>
        <v>26.946400000000001</v>
      </c>
      <c r="H558" s="17">
        <f>CHOOSE(CONTROL!$C$42, 27.2074, 27.2074) * CHOOSE(CONTROL!$C$21, $C$9, 100%, $E$9)</f>
        <v>27.2074</v>
      </c>
      <c r="I558" s="17">
        <f>CHOOSE(CONTROL!$C$42, 27.0273, 27.0273)* CHOOSE(CONTROL!$C$21, $C$9, 100%, $E$9)</f>
        <v>27.0273</v>
      </c>
      <c r="J558" s="17">
        <f>CHOOSE(CONTROL!$C$42, 26.9225, 26.9225)* CHOOSE(CONTROL!$C$21, $C$9, 100%, $E$9)</f>
        <v>26.922499999999999</v>
      </c>
      <c r="K558" s="52">
        <f>CHOOSE(CONTROL!$C$42, 27.0213, 27.0213) * CHOOSE(CONTROL!$C$21, $C$9, 100%, $E$9)</f>
        <v>27.0213</v>
      </c>
      <c r="L558" s="17">
        <f>CHOOSE(CONTROL!$C$42, 27.7944, 27.7944) * CHOOSE(CONTROL!$C$21, $C$9, 100%, $E$9)</f>
        <v>27.7944</v>
      </c>
      <c r="M558" s="17">
        <f>CHOOSE(CONTROL!$C$42, 26.6874, 26.6874) * CHOOSE(CONTROL!$C$21, $C$9, 100%, $E$9)</f>
        <v>26.6874</v>
      </c>
      <c r="N558" s="17">
        <f>CHOOSE(CONTROL!$C$42, 26.7038, 26.7038) * CHOOSE(CONTROL!$C$21, $C$9, 100%, $E$9)</f>
        <v>26.703800000000001</v>
      </c>
      <c r="O558" s="17">
        <f>CHOOSE(CONTROL!$C$42, 26.9697, 26.9697) * CHOOSE(CONTROL!$C$21, $C$9, 100%, $E$9)</f>
        <v>26.9697</v>
      </c>
      <c r="P558" s="17">
        <f>CHOOSE(CONTROL!$C$42, 26.7906, 26.7906) * CHOOSE(CONTROL!$C$21, $C$9, 100%, $E$9)</f>
        <v>26.790600000000001</v>
      </c>
      <c r="Q558" s="17">
        <f>CHOOSE(CONTROL!$C$42, 27.5644, 27.5644) * CHOOSE(CONTROL!$C$21, $C$9, 100%, $E$9)</f>
        <v>27.564399999999999</v>
      </c>
      <c r="R558" s="17">
        <f>CHOOSE(CONTROL!$C$42, 28.2203, 28.2203) * CHOOSE(CONTROL!$C$21, $C$9, 100%, $E$9)</f>
        <v>28.220300000000002</v>
      </c>
      <c r="S558" s="17">
        <f>CHOOSE(CONTROL!$C$42, 26.0927, 26.0927) * CHOOSE(CONTROL!$C$21, $C$9, 100%, $E$9)</f>
        <v>26.092700000000001</v>
      </c>
      <c r="T558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558" s="56">
        <f>(1000*CHOOSE(CONTROL!$C$42, 695, 695)*CHOOSE(CONTROL!$C$42, 0.5599, 0.5599)*CHOOSE(CONTROL!$C$42, 30, 30))/1000000</f>
        <v>11.673914999999997</v>
      </c>
      <c r="V558" s="56">
        <f>(1000*CHOOSE(CONTROL!$C$42, 500, 500)*CHOOSE(CONTROL!$C$42, 0.275, 0.275)*CHOOSE(CONTROL!$C$42, 30, 30))/1000000</f>
        <v>4.125</v>
      </c>
      <c r="W558" s="56">
        <f>(1000*CHOOSE(CONTROL!$C$42, 0.0916, 0.0916)*CHOOSE(CONTROL!$C$42, 121.5, 121.5)*CHOOSE(CONTROL!$C$42, 30, 30))/1000000</f>
        <v>0.33388200000000001</v>
      </c>
      <c r="X558" s="56">
        <f>(30*0.1790888*145000/1000000)+(30*0.2374*100000/1000000)</f>
        <v>1.4912362799999999</v>
      </c>
      <c r="Y558" s="56"/>
      <c r="Z558" s="17"/>
      <c r="AA558" s="55"/>
      <c r="AB558" s="48">
        <f>(B558*194.205+C558*267.466+D558*133.845+E558*153.484+F558*40+G558*85+H558*0+I558*100+J558*300)/(194.205+267.466+133.845+153.484+0+40+85+100+300)</f>
        <v>26.996893526216642</v>
      </c>
      <c r="AC558" s="45">
        <f>(M558*'RAP TEMPLATE-GAS AVAILABILITY'!O557+N558*'RAP TEMPLATE-GAS AVAILABILITY'!P557+O558*'RAP TEMPLATE-GAS AVAILABILITY'!Q557+P558*'RAP TEMPLATE-GAS AVAILABILITY'!R557)/('RAP TEMPLATE-GAS AVAILABILITY'!O557+'RAP TEMPLATE-GAS AVAILABILITY'!P557+'RAP TEMPLATE-GAS AVAILABILITY'!Q557+'RAP TEMPLATE-GAS AVAILABILITY'!R557)</f>
        <v>26.785230935251796</v>
      </c>
    </row>
    <row r="559" spans="1:29" ht="15.75" x14ac:dyDescent="0.25">
      <c r="A559" s="13">
        <v>57557</v>
      </c>
      <c r="B559" s="17">
        <f>CHOOSE(CONTROL!$C$42, 26.4037, 26.4037) * CHOOSE(CONTROL!$C$21, $C$9, 100%, $E$9)</f>
        <v>26.403700000000001</v>
      </c>
      <c r="C559" s="17">
        <f>CHOOSE(CONTROL!$C$42, 26.4117, 26.4117) * CHOOSE(CONTROL!$C$21, $C$9, 100%, $E$9)</f>
        <v>26.4117</v>
      </c>
      <c r="D559" s="17">
        <f>CHOOSE(CONTROL!$C$42, 26.6717, 26.6717) * CHOOSE(CONTROL!$C$21, $C$9, 100%, $E$9)</f>
        <v>26.671700000000001</v>
      </c>
      <c r="E559" s="17">
        <f>CHOOSE(CONTROL!$C$42, 26.7028, 26.7028) * CHOOSE(CONTROL!$C$21, $C$9, 100%, $E$9)</f>
        <v>26.7028</v>
      </c>
      <c r="F559" s="17">
        <f>CHOOSE(CONTROL!$C$42, 26.4141, 26.4141)*CHOOSE(CONTROL!$C$21, $C$9, 100%, $E$9)</f>
        <v>26.414100000000001</v>
      </c>
      <c r="G559" s="17">
        <f>CHOOSE(CONTROL!$C$42, 26.4308, 26.4308)*CHOOSE(CONTROL!$C$21, $C$9, 100%, $E$9)</f>
        <v>26.430800000000001</v>
      </c>
      <c r="H559" s="17">
        <f>CHOOSE(CONTROL!$C$42, 26.6912, 26.6912) * CHOOSE(CONTROL!$C$21, $C$9, 100%, $E$9)</f>
        <v>26.691199999999998</v>
      </c>
      <c r="I559" s="17">
        <f>CHOOSE(CONTROL!$C$42, 26.5095, 26.5095)* CHOOSE(CONTROL!$C$21, $C$9, 100%, $E$9)</f>
        <v>26.509499999999999</v>
      </c>
      <c r="J559" s="17">
        <f>CHOOSE(CONTROL!$C$42, 26.4067, 26.4067)* CHOOSE(CONTROL!$C$21, $C$9, 100%, $E$9)</f>
        <v>26.406700000000001</v>
      </c>
      <c r="K559" s="52">
        <f>CHOOSE(CONTROL!$C$42, 26.5035, 26.5035) * CHOOSE(CONTROL!$C$21, $C$9, 100%, $E$9)</f>
        <v>26.503499999999999</v>
      </c>
      <c r="L559" s="17">
        <f>CHOOSE(CONTROL!$C$42, 27.2782, 27.2782) * CHOOSE(CONTROL!$C$21, $C$9, 100%, $E$9)</f>
        <v>27.278199999999998</v>
      </c>
      <c r="M559" s="17">
        <f>CHOOSE(CONTROL!$C$42, 26.1762, 26.1762) * CHOOSE(CONTROL!$C$21, $C$9, 100%, $E$9)</f>
        <v>26.176200000000001</v>
      </c>
      <c r="N559" s="17">
        <f>CHOOSE(CONTROL!$C$42, 26.1927, 26.1927) * CHOOSE(CONTROL!$C$21, $C$9, 100%, $E$9)</f>
        <v>26.192699999999999</v>
      </c>
      <c r="O559" s="17">
        <f>CHOOSE(CONTROL!$C$42, 26.4581, 26.4581) * CHOOSE(CONTROL!$C$21, $C$9, 100%, $E$9)</f>
        <v>26.458100000000002</v>
      </c>
      <c r="P559" s="17">
        <f>CHOOSE(CONTROL!$C$42, 26.2774, 26.2774) * CHOOSE(CONTROL!$C$21, $C$9, 100%, $E$9)</f>
        <v>26.2774</v>
      </c>
      <c r="Q559" s="17">
        <f>CHOOSE(CONTROL!$C$42, 27.0528, 27.0528) * CHOOSE(CONTROL!$C$21, $C$9, 100%, $E$9)</f>
        <v>27.052800000000001</v>
      </c>
      <c r="R559" s="17">
        <f>CHOOSE(CONTROL!$C$42, 27.7074, 27.7074) * CHOOSE(CONTROL!$C$21, $C$9, 100%, $E$9)</f>
        <v>27.7074</v>
      </c>
      <c r="S559" s="17">
        <f>CHOOSE(CONTROL!$C$42, 25.5921, 25.5921) * CHOOSE(CONTROL!$C$21, $C$9, 100%, $E$9)</f>
        <v>25.592099999999999</v>
      </c>
      <c r="T559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559" s="56">
        <f>(1000*CHOOSE(CONTROL!$C$42, 695, 695)*CHOOSE(CONTROL!$C$42, 0.5599, 0.5599)*CHOOSE(CONTROL!$C$42, 31, 31))/1000000</f>
        <v>12.063045499999998</v>
      </c>
      <c r="V559" s="56">
        <f>(1000*CHOOSE(CONTROL!$C$42, 500, 500)*CHOOSE(CONTROL!$C$42, 0.275, 0.275)*CHOOSE(CONTROL!$C$42, 31, 31))/1000000</f>
        <v>4.2625000000000002</v>
      </c>
      <c r="W559" s="56">
        <f>(1000*CHOOSE(CONTROL!$C$42, 0.0916, 0.0916)*CHOOSE(CONTROL!$C$42, 121.5, 121.5)*CHOOSE(CONTROL!$C$42, 31, 31))/1000000</f>
        <v>0.34501139999999997</v>
      </c>
      <c r="X559" s="56">
        <f>(31*0.1790888*145000/1000000)+(31*0.2374*100000/1000000)</f>
        <v>1.5409441560000001</v>
      </c>
      <c r="Y559" s="56"/>
      <c r="Z559" s="17"/>
      <c r="AA559" s="55"/>
      <c r="AB559" s="48">
        <f>(B559*194.205+C559*267.466+D559*133.845+E559*153.484+F559*40+G559*85+H559*0+I559*100+J559*300)/(194.205+267.466+133.845+153.484+0+40+85+100+300)</f>
        <v>26.480714719309262</v>
      </c>
      <c r="AC559" s="45">
        <f>(M559*'RAP TEMPLATE-GAS AVAILABILITY'!O558+N559*'RAP TEMPLATE-GAS AVAILABILITY'!P558+O559*'RAP TEMPLATE-GAS AVAILABILITY'!Q558+P559*'RAP TEMPLATE-GAS AVAILABILITY'!R558)/('RAP TEMPLATE-GAS AVAILABILITY'!O558+'RAP TEMPLATE-GAS AVAILABILITY'!P558+'RAP TEMPLATE-GAS AVAILABILITY'!Q558+'RAP TEMPLATE-GAS AVAILABILITY'!R558)</f>
        <v>26.273653956834533</v>
      </c>
    </row>
    <row r="560" spans="1:29" ht="15.75" x14ac:dyDescent="0.25">
      <c r="A560" s="13">
        <v>57588</v>
      </c>
      <c r="B560" s="17">
        <f>CHOOSE(CONTROL!$C$42, 25.1002, 25.1002) * CHOOSE(CONTROL!$C$21, $C$9, 100%, $E$9)</f>
        <v>25.100200000000001</v>
      </c>
      <c r="C560" s="17">
        <f>CHOOSE(CONTROL!$C$42, 25.1081, 25.1081) * CHOOSE(CONTROL!$C$21, $C$9, 100%, $E$9)</f>
        <v>25.1081</v>
      </c>
      <c r="D560" s="17">
        <f>CHOOSE(CONTROL!$C$42, 25.3681, 25.3681) * CHOOSE(CONTROL!$C$21, $C$9, 100%, $E$9)</f>
        <v>25.368099999999998</v>
      </c>
      <c r="E560" s="17">
        <f>CHOOSE(CONTROL!$C$42, 25.3992, 25.3992) * CHOOSE(CONTROL!$C$21, $C$9, 100%, $E$9)</f>
        <v>25.3992</v>
      </c>
      <c r="F560" s="17">
        <f>CHOOSE(CONTROL!$C$42, 25.1108, 25.1108)*CHOOSE(CONTROL!$C$21, $C$9, 100%, $E$9)</f>
        <v>25.110800000000001</v>
      </c>
      <c r="G560" s="17">
        <f>CHOOSE(CONTROL!$C$42, 25.1275, 25.1275)*CHOOSE(CONTROL!$C$21, $C$9, 100%, $E$9)</f>
        <v>25.127500000000001</v>
      </c>
      <c r="H560" s="17">
        <f>CHOOSE(CONTROL!$C$42, 25.3876, 25.3876) * CHOOSE(CONTROL!$C$21, $C$9, 100%, $E$9)</f>
        <v>25.387599999999999</v>
      </c>
      <c r="I560" s="17">
        <f>CHOOSE(CONTROL!$C$42, 25.2019, 25.2019)* CHOOSE(CONTROL!$C$21, $C$9, 100%, $E$9)</f>
        <v>25.201899999999998</v>
      </c>
      <c r="J560" s="17">
        <f>CHOOSE(CONTROL!$C$42, 25.1034, 25.1034)* CHOOSE(CONTROL!$C$21, $C$9, 100%, $E$9)</f>
        <v>25.103400000000001</v>
      </c>
      <c r="K560" s="52">
        <f>CHOOSE(CONTROL!$C$42, 25.1958, 25.1958) * CHOOSE(CONTROL!$C$21, $C$9, 100%, $E$9)</f>
        <v>25.195799999999998</v>
      </c>
      <c r="L560" s="17">
        <f>CHOOSE(CONTROL!$C$42, 25.9746, 25.9746) * CHOOSE(CONTROL!$C$21, $C$9, 100%, $E$9)</f>
        <v>25.974599999999999</v>
      </c>
      <c r="M560" s="17">
        <f>CHOOSE(CONTROL!$C$42, 24.8846, 24.8846) * CHOOSE(CONTROL!$C$21, $C$9, 100%, $E$9)</f>
        <v>24.884599999999999</v>
      </c>
      <c r="N560" s="17">
        <f>CHOOSE(CONTROL!$C$42, 24.9012, 24.9012) * CHOOSE(CONTROL!$C$21, $C$9, 100%, $E$9)</f>
        <v>24.901199999999999</v>
      </c>
      <c r="O560" s="17">
        <f>CHOOSE(CONTROL!$C$42, 25.1663, 25.1663) * CHOOSE(CONTROL!$C$21, $C$9, 100%, $E$9)</f>
        <v>25.1663</v>
      </c>
      <c r="P560" s="17">
        <f>CHOOSE(CONTROL!$C$42, 24.9816, 24.9816) * CHOOSE(CONTROL!$C$21, $C$9, 100%, $E$9)</f>
        <v>24.9816</v>
      </c>
      <c r="Q560" s="17">
        <f>CHOOSE(CONTROL!$C$42, 25.761, 25.761) * CHOOSE(CONTROL!$C$21, $C$9, 100%, $E$9)</f>
        <v>25.760999999999999</v>
      </c>
      <c r="R560" s="17">
        <f>CHOOSE(CONTROL!$C$42, 26.4124, 26.4124) * CHOOSE(CONTROL!$C$21, $C$9, 100%, $E$9)</f>
        <v>26.412400000000002</v>
      </c>
      <c r="S560" s="17">
        <f>CHOOSE(CONTROL!$C$42, 24.328, 24.328) * CHOOSE(CONTROL!$C$21, $C$9, 100%, $E$9)</f>
        <v>24.327999999999999</v>
      </c>
      <c r="T560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560" s="56">
        <f>(1000*CHOOSE(CONTROL!$C$42, 695, 695)*CHOOSE(CONTROL!$C$42, 0.5599, 0.5599)*CHOOSE(CONTROL!$C$42, 31, 31))/1000000</f>
        <v>12.063045499999998</v>
      </c>
      <c r="V560" s="56">
        <f>(1000*CHOOSE(CONTROL!$C$42, 500, 500)*CHOOSE(CONTROL!$C$42, 0.275, 0.275)*CHOOSE(CONTROL!$C$42, 31, 31))/1000000</f>
        <v>4.2625000000000002</v>
      </c>
      <c r="W560" s="56">
        <f>(1000*CHOOSE(CONTROL!$C$42, 0.0916, 0.0916)*CHOOSE(CONTROL!$C$42, 121.5, 121.5)*CHOOSE(CONTROL!$C$42, 31, 31))/1000000</f>
        <v>0.34501139999999997</v>
      </c>
      <c r="X560" s="56">
        <f>(31*0.1790888*145000/1000000)+(31*0.2374*100000/1000000)</f>
        <v>1.5409441560000001</v>
      </c>
      <c r="Y560" s="56"/>
      <c r="Z560" s="17"/>
      <c r="AA560" s="55"/>
      <c r="AB560" s="48">
        <f>(B560*194.205+C560*267.466+D560*133.845+E560*153.484+F560*40+G560*85+H560*0+I560*100+J560*300)/(194.205+267.466+133.845+153.484+0+40+85+100+300)</f>
        <v>25.176916069780223</v>
      </c>
      <c r="AC560" s="45">
        <f>(M560*'RAP TEMPLATE-GAS AVAILABILITY'!O559+N560*'RAP TEMPLATE-GAS AVAILABILITY'!P559+O560*'RAP TEMPLATE-GAS AVAILABILITY'!Q559+P560*'RAP TEMPLATE-GAS AVAILABILITY'!R559)/('RAP TEMPLATE-GAS AVAILABILITY'!O559+'RAP TEMPLATE-GAS AVAILABILITY'!P559+'RAP TEMPLATE-GAS AVAILABILITY'!Q559+'RAP TEMPLATE-GAS AVAILABILITY'!R559)</f>
        <v>24.981416546762585</v>
      </c>
    </row>
    <row r="561" spans="1:29" ht="15.75" x14ac:dyDescent="0.25">
      <c r="A561" s="13">
        <v>57618</v>
      </c>
      <c r="B561" s="17">
        <f>CHOOSE(CONTROL!$C$42, 23.5071, 23.5071) * CHOOSE(CONTROL!$C$21, $C$9, 100%, $E$9)</f>
        <v>23.507100000000001</v>
      </c>
      <c r="C561" s="17">
        <f>CHOOSE(CONTROL!$C$42, 23.5151, 23.5151) * CHOOSE(CONTROL!$C$21, $C$9, 100%, $E$9)</f>
        <v>23.5151</v>
      </c>
      <c r="D561" s="17">
        <f>CHOOSE(CONTROL!$C$42, 23.7751, 23.7751) * CHOOSE(CONTROL!$C$21, $C$9, 100%, $E$9)</f>
        <v>23.775099999999998</v>
      </c>
      <c r="E561" s="17">
        <f>CHOOSE(CONTROL!$C$42, 23.8062, 23.8062) * CHOOSE(CONTROL!$C$21, $C$9, 100%, $E$9)</f>
        <v>23.8062</v>
      </c>
      <c r="F561" s="17">
        <f>CHOOSE(CONTROL!$C$42, 23.5178, 23.5178)*CHOOSE(CONTROL!$C$21, $C$9, 100%, $E$9)</f>
        <v>23.517800000000001</v>
      </c>
      <c r="G561" s="17">
        <f>CHOOSE(CONTROL!$C$42, 23.5345, 23.5345)*CHOOSE(CONTROL!$C$21, $C$9, 100%, $E$9)</f>
        <v>23.534500000000001</v>
      </c>
      <c r="H561" s="17">
        <f>CHOOSE(CONTROL!$C$42, 23.7946, 23.7946) * CHOOSE(CONTROL!$C$21, $C$9, 100%, $E$9)</f>
        <v>23.794599999999999</v>
      </c>
      <c r="I561" s="17">
        <f>CHOOSE(CONTROL!$C$42, 23.6039, 23.6039)* CHOOSE(CONTROL!$C$21, $C$9, 100%, $E$9)</f>
        <v>23.603899999999999</v>
      </c>
      <c r="J561" s="17">
        <f>CHOOSE(CONTROL!$C$42, 23.5104, 23.5104)* CHOOSE(CONTROL!$C$21, $C$9, 100%, $E$9)</f>
        <v>23.510400000000001</v>
      </c>
      <c r="K561" s="52">
        <f>CHOOSE(CONTROL!$C$42, 23.5979, 23.5979) * CHOOSE(CONTROL!$C$21, $C$9, 100%, $E$9)</f>
        <v>23.597899999999999</v>
      </c>
      <c r="L561" s="17">
        <f>CHOOSE(CONTROL!$C$42, 24.3816, 24.3816) * CHOOSE(CONTROL!$C$21, $C$9, 100%, $E$9)</f>
        <v>24.381599999999999</v>
      </c>
      <c r="M561" s="17">
        <f>CHOOSE(CONTROL!$C$42, 23.3059, 23.3059) * CHOOSE(CONTROL!$C$21, $C$9, 100%, $E$9)</f>
        <v>23.305900000000001</v>
      </c>
      <c r="N561" s="17">
        <f>CHOOSE(CONTROL!$C$42, 23.3225, 23.3225) * CHOOSE(CONTROL!$C$21, $C$9, 100%, $E$9)</f>
        <v>23.322500000000002</v>
      </c>
      <c r="O561" s="17">
        <f>CHOOSE(CONTROL!$C$42, 23.5876, 23.5876) * CHOOSE(CONTROL!$C$21, $C$9, 100%, $E$9)</f>
        <v>23.587599999999998</v>
      </c>
      <c r="P561" s="17">
        <f>CHOOSE(CONTROL!$C$42, 23.3981, 23.3981) * CHOOSE(CONTROL!$C$21, $C$9, 100%, $E$9)</f>
        <v>23.398099999999999</v>
      </c>
      <c r="Q561" s="17">
        <f>CHOOSE(CONTROL!$C$42, 24.1823, 24.1823) * CHOOSE(CONTROL!$C$21, $C$9, 100%, $E$9)</f>
        <v>24.182300000000001</v>
      </c>
      <c r="R561" s="17">
        <f>CHOOSE(CONTROL!$C$42, 24.8297, 24.8297) * CHOOSE(CONTROL!$C$21, $C$9, 100%, $E$9)</f>
        <v>24.829699999999999</v>
      </c>
      <c r="S561" s="17">
        <f>CHOOSE(CONTROL!$C$42, 22.7833, 22.7833) * CHOOSE(CONTROL!$C$21, $C$9, 100%, $E$9)</f>
        <v>22.783300000000001</v>
      </c>
      <c r="T561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561" s="56">
        <f>(1000*CHOOSE(CONTROL!$C$42, 695, 695)*CHOOSE(CONTROL!$C$42, 0.5599, 0.5599)*CHOOSE(CONTROL!$C$42, 30, 30))/1000000</f>
        <v>11.673914999999997</v>
      </c>
      <c r="V561" s="56">
        <f>(1000*CHOOSE(CONTROL!$C$42, 500, 500)*CHOOSE(CONTROL!$C$42, 0.275, 0.275)*CHOOSE(CONTROL!$C$42, 30, 30))/1000000</f>
        <v>4.125</v>
      </c>
      <c r="W561" s="56">
        <f>(1000*CHOOSE(CONTROL!$C$42, 0.0916, 0.0916)*CHOOSE(CONTROL!$C$42, 121.5, 121.5)*CHOOSE(CONTROL!$C$42, 30, 30))/1000000</f>
        <v>0.33388200000000001</v>
      </c>
      <c r="X561" s="56">
        <f>(30*0.1790888*145000/1000000)+(30*0.2374*100000/1000000)</f>
        <v>1.4912362799999999</v>
      </c>
      <c r="Y561" s="56"/>
      <c r="Z561" s="17"/>
      <c r="AA561" s="55"/>
      <c r="AB561" s="48">
        <f>(B561*194.205+C561*267.466+D561*133.845+E561*153.484+F561*40+G561*85+H561*0+I561*100+J561*300)/(194.205+267.466+133.845+153.484+0+40+85+100+300)</f>
        <v>23.583508361381472</v>
      </c>
      <c r="AC561" s="45">
        <f>(M561*'RAP TEMPLATE-GAS AVAILABILITY'!O560+N561*'RAP TEMPLATE-GAS AVAILABILITY'!P560+O561*'RAP TEMPLATE-GAS AVAILABILITY'!Q560+P561*'RAP TEMPLATE-GAS AVAILABILITY'!R560)/('RAP TEMPLATE-GAS AVAILABILITY'!O560+'RAP TEMPLATE-GAS AVAILABILITY'!P560+'RAP TEMPLATE-GAS AVAILABILITY'!Q560+'RAP TEMPLATE-GAS AVAILABILITY'!R560)</f>
        <v>23.402025899280574</v>
      </c>
    </row>
    <row r="562" spans="1:29" ht="15.75" x14ac:dyDescent="0.25">
      <c r="A562" s="13">
        <v>57649</v>
      </c>
      <c r="B562" s="17">
        <f>CHOOSE(CONTROL!$C$42, 23.0284, 23.0284) * CHOOSE(CONTROL!$C$21, $C$9, 100%, $E$9)</f>
        <v>23.028400000000001</v>
      </c>
      <c r="C562" s="17">
        <f>CHOOSE(CONTROL!$C$42, 23.0337, 23.0337) * CHOOSE(CONTROL!$C$21, $C$9, 100%, $E$9)</f>
        <v>23.0337</v>
      </c>
      <c r="D562" s="17">
        <f>CHOOSE(CONTROL!$C$42, 23.2985, 23.2985) * CHOOSE(CONTROL!$C$21, $C$9, 100%, $E$9)</f>
        <v>23.298500000000001</v>
      </c>
      <c r="E562" s="17">
        <f>CHOOSE(CONTROL!$C$42, 23.3274, 23.3274) * CHOOSE(CONTROL!$C$21, $C$9, 100%, $E$9)</f>
        <v>23.327400000000001</v>
      </c>
      <c r="F562" s="17">
        <f>CHOOSE(CONTROL!$C$42, 23.0412, 23.0412)*CHOOSE(CONTROL!$C$21, $C$9, 100%, $E$9)</f>
        <v>23.0412</v>
      </c>
      <c r="G562" s="17">
        <f>CHOOSE(CONTROL!$C$42, 23.0578, 23.0578)*CHOOSE(CONTROL!$C$21, $C$9, 100%, $E$9)</f>
        <v>23.0578</v>
      </c>
      <c r="H562" s="17">
        <f>CHOOSE(CONTROL!$C$42, 23.3175, 23.3175) * CHOOSE(CONTROL!$C$21, $C$9, 100%, $E$9)</f>
        <v>23.317499999999999</v>
      </c>
      <c r="I562" s="17">
        <f>CHOOSE(CONTROL!$C$42, 23.1254, 23.1254)* CHOOSE(CONTROL!$C$21, $C$9, 100%, $E$9)</f>
        <v>23.125399999999999</v>
      </c>
      <c r="J562" s="17">
        <f>CHOOSE(CONTROL!$C$42, 23.0338, 23.0338)* CHOOSE(CONTROL!$C$21, $C$9, 100%, $E$9)</f>
        <v>23.033799999999999</v>
      </c>
      <c r="K562" s="52">
        <f>CHOOSE(CONTROL!$C$42, 23.1194, 23.1194) * CHOOSE(CONTROL!$C$21, $C$9, 100%, $E$9)</f>
        <v>23.119399999999999</v>
      </c>
      <c r="L562" s="17">
        <f>CHOOSE(CONTROL!$C$42, 23.9045, 23.9045) * CHOOSE(CONTROL!$C$21, $C$9, 100%, $E$9)</f>
        <v>23.904499999999999</v>
      </c>
      <c r="M562" s="17">
        <f>CHOOSE(CONTROL!$C$42, 22.8337, 22.8337) * CHOOSE(CONTROL!$C$21, $C$9, 100%, $E$9)</f>
        <v>22.8337</v>
      </c>
      <c r="N562" s="17">
        <f>CHOOSE(CONTROL!$C$42, 22.8501, 22.8501) * CHOOSE(CONTROL!$C$21, $C$9, 100%, $E$9)</f>
        <v>22.850100000000001</v>
      </c>
      <c r="O562" s="17">
        <f>CHOOSE(CONTROL!$C$42, 23.1148, 23.1148) * CHOOSE(CONTROL!$C$21, $C$9, 100%, $E$9)</f>
        <v>23.114799999999999</v>
      </c>
      <c r="P562" s="17">
        <f>CHOOSE(CONTROL!$C$42, 22.9239, 22.9239) * CHOOSE(CONTROL!$C$21, $C$9, 100%, $E$9)</f>
        <v>22.9239</v>
      </c>
      <c r="Q562" s="17">
        <f>CHOOSE(CONTROL!$C$42, 23.7095, 23.7095) * CHOOSE(CONTROL!$C$21, $C$9, 100%, $E$9)</f>
        <v>23.709499999999998</v>
      </c>
      <c r="R562" s="17">
        <f>CHOOSE(CONTROL!$C$42, 24.3558, 24.3558) * CHOOSE(CONTROL!$C$21, $C$9, 100%, $E$9)</f>
        <v>24.355799999999999</v>
      </c>
      <c r="S562" s="17">
        <f>CHOOSE(CONTROL!$C$42, 22.3207, 22.3207) * CHOOSE(CONTROL!$C$21, $C$9, 100%, $E$9)</f>
        <v>22.320699999999999</v>
      </c>
      <c r="T562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562" s="56">
        <f>(1000*CHOOSE(CONTROL!$C$42, 695, 695)*CHOOSE(CONTROL!$C$42, 0.5599, 0.5599)*CHOOSE(CONTROL!$C$42, 31, 31))/1000000</f>
        <v>12.063045499999998</v>
      </c>
      <c r="V562" s="56">
        <f>(1000*CHOOSE(CONTROL!$C$42, 500, 500)*CHOOSE(CONTROL!$C$42, 0.275, 0.275)*CHOOSE(CONTROL!$C$42, 31, 31))/1000000</f>
        <v>4.2625000000000002</v>
      </c>
      <c r="W562" s="56">
        <f>(1000*CHOOSE(CONTROL!$C$42, 0.0916, 0.0916)*CHOOSE(CONTROL!$C$42, 121.5, 121.5)*CHOOSE(CONTROL!$C$42, 31, 31))/1000000</f>
        <v>0.34501139999999997</v>
      </c>
      <c r="X562" s="56">
        <f>(31*0.1790888*145000/1000000)+(31*0.2374*100000/1000000)</f>
        <v>1.5409441560000001</v>
      </c>
      <c r="Y562" s="56"/>
      <c r="Z562" s="17"/>
      <c r="AA562" s="55"/>
      <c r="AB562" s="48">
        <f>(B562*131.881+C562*277.167+D562*79.08+E562*225.872+F562*40+G562*85+H562*0+I562*100+J562*300)/(131.881+277.167+79.08+225.872+0+40+85+100+300)</f>
        <v>23.112899774899113</v>
      </c>
      <c r="AC562" s="45">
        <f>(M562*'RAP TEMPLATE-GAS AVAILABILITY'!O561+N562*'RAP TEMPLATE-GAS AVAILABILITY'!P561+O562*'RAP TEMPLATE-GAS AVAILABILITY'!Q561+P562*'RAP TEMPLATE-GAS AVAILABILITY'!R561)/('RAP TEMPLATE-GAS AVAILABILITY'!O561+'RAP TEMPLATE-GAS AVAILABILITY'!P561+'RAP TEMPLATE-GAS AVAILABILITY'!Q561+'RAP TEMPLATE-GAS AVAILABILITY'!R561)</f>
        <v>22.929323741007192</v>
      </c>
    </row>
    <row r="563" spans="1:29" ht="15.75" x14ac:dyDescent="0.25">
      <c r="A563" s="13">
        <v>57679</v>
      </c>
      <c r="B563" s="17">
        <f>CHOOSE(CONTROL!$C$42, 23.6344, 23.6344) * CHOOSE(CONTROL!$C$21, $C$9, 100%, $E$9)</f>
        <v>23.634399999999999</v>
      </c>
      <c r="C563" s="17">
        <f>CHOOSE(CONTROL!$C$42, 23.6395, 23.6395) * CHOOSE(CONTROL!$C$21, $C$9, 100%, $E$9)</f>
        <v>23.639500000000002</v>
      </c>
      <c r="D563" s="17">
        <f>CHOOSE(CONTROL!$C$42, 23.7801, 23.7801) * CHOOSE(CONTROL!$C$21, $C$9, 100%, $E$9)</f>
        <v>23.780100000000001</v>
      </c>
      <c r="E563" s="17">
        <f>CHOOSE(CONTROL!$C$42, 23.8139, 23.8139) * CHOOSE(CONTROL!$C$21, $C$9, 100%, $E$9)</f>
        <v>23.8139</v>
      </c>
      <c r="F563" s="17">
        <f>CHOOSE(CONTROL!$C$42, 23.6477, 23.6477)*CHOOSE(CONTROL!$C$21, $C$9, 100%, $E$9)</f>
        <v>23.6477</v>
      </c>
      <c r="G563" s="17">
        <f>CHOOSE(CONTROL!$C$42, 23.6645, 23.6645)*CHOOSE(CONTROL!$C$21, $C$9, 100%, $E$9)</f>
        <v>23.6645</v>
      </c>
      <c r="H563" s="17">
        <f>CHOOSE(CONTROL!$C$42, 23.8027, 23.8027) * CHOOSE(CONTROL!$C$21, $C$9, 100%, $E$9)</f>
        <v>23.802700000000002</v>
      </c>
      <c r="I563" s="17">
        <f>CHOOSE(CONTROL!$C$42, 23.7301, 23.7301)* CHOOSE(CONTROL!$C$21, $C$9, 100%, $E$9)</f>
        <v>23.7301</v>
      </c>
      <c r="J563" s="17">
        <f>CHOOSE(CONTROL!$C$42, 23.6403, 23.6403)* CHOOSE(CONTROL!$C$21, $C$9, 100%, $E$9)</f>
        <v>23.6403</v>
      </c>
      <c r="K563" s="52">
        <f>CHOOSE(CONTROL!$C$42, 23.724, 23.724) * CHOOSE(CONTROL!$C$21, $C$9, 100%, $E$9)</f>
        <v>23.724</v>
      </c>
      <c r="L563" s="17">
        <f>CHOOSE(CONTROL!$C$42, 24.3897, 24.3897) * CHOOSE(CONTROL!$C$21, $C$9, 100%, $E$9)</f>
        <v>24.389700000000001</v>
      </c>
      <c r="M563" s="17">
        <f>CHOOSE(CONTROL!$C$42, 23.4347, 23.4347) * CHOOSE(CONTROL!$C$21, $C$9, 100%, $E$9)</f>
        <v>23.434699999999999</v>
      </c>
      <c r="N563" s="17">
        <f>CHOOSE(CONTROL!$C$42, 23.4514, 23.4514) * CHOOSE(CONTROL!$C$21, $C$9, 100%, $E$9)</f>
        <v>23.4514</v>
      </c>
      <c r="O563" s="17">
        <f>CHOOSE(CONTROL!$C$42, 23.5957, 23.5957) * CHOOSE(CONTROL!$C$21, $C$9, 100%, $E$9)</f>
        <v>23.595700000000001</v>
      </c>
      <c r="P563" s="17">
        <f>CHOOSE(CONTROL!$C$42, 23.5231, 23.5231) * CHOOSE(CONTROL!$C$21, $C$9, 100%, $E$9)</f>
        <v>23.523099999999999</v>
      </c>
      <c r="Q563" s="17">
        <f>CHOOSE(CONTROL!$C$42, 24.1904, 24.1904) * CHOOSE(CONTROL!$C$21, $C$9, 100%, $E$9)</f>
        <v>24.1904</v>
      </c>
      <c r="R563" s="17">
        <f>CHOOSE(CONTROL!$C$42, 24.8379, 24.8379) * CHOOSE(CONTROL!$C$21, $C$9, 100%, $E$9)</f>
        <v>24.837900000000001</v>
      </c>
      <c r="S563" s="17">
        <f>CHOOSE(CONTROL!$C$42, 22.9087, 22.9087) * CHOOSE(CONTROL!$C$21, $C$9, 100%, $E$9)</f>
        <v>22.9087</v>
      </c>
      <c r="T563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563" s="56">
        <f>(1000*CHOOSE(CONTROL!$C$42, 695, 695)*CHOOSE(CONTROL!$C$42, 0.5599, 0.5599)*CHOOSE(CONTROL!$C$42, 30, 30))/1000000</f>
        <v>11.673914999999997</v>
      </c>
      <c r="V563" s="56">
        <f>(1000*CHOOSE(CONTROL!$C$42, 500, 500)*CHOOSE(CONTROL!$C$42, 0.275, 0.275)*CHOOSE(CONTROL!$C$42, 30, 30))/1000000</f>
        <v>4.125</v>
      </c>
      <c r="W563" s="56">
        <f>(1000*CHOOSE(CONTROL!$C$42, 0.0916, 0.0916)*CHOOSE(CONTROL!$C$42, 121.5, 121.5)*CHOOSE(CONTROL!$C$42, 30, 30))/1000000</f>
        <v>0.33388200000000001</v>
      </c>
      <c r="X563" s="56">
        <f>(30*0.2374*100000/1000000)</f>
        <v>0.71220000000000006</v>
      </c>
      <c r="Y563" s="56"/>
      <c r="Z563" s="17"/>
      <c r="AA563" s="55"/>
      <c r="AB563" s="48">
        <f>(B563*122.58+C563*297.941+D563*89.177+E563*140.302+F563*40+G563*60+H563*0+I563*100+J563*300)/(122.58+297.941+89.177+140.302+0+40+60+100+300)</f>
        <v>23.680812866956519</v>
      </c>
      <c r="AC563" s="45">
        <f>(M563*'RAP TEMPLATE-GAS AVAILABILITY'!O562+N563*'RAP TEMPLATE-GAS AVAILABILITY'!P562+O563*'RAP TEMPLATE-GAS AVAILABILITY'!Q562+P563*'RAP TEMPLATE-GAS AVAILABILITY'!R562)/('RAP TEMPLATE-GAS AVAILABILITY'!O562+'RAP TEMPLATE-GAS AVAILABILITY'!P562+'RAP TEMPLATE-GAS AVAILABILITY'!Q562+'RAP TEMPLATE-GAS AVAILABILITY'!R562)</f>
        <v>23.521351798561152</v>
      </c>
    </row>
    <row r="564" spans="1:29" ht="15.75" x14ac:dyDescent="0.25">
      <c r="A564" s="13">
        <v>57710</v>
      </c>
      <c r="B564" s="17">
        <f>CHOOSE(CONTROL!$C$42, 25.245, 25.245) * CHOOSE(CONTROL!$C$21, $C$9, 100%, $E$9)</f>
        <v>25.245000000000001</v>
      </c>
      <c r="C564" s="17">
        <f>CHOOSE(CONTROL!$C$42, 25.2501, 25.2501) * CHOOSE(CONTROL!$C$21, $C$9, 100%, $E$9)</f>
        <v>25.2501</v>
      </c>
      <c r="D564" s="17">
        <f>CHOOSE(CONTROL!$C$42, 25.3908, 25.3908) * CHOOSE(CONTROL!$C$21, $C$9, 100%, $E$9)</f>
        <v>25.390799999999999</v>
      </c>
      <c r="E564" s="17">
        <f>CHOOSE(CONTROL!$C$42, 25.4245, 25.4245) * CHOOSE(CONTROL!$C$21, $C$9, 100%, $E$9)</f>
        <v>25.424499999999998</v>
      </c>
      <c r="F564" s="17">
        <f>CHOOSE(CONTROL!$C$42, 25.2607, 25.2607)*CHOOSE(CONTROL!$C$21, $C$9, 100%, $E$9)</f>
        <v>25.2607</v>
      </c>
      <c r="G564" s="17">
        <f>CHOOSE(CONTROL!$C$42, 25.2782, 25.2782)*CHOOSE(CONTROL!$C$21, $C$9, 100%, $E$9)</f>
        <v>25.278199999999998</v>
      </c>
      <c r="H564" s="17">
        <f>CHOOSE(CONTROL!$C$42, 25.4134, 25.4134) * CHOOSE(CONTROL!$C$21, $C$9, 100%, $E$9)</f>
        <v>25.413399999999999</v>
      </c>
      <c r="I564" s="17">
        <f>CHOOSE(CONTROL!$C$42, 25.3457, 25.3457)* CHOOSE(CONTROL!$C$21, $C$9, 100%, $E$9)</f>
        <v>25.345700000000001</v>
      </c>
      <c r="J564" s="17">
        <f>CHOOSE(CONTROL!$C$42, 25.2533, 25.2533)* CHOOSE(CONTROL!$C$21, $C$9, 100%, $E$9)</f>
        <v>25.253299999999999</v>
      </c>
      <c r="K564" s="52">
        <f>CHOOSE(CONTROL!$C$42, 25.3397, 25.3397) * CHOOSE(CONTROL!$C$21, $C$9, 100%, $E$9)</f>
        <v>25.339700000000001</v>
      </c>
      <c r="L564" s="17">
        <f>CHOOSE(CONTROL!$C$42, 26.0004, 26.0004) * CHOOSE(CONTROL!$C$21, $C$9, 100%, $E$9)</f>
        <v>26.000399999999999</v>
      </c>
      <c r="M564" s="17">
        <f>CHOOSE(CONTROL!$C$42, 25.0332, 25.0332) * CHOOSE(CONTROL!$C$21, $C$9, 100%, $E$9)</f>
        <v>25.033200000000001</v>
      </c>
      <c r="N564" s="17">
        <f>CHOOSE(CONTROL!$C$42, 25.0506, 25.0506) * CHOOSE(CONTROL!$C$21, $C$9, 100%, $E$9)</f>
        <v>25.050599999999999</v>
      </c>
      <c r="O564" s="17">
        <f>CHOOSE(CONTROL!$C$42, 25.1919, 25.1919) * CHOOSE(CONTROL!$C$21, $C$9, 100%, $E$9)</f>
        <v>25.1919</v>
      </c>
      <c r="P564" s="17">
        <f>CHOOSE(CONTROL!$C$42, 25.1241, 25.1241) * CHOOSE(CONTROL!$C$21, $C$9, 100%, $E$9)</f>
        <v>25.124099999999999</v>
      </c>
      <c r="Q564" s="17">
        <f>CHOOSE(CONTROL!$C$42, 25.7866, 25.7866) * CHOOSE(CONTROL!$C$21, $C$9, 100%, $E$9)</f>
        <v>25.7866</v>
      </c>
      <c r="R564" s="17">
        <f>CHOOSE(CONTROL!$C$42, 26.438, 26.438) * CHOOSE(CONTROL!$C$21, $C$9, 100%, $E$9)</f>
        <v>26.437999999999999</v>
      </c>
      <c r="S564" s="17">
        <f>CHOOSE(CONTROL!$C$42, 24.4706, 24.4706) * CHOOSE(CONTROL!$C$21, $C$9, 100%, $E$9)</f>
        <v>24.470600000000001</v>
      </c>
      <c r="T564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564" s="56">
        <f>(1000*CHOOSE(CONTROL!$C$42, 695, 695)*CHOOSE(CONTROL!$C$42, 0.5599, 0.5599)*CHOOSE(CONTROL!$C$42, 31, 31))/1000000</f>
        <v>12.063045499999998</v>
      </c>
      <c r="V564" s="56">
        <f>(1000*CHOOSE(CONTROL!$C$42, 500, 500)*CHOOSE(CONTROL!$C$42, 0.275, 0.275)*CHOOSE(CONTROL!$C$42, 31, 31))/1000000</f>
        <v>4.2625000000000002</v>
      </c>
      <c r="W564" s="56">
        <f>(1000*CHOOSE(CONTROL!$C$42, 0.0916, 0.0916)*CHOOSE(CONTROL!$C$42, 121.5, 121.5)*CHOOSE(CONTROL!$C$42, 31, 31))/1000000</f>
        <v>0.34501139999999997</v>
      </c>
      <c r="X564" s="56">
        <f>(31*0.2374*100000/1000000)</f>
        <v>0.73594000000000004</v>
      </c>
      <c r="Y564" s="56"/>
      <c r="Z564" s="17"/>
      <c r="AA564" s="55"/>
      <c r="AB564" s="48">
        <f>(B564*122.58+C564*297.941+D564*89.177+E564*140.302+F564*40+G564*60+H564*0+I564*100+J564*300)/(122.58+297.941+89.177+140.302+0+40+60+100+300)</f>
        <v>25.292726708434778</v>
      </c>
      <c r="AC564" s="45">
        <f>(M564*'RAP TEMPLATE-GAS AVAILABILITY'!O563+N564*'RAP TEMPLATE-GAS AVAILABILITY'!P563+O564*'RAP TEMPLATE-GAS AVAILABILITY'!Q563+P564*'RAP TEMPLATE-GAS AVAILABILITY'!R563)/('RAP TEMPLATE-GAS AVAILABILITY'!O563+'RAP TEMPLATE-GAS AVAILABILITY'!P563+'RAP TEMPLATE-GAS AVAILABILITY'!Q563+'RAP TEMPLATE-GAS AVAILABILITY'!R563)</f>
        <v>25.119209352517988</v>
      </c>
    </row>
    <row r="565" spans="1:29" ht="15.75" x14ac:dyDescent="0.25">
      <c r="A565" s="13">
        <v>57741</v>
      </c>
      <c r="B565" s="17">
        <f>CHOOSE(CONTROL!$C$42, 27.1844, 27.1844) * CHOOSE(CONTROL!$C$21, $C$9, 100%, $E$9)</f>
        <v>27.1844</v>
      </c>
      <c r="C565" s="17">
        <f>CHOOSE(CONTROL!$C$42, 27.1895, 27.1895) * CHOOSE(CONTROL!$C$21, $C$9, 100%, $E$9)</f>
        <v>27.189499999999999</v>
      </c>
      <c r="D565" s="17">
        <f>CHOOSE(CONTROL!$C$42, 27.3234, 27.3234) * CHOOSE(CONTROL!$C$21, $C$9, 100%, $E$9)</f>
        <v>27.323399999999999</v>
      </c>
      <c r="E565" s="17">
        <f>CHOOSE(CONTROL!$C$42, 27.3572, 27.3572) * CHOOSE(CONTROL!$C$21, $C$9, 100%, $E$9)</f>
        <v>27.357199999999999</v>
      </c>
      <c r="F565" s="17">
        <f>CHOOSE(CONTROL!$C$42, 27.1978, 27.1978)*CHOOSE(CONTROL!$C$21, $C$9, 100%, $E$9)</f>
        <v>27.197800000000001</v>
      </c>
      <c r="G565" s="17">
        <f>CHOOSE(CONTROL!$C$42, 27.2147, 27.2147)*CHOOSE(CONTROL!$C$21, $C$9, 100%, $E$9)</f>
        <v>27.214700000000001</v>
      </c>
      <c r="H565" s="17">
        <f>CHOOSE(CONTROL!$C$42, 27.3461, 27.3461) * CHOOSE(CONTROL!$C$21, $C$9, 100%, $E$9)</f>
        <v>27.3461</v>
      </c>
      <c r="I565" s="17">
        <f>CHOOSE(CONTROL!$C$42, 27.2952, 27.2952)* CHOOSE(CONTROL!$C$21, $C$9, 100%, $E$9)</f>
        <v>27.295200000000001</v>
      </c>
      <c r="J565" s="17">
        <f>CHOOSE(CONTROL!$C$42, 27.1904, 27.1904)* CHOOSE(CONTROL!$C$21, $C$9, 100%, $E$9)</f>
        <v>27.1904</v>
      </c>
      <c r="K565" s="52">
        <f>CHOOSE(CONTROL!$C$42, 27.2892, 27.2892) * CHOOSE(CONTROL!$C$21, $C$9, 100%, $E$9)</f>
        <v>27.289200000000001</v>
      </c>
      <c r="L565" s="17">
        <f>CHOOSE(CONTROL!$C$42, 27.9331, 27.9331) * CHOOSE(CONTROL!$C$21, $C$9, 100%, $E$9)</f>
        <v>27.9331</v>
      </c>
      <c r="M565" s="17">
        <f>CHOOSE(CONTROL!$C$42, 26.9529, 26.9529) * CHOOSE(CONTROL!$C$21, $C$9, 100%, $E$9)</f>
        <v>26.9529</v>
      </c>
      <c r="N565" s="17">
        <f>CHOOSE(CONTROL!$C$42, 26.9696, 26.9696) * CHOOSE(CONTROL!$C$21, $C$9, 100%, $E$9)</f>
        <v>26.9696</v>
      </c>
      <c r="O565" s="17">
        <f>CHOOSE(CONTROL!$C$42, 27.1071, 27.1071) * CHOOSE(CONTROL!$C$21, $C$9, 100%, $E$9)</f>
        <v>27.107099999999999</v>
      </c>
      <c r="P565" s="17">
        <f>CHOOSE(CONTROL!$C$42, 27.0561, 27.0561) * CHOOSE(CONTROL!$C$21, $C$9, 100%, $E$9)</f>
        <v>27.056100000000001</v>
      </c>
      <c r="Q565" s="17">
        <f>CHOOSE(CONTROL!$C$42, 27.7018, 27.7018) * CHOOSE(CONTROL!$C$21, $C$9, 100%, $E$9)</f>
        <v>27.701799999999999</v>
      </c>
      <c r="R565" s="17">
        <f>CHOOSE(CONTROL!$C$42, 28.3581, 28.3581) * CHOOSE(CONTROL!$C$21, $C$9, 100%, $E$9)</f>
        <v>28.3581</v>
      </c>
      <c r="S565" s="17">
        <f>CHOOSE(CONTROL!$C$42, 26.3512, 26.3512) * CHOOSE(CONTROL!$C$21, $C$9, 100%, $E$9)</f>
        <v>26.351199999999999</v>
      </c>
      <c r="T565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565" s="56">
        <f>(1000*CHOOSE(CONTROL!$C$42, 695, 695)*CHOOSE(CONTROL!$C$42, 0.5599, 0.5599)*CHOOSE(CONTROL!$C$42, 31, 31))/1000000</f>
        <v>12.063045499999998</v>
      </c>
      <c r="V565" s="56">
        <f>(1000*CHOOSE(CONTROL!$C$42, 500, 500)*CHOOSE(CONTROL!$C$42, 0.275, 0.275)*CHOOSE(CONTROL!$C$42, 31, 31))/1000000</f>
        <v>4.2625000000000002</v>
      </c>
      <c r="W565" s="56">
        <f>(1000*CHOOSE(CONTROL!$C$42, 0.0916, 0.0916)*CHOOSE(CONTROL!$C$42, 121.5, 121.5)*CHOOSE(CONTROL!$C$42, 31, 31))/1000000</f>
        <v>0.34501139999999997</v>
      </c>
      <c r="X565" s="56">
        <f>(31*0.2374*100000/1000000)</f>
        <v>0.73594000000000004</v>
      </c>
      <c r="Y565" s="56"/>
      <c r="Z565" s="17"/>
      <c r="AA565" s="55"/>
      <c r="AB565" s="48">
        <f>(B565*122.58+C565*297.941+D565*89.177+E565*140.302+F565*40+G565*60+H565*0+I565*100+J565*300)/(122.58+297.941+89.177+140.302+0+40+60+100+300)</f>
        <v>27.230828945826087</v>
      </c>
      <c r="AC565" s="45">
        <f>(M565*'RAP TEMPLATE-GAS AVAILABILITY'!O564+N565*'RAP TEMPLATE-GAS AVAILABILITY'!P564+O565*'RAP TEMPLATE-GAS AVAILABILITY'!Q564+P565*'RAP TEMPLATE-GAS AVAILABILITY'!R564)/('RAP TEMPLATE-GAS AVAILABILITY'!O564+'RAP TEMPLATE-GAS AVAILABILITY'!P564+'RAP TEMPLATE-GAS AVAILABILITY'!Q564+'RAP TEMPLATE-GAS AVAILABILITY'!R564)</f>
        <v>27.038599280575539</v>
      </c>
    </row>
    <row r="566" spans="1:29" ht="15.75" x14ac:dyDescent="0.25">
      <c r="A566" s="13">
        <v>57769</v>
      </c>
      <c r="B566" s="17">
        <f>CHOOSE(CONTROL!$C$42, 27.6681, 27.6681) * CHOOSE(CONTROL!$C$21, $C$9, 100%, $E$9)</f>
        <v>27.668099999999999</v>
      </c>
      <c r="C566" s="17">
        <f>CHOOSE(CONTROL!$C$42, 27.6732, 27.6732) * CHOOSE(CONTROL!$C$21, $C$9, 100%, $E$9)</f>
        <v>27.673200000000001</v>
      </c>
      <c r="D566" s="17">
        <f>CHOOSE(CONTROL!$C$42, 27.8072, 27.8072) * CHOOSE(CONTROL!$C$21, $C$9, 100%, $E$9)</f>
        <v>27.807200000000002</v>
      </c>
      <c r="E566" s="17">
        <f>CHOOSE(CONTROL!$C$42, 27.8409, 27.8409) * CHOOSE(CONTROL!$C$21, $C$9, 100%, $E$9)</f>
        <v>27.840900000000001</v>
      </c>
      <c r="F566" s="17">
        <f>CHOOSE(CONTROL!$C$42, 27.6815, 27.6815)*CHOOSE(CONTROL!$C$21, $C$9, 100%, $E$9)</f>
        <v>27.6815</v>
      </c>
      <c r="G566" s="17">
        <f>CHOOSE(CONTROL!$C$42, 27.6984, 27.6984)*CHOOSE(CONTROL!$C$21, $C$9, 100%, $E$9)</f>
        <v>27.698399999999999</v>
      </c>
      <c r="H566" s="17">
        <f>CHOOSE(CONTROL!$C$42, 27.8298, 27.8298) * CHOOSE(CONTROL!$C$21, $C$9, 100%, $E$9)</f>
        <v>27.829799999999999</v>
      </c>
      <c r="I566" s="17">
        <f>CHOOSE(CONTROL!$C$42, 27.7805, 27.7805)* CHOOSE(CONTROL!$C$21, $C$9, 100%, $E$9)</f>
        <v>27.7805</v>
      </c>
      <c r="J566" s="17">
        <f>CHOOSE(CONTROL!$C$42, 27.6741, 27.6741)* CHOOSE(CONTROL!$C$21, $C$9, 100%, $E$9)</f>
        <v>27.674099999999999</v>
      </c>
      <c r="K566" s="52">
        <f>CHOOSE(CONTROL!$C$42, 27.7744, 27.7744) * CHOOSE(CONTROL!$C$21, $C$9, 100%, $E$9)</f>
        <v>27.7744</v>
      </c>
      <c r="L566" s="17">
        <f>CHOOSE(CONTROL!$C$42, 28.4168, 28.4168) * CHOOSE(CONTROL!$C$21, $C$9, 100%, $E$9)</f>
        <v>28.416799999999999</v>
      </c>
      <c r="M566" s="17">
        <f>CHOOSE(CONTROL!$C$42, 27.4322, 27.4322) * CHOOSE(CONTROL!$C$21, $C$9, 100%, $E$9)</f>
        <v>27.432200000000002</v>
      </c>
      <c r="N566" s="17">
        <f>CHOOSE(CONTROL!$C$42, 27.449, 27.449) * CHOOSE(CONTROL!$C$21, $C$9, 100%, $E$9)</f>
        <v>27.449000000000002</v>
      </c>
      <c r="O566" s="17">
        <f>CHOOSE(CONTROL!$C$42, 27.5865, 27.5865) * CHOOSE(CONTROL!$C$21, $C$9, 100%, $E$9)</f>
        <v>27.586500000000001</v>
      </c>
      <c r="P566" s="17">
        <f>CHOOSE(CONTROL!$C$42, 27.5369, 27.5369) * CHOOSE(CONTROL!$C$21, $C$9, 100%, $E$9)</f>
        <v>27.536899999999999</v>
      </c>
      <c r="Q566" s="17">
        <f>CHOOSE(CONTROL!$C$42, 28.1812, 28.1812) * CHOOSE(CONTROL!$C$21, $C$9, 100%, $E$9)</f>
        <v>28.1812</v>
      </c>
      <c r="R566" s="17">
        <f>CHOOSE(CONTROL!$C$42, 28.8387, 28.8387) * CHOOSE(CONTROL!$C$21, $C$9, 100%, $E$9)</f>
        <v>28.838699999999999</v>
      </c>
      <c r="S566" s="17">
        <f>CHOOSE(CONTROL!$C$42, 26.8203, 26.8203) * CHOOSE(CONTROL!$C$21, $C$9, 100%, $E$9)</f>
        <v>26.8203</v>
      </c>
      <c r="T566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566" s="56">
        <f>(1000*CHOOSE(CONTROL!$C$42, 695, 695)*CHOOSE(CONTROL!$C$42, 0.5599, 0.5599)*CHOOSE(CONTROL!$C$42, 28, 28))/1000000</f>
        <v>10.895653999999999</v>
      </c>
      <c r="V566" s="56">
        <f>(1000*CHOOSE(CONTROL!$C$42, 500, 500)*CHOOSE(CONTROL!$C$42, 0.275, 0.275)*CHOOSE(CONTROL!$C$42, 28, 28))/1000000</f>
        <v>3.85</v>
      </c>
      <c r="W566" s="56">
        <f>(1000*CHOOSE(CONTROL!$C$42, 0.0916, 0.0916)*CHOOSE(CONTROL!$C$42, 121.5, 121.5)*CHOOSE(CONTROL!$C$42, 28, 28))/1000000</f>
        <v>0.31162319999999999</v>
      </c>
      <c r="X566" s="56">
        <f>(28*0.2374*100000/1000000)</f>
        <v>0.66471999999999998</v>
      </c>
      <c r="Y566" s="56"/>
      <c r="Z566" s="17"/>
      <c r="AA566" s="55"/>
      <c r="AB566" s="48">
        <f>(B566*122.58+C566*297.941+D566*89.177+E566*140.302+F566*40+G566*60+H566*0+I566*100+J566*300)/(122.58+297.941+89.177+140.302+0+40+60+100+300)</f>
        <v>27.714675830782607</v>
      </c>
      <c r="AC566" s="45">
        <f>(M566*'RAP TEMPLATE-GAS AVAILABILITY'!O565+N566*'RAP TEMPLATE-GAS AVAILABILITY'!P565+O566*'RAP TEMPLATE-GAS AVAILABILITY'!Q565+P566*'RAP TEMPLATE-GAS AVAILABILITY'!R565)/('RAP TEMPLATE-GAS AVAILABILITY'!O565+'RAP TEMPLATE-GAS AVAILABILITY'!P565+'RAP TEMPLATE-GAS AVAILABILITY'!Q565+'RAP TEMPLATE-GAS AVAILABILITY'!R565)</f>
        <v>27.518166187050358</v>
      </c>
    </row>
    <row r="567" spans="1:29" ht="15.75" x14ac:dyDescent="0.25">
      <c r="A567" s="13">
        <v>57800</v>
      </c>
      <c r="B567" s="17">
        <f>CHOOSE(CONTROL!$C$42, 26.8829, 26.8829) * CHOOSE(CONTROL!$C$21, $C$9, 100%, $E$9)</f>
        <v>26.882899999999999</v>
      </c>
      <c r="C567" s="17">
        <f>CHOOSE(CONTROL!$C$42, 26.888, 26.888) * CHOOSE(CONTROL!$C$21, $C$9, 100%, $E$9)</f>
        <v>26.888000000000002</v>
      </c>
      <c r="D567" s="17">
        <f>CHOOSE(CONTROL!$C$42, 27.0219, 27.0219) * CHOOSE(CONTROL!$C$21, $C$9, 100%, $E$9)</f>
        <v>27.021899999999999</v>
      </c>
      <c r="E567" s="17">
        <f>CHOOSE(CONTROL!$C$42, 27.0557, 27.0557) * CHOOSE(CONTROL!$C$21, $C$9, 100%, $E$9)</f>
        <v>27.055700000000002</v>
      </c>
      <c r="F567" s="17">
        <f>CHOOSE(CONTROL!$C$42, 26.8955, 26.8955)*CHOOSE(CONTROL!$C$21, $C$9, 100%, $E$9)</f>
        <v>26.895499999999998</v>
      </c>
      <c r="G567" s="17">
        <f>CHOOSE(CONTROL!$C$42, 26.9122, 26.9122)*CHOOSE(CONTROL!$C$21, $C$9, 100%, $E$9)</f>
        <v>26.912199999999999</v>
      </c>
      <c r="H567" s="17">
        <f>CHOOSE(CONTROL!$C$42, 27.0446, 27.0446) * CHOOSE(CONTROL!$C$21, $C$9, 100%, $E$9)</f>
        <v>27.044599999999999</v>
      </c>
      <c r="I567" s="17">
        <f>CHOOSE(CONTROL!$C$42, 26.9928, 26.9928)* CHOOSE(CONTROL!$C$21, $C$9, 100%, $E$9)</f>
        <v>26.992799999999999</v>
      </c>
      <c r="J567" s="17">
        <f>CHOOSE(CONTROL!$C$42, 26.8881, 26.8881)* CHOOSE(CONTROL!$C$21, $C$9, 100%, $E$9)</f>
        <v>26.888100000000001</v>
      </c>
      <c r="K567" s="52">
        <f>CHOOSE(CONTROL!$C$42, 26.9868, 26.9868) * CHOOSE(CONTROL!$C$21, $C$9, 100%, $E$9)</f>
        <v>26.986799999999999</v>
      </c>
      <c r="L567" s="17">
        <f>CHOOSE(CONTROL!$C$42, 27.6316, 27.6316) * CHOOSE(CONTROL!$C$21, $C$9, 100%, $E$9)</f>
        <v>27.631599999999999</v>
      </c>
      <c r="M567" s="17">
        <f>CHOOSE(CONTROL!$C$42, 26.6533, 26.6533) * CHOOSE(CONTROL!$C$21, $C$9, 100%, $E$9)</f>
        <v>26.653300000000002</v>
      </c>
      <c r="N567" s="17">
        <f>CHOOSE(CONTROL!$C$42, 26.6699, 26.6699) * CHOOSE(CONTROL!$C$21, $C$9, 100%, $E$9)</f>
        <v>26.669899999999998</v>
      </c>
      <c r="O567" s="17">
        <f>CHOOSE(CONTROL!$C$42, 26.8084, 26.8084) * CHOOSE(CONTROL!$C$21, $C$9, 100%, $E$9)</f>
        <v>26.808399999999999</v>
      </c>
      <c r="P567" s="17">
        <f>CHOOSE(CONTROL!$C$42, 26.7564, 26.7564) * CHOOSE(CONTROL!$C$21, $C$9, 100%, $E$9)</f>
        <v>26.756399999999999</v>
      </c>
      <c r="Q567" s="17">
        <f>CHOOSE(CONTROL!$C$42, 27.4031, 27.4031) * CHOOSE(CONTROL!$C$21, $C$9, 100%, $E$9)</f>
        <v>27.403099999999998</v>
      </c>
      <c r="R567" s="17">
        <f>CHOOSE(CONTROL!$C$42, 28.0586, 28.0586) * CHOOSE(CONTROL!$C$21, $C$9, 100%, $E$9)</f>
        <v>28.058599999999998</v>
      </c>
      <c r="S567" s="17">
        <f>CHOOSE(CONTROL!$C$42, 26.0588, 26.0588) * CHOOSE(CONTROL!$C$21, $C$9, 100%, $E$9)</f>
        <v>26.058800000000002</v>
      </c>
      <c r="T567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567" s="56">
        <f>(1000*CHOOSE(CONTROL!$C$42, 695, 695)*CHOOSE(CONTROL!$C$42, 0.5599, 0.5599)*CHOOSE(CONTROL!$C$42, 31, 31))/1000000</f>
        <v>12.063045499999998</v>
      </c>
      <c r="V567" s="56">
        <f>(1000*CHOOSE(CONTROL!$C$42, 500, 500)*CHOOSE(CONTROL!$C$42, 0.275, 0.275)*CHOOSE(CONTROL!$C$42, 31, 31))/1000000</f>
        <v>4.2625000000000002</v>
      </c>
      <c r="W567" s="56">
        <f>(1000*CHOOSE(CONTROL!$C$42, 0.0916, 0.0916)*CHOOSE(CONTROL!$C$42, 121.5, 121.5)*CHOOSE(CONTROL!$C$42, 31, 31))/1000000</f>
        <v>0.34501139999999997</v>
      </c>
      <c r="X567" s="56">
        <f>(31*0.2374*100000/1000000)</f>
        <v>0.73594000000000004</v>
      </c>
      <c r="Y567" s="56"/>
      <c r="Z567" s="17"/>
      <c r="AA567" s="55"/>
      <c r="AB567" s="48">
        <f>(B567*122.58+C567*297.941+D567*89.177+E567*140.302+F567*40+G567*60+H567*0+I567*100+J567*300)/(122.58+297.941+89.177+140.302+0+40+60+100+300)</f>
        <v>26.928961989304344</v>
      </c>
      <c r="AC567" s="45">
        <f>(M567*'RAP TEMPLATE-GAS AVAILABILITY'!O566+N567*'RAP TEMPLATE-GAS AVAILABILITY'!P566+O567*'RAP TEMPLATE-GAS AVAILABILITY'!Q566+P567*'RAP TEMPLATE-GAS AVAILABILITY'!R566)/('RAP TEMPLATE-GAS AVAILABILITY'!O566+'RAP TEMPLATE-GAS AVAILABILITY'!P566+'RAP TEMPLATE-GAS AVAILABILITY'!Q566+'RAP TEMPLATE-GAS AVAILABILITY'!R566)</f>
        <v>26.739387050359714</v>
      </c>
    </row>
    <row r="568" spans="1:29" ht="15.75" x14ac:dyDescent="0.25">
      <c r="A568" s="13">
        <v>57830</v>
      </c>
      <c r="B568" s="17">
        <f>CHOOSE(CONTROL!$C$42, 26.8035, 26.8035) * CHOOSE(CONTROL!$C$21, $C$9, 100%, $E$9)</f>
        <v>26.8035</v>
      </c>
      <c r="C568" s="17">
        <f>CHOOSE(CONTROL!$C$42, 26.808, 26.808) * CHOOSE(CONTROL!$C$21, $C$9, 100%, $E$9)</f>
        <v>26.808</v>
      </c>
      <c r="D568" s="17">
        <f>CHOOSE(CONTROL!$C$42, 27.071, 27.071) * CHOOSE(CONTROL!$C$21, $C$9, 100%, $E$9)</f>
        <v>27.071000000000002</v>
      </c>
      <c r="E568" s="17">
        <f>CHOOSE(CONTROL!$C$42, 27.1028, 27.1028) * CHOOSE(CONTROL!$C$21, $C$9, 100%, $E$9)</f>
        <v>27.102799999999998</v>
      </c>
      <c r="F568" s="17">
        <f>CHOOSE(CONTROL!$C$42, 26.8144, 26.8144)*CHOOSE(CONTROL!$C$21, $C$9, 100%, $E$9)</f>
        <v>26.814399999999999</v>
      </c>
      <c r="G568" s="17">
        <f>CHOOSE(CONTROL!$C$42, 26.8305, 26.8305)*CHOOSE(CONTROL!$C$21, $C$9, 100%, $E$9)</f>
        <v>26.830500000000001</v>
      </c>
      <c r="H568" s="17">
        <f>CHOOSE(CONTROL!$C$42, 27.0923, 27.0923) * CHOOSE(CONTROL!$C$21, $C$9, 100%, $E$9)</f>
        <v>27.092300000000002</v>
      </c>
      <c r="I568" s="17">
        <f>CHOOSE(CONTROL!$C$42, 26.9119, 26.9119)* CHOOSE(CONTROL!$C$21, $C$9, 100%, $E$9)</f>
        <v>26.911899999999999</v>
      </c>
      <c r="J568" s="17">
        <f>CHOOSE(CONTROL!$C$42, 26.807, 26.807)* CHOOSE(CONTROL!$C$21, $C$9, 100%, $E$9)</f>
        <v>26.806999999999999</v>
      </c>
      <c r="K568" s="52">
        <f>CHOOSE(CONTROL!$C$42, 26.9058, 26.9058) * CHOOSE(CONTROL!$C$21, $C$9, 100%, $E$9)</f>
        <v>26.905799999999999</v>
      </c>
      <c r="L568" s="17">
        <f>CHOOSE(CONTROL!$C$42, 27.6793, 27.6793) * CHOOSE(CONTROL!$C$21, $C$9, 100%, $E$9)</f>
        <v>27.679300000000001</v>
      </c>
      <c r="M568" s="17">
        <f>CHOOSE(CONTROL!$C$42, 26.5729, 26.5729) * CHOOSE(CONTROL!$C$21, $C$9, 100%, $E$9)</f>
        <v>26.572900000000001</v>
      </c>
      <c r="N568" s="17">
        <f>CHOOSE(CONTROL!$C$42, 26.5889, 26.5889) * CHOOSE(CONTROL!$C$21, $C$9, 100%, $E$9)</f>
        <v>26.588899999999999</v>
      </c>
      <c r="O568" s="17">
        <f>CHOOSE(CONTROL!$C$42, 26.8556, 26.8556) * CHOOSE(CONTROL!$C$21, $C$9, 100%, $E$9)</f>
        <v>26.855599999999999</v>
      </c>
      <c r="P568" s="17">
        <f>CHOOSE(CONTROL!$C$42, 26.6761, 26.6761) * CHOOSE(CONTROL!$C$21, $C$9, 100%, $E$9)</f>
        <v>26.676100000000002</v>
      </c>
      <c r="Q568" s="17">
        <f>CHOOSE(CONTROL!$C$42, 27.4503, 27.4503) * CHOOSE(CONTROL!$C$21, $C$9, 100%, $E$9)</f>
        <v>27.450299999999999</v>
      </c>
      <c r="R568" s="17">
        <f>CHOOSE(CONTROL!$C$42, 28.1059, 28.1059) * CHOOSE(CONTROL!$C$21, $C$9, 100%, $E$9)</f>
        <v>28.105899999999998</v>
      </c>
      <c r="S568" s="17">
        <f>CHOOSE(CONTROL!$C$42, 25.9811, 25.9811) * CHOOSE(CONTROL!$C$21, $C$9, 100%, $E$9)</f>
        <v>25.981100000000001</v>
      </c>
      <c r="T568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568" s="56">
        <f>(1000*CHOOSE(CONTROL!$C$42, 695, 695)*CHOOSE(CONTROL!$C$42, 0.5599, 0.5599)*CHOOSE(CONTROL!$C$42, 30, 30))/1000000</f>
        <v>11.673914999999997</v>
      </c>
      <c r="V568" s="56">
        <f>(1000*CHOOSE(CONTROL!$C$42, 500, 500)*CHOOSE(CONTROL!$C$42, 0.275, 0.275)*CHOOSE(CONTROL!$C$42, 30, 30))/1000000</f>
        <v>4.125</v>
      </c>
      <c r="W568" s="56">
        <f>(1000*CHOOSE(CONTROL!$C$42, 0.0916, 0.0916)*CHOOSE(CONTROL!$C$42, 121.5, 121.5)*CHOOSE(CONTROL!$C$42, 30, 30))/1000000</f>
        <v>0.33388200000000001</v>
      </c>
      <c r="X568" s="56">
        <f>(30*0.1790888*145000/1000000)+(30*0.2374*100000/1000000)</f>
        <v>1.4912362799999999</v>
      </c>
      <c r="Y568" s="56"/>
      <c r="Z568" s="17"/>
      <c r="AA568" s="55"/>
      <c r="AB568" s="48">
        <f>(B568*141.293+C568*267.993+D568*115.016+E568*189.698+F568*40+G568*85+H568*0+I568*100+J568*300)/(141.293+267.993+115.016+189.698+0+40+85+100+300)</f>
        <v>26.886930476109768</v>
      </c>
      <c r="AC568" s="45">
        <f>(M568*'RAP TEMPLATE-GAS AVAILABILITY'!O567+N568*'RAP TEMPLATE-GAS AVAILABILITY'!P567+O568*'RAP TEMPLATE-GAS AVAILABILITY'!Q567+P568*'RAP TEMPLATE-GAS AVAILABILITY'!R567)/('RAP TEMPLATE-GAS AVAILABILITY'!O567+'RAP TEMPLATE-GAS AVAILABILITY'!P567+'RAP TEMPLATE-GAS AVAILABILITY'!Q567+'RAP TEMPLATE-GAS AVAILABILITY'!R567)</f>
        <v>26.670751079136693</v>
      </c>
    </row>
    <row r="569" spans="1:29" ht="15.75" x14ac:dyDescent="0.25">
      <c r="A569" s="13">
        <v>57861</v>
      </c>
      <c r="B569" s="17">
        <f>CHOOSE(CONTROL!$C$42, 27.0413, 27.0413) * CHOOSE(CONTROL!$C$21, $C$9, 100%, $E$9)</f>
        <v>27.0413</v>
      </c>
      <c r="C569" s="17">
        <f>CHOOSE(CONTROL!$C$42, 27.0493, 27.0493) * CHOOSE(CONTROL!$C$21, $C$9, 100%, $E$9)</f>
        <v>27.049299999999999</v>
      </c>
      <c r="D569" s="17">
        <f>CHOOSE(CONTROL!$C$42, 27.3092, 27.3092) * CHOOSE(CONTROL!$C$21, $C$9, 100%, $E$9)</f>
        <v>27.309200000000001</v>
      </c>
      <c r="E569" s="17">
        <f>CHOOSE(CONTROL!$C$42, 27.3404, 27.3404) * CHOOSE(CONTROL!$C$21, $C$9, 100%, $E$9)</f>
        <v>27.340399999999999</v>
      </c>
      <c r="F569" s="17">
        <f>CHOOSE(CONTROL!$C$42, 27.051, 27.051)*CHOOSE(CONTROL!$C$21, $C$9, 100%, $E$9)</f>
        <v>27.050999999999998</v>
      </c>
      <c r="G569" s="17">
        <f>CHOOSE(CONTROL!$C$42, 27.0674, 27.0674)*CHOOSE(CONTROL!$C$21, $C$9, 100%, $E$9)</f>
        <v>27.067399999999999</v>
      </c>
      <c r="H569" s="17">
        <f>CHOOSE(CONTROL!$C$42, 27.3287, 27.3287) * CHOOSE(CONTROL!$C$21, $C$9, 100%, $E$9)</f>
        <v>27.328700000000001</v>
      </c>
      <c r="I569" s="17">
        <f>CHOOSE(CONTROL!$C$42, 27.1491, 27.1491)* CHOOSE(CONTROL!$C$21, $C$9, 100%, $E$9)</f>
        <v>27.149100000000001</v>
      </c>
      <c r="J569" s="17">
        <f>CHOOSE(CONTROL!$C$42, 27.0436, 27.0436)* CHOOSE(CONTROL!$C$21, $C$9, 100%, $E$9)</f>
        <v>27.043600000000001</v>
      </c>
      <c r="K569" s="52">
        <f>CHOOSE(CONTROL!$C$42, 27.143, 27.143) * CHOOSE(CONTROL!$C$21, $C$9, 100%, $E$9)</f>
        <v>27.143000000000001</v>
      </c>
      <c r="L569" s="17">
        <f>CHOOSE(CONTROL!$C$42, 27.9157, 27.9157) * CHOOSE(CONTROL!$C$21, $C$9, 100%, $E$9)</f>
        <v>27.915700000000001</v>
      </c>
      <c r="M569" s="17">
        <f>CHOOSE(CONTROL!$C$42, 26.8074, 26.8074) * CHOOSE(CONTROL!$C$21, $C$9, 100%, $E$9)</f>
        <v>26.807400000000001</v>
      </c>
      <c r="N569" s="17">
        <f>CHOOSE(CONTROL!$C$42, 26.8237, 26.8237) * CHOOSE(CONTROL!$C$21, $C$9, 100%, $E$9)</f>
        <v>26.823699999999999</v>
      </c>
      <c r="O569" s="17">
        <f>CHOOSE(CONTROL!$C$42, 27.09, 27.09) * CHOOSE(CONTROL!$C$21, $C$9, 100%, $E$9)</f>
        <v>27.09</v>
      </c>
      <c r="P569" s="17">
        <f>CHOOSE(CONTROL!$C$42, 26.9112, 26.9112) * CHOOSE(CONTROL!$C$21, $C$9, 100%, $E$9)</f>
        <v>26.911200000000001</v>
      </c>
      <c r="Q569" s="17">
        <f>CHOOSE(CONTROL!$C$42, 27.6847, 27.6847) * CHOOSE(CONTROL!$C$21, $C$9, 100%, $E$9)</f>
        <v>27.684699999999999</v>
      </c>
      <c r="R569" s="17">
        <f>CHOOSE(CONTROL!$C$42, 28.3409, 28.3409) * CHOOSE(CONTROL!$C$21, $C$9, 100%, $E$9)</f>
        <v>28.340900000000001</v>
      </c>
      <c r="S569" s="17">
        <f>CHOOSE(CONTROL!$C$42, 26.2104, 26.2104) * CHOOSE(CONTROL!$C$21, $C$9, 100%, $E$9)</f>
        <v>26.2104</v>
      </c>
      <c r="T569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569" s="56">
        <f>(1000*CHOOSE(CONTROL!$C$42, 695, 695)*CHOOSE(CONTROL!$C$42, 0.5599, 0.5599)*CHOOSE(CONTROL!$C$42, 31, 31))/1000000</f>
        <v>12.063045499999998</v>
      </c>
      <c r="V569" s="56">
        <f>(1000*CHOOSE(CONTROL!$C$42, 500, 500)*CHOOSE(CONTROL!$C$42, 0.275, 0.275)*CHOOSE(CONTROL!$C$42, 31, 31))/1000000</f>
        <v>4.2625000000000002</v>
      </c>
      <c r="W569" s="56">
        <f>(1000*CHOOSE(CONTROL!$C$42, 0.0916, 0.0916)*CHOOSE(CONTROL!$C$42, 121.5, 121.5)*CHOOSE(CONTROL!$C$42, 31, 31))/1000000</f>
        <v>0.34501139999999997</v>
      </c>
      <c r="X569" s="56">
        <f>(31*0.1790888*145000/1000000)+(31*0.2374*100000/1000000)</f>
        <v>1.5409441560000001</v>
      </c>
      <c r="Y569" s="56"/>
      <c r="Z569" s="17"/>
      <c r="AA569" s="55"/>
      <c r="AB569" s="48">
        <f>(B569*194.205+C569*267.466+D569*133.845+E569*153.484+F569*40+G569*85+H569*0+I569*100+J569*300)/(194.205+267.466+133.845+153.484+0+40+85+100+300)</f>
        <v>27.118207667111459</v>
      </c>
      <c r="AC569" s="45">
        <f>(M569*'RAP TEMPLATE-GAS AVAILABILITY'!O568+N569*'RAP TEMPLATE-GAS AVAILABILITY'!P568+O569*'RAP TEMPLATE-GAS AVAILABILITY'!Q568+P569*'RAP TEMPLATE-GAS AVAILABILITY'!R568)/('RAP TEMPLATE-GAS AVAILABILITY'!O568+'RAP TEMPLATE-GAS AVAILABILITY'!P568+'RAP TEMPLATE-GAS AVAILABILITY'!Q568+'RAP TEMPLATE-GAS AVAILABILITY'!R568)</f>
        <v>26.905378417266185</v>
      </c>
    </row>
    <row r="570" spans="1:29" ht="15.75" x14ac:dyDescent="0.25">
      <c r="A570" s="13">
        <v>57891</v>
      </c>
      <c r="B570" s="17">
        <f>CHOOSE(CONTROL!$C$42, 27.808, 27.808) * CHOOSE(CONTROL!$C$21, $C$9, 100%, $E$9)</f>
        <v>27.808</v>
      </c>
      <c r="C570" s="17">
        <f>CHOOSE(CONTROL!$C$42, 27.816, 27.816) * CHOOSE(CONTROL!$C$21, $C$9, 100%, $E$9)</f>
        <v>27.815999999999999</v>
      </c>
      <c r="D570" s="17">
        <f>CHOOSE(CONTROL!$C$42, 28.0759, 28.0759) * CHOOSE(CONTROL!$C$21, $C$9, 100%, $E$9)</f>
        <v>28.075900000000001</v>
      </c>
      <c r="E570" s="17">
        <f>CHOOSE(CONTROL!$C$42, 28.1071, 28.1071) * CHOOSE(CONTROL!$C$21, $C$9, 100%, $E$9)</f>
        <v>28.107099999999999</v>
      </c>
      <c r="F570" s="17">
        <f>CHOOSE(CONTROL!$C$42, 27.818, 27.818)*CHOOSE(CONTROL!$C$21, $C$9, 100%, $E$9)</f>
        <v>27.818000000000001</v>
      </c>
      <c r="G570" s="17">
        <f>CHOOSE(CONTROL!$C$42, 27.8345, 27.8345)*CHOOSE(CONTROL!$C$21, $C$9, 100%, $E$9)</f>
        <v>27.834499999999998</v>
      </c>
      <c r="H570" s="17">
        <f>CHOOSE(CONTROL!$C$42, 28.0954, 28.0954) * CHOOSE(CONTROL!$C$21, $C$9, 100%, $E$9)</f>
        <v>28.095400000000001</v>
      </c>
      <c r="I570" s="17">
        <f>CHOOSE(CONTROL!$C$42, 27.9181, 27.9181)* CHOOSE(CONTROL!$C$21, $C$9, 100%, $E$9)</f>
        <v>27.918099999999999</v>
      </c>
      <c r="J570" s="17">
        <f>CHOOSE(CONTROL!$C$42, 27.8106, 27.8106)* CHOOSE(CONTROL!$C$21, $C$9, 100%, $E$9)</f>
        <v>27.810600000000001</v>
      </c>
      <c r="K570" s="52">
        <f>CHOOSE(CONTROL!$C$42, 27.9121, 27.9121) * CHOOSE(CONTROL!$C$21, $C$9, 100%, $E$9)</f>
        <v>27.912099999999999</v>
      </c>
      <c r="L570" s="17">
        <f>CHOOSE(CONTROL!$C$42, 28.6824, 28.6824) * CHOOSE(CONTROL!$C$21, $C$9, 100%, $E$9)</f>
        <v>28.682400000000001</v>
      </c>
      <c r="M570" s="17">
        <f>CHOOSE(CONTROL!$C$42, 27.5675, 27.5675) * CHOOSE(CONTROL!$C$21, $C$9, 100%, $E$9)</f>
        <v>27.567499999999999</v>
      </c>
      <c r="N570" s="17">
        <f>CHOOSE(CONTROL!$C$42, 27.5839, 27.5839) * CHOOSE(CONTROL!$C$21, $C$9, 100%, $E$9)</f>
        <v>27.5839</v>
      </c>
      <c r="O570" s="17">
        <f>CHOOSE(CONTROL!$C$42, 27.8498, 27.8498) * CHOOSE(CONTROL!$C$21, $C$9, 100%, $E$9)</f>
        <v>27.849799999999998</v>
      </c>
      <c r="P570" s="17">
        <f>CHOOSE(CONTROL!$C$42, 27.6734, 27.6734) * CHOOSE(CONTROL!$C$21, $C$9, 100%, $E$9)</f>
        <v>27.673400000000001</v>
      </c>
      <c r="Q570" s="17">
        <f>CHOOSE(CONTROL!$C$42, 28.4445, 28.4445) * CHOOSE(CONTROL!$C$21, $C$9, 100%, $E$9)</f>
        <v>28.444500000000001</v>
      </c>
      <c r="R570" s="17">
        <f>CHOOSE(CONTROL!$C$42, 29.1026, 29.1026) * CHOOSE(CONTROL!$C$21, $C$9, 100%, $E$9)</f>
        <v>29.102599999999999</v>
      </c>
      <c r="S570" s="17">
        <f>CHOOSE(CONTROL!$C$42, 26.9538, 26.9538) * CHOOSE(CONTROL!$C$21, $C$9, 100%, $E$9)</f>
        <v>26.953800000000001</v>
      </c>
      <c r="T570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570" s="56">
        <f>(1000*CHOOSE(CONTROL!$C$42, 695, 695)*CHOOSE(CONTROL!$C$42, 0.5599, 0.5599)*CHOOSE(CONTROL!$C$42, 30, 30))/1000000</f>
        <v>11.673914999999997</v>
      </c>
      <c r="V570" s="56">
        <f>(1000*CHOOSE(CONTROL!$C$42, 500, 500)*CHOOSE(CONTROL!$C$42, 0.275, 0.275)*CHOOSE(CONTROL!$C$42, 30, 30))/1000000</f>
        <v>4.125</v>
      </c>
      <c r="W570" s="56">
        <f>(1000*CHOOSE(CONTROL!$C$42, 0.0916, 0.0916)*CHOOSE(CONTROL!$C$42, 121.5, 121.5)*CHOOSE(CONTROL!$C$42, 30, 30))/1000000</f>
        <v>0.33388200000000001</v>
      </c>
      <c r="X570" s="56">
        <f>(30*0.1790888*145000/1000000)+(30*0.2374*100000/1000000)</f>
        <v>1.4912362799999999</v>
      </c>
      <c r="Y570" s="56"/>
      <c r="Z570" s="17"/>
      <c r="AA570" s="55"/>
      <c r="AB570" s="48">
        <f>(B570*194.205+C570*267.466+D570*133.845+E570*153.484+F570*40+G570*85+H570*0+I570*100+J570*300)/(194.205+267.466+133.845+153.484+0+40+85+100+300)</f>
        <v>27.88519495125589</v>
      </c>
      <c r="AC570" s="45">
        <f>(M570*'RAP TEMPLATE-GAS AVAILABILITY'!O569+N570*'RAP TEMPLATE-GAS AVAILABILITY'!P569+O570*'RAP TEMPLATE-GAS AVAILABILITY'!Q569+P570*'RAP TEMPLATE-GAS AVAILABILITY'!R569)/('RAP TEMPLATE-GAS AVAILABILITY'!O569+'RAP TEMPLATE-GAS AVAILABILITY'!P569+'RAP TEMPLATE-GAS AVAILABILITY'!Q569+'RAP TEMPLATE-GAS AVAILABILITY'!R569)</f>
        <v>27.665719424460431</v>
      </c>
    </row>
    <row r="571" spans="1:29" ht="15.75" x14ac:dyDescent="0.25">
      <c r="A571" s="13">
        <v>57922</v>
      </c>
      <c r="B571" s="17">
        <f>CHOOSE(CONTROL!$C$42, 27.2748, 27.2748) * CHOOSE(CONTROL!$C$21, $C$9, 100%, $E$9)</f>
        <v>27.274799999999999</v>
      </c>
      <c r="C571" s="17">
        <f>CHOOSE(CONTROL!$C$42, 27.2827, 27.2827) * CHOOSE(CONTROL!$C$21, $C$9, 100%, $E$9)</f>
        <v>27.282699999999998</v>
      </c>
      <c r="D571" s="17">
        <f>CHOOSE(CONTROL!$C$42, 27.5427, 27.5427) * CHOOSE(CONTROL!$C$21, $C$9, 100%, $E$9)</f>
        <v>27.5427</v>
      </c>
      <c r="E571" s="17">
        <f>CHOOSE(CONTROL!$C$42, 27.5739, 27.5739) * CHOOSE(CONTROL!$C$21, $C$9, 100%, $E$9)</f>
        <v>27.573899999999998</v>
      </c>
      <c r="F571" s="17">
        <f>CHOOSE(CONTROL!$C$42, 27.2852, 27.2852)*CHOOSE(CONTROL!$C$21, $C$9, 100%, $E$9)</f>
        <v>27.2852</v>
      </c>
      <c r="G571" s="17">
        <f>CHOOSE(CONTROL!$C$42, 27.3018, 27.3018)*CHOOSE(CONTROL!$C$21, $C$9, 100%, $E$9)</f>
        <v>27.3018</v>
      </c>
      <c r="H571" s="17">
        <f>CHOOSE(CONTROL!$C$42, 27.5622, 27.5622) * CHOOSE(CONTROL!$C$21, $C$9, 100%, $E$9)</f>
        <v>27.562200000000001</v>
      </c>
      <c r="I571" s="17">
        <f>CHOOSE(CONTROL!$C$42, 27.3832, 27.3832)* CHOOSE(CONTROL!$C$21, $C$9, 100%, $E$9)</f>
        <v>27.383199999999999</v>
      </c>
      <c r="J571" s="17">
        <f>CHOOSE(CONTROL!$C$42, 27.2778, 27.2778)* CHOOSE(CONTROL!$C$21, $C$9, 100%, $E$9)</f>
        <v>27.277799999999999</v>
      </c>
      <c r="K571" s="52">
        <f>CHOOSE(CONTROL!$C$42, 27.3772, 27.3772) * CHOOSE(CONTROL!$C$21, $C$9, 100%, $E$9)</f>
        <v>27.377199999999998</v>
      </c>
      <c r="L571" s="17">
        <f>CHOOSE(CONTROL!$C$42, 28.1492, 28.1492) * CHOOSE(CONTROL!$C$21, $C$9, 100%, $E$9)</f>
        <v>28.1492</v>
      </c>
      <c r="M571" s="17">
        <f>CHOOSE(CONTROL!$C$42, 27.0394, 27.0394) * CHOOSE(CONTROL!$C$21, $C$9, 100%, $E$9)</f>
        <v>27.039400000000001</v>
      </c>
      <c r="N571" s="17">
        <f>CHOOSE(CONTROL!$C$42, 27.0559, 27.0559) * CHOOSE(CONTROL!$C$21, $C$9, 100%, $E$9)</f>
        <v>27.055900000000001</v>
      </c>
      <c r="O571" s="17">
        <f>CHOOSE(CONTROL!$C$42, 27.3213, 27.3213) * CHOOSE(CONTROL!$C$21, $C$9, 100%, $E$9)</f>
        <v>27.321300000000001</v>
      </c>
      <c r="P571" s="17">
        <f>CHOOSE(CONTROL!$C$42, 27.1433, 27.1433) * CHOOSE(CONTROL!$C$21, $C$9, 100%, $E$9)</f>
        <v>27.1433</v>
      </c>
      <c r="Q571" s="17">
        <f>CHOOSE(CONTROL!$C$42, 27.916, 27.916) * CHOOSE(CONTROL!$C$21, $C$9, 100%, $E$9)</f>
        <v>27.916</v>
      </c>
      <c r="R571" s="17">
        <f>CHOOSE(CONTROL!$C$42, 28.5728, 28.5728) * CHOOSE(CONTROL!$C$21, $C$9, 100%, $E$9)</f>
        <v>28.572800000000001</v>
      </c>
      <c r="S571" s="17">
        <f>CHOOSE(CONTROL!$C$42, 26.4368, 26.4368) * CHOOSE(CONTROL!$C$21, $C$9, 100%, $E$9)</f>
        <v>26.436800000000002</v>
      </c>
      <c r="T571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571" s="56">
        <f>(1000*CHOOSE(CONTROL!$C$42, 695, 695)*CHOOSE(CONTROL!$C$42, 0.5599, 0.5599)*CHOOSE(CONTROL!$C$42, 31, 31))/1000000</f>
        <v>12.063045499999998</v>
      </c>
      <c r="V571" s="56">
        <f>(1000*CHOOSE(CONTROL!$C$42, 500, 500)*CHOOSE(CONTROL!$C$42, 0.275, 0.275)*CHOOSE(CONTROL!$C$42, 31, 31))/1000000</f>
        <v>4.2625000000000002</v>
      </c>
      <c r="W571" s="56">
        <f>(1000*CHOOSE(CONTROL!$C$42, 0.0916, 0.0916)*CHOOSE(CONTROL!$C$42, 121.5, 121.5)*CHOOSE(CONTROL!$C$42, 31, 31))/1000000</f>
        <v>0.34501139999999997</v>
      </c>
      <c r="X571" s="56">
        <f>(31*0.1790888*145000/1000000)+(31*0.2374*100000/1000000)</f>
        <v>1.5409441560000001</v>
      </c>
      <c r="Y571" s="56"/>
      <c r="Z571" s="17"/>
      <c r="AA571" s="55"/>
      <c r="AB571" s="48">
        <f>(B571*194.205+C571*267.466+D571*133.845+E571*153.484+F571*40+G571*85+H571*0+I571*100+J571*300)/(194.205+267.466+133.845+153.484+0+40+85+100+300)</f>
        <v>27.35198062896389</v>
      </c>
      <c r="AC571" s="45">
        <f>(M571*'RAP TEMPLATE-GAS AVAILABILITY'!O570+N571*'RAP TEMPLATE-GAS AVAILABILITY'!P570+O571*'RAP TEMPLATE-GAS AVAILABILITY'!Q570+P571*'RAP TEMPLATE-GAS AVAILABILITY'!R570)/('RAP TEMPLATE-GAS AVAILABILITY'!O570+'RAP TEMPLATE-GAS AVAILABILITY'!P570+'RAP TEMPLATE-GAS AVAILABILITY'!Q570+'RAP TEMPLATE-GAS AVAILABILITY'!R570)</f>
        <v>27.137242446043171</v>
      </c>
    </row>
    <row r="572" spans="1:29" ht="15.75" x14ac:dyDescent="0.25">
      <c r="A572" s="13">
        <v>57953</v>
      </c>
      <c r="B572" s="17">
        <f>CHOOSE(CONTROL!$C$42, 25.9282, 25.9282) * CHOOSE(CONTROL!$C$21, $C$9, 100%, $E$9)</f>
        <v>25.9282</v>
      </c>
      <c r="C572" s="17">
        <f>CHOOSE(CONTROL!$C$42, 25.9361, 25.9361) * CHOOSE(CONTROL!$C$21, $C$9, 100%, $E$9)</f>
        <v>25.9361</v>
      </c>
      <c r="D572" s="17">
        <f>CHOOSE(CONTROL!$C$42, 26.1961, 26.1961) * CHOOSE(CONTROL!$C$21, $C$9, 100%, $E$9)</f>
        <v>26.196100000000001</v>
      </c>
      <c r="E572" s="17">
        <f>CHOOSE(CONTROL!$C$42, 26.2272, 26.2272) * CHOOSE(CONTROL!$C$21, $C$9, 100%, $E$9)</f>
        <v>26.2272</v>
      </c>
      <c r="F572" s="17">
        <f>CHOOSE(CONTROL!$C$42, 25.9388, 25.9388)*CHOOSE(CONTROL!$C$21, $C$9, 100%, $E$9)</f>
        <v>25.938800000000001</v>
      </c>
      <c r="G572" s="17">
        <f>CHOOSE(CONTROL!$C$42, 25.9555, 25.9555)*CHOOSE(CONTROL!$C$21, $C$9, 100%, $E$9)</f>
        <v>25.955500000000001</v>
      </c>
      <c r="H572" s="17">
        <f>CHOOSE(CONTROL!$C$42, 26.2156, 26.2156) * CHOOSE(CONTROL!$C$21, $C$9, 100%, $E$9)</f>
        <v>26.215599999999998</v>
      </c>
      <c r="I572" s="17">
        <f>CHOOSE(CONTROL!$C$42, 26.0325, 26.0325)* CHOOSE(CONTROL!$C$21, $C$9, 100%, $E$9)</f>
        <v>26.032499999999999</v>
      </c>
      <c r="J572" s="17">
        <f>CHOOSE(CONTROL!$C$42, 25.9314, 25.9314)* CHOOSE(CONTROL!$C$21, $C$9, 100%, $E$9)</f>
        <v>25.9314</v>
      </c>
      <c r="K572" s="52">
        <f>CHOOSE(CONTROL!$C$42, 26.0264, 26.0264) * CHOOSE(CONTROL!$C$21, $C$9, 100%, $E$9)</f>
        <v>26.026399999999999</v>
      </c>
      <c r="L572" s="17">
        <f>CHOOSE(CONTROL!$C$42, 26.8026, 26.8026) * CHOOSE(CONTROL!$C$21, $C$9, 100%, $E$9)</f>
        <v>26.802600000000002</v>
      </c>
      <c r="M572" s="17">
        <f>CHOOSE(CONTROL!$C$42, 25.7052, 25.7052) * CHOOSE(CONTROL!$C$21, $C$9, 100%, $E$9)</f>
        <v>25.705200000000001</v>
      </c>
      <c r="N572" s="17">
        <f>CHOOSE(CONTROL!$C$42, 25.7217, 25.7217) * CHOOSE(CONTROL!$C$21, $C$9, 100%, $E$9)</f>
        <v>25.721699999999998</v>
      </c>
      <c r="O572" s="17">
        <f>CHOOSE(CONTROL!$C$42, 25.9868, 25.9868) * CHOOSE(CONTROL!$C$21, $C$9, 100%, $E$9)</f>
        <v>25.986799999999999</v>
      </c>
      <c r="P572" s="17">
        <f>CHOOSE(CONTROL!$C$42, 25.8047, 25.8047) * CHOOSE(CONTROL!$C$21, $C$9, 100%, $E$9)</f>
        <v>25.8047</v>
      </c>
      <c r="Q572" s="17">
        <f>CHOOSE(CONTROL!$C$42, 26.5815, 26.5815) * CHOOSE(CONTROL!$C$21, $C$9, 100%, $E$9)</f>
        <v>26.581499999999998</v>
      </c>
      <c r="R572" s="17">
        <f>CHOOSE(CONTROL!$C$42, 27.235, 27.235) * CHOOSE(CONTROL!$C$21, $C$9, 100%, $E$9)</f>
        <v>27.234999999999999</v>
      </c>
      <c r="S572" s="17">
        <f>CHOOSE(CONTROL!$C$42, 25.131, 25.131) * CHOOSE(CONTROL!$C$21, $C$9, 100%, $E$9)</f>
        <v>25.131</v>
      </c>
      <c r="T572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572" s="56">
        <f>(1000*CHOOSE(CONTROL!$C$42, 695, 695)*CHOOSE(CONTROL!$C$42, 0.5599, 0.5599)*CHOOSE(CONTROL!$C$42, 31, 31))/1000000</f>
        <v>12.063045499999998</v>
      </c>
      <c r="V572" s="56">
        <f>(1000*CHOOSE(CONTROL!$C$42, 500, 500)*CHOOSE(CONTROL!$C$42, 0.275, 0.275)*CHOOSE(CONTROL!$C$42, 31, 31))/1000000</f>
        <v>4.2625000000000002</v>
      </c>
      <c r="W572" s="56">
        <f>(1000*CHOOSE(CONTROL!$C$42, 0.0916, 0.0916)*CHOOSE(CONTROL!$C$42, 121.5, 121.5)*CHOOSE(CONTROL!$C$42, 31, 31))/1000000</f>
        <v>0.34501139999999997</v>
      </c>
      <c r="X572" s="56">
        <f>(31*0.1790888*145000/1000000)+(31*0.2374*100000/1000000)</f>
        <v>1.5409441560000001</v>
      </c>
      <c r="Y572" s="56"/>
      <c r="Z572" s="17"/>
      <c r="AA572" s="55"/>
      <c r="AB572" s="48">
        <f>(B572*194.205+C572*267.466+D572*133.845+E572*153.484+F572*40+G572*85+H572*0+I572*100+J572*300)/(194.205+267.466+133.845+153.484+0+40+85+100+300)</f>
        <v>26.005120151412875</v>
      </c>
      <c r="AC572" s="45">
        <f>(M572*'RAP TEMPLATE-GAS AVAILABILITY'!O571+N572*'RAP TEMPLATE-GAS AVAILABILITY'!P571+O572*'RAP TEMPLATE-GAS AVAILABILITY'!Q571+P572*'RAP TEMPLATE-GAS AVAILABILITY'!R571)/('RAP TEMPLATE-GAS AVAILABILITY'!O571+'RAP TEMPLATE-GAS AVAILABILITY'!P571+'RAP TEMPLATE-GAS AVAILABILITY'!Q571+'RAP TEMPLATE-GAS AVAILABILITY'!R571)</f>
        <v>25.802325179856119</v>
      </c>
    </row>
    <row r="573" spans="1:29" ht="15.75" x14ac:dyDescent="0.25">
      <c r="A573" s="13">
        <v>57983</v>
      </c>
      <c r="B573" s="17">
        <f>CHOOSE(CONTROL!$C$42, 24.2826, 24.2826) * CHOOSE(CONTROL!$C$21, $C$9, 100%, $E$9)</f>
        <v>24.282599999999999</v>
      </c>
      <c r="C573" s="17">
        <f>CHOOSE(CONTROL!$C$42, 24.2906, 24.2906) * CHOOSE(CONTROL!$C$21, $C$9, 100%, $E$9)</f>
        <v>24.290600000000001</v>
      </c>
      <c r="D573" s="17">
        <f>CHOOSE(CONTROL!$C$42, 24.5505, 24.5505) * CHOOSE(CONTROL!$C$21, $C$9, 100%, $E$9)</f>
        <v>24.5505</v>
      </c>
      <c r="E573" s="17">
        <f>CHOOSE(CONTROL!$C$42, 24.5817, 24.5817) * CHOOSE(CONTROL!$C$21, $C$9, 100%, $E$9)</f>
        <v>24.581700000000001</v>
      </c>
      <c r="F573" s="17">
        <f>CHOOSE(CONTROL!$C$42, 24.2932, 24.2932)*CHOOSE(CONTROL!$C$21, $C$9, 100%, $E$9)</f>
        <v>24.293199999999999</v>
      </c>
      <c r="G573" s="17">
        <f>CHOOSE(CONTROL!$C$42, 24.3099, 24.3099)*CHOOSE(CONTROL!$C$21, $C$9, 100%, $E$9)</f>
        <v>24.309899999999999</v>
      </c>
      <c r="H573" s="17">
        <f>CHOOSE(CONTROL!$C$42, 24.57, 24.57) * CHOOSE(CONTROL!$C$21, $C$9, 100%, $E$9)</f>
        <v>24.57</v>
      </c>
      <c r="I573" s="17">
        <f>CHOOSE(CONTROL!$C$42, 24.3818, 24.3818)* CHOOSE(CONTROL!$C$21, $C$9, 100%, $E$9)</f>
        <v>24.381799999999998</v>
      </c>
      <c r="J573" s="17">
        <f>CHOOSE(CONTROL!$C$42, 24.2858, 24.2858)* CHOOSE(CONTROL!$C$21, $C$9, 100%, $E$9)</f>
        <v>24.285799999999998</v>
      </c>
      <c r="K573" s="52">
        <f>CHOOSE(CONTROL!$C$42, 24.3757, 24.3757) * CHOOSE(CONTROL!$C$21, $C$9, 100%, $E$9)</f>
        <v>24.375699999999998</v>
      </c>
      <c r="L573" s="17">
        <f>CHOOSE(CONTROL!$C$42, 25.157, 25.157) * CHOOSE(CONTROL!$C$21, $C$9, 100%, $E$9)</f>
        <v>25.157</v>
      </c>
      <c r="M573" s="17">
        <f>CHOOSE(CONTROL!$C$42, 24.0744, 24.0744) * CHOOSE(CONTROL!$C$21, $C$9, 100%, $E$9)</f>
        <v>24.074400000000001</v>
      </c>
      <c r="N573" s="17">
        <f>CHOOSE(CONTROL!$C$42, 24.091, 24.091) * CHOOSE(CONTROL!$C$21, $C$9, 100%, $E$9)</f>
        <v>24.091000000000001</v>
      </c>
      <c r="O573" s="17">
        <f>CHOOSE(CONTROL!$C$42, 24.356, 24.356) * CHOOSE(CONTROL!$C$21, $C$9, 100%, $E$9)</f>
        <v>24.356000000000002</v>
      </c>
      <c r="P573" s="17">
        <f>CHOOSE(CONTROL!$C$42, 24.1689, 24.1689) * CHOOSE(CONTROL!$C$21, $C$9, 100%, $E$9)</f>
        <v>24.168900000000001</v>
      </c>
      <c r="Q573" s="17">
        <f>CHOOSE(CONTROL!$C$42, 24.9507, 24.9507) * CHOOSE(CONTROL!$C$21, $C$9, 100%, $E$9)</f>
        <v>24.950700000000001</v>
      </c>
      <c r="R573" s="17">
        <f>CHOOSE(CONTROL!$C$42, 25.6001, 25.6001) * CHOOSE(CONTROL!$C$21, $C$9, 100%, $E$9)</f>
        <v>25.600100000000001</v>
      </c>
      <c r="S573" s="17">
        <f>CHOOSE(CONTROL!$C$42, 23.5352, 23.5352) * CHOOSE(CONTROL!$C$21, $C$9, 100%, $E$9)</f>
        <v>23.5352</v>
      </c>
      <c r="T573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573" s="56">
        <f>(1000*CHOOSE(CONTROL!$C$42, 695, 695)*CHOOSE(CONTROL!$C$42, 0.5599, 0.5599)*CHOOSE(CONTROL!$C$42, 30, 30))/1000000</f>
        <v>11.673914999999997</v>
      </c>
      <c r="V573" s="56">
        <f>(1000*CHOOSE(CONTROL!$C$42, 500, 500)*CHOOSE(CONTROL!$C$42, 0.275, 0.275)*CHOOSE(CONTROL!$C$42, 30, 30))/1000000</f>
        <v>4.125</v>
      </c>
      <c r="W573" s="56">
        <f>(1000*CHOOSE(CONTROL!$C$42, 0.0916, 0.0916)*CHOOSE(CONTROL!$C$42, 121.5, 121.5)*CHOOSE(CONTROL!$C$42, 30, 30))/1000000</f>
        <v>0.33388200000000001</v>
      </c>
      <c r="X573" s="56">
        <f>(30*0.1790888*145000/1000000)+(30*0.2374*100000/1000000)</f>
        <v>1.4912362799999999</v>
      </c>
      <c r="Y573" s="56"/>
      <c r="Z573" s="17"/>
      <c r="AA573" s="55"/>
      <c r="AB573" s="48">
        <f>(B573*194.205+C573*267.466+D573*133.845+E573*153.484+F573*40+G573*85+H573*0+I573*100+J573*300)/(194.205+267.466+133.845+153.484+0+40+85+100+300)</f>
        <v>24.359152879042384</v>
      </c>
      <c r="AC573" s="45">
        <f>(M573*'RAP TEMPLATE-GAS AVAILABILITY'!O572+N573*'RAP TEMPLATE-GAS AVAILABILITY'!P572+O573*'RAP TEMPLATE-GAS AVAILABILITY'!Q572+P573*'RAP TEMPLATE-GAS AVAILABILITY'!R572)/('RAP TEMPLATE-GAS AVAILABILITY'!O572+'RAP TEMPLATE-GAS AVAILABILITY'!P572+'RAP TEMPLATE-GAS AVAILABILITY'!Q572+'RAP TEMPLATE-GAS AVAILABILITY'!R572)</f>
        <v>24.170828776978421</v>
      </c>
    </row>
    <row r="574" spans="1:29" ht="15.75" x14ac:dyDescent="0.25">
      <c r="A574" s="13">
        <v>58014</v>
      </c>
      <c r="B574" s="17">
        <f>CHOOSE(CONTROL!$C$42, 23.7881, 23.7881) * CHOOSE(CONTROL!$C$21, $C$9, 100%, $E$9)</f>
        <v>23.7881</v>
      </c>
      <c r="C574" s="17">
        <f>CHOOSE(CONTROL!$C$42, 23.7934, 23.7934) * CHOOSE(CONTROL!$C$21, $C$9, 100%, $E$9)</f>
        <v>23.793399999999998</v>
      </c>
      <c r="D574" s="17">
        <f>CHOOSE(CONTROL!$C$42, 24.0582, 24.0582) * CHOOSE(CONTROL!$C$21, $C$9, 100%, $E$9)</f>
        <v>24.058199999999999</v>
      </c>
      <c r="E574" s="17">
        <f>CHOOSE(CONTROL!$C$42, 24.0871, 24.0871) * CHOOSE(CONTROL!$C$21, $C$9, 100%, $E$9)</f>
        <v>24.0871</v>
      </c>
      <c r="F574" s="17">
        <f>CHOOSE(CONTROL!$C$42, 23.8009, 23.8009)*CHOOSE(CONTROL!$C$21, $C$9, 100%, $E$9)</f>
        <v>23.800899999999999</v>
      </c>
      <c r="G574" s="17">
        <f>CHOOSE(CONTROL!$C$42, 23.8175, 23.8175)*CHOOSE(CONTROL!$C$21, $C$9, 100%, $E$9)</f>
        <v>23.817499999999999</v>
      </c>
      <c r="H574" s="17">
        <f>CHOOSE(CONTROL!$C$42, 24.0772, 24.0772) * CHOOSE(CONTROL!$C$21, $C$9, 100%, $E$9)</f>
        <v>24.077200000000001</v>
      </c>
      <c r="I574" s="17">
        <f>CHOOSE(CONTROL!$C$42, 23.8875, 23.8875)* CHOOSE(CONTROL!$C$21, $C$9, 100%, $E$9)</f>
        <v>23.887499999999999</v>
      </c>
      <c r="J574" s="17">
        <f>CHOOSE(CONTROL!$C$42, 23.7935, 23.7935)* CHOOSE(CONTROL!$C$21, $C$9, 100%, $E$9)</f>
        <v>23.793500000000002</v>
      </c>
      <c r="K574" s="52">
        <f>CHOOSE(CONTROL!$C$42, 23.8814, 23.8814) * CHOOSE(CONTROL!$C$21, $C$9, 100%, $E$9)</f>
        <v>23.881399999999999</v>
      </c>
      <c r="L574" s="17">
        <f>CHOOSE(CONTROL!$C$42, 24.6642, 24.6642) * CHOOSE(CONTROL!$C$21, $C$9, 100%, $E$9)</f>
        <v>24.664200000000001</v>
      </c>
      <c r="M574" s="17">
        <f>CHOOSE(CONTROL!$C$42, 23.5865, 23.5865) * CHOOSE(CONTROL!$C$21, $C$9, 100%, $E$9)</f>
        <v>23.586500000000001</v>
      </c>
      <c r="N574" s="17">
        <f>CHOOSE(CONTROL!$C$42, 23.603, 23.603) * CHOOSE(CONTROL!$C$21, $C$9, 100%, $E$9)</f>
        <v>23.603000000000002</v>
      </c>
      <c r="O574" s="17">
        <f>CHOOSE(CONTROL!$C$42, 23.8677, 23.8677) * CHOOSE(CONTROL!$C$21, $C$9, 100%, $E$9)</f>
        <v>23.867699999999999</v>
      </c>
      <c r="P574" s="17">
        <f>CHOOSE(CONTROL!$C$42, 23.679, 23.679) * CHOOSE(CONTROL!$C$21, $C$9, 100%, $E$9)</f>
        <v>23.678999999999998</v>
      </c>
      <c r="Q574" s="17">
        <f>CHOOSE(CONTROL!$C$42, 24.4624, 24.4624) * CHOOSE(CONTROL!$C$21, $C$9, 100%, $E$9)</f>
        <v>24.462399999999999</v>
      </c>
      <c r="R574" s="17">
        <f>CHOOSE(CONTROL!$C$42, 25.1105, 25.1105) * CHOOSE(CONTROL!$C$21, $C$9, 100%, $E$9)</f>
        <v>25.110499999999998</v>
      </c>
      <c r="S574" s="17">
        <f>CHOOSE(CONTROL!$C$42, 23.0574, 23.0574) * CHOOSE(CONTROL!$C$21, $C$9, 100%, $E$9)</f>
        <v>23.057400000000001</v>
      </c>
      <c r="T574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574" s="56">
        <f>(1000*CHOOSE(CONTROL!$C$42, 695, 695)*CHOOSE(CONTROL!$C$42, 0.5599, 0.5599)*CHOOSE(CONTROL!$C$42, 31, 31))/1000000</f>
        <v>12.063045499999998</v>
      </c>
      <c r="V574" s="56">
        <f>(1000*CHOOSE(CONTROL!$C$42, 500, 500)*CHOOSE(CONTROL!$C$42, 0.275, 0.275)*CHOOSE(CONTROL!$C$42, 31, 31))/1000000</f>
        <v>4.2625000000000002</v>
      </c>
      <c r="W574" s="56">
        <f>(1000*CHOOSE(CONTROL!$C$42, 0.0916, 0.0916)*CHOOSE(CONTROL!$C$42, 121.5, 121.5)*CHOOSE(CONTROL!$C$42, 31, 31))/1000000</f>
        <v>0.34501139999999997</v>
      </c>
      <c r="X574" s="56">
        <f>(31*0.1790888*145000/1000000)+(31*0.2374*100000/1000000)</f>
        <v>1.5409441560000001</v>
      </c>
      <c r="Y574" s="56"/>
      <c r="Z574" s="17"/>
      <c r="AA574" s="55"/>
      <c r="AB574" s="48">
        <f>(B574*131.881+C574*277.167+D574*79.08+E574*225.872+F574*40+G574*85+H574*0+I574*100+J574*300)/(131.881+277.167+79.08+225.872+0+40+85+100+300)</f>
        <v>23.872793479499599</v>
      </c>
      <c r="AC574" s="45">
        <f>(M574*'RAP TEMPLATE-GAS AVAILABILITY'!O573+N574*'RAP TEMPLATE-GAS AVAILABILITY'!P573+O574*'RAP TEMPLATE-GAS AVAILABILITY'!Q573+P574*'RAP TEMPLATE-GAS AVAILABILITY'!R573)/('RAP TEMPLATE-GAS AVAILABILITY'!O573+'RAP TEMPLATE-GAS AVAILABILITY'!P573+'RAP TEMPLATE-GAS AVAILABILITY'!Q573+'RAP TEMPLATE-GAS AVAILABILITY'!R573)</f>
        <v>23.682505755395688</v>
      </c>
    </row>
    <row r="575" spans="1:29" ht="15.75" x14ac:dyDescent="0.25">
      <c r="A575" s="13">
        <v>58044</v>
      </c>
      <c r="B575" s="17">
        <f>CHOOSE(CONTROL!$C$42, 24.4141, 24.4141) * CHOOSE(CONTROL!$C$21, $C$9, 100%, $E$9)</f>
        <v>24.414100000000001</v>
      </c>
      <c r="C575" s="17">
        <f>CHOOSE(CONTROL!$C$42, 24.4192, 24.4192) * CHOOSE(CONTROL!$C$21, $C$9, 100%, $E$9)</f>
        <v>24.4192</v>
      </c>
      <c r="D575" s="17">
        <f>CHOOSE(CONTROL!$C$42, 24.5598, 24.5598) * CHOOSE(CONTROL!$C$21, $C$9, 100%, $E$9)</f>
        <v>24.559799999999999</v>
      </c>
      <c r="E575" s="17">
        <f>CHOOSE(CONTROL!$C$42, 24.5936, 24.5936) * CHOOSE(CONTROL!$C$21, $C$9, 100%, $E$9)</f>
        <v>24.593599999999999</v>
      </c>
      <c r="F575" s="17">
        <f>CHOOSE(CONTROL!$C$42, 24.4274, 24.4274)*CHOOSE(CONTROL!$C$21, $C$9, 100%, $E$9)</f>
        <v>24.427399999999999</v>
      </c>
      <c r="G575" s="17">
        <f>CHOOSE(CONTROL!$C$42, 24.4442, 24.4442)*CHOOSE(CONTROL!$C$21, $C$9, 100%, $E$9)</f>
        <v>24.444199999999999</v>
      </c>
      <c r="H575" s="17">
        <f>CHOOSE(CONTROL!$C$42, 24.5825, 24.5825) * CHOOSE(CONTROL!$C$21, $C$9, 100%, $E$9)</f>
        <v>24.5825</v>
      </c>
      <c r="I575" s="17">
        <f>CHOOSE(CONTROL!$C$42, 24.5122, 24.5122)* CHOOSE(CONTROL!$C$21, $C$9, 100%, $E$9)</f>
        <v>24.5122</v>
      </c>
      <c r="J575" s="17">
        <f>CHOOSE(CONTROL!$C$42, 24.42, 24.42)* CHOOSE(CONTROL!$C$21, $C$9, 100%, $E$9)</f>
        <v>24.42</v>
      </c>
      <c r="K575" s="52">
        <f>CHOOSE(CONTROL!$C$42, 24.5062, 24.5062) * CHOOSE(CONTROL!$C$21, $C$9, 100%, $E$9)</f>
        <v>24.5062</v>
      </c>
      <c r="L575" s="17">
        <f>CHOOSE(CONTROL!$C$42, 25.1695, 25.1695) * CHOOSE(CONTROL!$C$21, $C$9, 100%, $E$9)</f>
        <v>25.169499999999999</v>
      </c>
      <c r="M575" s="17">
        <f>CHOOSE(CONTROL!$C$42, 24.2074, 24.2074) * CHOOSE(CONTROL!$C$21, $C$9, 100%, $E$9)</f>
        <v>24.2074</v>
      </c>
      <c r="N575" s="17">
        <f>CHOOSE(CONTROL!$C$42, 24.2241, 24.2241) * CHOOSE(CONTROL!$C$21, $C$9, 100%, $E$9)</f>
        <v>24.2241</v>
      </c>
      <c r="O575" s="17">
        <f>CHOOSE(CONTROL!$C$42, 24.3684, 24.3684) * CHOOSE(CONTROL!$C$21, $C$9, 100%, $E$9)</f>
        <v>24.368400000000001</v>
      </c>
      <c r="P575" s="17">
        <f>CHOOSE(CONTROL!$C$42, 24.2981, 24.2981) * CHOOSE(CONTROL!$C$21, $C$9, 100%, $E$9)</f>
        <v>24.298100000000002</v>
      </c>
      <c r="Q575" s="17">
        <f>CHOOSE(CONTROL!$C$42, 24.9631, 24.9631) * CHOOSE(CONTROL!$C$21, $C$9, 100%, $E$9)</f>
        <v>24.963100000000001</v>
      </c>
      <c r="R575" s="17">
        <f>CHOOSE(CONTROL!$C$42, 25.6125, 25.6125) * CHOOSE(CONTROL!$C$21, $C$9, 100%, $E$9)</f>
        <v>25.612500000000001</v>
      </c>
      <c r="S575" s="17">
        <f>CHOOSE(CONTROL!$C$42, 23.6648, 23.6648) * CHOOSE(CONTROL!$C$21, $C$9, 100%, $E$9)</f>
        <v>23.6648</v>
      </c>
      <c r="T575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575" s="56">
        <f>(1000*CHOOSE(CONTROL!$C$42, 695, 695)*CHOOSE(CONTROL!$C$42, 0.5599, 0.5599)*CHOOSE(CONTROL!$C$42, 30, 30))/1000000</f>
        <v>11.673914999999997</v>
      </c>
      <c r="V575" s="56">
        <f>(1000*CHOOSE(CONTROL!$C$42, 500, 500)*CHOOSE(CONTROL!$C$42, 0.275, 0.275)*CHOOSE(CONTROL!$C$42, 30, 30))/1000000</f>
        <v>4.125</v>
      </c>
      <c r="W575" s="56">
        <f>(1000*CHOOSE(CONTROL!$C$42, 0.0916, 0.0916)*CHOOSE(CONTROL!$C$42, 121.5, 121.5)*CHOOSE(CONTROL!$C$42, 30, 30))/1000000</f>
        <v>0.33388200000000001</v>
      </c>
      <c r="X575" s="56">
        <f>(30*0.2374*100000/1000000)</f>
        <v>0.71220000000000006</v>
      </c>
      <c r="Y575" s="56"/>
      <c r="Z575" s="17"/>
      <c r="AA575" s="55"/>
      <c r="AB575" s="48">
        <f>(B575*122.58+C575*297.941+D575*89.177+E575*140.302+F575*40+G575*60+H575*0+I575*100+J575*300)/(122.58+297.941+89.177+140.302+0+40+60+100+300)</f>
        <v>24.460721562608693</v>
      </c>
      <c r="AC575" s="45">
        <f>(M575*'RAP TEMPLATE-GAS AVAILABILITY'!O574+N575*'RAP TEMPLATE-GAS AVAILABILITY'!P574+O575*'RAP TEMPLATE-GAS AVAILABILITY'!Q574+P575*'RAP TEMPLATE-GAS AVAILABILITY'!R574)/('RAP TEMPLATE-GAS AVAILABILITY'!O574+'RAP TEMPLATE-GAS AVAILABILITY'!P574+'RAP TEMPLATE-GAS AVAILABILITY'!Q574+'RAP TEMPLATE-GAS AVAILABILITY'!R574)</f>
        <v>24.294382733812952</v>
      </c>
    </row>
    <row r="576" spans="1:29" ht="15.75" x14ac:dyDescent="0.25">
      <c r="A576" s="13">
        <v>58075</v>
      </c>
      <c r="B576" s="17">
        <f>CHOOSE(CONTROL!$C$42, 26.0779, 26.0779) * CHOOSE(CONTROL!$C$21, $C$9, 100%, $E$9)</f>
        <v>26.0779</v>
      </c>
      <c r="C576" s="17">
        <f>CHOOSE(CONTROL!$C$42, 26.083, 26.083) * CHOOSE(CONTROL!$C$21, $C$9, 100%, $E$9)</f>
        <v>26.082999999999998</v>
      </c>
      <c r="D576" s="17">
        <f>CHOOSE(CONTROL!$C$42, 26.2236, 26.2236) * CHOOSE(CONTROL!$C$21, $C$9, 100%, $E$9)</f>
        <v>26.223600000000001</v>
      </c>
      <c r="E576" s="17">
        <f>CHOOSE(CONTROL!$C$42, 26.2574, 26.2574) * CHOOSE(CONTROL!$C$21, $C$9, 100%, $E$9)</f>
        <v>26.257400000000001</v>
      </c>
      <c r="F576" s="17">
        <f>CHOOSE(CONTROL!$C$42, 26.0936, 26.0936)*CHOOSE(CONTROL!$C$21, $C$9, 100%, $E$9)</f>
        <v>26.093599999999999</v>
      </c>
      <c r="G576" s="17">
        <f>CHOOSE(CONTROL!$C$42, 26.1111, 26.1111)*CHOOSE(CONTROL!$C$21, $C$9, 100%, $E$9)</f>
        <v>26.1111</v>
      </c>
      <c r="H576" s="17">
        <f>CHOOSE(CONTROL!$C$42, 26.2463, 26.2463) * CHOOSE(CONTROL!$C$21, $C$9, 100%, $E$9)</f>
        <v>26.246300000000002</v>
      </c>
      <c r="I576" s="17">
        <f>CHOOSE(CONTROL!$C$42, 26.1812, 26.1812)* CHOOSE(CONTROL!$C$21, $C$9, 100%, $E$9)</f>
        <v>26.1812</v>
      </c>
      <c r="J576" s="17">
        <f>CHOOSE(CONTROL!$C$42, 26.0862, 26.0862)* CHOOSE(CONTROL!$C$21, $C$9, 100%, $E$9)</f>
        <v>26.086200000000002</v>
      </c>
      <c r="K576" s="52">
        <f>CHOOSE(CONTROL!$C$42, 26.1751, 26.1751) * CHOOSE(CONTROL!$C$21, $C$9, 100%, $E$9)</f>
        <v>26.1751</v>
      </c>
      <c r="L576" s="17">
        <f>CHOOSE(CONTROL!$C$42, 26.8333, 26.8333) * CHOOSE(CONTROL!$C$21, $C$9, 100%, $E$9)</f>
        <v>26.833300000000001</v>
      </c>
      <c r="M576" s="17">
        <f>CHOOSE(CONTROL!$C$42, 25.8586, 25.8586) * CHOOSE(CONTROL!$C$21, $C$9, 100%, $E$9)</f>
        <v>25.858599999999999</v>
      </c>
      <c r="N576" s="17">
        <f>CHOOSE(CONTROL!$C$42, 25.8759, 25.8759) * CHOOSE(CONTROL!$C$21, $C$9, 100%, $E$9)</f>
        <v>25.875900000000001</v>
      </c>
      <c r="O576" s="17">
        <f>CHOOSE(CONTROL!$C$42, 26.0172, 26.0172) * CHOOSE(CONTROL!$C$21, $C$9, 100%, $E$9)</f>
        <v>26.017199999999999</v>
      </c>
      <c r="P576" s="17">
        <f>CHOOSE(CONTROL!$C$42, 25.9521, 25.9521) * CHOOSE(CONTROL!$C$21, $C$9, 100%, $E$9)</f>
        <v>25.952100000000002</v>
      </c>
      <c r="Q576" s="17">
        <f>CHOOSE(CONTROL!$C$42, 26.6119, 26.6119) * CHOOSE(CONTROL!$C$21, $C$9, 100%, $E$9)</f>
        <v>26.611899999999999</v>
      </c>
      <c r="R576" s="17">
        <f>CHOOSE(CONTROL!$C$42, 27.2655, 27.2655) * CHOOSE(CONTROL!$C$21, $C$9, 100%, $E$9)</f>
        <v>27.265499999999999</v>
      </c>
      <c r="S576" s="17">
        <f>CHOOSE(CONTROL!$C$42, 25.2782, 25.2782) * CHOOSE(CONTROL!$C$21, $C$9, 100%, $E$9)</f>
        <v>25.278199999999998</v>
      </c>
      <c r="T576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576" s="56">
        <f>(1000*CHOOSE(CONTROL!$C$42, 695, 695)*CHOOSE(CONTROL!$C$42, 0.5599, 0.5599)*CHOOSE(CONTROL!$C$42, 31, 31))/1000000</f>
        <v>12.063045499999998</v>
      </c>
      <c r="V576" s="56">
        <f>(1000*CHOOSE(CONTROL!$C$42, 500, 500)*CHOOSE(CONTROL!$C$42, 0.275, 0.275)*CHOOSE(CONTROL!$C$42, 31, 31))/1000000</f>
        <v>4.2625000000000002</v>
      </c>
      <c r="W576" s="56">
        <f>(1000*CHOOSE(CONTROL!$C$42, 0.0916, 0.0916)*CHOOSE(CONTROL!$C$42, 121.5, 121.5)*CHOOSE(CONTROL!$C$42, 31, 31))/1000000</f>
        <v>0.34501139999999997</v>
      </c>
      <c r="X576" s="56">
        <f>(31*0.2374*100000/1000000)</f>
        <v>0.73594000000000004</v>
      </c>
      <c r="Y576" s="56"/>
      <c r="Z576" s="17"/>
      <c r="AA576" s="55"/>
      <c r="AB576" s="48">
        <f>(B576*122.58+C576*297.941+D576*89.177+E576*140.302+F576*40+G576*60+H576*0+I576*100+J576*300)/(122.58+297.941+89.177+140.302+0+40+60+100+300)</f>
        <v>26.125845040869564</v>
      </c>
      <c r="AC576" s="45">
        <f>(M576*'RAP TEMPLATE-GAS AVAILABILITY'!O575+N576*'RAP TEMPLATE-GAS AVAILABILITY'!P575+O576*'RAP TEMPLATE-GAS AVAILABILITY'!Q575+P576*'RAP TEMPLATE-GAS AVAILABILITY'!R575)/('RAP TEMPLATE-GAS AVAILABILITY'!O575+'RAP TEMPLATE-GAS AVAILABILITY'!P575+'RAP TEMPLATE-GAS AVAILABILITY'!Q575+'RAP TEMPLATE-GAS AVAILABILITY'!R575)</f>
        <v>25.94493237410072</v>
      </c>
    </row>
    <row r="577" spans="1:29" ht="15.75" x14ac:dyDescent="0.25">
      <c r="A577" s="13">
        <v>58106</v>
      </c>
      <c r="B577" s="17">
        <f>CHOOSE(CONTROL!$C$42, 28.0813, 28.0813) * CHOOSE(CONTROL!$C$21, $C$9, 100%, $E$9)</f>
        <v>28.081299999999999</v>
      </c>
      <c r="C577" s="17">
        <f>CHOOSE(CONTROL!$C$42, 28.0863, 28.0863) * CHOOSE(CONTROL!$C$21, $C$9, 100%, $E$9)</f>
        <v>28.086300000000001</v>
      </c>
      <c r="D577" s="17">
        <f>CHOOSE(CONTROL!$C$42, 28.2203, 28.2203) * CHOOSE(CONTROL!$C$21, $C$9, 100%, $E$9)</f>
        <v>28.220300000000002</v>
      </c>
      <c r="E577" s="17">
        <f>CHOOSE(CONTROL!$C$42, 28.254, 28.254) * CHOOSE(CONTROL!$C$21, $C$9, 100%, $E$9)</f>
        <v>28.254000000000001</v>
      </c>
      <c r="F577" s="17">
        <f>CHOOSE(CONTROL!$C$42, 28.0947, 28.0947)*CHOOSE(CONTROL!$C$21, $C$9, 100%, $E$9)</f>
        <v>28.0947</v>
      </c>
      <c r="G577" s="17">
        <f>CHOOSE(CONTROL!$C$42, 28.1116, 28.1116)*CHOOSE(CONTROL!$C$21, $C$9, 100%, $E$9)</f>
        <v>28.111599999999999</v>
      </c>
      <c r="H577" s="17">
        <f>CHOOSE(CONTROL!$C$42, 28.2429, 28.2429) * CHOOSE(CONTROL!$C$21, $C$9, 100%, $E$9)</f>
        <v>28.242899999999999</v>
      </c>
      <c r="I577" s="17">
        <f>CHOOSE(CONTROL!$C$42, 28.1949, 28.1949)* CHOOSE(CONTROL!$C$21, $C$9, 100%, $E$9)</f>
        <v>28.194900000000001</v>
      </c>
      <c r="J577" s="17">
        <f>CHOOSE(CONTROL!$C$42, 28.0873, 28.0873)* CHOOSE(CONTROL!$C$21, $C$9, 100%, $E$9)</f>
        <v>28.087299999999999</v>
      </c>
      <c r="K577" s="52">
        <f>CHOOSE(CONTROL!$C$42, 28.1889, 28.1889) * CHOOSE(CONTROL!$C$21, $C$9, 100%, $E$9)</f>
        <v>28.1889</v>
      </c>
      <c r="L577" s="17">
        <f>CHOOSE(CONTROL!$C$42, 28.8299, 28.8299) * CHOOSE(CONTROL!$C$21, $C$9, 100%, $E$9)</f>
        <v>28.829899999999999</v>
      </c>
      <c r="M577" s="17">
        <f>CHOOSE(CONTROL!$C$42, 27.8417, 27.8417) * CHOOSE(CONTROL!$C$21, $C$9, 100%, $E$9)</f>
        <v>27.841699999999999</v>
      </c>
      <c r="N577" s="17">
        <f>CHOOSE(CONTROL!$C$42, 27.8584, 27.8584) * CHOOSE(CONTROL!$C$21, $C$9, 100%, $E$9)</f>
        <v>27.8584</v>
      </c>
      <c r="O577" s="17">
        <f>CHOOSE(CONTROL!$C$42, 27.9959, 27.9959) * CHOOSE(CONTROL!$C$21, $C$9, 100%, $E$9)</f>
        <v>27.995899999999999</v>
      </c>
      <c r="P577" s="17">
        <f>CHOOSE(CONTROL!$C$42, 27.9476, 27.9476) * CHOOSE(CONTROL!$C$21, $C$9, 100%, $E$9)</f>
        <v>27.947600000000001</v>
      </c>
      <c r="Q577" s="17">
        <f>CHOOSE(CONTROL!$C$42, 28.5906, 28.5906) * CHOOSE(CONTROL!$C$21, $C$9, 100%, $E$9)</f>
        <v>28.590599999999998</v>
      </c>
      <c r="R577" s="17">
        <f>CHOOSE(CONTROL!$C$42, 29.2491, 29.2491) * CHOOSE(CONTROL!$C$21, $C$9, 100%, $E$9)</f>
        <v>29.249099999999999</v>
      </c>
      <c r="S577" s="17">
        <f>CHOOSE(CONTROL!$C$42, 27.2209, 27.2209) * CHOOSE(CONTROL!$C$21, $C$9, 100%, $E$9)</f>
        <v>27.2209</v>
      </c>
      <c r="T577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577" s="56">
        <f>(1000*CHOOSE(CONTROL!$C$42, 695, 695)*CHOOSE(CONTROL!$C$42, 0.5599, 0.5599)*CHOOSE(CONTROL!$C$42, 31, 31))/1000000</f>
        <v>12.063045499999998</v>
      </c>
      <c r="V577" s="56">
        <f>(1000*CHOOSE(CONTROL!$C$42, 500, 500)*CHOOSE(CONTROL!$C$42, 0.275, 0.275)*CHOOSE(CONTROL!$C$42, 31, 31))/1000000</f>
        <v>4.2625000000000002</v>
      </c>
      <c r="W577" s="56">
        <f>(1000*CHOOSE(CONTROL!$C$42, 0.0916, 0.0916)*CHOOSE(CONTROL!$C$42, 121.5, 121.5)*CHOOSE(CONTROL!$C$42, 31, 31))/1000000</f>
        <v>0.34501139999999997</v>
      </c>
      <c r="X577" s="56">
        <f>(31*0.2374*100000/1000000)</f>
        <v>0.73594000000000004</v>
      </c>
      <c r="Y577" s="56"/>
      <c r="Z577" s="17"/>
      <c r="AA577" s="55"/>
      <c r="AB577" s="48">
        <f>(B577*122.58+C577*297.941+D577*89.177+E577*140.302+F577*40+G577*60+H577*0+I577*100+J577*300)/(122.58+297.941+89.177+140.302+0+40+60+100+300)</f>
        <v>28.127934316000001</v>
      </c>
      <c r="AC577" s="45">
        <f>(M577*'RAP TEMPLATE-GAS AVAILABILITY'!O576+N577*'RAP TEMPLATE-GAS AVAILABILITY'!P576+O577*'RAP TEMPLATE-GAS AVAILABILITY'!Q576+P577*'RAP TEMPLATE-GAS AVAILABILITY'!R576)/('RAP TEMPLATE-GAS AVAILABILITY'!O576+'RAP TEMPLATE-GAS AVAILABILITY'!P576+'RAP TEMPLATE-GAS AVAILABILITY'!Q576+'RAP TEMPLATE-GAS AVAILABILITY'!R576)</f>
        <v>27.927787769784171</v>
      </c>
    </row>
    <row r="578" spans="1:29" ht="15.75" x14ac:dyDescent="0.25">
      <c r="A578" s="13">
        <v>58134</v>
      </c>
      <c r="B578" s="17">
        <f>CHOOSE(CONTROL!$C$42, 28.581, 28.581) * CHOOSE(CONTROL!$C$21, $C$9, 100%, $E$9)</f>
        <v>28.581</v>
      </c>
      <c r="C578" s="17">
        <f>CHOOSE(CONTROL!$C$42, 28.586, 28.586) * CHOOSE(CONTROL!$C$21, $C$9, 100%, $E$9)</f>
        <v>28.585999999999999</v>
      </c>
      <c r="D578" s="17">
        <f>CHOOSE(CONTROL!$C$42, 28.72, 28.72) * CHOOSE(CONTROL!$C$21, $C$9, 100%, $E$9)</f>
        <v>28.72</v>
      </c>
      <c r="E578" s="17">
        <f>CHOOSE(CONTROL!$C$42, 28.7538, 28.7538) * CHOOSE(CONTROL!$C$21, $C$9, 100%, $E$9)</f>
        <v>28.753799999999998</v>
      </c>
      <c r="F578" s="17">
        <f>CHOOSE(CONTROL!$C$42, 28.5944, 28.5944)*CHOOSE(CONTROL!$C$21, $C$9, 100%, $E$9)</f>
        <v>28.5944</v>
      </c>
      <c r="G578" s="17">
        <f>CHOOSE(CONTROL!$C$42, 28.6112, 28.6112)*CHOOSE(CONTROL!$C$21, $C$9, 100%, $E$9)</f>
        <v>28.6112</v>
      </c>
      <c r="H578" s="17">
        <f>CHOOSE(CONTROL!$C$42, 28.7426, 28.7426) * CHOOSE(CONTROL!$C$21, $C$9, 100%, $E$9)</f>
        <v>28.742599999999999</v>
      </c>
      <c r="I578" s="17">
        <f>CHOOSE(CONTROL!$C$42, 28.6961, 28.6961)* CHOOSE(CONTROL!$C$21, $C$9, 100%, $E$9)</f>
        <v>28.696100000000001</v>
      </c>
      <c r="J578" s="17">
        <f>CHOOSE(CONTROL!$C$42, 28.587, 28.587)* CHOOSE(CONTROL!$C$21, $C$9, 100%, $E$9)</f>
        <v>28.587</v>
      </c>
      <c r="K578" s="52">
        <f>CHOOSE(CONTROL!$C$42, 28.6901, 28.6901) * CHOOSE(CONTROL!$C$21, $C$9, 100%, $E$9)</f>
        <v>28.690100000000001</v>
      </c>
      <c r="L578" s="17">
        <f>CHOOSE(CONTROL!$C$42, 29.3296, 29.3296) * CHOOSE(CONTROL!$C$21, $C$9, 100%, $E$9)</f>
        <v>29.329599999999999</v>
      </c>
      <c r="M578" s="17">
        <f>CHOOSE(CONTROL!$C$42, 28.3369, 28.3369) * CHOOSE(CONTROL!$C$21, $C$9, 100%, $E$9)</f>
        <v>28.3369</v>
      </c>
      <c r="N578" s="17">
        <f>CHOOSE(CONTROL!$C$42, 28.3536, 28.3536) * CHOOSE(CONTROL!$C$21, $C$9, 100%, $E$9)</f>
        <v>28.3536</v>
      </c>
      <c r="O578" s="17">
        <f>CHOOSE(CONTROL!$C$42, 28.4911, 28.4911) * CHOOSE(CONTROL!$C$21, $C$9, 100%, $E$9)</f>
        <v>28.491099999999999</v>
      </c>
      <c r="P578" s="17">
        <f>CHOOSE(CONTROL!$C$42, 28.4443, 28.4443) * CHOOSE(CONTROL!$C$21, $C$9, 100%, $E$9)</f>
        <v>28.444299999999998</v>
      </c>
      <c r="Q578" s="17">
        <f>CHOOSE(CONTROL!$C$42, 29.0858, 29.0858) * CHOOSE(CONTROL!$C$21, $C$9, 100%, $E$9)</f>
        <v>29.085799999999999</v>
      </c>
      <c r="R578" s="17">
        <f>CHOOSE(CONTROL!$C$42, 29.7456, 29.7456) * CHOOSE(CONTROL!$C$21, $C$9, 100%, $E$9)</f>
        <v>29.7456</v>
      </c>
      <c r="S578" s="17">
        <f>CHOOSE(CONTROL!$C$42, 27.7054, 27.7054) * CHOOSE(CONTROL!$C$21, $C$9, 100%, $E$9)</f>
        <v>27.705400000000001</v>
      </c>
      <c r="T578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578" s="56">
        <f>(1000*CHOOSE(CONTROL!$C$42, 695, 695)*CHOOSE(CONTROL!$C$42, 0.5599, 0.5599)*CHOOSE(CONTROL!$C$42, 28, 28))/1000000</f>
        <v>10.895653999999999</v>
      </c>
      <c r="V578" s="56">
        <f>(1000*CHOOSE(CONTROL!$C$42, 500, 500)*CHOOSE(CONTROL!$C$42, 0.275, 0.275)*CHOOSE(CONTROL!$C$42, 28, 28))/1000000</f>
        <v>3.85</v>
      </c>
      <c r="W578" s="56">
        <f>(1000*CHOOSE(CONTROL!$C$42, 0.0916, 0.0916)*CHOOSE(CONTROL!$C$42, 121.5, 121.5)*CHOOSE(CONTROL!$C$42, 28, 28))/1000000</f>
        <v>0.31162319999999999</v>
      </c>
      <c r="X578" s="56">
        <f>(28*0.2374*100000/1000000)</f>
        <v>0.66471999999999998</v>
      </c>
      <c r="Y578" s="56"/>
      <c r="Z578" s="17"/>
      <c r="AA578" s="55"/>
      <c r="AB578" s="48">
        <f>(B578*122.58+C578*297.941+D578*89.177+E578*140.302+F578*40+G578*60+H578*0+I578*100+J578*300)/(122.58+297.941+89.177+140.302+0+40+60+100+300)</f>
        <v>28.627771733565218</v>
      </c>
      <c r="AC578" s="45">
        <f>(M578*'RAP TEMPLATE-GAS AVAILABILITY'!O577+N578*'RAP TEMPLATE-GAS AVAILABILITY'!P577+O578*'RAP TEMPLATE-GAS AVAILABILITY'!Q577+P578*'RAP TEMPLATE-GAS AVAILABILITY'!R577)/('RAP TEMPLATE-GAS AVAILABILITY'!O577+'RAP TEMPLATE-GAS AVAILABILITY'!P577+'RAP TEMPLATE-GAS AVAILABILITY'!Q577+'RAP TEMPLATE-GAS AVAILABILITY'!R577)</f>
        <v>28.423203597122299</v>
      </c>
    </row>
    <row r="579" spans="1:29" ht="15.75" x14ac:dyDescent="0.25">
      <c r="A579" s="13">
        <v>58165</v>
      </c>
      <c r="B579" s="17">
        <f>CHOOSE(CONTROL!$C$42, 27.7698, 27.7698) * CHOOSE(CONTROL!$C$21, $C$9, 100%, $E$9)</f>
        <v>27.7698</v>
      </c>
      <c r="C579" s="17">
        <f>CHOOSE(CONTROL!$C$42, 27.7749, 27.7749) * CHOOSE(CONTROL!$C$21, $C$9, 100%, $E$9)</f>
        <v>27.774899999999999</v>
      </c>
      <c r="D579" s="17">
        <f>CHOOSE(CONTROL!$C$42, 27.9089, 27.9089) * CHOOSE(CONTROL!$C$21, $C$9, 100%, $E$9)</f>
        <v>27.908899999999999</v>
      </c>
      <c r="E579" s="17">
        <f>CHOOSE(CONTROL!$C$42, 27.9426, 27.9426) * CHOOSE(CONTROL!$C$21, $C$9, 100%, $E$9)</f>
        <v>27.942599999999999</v>
      </c>
      <c r="F579" s="17">
        <f>CHOOSE(CONTROL!$C$42, 27.7825, 27.7825)*CHOOSE(CONTROL!$C$21, $C$9, 100%, $E$9)</f>
        <v>27.782499999999999</v>
      </c>
      <c r="G579" s="17">
        <f>CHOOSE(CONTROL!$C$42, 27.7991, 27.7991)*CHOOSE(CONTROL!$C$21, $C$9, 100%, $E$9)</f>
        <v>27.799099999999999</v>
      </c>
      <c r="H579" s="17">
        <f>CHOOSE(CONTROL!$C$42, 27.9315, 27.9315) * CHOOSE(CONTROL!$C$21, $C$9, 100%, $E$9)</f>
        <v>27.9315</v>
      </c>
      <c r="I579" s="17">
        <f>CHOOSE(CONTROL!$C$42, 27.8825, 27.8825)* CHOOSE(CONTROL!$C$21, $C$9, 100%, $E$9)</f>
        <v>27.8825</v>
      </c>
      <c r="J579" s="17">
        <f>CHOOSE(CONTROL!$C$42, 27.7751, 27.7751)* CHOOSE(CONTROL!$C$21, $C$9, 100%, $E$9)</f>
        <v>27.775099999999998</v>
      </c>
      <c r="K579" s="52">
        <f>CHOOSE(CONTROL!$C$42, 27.8765, 27.8765) * CHOOSE(CONTROL!$C$21, $C$9, 100%, $E$9)</f>
        <v>27.8765</v>
      </c>
      <c r="L579" s="17">
        <f>CHOOSE(CONTROL!$C$42, 28.5185, 28.5185) * CHOOSE(CONTROL!$C$21, $C$9, 100%, $E$9)</f>
        <v>28.5185</v>
      </c>
      <c r="M579" s="17">
        <f>CHOOSE(CONTROL!$C$42, 27.5323, 27.5323) * CHOOSE(CONTROL!$C$21, $C$9, 100%, $E$9)</f>
        <v>27.532299999999999</v>
      </c>
      <c r="N579" s="17">
        <f>CHOOSE(CONTROL!$C$42, 27.5488, 27.5488) * CHOOSE(CONTROL!$C$21, $C$9, 100%, $E$9)</f>
        <v>27.5488</v>
      </c>
      <c r="O579" s="17">
        <f>CHOOSE(CONTROL!$C$42, 27.6873, 27.6873) * CHOOSE(CONTROL!$C$21, $C$9, 100%, $E$9)</f>
        <v>27.6873</v>
      </c>
      <c r="P579" s="17">
        <f>CHOOSE(CONTROL!$C$42, 27.638, 27.638) * CHOOSE(CONTROL!$C$21, $C$9, 100%, $E$9)</f>
        <v>27.638000000000002</v>
      </c>
      <c r="Q579" s="17">
        <f>CHOOSE(CONTROL!$C$42, 28.282, 28.282) * CHOOSE(CONTROL!$C$21, $C$9, 100%, $E$9)</f>
        <v>28.282</v>
      </c>
      <c r="R579" s="17">
        <f>CHOOSE(CONTROL!$C$42, 28.9397, 28.9397) * CHOOSE(CONTROL!$C$21, $C$9, 100%, $E$9)</f>
        <v>28.939699999999998</v>
      </c>
      <c r="S579" s="17">
        <f>CHOOSE(CONTROL!$C$42, 26.9189, 26.9189) * CHOOSE(CONTROL!$C$21, $C$9, 100%, $E$9)</f>
        <v>26.918900000000001</v>
      </c>
      <c r="T579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579" s="56">
        <f>(1000*CHOOSE(CONTROL!$C$42, 695, 695)*CHOOSE(CONTROL!$C$42, 0.5599, 0.5599)*CHOOSE(CONTROL!$C$42, 31, 31))/1000000</f>
        <v>12.063045499999998</v>
      </c>
      <c r="V579" s="56">
        <f>(1000*CHOOSE(CONTROL!$C$42, 500, 500)*CHOOSE(CONTROL!$C$42, 0.275, 0.275)*CHOOSE(CONTROL!$C$42, 31, 31))/1000000</f>
        <v>4.2625000000000002</v>
      </c>
      <c r="W579" s="56">
        <f>(1000*CHOOSE(CONTROL!$C$42, 0.0916, 0.0916)*CHOOSE(CONTROL!$C$42, 121.5, 121.5)*CHOOSE(CONTROL!$C$42, 31, 31))/1000000</f>
        <v>0.34501139999999997</v>
      </c>
      <c r="X579" s="56">
        <f>(31*0.2374*100000/1000000)</f>
        <v>0.73594000000000004</v>
      </c>
      <c r="Y579" s="56"/>
      <c r="Z579" s="17"/>
      <c r="AA579" s="55"/>
      <c r="AB579" s="48">
        <f>(B579*122.58+C579*297.941+D579*89.177+E579*140.302+F579*40+G579*60+H579*0+I579*100+J579*300)/(122.58+297.941+89.177+140.302+0+40+60+100+300)</f>
        <v>27.816142787304347</v>
      </c>
      <c r="AC579" s="45">
        <f>(M579*'RAP TEMPLATE-GAS AVAILABILITY'!O578+N579*'RAP TEMPLATE-GAS AVAILABILITY'!P578+O579*'RAP TEMPLATE-GAS AVAILABILITY'!Q578+P579*'RAP TEMPLATE-GAS AVAILABILITY'!R578)/('RAP TEMPLATE-GAS AVAILABILITY'!O578+'RAP TEMPLATE-GAS AVAILABILITY'!P578+'RAP TEMPLATE-GAS AVAILABILITY'!Q578+'RAP TEMPLATE-GAS AVAILABILITY'!R578)</f>
        <v>27.618710071942445</v>
      </c>
    </row>
    <row r="580" spans="1:29" ht="15.75" x14ac:dyDescent="0.25">
      <c r="A580" s="13">
        <v>58195</v>
      </c>
      <c r="B580" s="17">
        <f>CHOOSE(CONTROL!$C$42, 27.6877, 27.6877) * CHOOSE(CONTROL!$C$21, $C$9, 100%, $E$9)</f>
        <v>27.6877</v>
      </c>
      <c r="C580" s="17">
        <f>CHOOSE(CONTROL!$C$42, 27.6923, 27.6923) * CHOOSE(CONTROL!$C$21, $C$9, 100%, $E$9)</f>
        <v>27.692299999999999</v>
      </c>
      <c r="D580" s="17">
        <f>CHOOSE(CONTROL!$C$42, 27.9553, 27.9553) * CHOOSE(CONTROL!$C$21, $C$9, 100%, $E$9)</f>
        <v>27.955300000000001</v>
      </c>
      <c r="E580" s="17">
        <f>CHOOSE(CONTROL!$C$42, 27.9871, 27.9871) * CHOOSE(CONTROL!$C$21, $C$9, 100%, $E$9)</f>
        <v>27.987100000000002</v>
      </c>
      <c r="F580" s="17">
        <f>CHOOSE(CONTROL!$C$42, 27.6987, 27.6987)*CHOOSE(CONTROL!$C$21, $C$9, 100%, $E$9)</f>
        <v>27.698699999999999</v>
      </c>
      <c r="G580" s="17">
        <f>CHOOSE(CONTROL!$C$42, 27.7148, 27.7148)*CHOOSE(CONTROL!$C$21, $C$9, 100%, $E$9)</f>
        <v>27.7148</v>
      </c>
      <c r="H580" s="17">
        <f>CHOOSE(CONTROL!$C$42, 27.9765, 27.9765) * CHOOSE(CONTROL!$C$21, $C$9, 100%, $E$9)</f>
        <v>27.976500000000001</v>
      </c>
      <c r="I580" s="17">
        <f>CHOOSE(CONTROL!$C$42, 27.7989, 27.7989)* CHOOSE(CONTROL!$C$21, $C$9, 100%, $E$9)</f>
        <v>27.7989</v>
      </c>
      <c r="J580" s="17">
        <f>CHOOSE(CONTROL!$C$42, 27.6913, 27.6913)* CHOOSE(CONTROL!$C$21, $C$9, 100%, $E$9)</f>
        <v>27.691299999999998</v>
      </c>
      <c r="K580" s="52">
        <f>CHOOSE(CONTROL!$C$42, 27.7928, 27.7928) * CHOOSE(CONTROL!$C$21, $C$9, 100%, $E$9)</f>
        <v>27.7928</v>
      </c>
      <c r="L580" s="17">
        <f>CHOOSE(CONTROL!$C$42, 28.5635, 28.5635) * CHOOSE(CONTROL!$C$21, $C$9, 100%, $E$9)</f>
        <v>28.563500000000001</v>
      </c>
      <c r="M580" s="17">
        <f>CHOOSE(CONTROL!$C$42, 27.4492, 27.4492) * CHOOSE(CONTROL!$C$21, $C$9, 100%, $E$9)</f>
        <v>27.449200000000001</v>
      </c>
      <c r="N580" s="17">
        <f>CHOOSE(CONTROL!$C$42, 27.4652, 27.4652) * CHOOSE(CONTROL!$C$21, $C$9, 100%, $E$9)</f>
        <v>27.465199999999999</v>
      </c>
      <c r="O580" s="17">
        <f>CHOOSE(CONTROL!$C$42, 27.7319, 27.7319) * CHOOSE(CONTROL!$C$21, $C$9, 100%, $E$9)</f>
        <v>27.7319</v>
      </c>
      <c r="P580" s="17">
        <f>CHOOSE(CONTROL!$C$42, 27.5552, 27.5552) * CHOOSE(CONTROL!$C$21, $C$9, 100%, $E$9)</f>
        <v>27.555199999999999</v>
      </c>
      <c r="Q580" s="17">
        <f>CHOOSE(CONTROL!$C$42, 28.3266, 28.3266) * CHOOSE(CONTROL!$C$21, $C$9, 100%, $E$9)</f>
        <v>28.326599999999999</v>
      </c>
      <c r="R580" s="17">
        <f>CHOOSE(CONTROL!$C$42, 28.9844, 28.9844) * CHOOSE(CONTROL!$C$21, $C$9, 100%, $E$9)</f>
        <v>28.984400000000001</v>
      </c>
      <c r="S580" s="17">
        <f>CHOOSE(CONTROL!$C$42, 26.8385, 26.8385) * CHOOSE(CONTROL!$C$21, $C$9, 100%, $E$9)</f>
        <v>26.8385</v>
      </c>
      <c r="T580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580" s="56">
        <f>(1000*CHOOSE(CONTROL!$C$42, 695, 695)*CHOOSE(CONTROL!$C$42, 0.5599, 0.5599)*CHOOSE(CONTROL!$C$42, 30, 30))/1000000</f>
        <v>11.673914999999997</v>
      </c>
      <c r="V580" s="56">
        <f>(1000*CHOOSE(CONTROL!$C$42, 500, 500)*CHOOSE(CONTROL!$C$42, 0.275, 0.275)*CHOOSE(CONTROL!$C$42, 30, 30))/1000000</f>
        <v>4.125</v>
      </c>
      <c r="W580" s="56">
        <f>(1000*CHOOSE(CONTROL!$C$42, 0.0916, 0.0916)*CHOOSE(CONTROL!$C$42, 121.5, 121.5)*CHOOSE(CONTROL!$C$42, 30, 30))/1000000</f>
        <v>0.33388200000000001</v>
      </c>
      <c r="X580" s="56">
        <f>(30*0.1790888*145000/1000000)+(30*0.2374*100000/1000000)</f>
        <v>1.4912362799999999</v>
      </c>
      <c r="Y580" s="56"/>
      <c r="Z580" s="17"/>
      <c r="AA580" s="55"/>
      <c r="AB580" s="48">
        <f>(B580*141.293+C580*267.993+D580*115.016+E580*189.698+F580*40+G580*85+H580*0+I580*100+J580*300)/(141.293+267.993+115.016+189.698+0+40+85+100+300)</f>
        <v>27.77143698999193</v>
      </c>
      <c r="AC580" s="45">
        <f>(M580*'RAP TEMPLATE-GAS AVAILABILITY'!O579+N580*'RAP TEMPLATE-GAS AVAILABILITY'!P579+O580*'RAP TEMPLATE-GAS AVAILABILITY'!Q579+P580*'RAP TEMPLATE-GAS AVAILABILITY'!R579)/('RAP TEMPLATE-GAS AVAILABILITY'!O579+'RAP TEMPLATE-GAS AVAILABILITY'!P579+'RAP TEMPLATE-GAS AVAILABILITY'!Q579+'RAP TEMPLATE-GAS AVAILABILITY'!R579)</f>
        <v>27.547453956834534</v>
      </c>
    </row>
    <row r="581" spans="1:29" ht="15.75" x14ac:dyDescent="0.25">
      <c r="A581" s="13">
        <v>58226</v>
      </c>
      <c r="B581" s="17">
        <f>CHOOSE(CONTROL!$C$42, 27.9334, 27.9334) * CHOOSE(CONTROL!$C$21, $C$9, 100%, $E$9)</f>
        <v>27.933399999999999</v>
      </c>
      <c r="C581" s="17">
        <f>CHOOSE(CONTROL!$C$42, 27.9414, 27.9414) * CHOOSE(CONTROL!$C$21, $C$9, 100%, $E$9)</f>
        <v>27.941400000000002</v>
      </c>
      <c r="D581" s="17">
        <f>CHOOSE(CONTROL!$C$42, 28.2013, 28.2013) * CHOOSE(CONTROL!$C$21, $C$9, 100%, $E$9)</f>
        <v>28.2013</v>
      </c>
      <c r="E581" s="17">
        <f>CHOOSE(CONTROL!$C$42, 28.2325, 28.2325) * CHOOSE(CONTROL!$C$21, $C$9, 100%, $E$9)</f>
        <v>28.232500000000002</v>
      </c>
      <c r="F581" s="17">
        <f>CHOOSE(CONTROL!$C$42, 27.9431, 27.9431)*CHOOSE(CONTROL!$C$21, $C$9, 100%, $E$9)</f>
        <v>27.943100000000001</v>
      </c>
      <c r="G581" s="17">
        <f>CHOOSE(CONTROL!$C$42, 27.9595, 27.9595)*CHOOSE(CONTROL!$C$21, $C$9, 100%, $E$9)</f>
        <v>27.959499999999998</v>
      </c>
      <c r="H581" s="17">
        <f>CHOOSE(CONTROL!$C$42, 28.2208, 28.2208) * CHOOSE(CONTROL!$C$21, $C$9, 100%, $E$9)</f>
        <v>28.220800000000001</v>
      </c>
      <c r="I581" s="17">
        <f>CHOOSE(CONTROL!$C$42, 28.0439, 28.0439)* CHOOSE(CONTROL!$C$21, $C$9, 100%, $E$9)</f>
        <v>28.043900000000001</v>
      </c>
      <c r="J581" s="17">
        <f>CHOOSE(CONTROL!$C$42, 27.9357, 27.9357)* CHOOSE(CONTROL!$C$21, $C$9, 100%, $E$9)</f>
        <v>27.935700000000001</v>
      </c>
      <c r="K581" s="52">
        <f>CHOOSE(CONTROL!$C$42, 28.0379, 28.0379) * CHOOSE(CONTROL!$C$21, $C$9, 100%, $E$9)</f>
        <v>28.0379</v>
      </c>
      <c r="L581" s="17">
        <f>CHOOSE(CONTROL!$C$42, 28.8078, 28.8078) * CHOOSE(CONTROL!$C$21, $C$9, 100%, $E$9)</f>
        <v>28.8078</v>
      </c>
      <c r="M581" s="17">
        <f>CHOOSE(CONTROL!$C$42, 27.6914, 27.6914) * CHOOSE(CONTROL!$C$21, $C$9, 100%, $E$9)</f>
        <v>27.691400000000002</v>
      </c>
      <c r="N581" s="17">
        <f>CHOOSE(CONTROL!$C$42, 27.7077, 27.7077) * CHOOSE(CONTROL!$C$21, $C$9, 100%, $E$9)</f>
        <v>27.707699999999999</v>
      </c>
      <c r="O581" s="17">
        <f>CHOOSE(CONTROL!$C$42, 27.974, 27.974) * CHOOSE(CONTROL!$C$21, $C$9, 100%, $E$9)</f>
        <v>27.974</v>
      </c>
      <c r="P581" s="17">
        <f>CHOOSE(CONTROL!$C$42, 27.798, 27.798) * CHOOSE(CONTROL!$C$21, $C$9, 100%, $E$9)</f>
        <v>27.797999999999998</v>
      </c>
      <c r="Q581" s="17">
        <f>CHOOSE(CONTROL!$C$42, 28.5687, 28.5687) * CHOOSE(CONTROL!$C$21, $C$9, 100%, $E$9)</f>
        <v>28.5687</v>
      </c>
      <c r="R581" s="17">
        <f>CHOOSE(CONTROL!$C$42, 29.2271, 29.2271) * CHOOSE(CONTROL!$C$21, $C$9, 100%, $E$9)</f>
        <v>29.2271</v>
      </c>
      <c r="S581" s="17">
        <f>CHOOSE(CONTROL!$C$42, 27.0754, 27.0754) * CHOOSE(CONTROL!$C$21, $C$9, 100%, $E$9)</f>
        <v>27.075399999999998</v>
      </c>
      <c r="T581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581" s="56">
        <f>(1000*CHOOSE(CONTROL!$C$42, 695, 695)*CHOOSE(CONTROL!$C$42, 0.5599, 0.5599)*CHOOSE(CONTROL!$C$42, 31, 31))/1000000</f>
        <v>12.063045499999998</v>
      </c>
      <c r="V581" s="56">
        <f>(1000*CHOOSE(CONTROL!$C$42, 500, 500)*CHOOSE(CONTROL!$C$42, 0.275, 0.275)*CHOOSE(CONTROL!$C$42, 31, 31))/1000000</f>
        <v>4.2625000000000002</v>
      </c>
      <c r="W581" s="56">
        <f>(1000*CHOOSE(CONTROL!$C$42, 0.0916, 0.0916)*CHOOSE(CONTROL!$C$42, 121.5, 121.5)*CHOOSE(CONTROL!$C$42, 31, 31))/1000000</f>
        <v>0.34501139999999997</v>
      </c>
      <c r="X581" s="56">
        <f>(31*0.1790888*145000/1000000)+(31*0.2374*100000/1000000)</f>
        <v>1.5409441560000001</v>
      </c>
      <c r="Y581" s="56"/>
      <c r="Z581" s="17"/>
      <c r="AA581" s="55"/>
      <c r="AB581" s="48">
        <f>(B581*194.205+C581*267.466+D581*133.845+E581*153.484+F581*40+G581*85+H581*0+I581*100+J581*300)/(194.205+267.466+133.845+153.484+0+40+85+100+300)</f>
        <v>28.010519598037675</v>
      </c>
      <c r="AC581" s="45">
        <f>(M581*'RAP TEMPLATE-GAS AVAILABILITY'!O580+N581*'RAP TEMPLATE-GAS AVAILABILITY'!P580+O581*'RAP TEMPLATE-GAS AVAILABILITY'!Q580+P581*'RAP TEMPLATE-GAS AVAILABILITY'!R580)/('RAP TEMPLATE-GAS AVAILABILITY'!O580+'RAP TEMPLATE-GAS AVAILABILITY'!P580+'RAP TEMPLATE-GAS AVAILABILITY'!Q580+'RAP TEMPLATE-GAS AVAILABILITY'!R580)</f>
        <v>27.78978129496403</v>
      </c>
    </row>
    <row r="582" spans="1:29" ht="15.75" x14ac:dyDescent="0.25">
      <c r="A582" s="13">
        <v>58256</v>
      </c>
      <c r="B582" s="17">
        <f>CHOOSE(CONTROL!$C$42, 28.7254, 28.7254) * CHOOSE(CONTROL!$C$21, $C$9, 100%, $E$9)</f>
        <v>28.7254</v>
      </c>
      <c r="C582" s="17">
        <f>CHOOSE(CONTROL!$C$42, 28.7334, 28.7334) * CHOOSE(CONTROL!$C$21, $C$9, 100%, $E$9)</f>
        <v>28.7334</v>
      </c>
      <c r="D582" s="17">
        <f>CHOOSE(CONTROL!$C$42, 28.9933, 28.9933) * CHOOSE(CONTROL!$C$21, $C$9, 100%, $E$9)</f>
        <v>28.993300000000001</v>
      </c>
      <c r="E582" s="17">
        <f>CHOOSE(CONTROL!$C$42, 29.0245, 29.0245) * CHOOSE(CONTROL!$C$21, $C$9, 100%, $E$9)</f>
        <v>29.0245</v>
      </c>
      <c r="F582" s="17">
        <f>CHOOSE(CONTROL!$C$42, 28.7353, 28.7353)*CHOOSE(CONTROL!$C$21, $C$9, 100%, $E$9)</f>
        <v>28.735299999999999</v>
      </c>
      <c r="G582" s="17">
        <f>CHOOSE(CONTROL!$C$42, 28.7519, 28.7519)*CHOOSE(CONTROL!$C$21, $C$9, 100%, $E$9)</f>
        <v>28.751899999999999</v>
      </c>
      <c r="H582" s="17">
        <f>CHOOSE(CONTROL!$C$42, 29.0128, 29.0128) * CHOOSE(CONTROL!$C$21, $C$9, 100%, $E$9)</f>
        <v>29.012799999999999</v>
      </c>
      <c r="I582" s="17">
        <f>CHOOSE(CONTROL!$C$42, 28.8384, 28.8384)* CHOOSE(CONTROL!$C$21, $C$9, 100%, $E$9)</f>
        <v>28.8384</v>
      </c>
      <c r="J582" s="17">
        <f>CHOOSE(CONTROL!$C$42, 28.7279, 28.7279)* CHOOSE(CONTROL!$C$21, $C$9, 100%, $E$9)</f>
        <v>28.727900000000002</v>
      </c>
      <c r="K582" s="52">
        <f>CHOOSE(CONTROL!$C$42, 28.8323, 28.8323) * CHOOSE(CONTROL!$C$21, $C$9, 100%, $E$9)</f>
        <v>28.8323</v>
      </c>
      <c r="L582" s="17">
        <f>CHOOSE(CONTROL!$C$42, 29.5998, 29.5998) * CHOOSE(CONTROL!$C$21, $C$9, 100%, $E$9)</f>
        <v>29.599799999999998</v>
      </c>
      <c r="M582" s="17">
        <f>CHOOSE(CONTROL!$C$42, 28.4766, 28.4766) * CHOOSE(CONTROL!$C$21, $C$9, 100%, $E$9)</f>
        <v>28.476600000000001</v>
      </c>
      <c r="N582" s="17">
        <f>CHOOSE(CONTROL!$C$42, 28.493, 28.493) * CHOOSE(CONTROL!$C$21, $C$9, 100%, $E$9)</f>
        <v>28.492999999999999</v>
      </c>
      <c r="O582" s="17">
        <f>CHOOSE(CONTROL!$C$42, 28.7589, 28.7589) * CHOOSE(CONTROL!$C$21, $C$9, 100%, $E$9)</f>
        <v>28.758900000000001</v>
      </c>
      <c r="P582" s="17">
        <f>CHOOSE(CONTROL!$C$42, 28.5853, 28.5853) * CHOOSE(CONTROL!$C$21, $C$9, 100%, $E$9)</f>
        <v>28.5853</v>
      </c>
      <c r="Q582" s="17">
        <f>CHOOSE(CONTROL!$C$42, 29.3536, 29.3536) * CHOOSE(CONTROL!$C$21, $C$9, 100%, $E$9)</f>
        <v>29.3536</v>
      </c>
      <c r="R582" s="17">
        <f>CHOOSE(CONTROL!$C$42, 30.014, 30.014) * CHOOSE(CONTROL!$C$21, $C$9, 100%, $E$9)</f>
        <v>30.013999999999999</v>
      </c>
      <c r="S582" s="17">
        <f>CHOOSE(CONTROL!$C$42, 27.8434, 27.8434) * CHOOSE(CONTROL!$C$21, $C$9, 100%, $E$9)</f>
        <v>27.843399999999999</v>
      </c>
      <c r="T582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582" s="56">
        <f>(1000*CHOOSE(CONTROL!$C$42, 695, 695)*CHOOSE(CONTROL!$C$42, 0.5599, 0.5599)*CHOOSE(CONTROL!$C$42, 30, 30))/1000000</f>
        <v>11.673914999999997</v>
      </c>
      <c r="V582" s="56">
        <f>(1000*CHOOSE(CONTROL!$C$42, 500, 500)*CHOOSE(CONTROL!$C$42, 0.275, 0.275)*CHOOSE(CONTROL!$C$42, 30, 30))/1000000</f>
        <v>4.125</v>
      </c>
      <c r="W582" s="56">
        <f>(1000*CHOOSE(CONTROL!$C$42, 0.0916, 0.0916)*CHOOSE(CONTROL!$C$42, 121.5, 121.5)*CHOOSE(CONTROL!$C$42, 30, 30))/1000000</f>
        <v>0.33388200000000001</v>
      </c>
      <c r="X582" s="56">
        <f>(30*0.1790888*145000/1000000)+(30*0.2374*100000/1000000)</f>
        <v>1.4912362799999999</v>
      </c>
      <c r="Y582" s="56"/>
      <c r="Z582" s="17"/>
      <c r="AA582" s="55"/>
      <c r="AB582" s="48">
        <f>(B582*194.205+C582*267.466+D582*133.845+E582*153.484+F582*40+G582*85+H582*0+I582*100+J582*300)/(194.205+267.466+133.845+153.484+0+40+85+100+300)</f>
        <v>28.802795893171112</v>
      </c>
      <c r="AC582" s="45">
        <f>(M582*'RAP TEMPLATE-GAS AVAILABILITY'!O581+N582*'RAP TEMPLATE-GAS AVAILABILITY'!P581+O582*'RAP TEMPLATE-GAS AVAILABILITY'!Q581+P582*'RAP TEMPLATE-GAS AVAILABILITY'!R581)/('RAP TEMPLATE-GAS AVAILABILITY'!O581+'RAP TEMPLATE-GAS AVAILABILITY'!P581+'RAP TEMPLATE-GAS AVAILABILITY'!Q581+'RAP TEMPLATE-GAS AVAILABILITY'!R581)</f>
        <v>28.57522230215827</v>
      </c>
    </row>
    <row r="583" spans="1:29" ht="15.75" x14ac:dyDescent="0.25">
      <c r="A583" s="13">
        <v>58287</v>
      </c>
      <c r="B583" s="17">
        <f>CHOOSE(CONTROL!$C$42, 28.1745, 28.1745) * CHOOSE(CONTROL!$C$21, $C$9, 100%, $E$9)</f>
        <v>28.174499999999998</v>
      </c>
      <c r="C583" s="17">
        <f>CHOOSE(CONTROL!$C$42, 28.1825, 28.1825) * CHOOSE(CONTROL!$C$21, $C$9, 100%, $E$9)</f>
        <v>28.182500000000001</v>
      </c>
      <c r="D583" s="17">
        <f>CHOOSE(CONTROL!$C$42, 28.4425, 28.4425) * CHOOSE(CONTROL!$C$21, $C$9, 100%, $E$9)</f>
        <v>28.442499999999999</v>
      </c>
      <c r="E583" s="17">
        <f>CHOOSE(CONTROL!$C$42, 28.4736, 28.4736) * CHOOSE(CONTROL!$C$21, $C$9, 100%, $E$9)</f>
        <v>28.473600000000001</v>
      </c>
      <c r="F583" s="17">
        <f>CHOOSE(CONTROL!$C$42, 28.1849, 28.1849)*CHOOSE(CONTROL!$C$21, $C$9, 100%, $E$9)</f>
        <v>28.184899999999999</v>
      </c>
      <c r="G583" s="17">
        <f>CHOOSE(CONTROL!$C$42, 28.2016, 28.2016)*CHOOSE(CONTROL!$C$21, $C$9, 100%, $E$9)</f>
        <v>28.201599999999999</v>
      </c>
      <c r="H583" s="17">
        <f>CHOOSE(CONTROL!$C$42, 28.462, 28.462) * CHOOSE(CONTROL!$C$21, $C$9, 100%, $E$9)</f>
        <v>28.462</v>
      </c>
      <c r="I583" s="17">
        <f>CHOOSE(CONTROL!$C$42, 28.2858, 28.2858)* CHOOSE(CONTROL!$C$21, $C$9, 100%, $E$9)</f>
        <v>28.285799999999998</v>
      </c>
      <c r="J583" s="17">
        <f>CHOOSE(CONTROL!$C$42, 28.1775, 28.1775)* CHOOSE(CONTROL!$C$21, $C$9, 100%, $E$9)</f>
        <v>28.177499999999998</v>
      </c>
      <c r="K583" s="52">
        <f>CHOOSE(CONTROL!$C$42, 28.2798, 28.2798) * CHOOSE(CONTROL!$C$21, $C$9, 100%, $E$9)</f>
        <v>28.279800000000002</v>
      </c>
      <c r="L583" s="17">
        <f>CHOOSE(CONTROL!$C$42, 29.049, 29.049) * CHOOSE(CONTROL!$C$21, $C$9, 100%, $E$9)</f>
        <v>29.048999999999999</v>
      </c>
      <c r="M583" s="17">
        <f>CHOOSE(CONTROL!$C$42, 27.9311, 27.9311) * CHOOSE(CONTROL!$C$21, $C$9, 100%, $E$9)</f>
        <v>27.931100000000001</v>
      </c>
      <c r="N583" s="17">
        <f>CHOOSE(CONTROL!$C$42, 27.9476, 27.9476) * CHOOSE(CONTROL!$C$21, $C$9, 100%, $E$9)</f>
        <v>27.947600000000001</v>
      </c>
      <c r="O583" s="17">
        <f>CHOOSE(CONTROL!$C$42, 28.213, 28.213) * CHOOSE(CONTROL!$C$21, $C$9, 100%, $E$9)</f>
        <v>28.213000000000001</v>
      </c>
      <c r="P583" s="17">
        <f>CHOOSE(CONTROL!$C$42, 28.0377, 28.0377) * CHOOSE(CONTROL!$C$21, $C$9, 100%, $E$9)</f>
        <v>28.037700000000001</v>
      </c>
      <c r="Q583" s="17">
        <f>CHOOSE(CONTROL!$C$42, 28.8077, 28.8077) * CHOOSE(CONTROL!$C$21, $C$9, 100%, $E$9)</f>
        <v>28.807700000000001</v>
      </c>
      <c r="R583" s="17">
        <f>CHOOSE(CONTROL!$C$42, 29.4667, 29.4667) * CHOOSE(CONTROL!$C$21, $C$9, 100%, $E$9)</f>
        <v>29.466699999999999</v>
      </c>
      <c r="S583" s="17">
        <f>CHOOSE(CONTROL!$C$42, 27.3093, 27.3093) * CHOOSE(CONTROL!$C$21, $C$9, 100%, $E$9)</f>
        <v>27.3093</v>
      </c>
      <c r="T583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583" s="56">
        <f>(1000*CHOOSE(CONTROL!$C$42, 695, 695)*CHOOSE(CONTROL!$C$42, 0.5599, 0.5599)*CHOOSE(CONTROL!$C$42, 31, 31))/1000000</f>
        <v>12.063045499999998</v>
      </c>
      <c r="V583" s="56">
        <f>(1000*CHOOSE(CONTROL!$C$42, 500, 500)*CHOOSE(CONTROL!$C$42, 0.275, 0.275)*CHOOSE(CONTROL!$C$42, 31, 31))/1000000</f>
        <v>4.2625000000000002</v>
      </c>
      <c r="W583" s="56">
        <f>(1000*CHOOSE(CONTROL!$C$42, 0.0916, 0.0916)*CHOOSE(CONTROL!$C$42, 121.5, 121.5)*CHOOSE(CONTROL!$C$42, 31, 31))/1000000</f>
        <v>0.34501139999999997</v>
      </c>
      <c r="X583" s="56">
        <f>(31*0.1790888*145000/1000000)+(31*0.2374*100000/1000000)</f>
        <v>1.5409441560000001</v>
      </c>
      <c r="Y583" s="56"/>
      <c r="Z583" s="17"/>
      <c r="AA583" s="55"/>
      <c r="AB583" s="48">
        <f>(B583*194.205+C583*267.466+D583*133.845+E583*153.484+F583*40+G583*85+H583*0+I583*100+J583*300)/(194.205+267.466+133.845+153.484+0+40+85+100+300)</f>
        <v>28.251946430455259</v>
      </c>
      <c r="AC583" s="45">
        <f>(M583*'RAP TEMPLATE-GAS AVAILABILITY'!O582+N583*'RAP TEMPLATE-GAS AVAILABILITY'!P582+O583*'RAP TEMPLATE-GAS AVAILABILITY'!Q582+P583*'RAP TEMPLATE-GAS AVAILABILITY'!R582)/('RAP TEMPLATE-GAS AVAILABILITY'!O582+'RAP TEMPLATE-GAS AVAILABILITY'!P582+'RAP TEMPLATE-GAS AVAILABILITY'!Q582+'RAP TEMPLATE-GAS AVAILABILITY'!R582)</f>
        <v>28.029330935251796</v>
      </c>
    </row>
    <row r="584" spans="1:29" ht="15.75" x14ac:dyDescent="0.25">
      <c r="A584" s="13">
        <v>58318</v>
      </c>
      <c r="B584" s="17">
        <f>CHOOSE(CONTROL!$C$42, 26.7835, 26.7835) * CHOOSE(CONTROL!$C$21, $C$9, 100%, $E$9)</f>
        <v>26.7835</v>
      </c>
      <c r="C584" s="17">
        <f>CHOOSE(CONTROL!$C$42, 26.7915, 26.7915) * CHOOSE(CONTROL!$C$21, $C$9, 100%, $E$9)</f>
        <v>26.791499999999999</v>
      </c>
      <c r="D584" s="17">
        <f>CHOOSE(CONTROL!$C$42, 27.0514, 27.0514) * CHOOSE(CONTROL!$C$21, $C$9, 100%, $E$9)</f>
        <v>27.051400000000001</v>
      </c>
      <c r="E584" s="17">
        <f>CHOOSE(CONTROL!$C$42, 27.0826, 27.0826) * CHOOSE(CONTROL!$C$21, $C$9, 100%, $E$9)</f>
        <v>27.082599999999999</v>
      </c>
      <c r="F584" s="17">
        <f>CHOOSE(CONTROL!$C$42, 26.7941, 26.7941)*CHOOSE(CONTROL!$C$21, $C$9, 100%, $E$9)</f>
        <v>26.7941</v>
      </c>
      <c r="G584" s="17">
        <f>CHOOSE(CONTROL!$C$42, 26.8108, 26.8108)*CHOOSE(CONTROL!$C$21, $C$9, 100%, $E$9)</f>
        <v>26.8108</v>
      </c>
      <c r="H584" s="17">
        <f>CHOOSE(CONTROL!$C$42, 27.0709, 27.0709) * CHOOSE(CONTROL!$C$21, $C$9, 100%, $E$9)</f>
        <v>27.070900000000002</v>
      </c>
      <c r="I584" s="17">
        <f>CHOOSE(CONTROL!$C$42, 26.8904, 26.8904)* CHOOSE(CONTROL!$C$21, $C$9, 100%, $E$9)</f>
        <v>26.8904</v>
      </c>
      <c r="J584" s="17">
        <f>CHOOSE(CONTROL!$C$42, 26.7867, 26.7867)* CHOOSE(CONTROL!$C$21, $C$9, 100%, $E$9)</f>
        <v>26.7867</v>
      </c>
      <c r="K584" s="52">
        <f>CHOOSE(CONTROL!$C$42, 26.8844, 26.8844) * CHOOSE(CONTROL!$C$21, $C$9, 100%, $E$9)</f>
        <v>26.884399999999999</v>
      </c>
      <c r="L584" s="17">
        <f>CHOOSE(CONTROL!$C$42, 27.6579, 27.6579) * CHOOSE(CONTROL!$C$21, $C$9, 100%, $E$9)</f>
        <v>27.657900000000001</v>
      </c>
      <c r="M584" s="17">
        <f>CHOOSE(CONTROL!$C$42, 26.5528, 26.5528) * CHOOSE(CONTROL!$C$21, $C$9, 100%, $E$9)</f>
        <v>26.552800000000001</v>
      </c>
      <c r="N584" s="17">
        <f>CHOOSE(CONTROL!$C$42, 26.5694, 26.5694) * CHOOSE(CONTROL!$C$21, $C$9, 100%, $E$9)</f>
        <v>26.569400000000002</v>
      </c>
      <c r="O584" s="17">
        <f>CHOOSE(CONTROL!$C$42, 26.8344, 26.8344) * CHOOSE(CONTROL!$C$21, $C$9, 100%, $E$9)</f>
        <v>26.834399999999999</v>
      </c>
      <c r="P584" s="17">
        <f>CHOOSE(CONTROL!$C$42, 26.6549, 26.6549) * CHOOSE(CONTROL!$C$21, $C$9, 100%, $E$9)</f>
        <v>26.654900000000001</v>
      </c>
      <c r="Q584" s="17">
        <f>CHOOSE(CONTROL!$C$42, 27.4291, 27.4291) * CHOOSE(CONTROL!$C$21, $C$9, 100%, $E$9)</f>
        <v>27.429099999999998</v>
      </c>
      <c r="R584" s="17">
        <f>CHOOSE(CONTROL!$C$42, 28.0847, 28.0847) * CHOOSE(CONTROL!$C$21, $C$9, 100%, $E$9)</f>
        <v>28.084700000000002</v>
      </c>
      <c r="S584" s="17">
        <f>CHOOSE(CONTROL!$C$42, 25.9604, 25.9604) * CHOOSE(CONTROL!$C$21, $C$9, 100%, $E$9)</f>
        <v>25.9604</v>
      </c>
      <c r="T584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584" s="56">
        <f>(1000*CHOOSE(CONTROL!$C$42, 695, 695)*CHOOSE(CONTROL!$C$42, 0.5599, 0.5599)*CHOOSE(CONTROL!$C$42, 31, 31))/1000000</f>
        <v>12.063045499999998</v>
      </c>
      <c r="V584" s="56">
        <f>(1000*CHOOSE(CONTROL!$C$42, 500, 500)*CHOOSE(CONTROL!$C$42, 0.275, 0.275)*CHOOSE(CONTROL!$C$42, 31, 31))/1000000</f>
        <v>4.2625000000000002</v>
      </c>
      <c r="W584" s="56">
        <f>(1000*CHOOSE(CONTROL!$C$42, 0.0916, 0.0916)*CHOOSE(CONTROL!$C$42, 121.5, 121.5)*CHOOSE(CONTROL!$C$42, 31, 31))/1000000</f>
        <v>0.34501139999999997</v>
      </c>
      <c r="X584" s="56">
        <f>(31*0.1790888*145000/1000000)+(31*0.2374*100000/1000000)</f>
        <v>1.5409441560000001</v>
      </c>
      <c r="Y584" s="56"/>
      <c r="Z584" s="17"/>
      <c r="AA584" s="55"/>
      <c r="AB584" s="48">
        <f>(B584*194.205+C584*267.466+D584*133.845+E584*153.484+F584*40+G584*85+H584*0+I584*100+J584*300)/(194.205+267.466+133.845+153.484+0+40+85+100+300)</f>
        <v>26.86065727464678</v>
      </c>
      <c r="AC584" s="45">
        <f>(M584*'RAP TEMPLATE-GAS AVAILABILITY'!O583+N584*'RAP TEMPLATE-GAS AVAILABILITY'!P583+O584*'RAP TEMPLATE-GAS AVAILABILITY'!Q583+P584*'RAP TEMPLATE-GAS AVAILABILITY'!R583)/('RAP TEMPLATE-GAS AVAILABILITY'!O583+'RAP TEMPLATE-GAS AVAILABILITY'!P583+'RAP TEMPLATE-GAS AVAILABILITY'!Q583+'RAP TEMPLATE-GAS AVAILABILITY'!R583)</f>
        <v>26.650322302158276</v>
      </c>
    </row>
    <row r="585" spans="1:29" ht="15.75" x14ac:dyDescent="0.25">
      <c r="A585" s="13">
        <v>58348</v>
      </c>
      <c r="B585" s="17">
        <f>CHOOSE(CONTROL!$C$42, 25.0836, 25.0836) * CHOOSE(CONTROL!$C$21, $C$9, 100%, $E$9)</f>
        <v>25.083600000000001</v>
      </c>
      <c r="C585" s="17">
        <f>CHOOSE(CONTROL!$C$42, 25.0916, 25.0916) * CHOOSE(CONTROL!$C$21, $C$9, 100%, $E$9)</f>
        <v>25.0916</v>
      </c>
      <c r="D585" s="17">
        <f>CHOOSE(CONTROL!$C$42, 25.3515, 25.3515) * CHOOSE(CONTROL!$C$21, $C$9, 100%, $E$9)</f>
        <v>25.351500000000001</v>
      </c>
      <c r="E585" s="17">
        <f>CHOOSE(CONTROL!$C$42, 25.3827, 25.3827) * CHOOSE(CONTROL!$C$21, $C$9, 100%, $E$9)</f>
        <v>25.3827</v>
      </c>
      <c r="F585" s="17">
        <f>CHOOSE(CONTROL!$C$42, 25.0942, 25.0942)*CHOOSE(CONTROL!$C$21, $C$9, 100%, $E$9)</f>
        <v>25.094200000000001</v>
      </c>
      <c r="G585" s="17">
        <f>CHOOSE(CONTROL!$C$42, 25.111, 25.111)*CHOOSE(CONTROL!$C$21, $C$9, 100%, $E$9)</f>
        <v>25.111000000000001</v>
      </c>
      <c r="H585" s="17">
        <f>CHOOSE(CONTROL!$C$42, 25.371, 25.371) * CHOOSE(CONTROL!$C$21, $C$9, 100%, $E$9)</f>
        <v>25.370999999999999</v>
      </c>
      <c r="I585" s="17">
        <f>CHOOSE(CONTROL!$C$42, 25.1853, 25.1853)* CHOOSE(CONTROL!$C$21, $C$9, 100%, $E$9)</f>
        <v>25.185300000000002</v>
      </c>
      <c r="J585" s="17">
        <f>CHOOSE(CONTROL!$C$42, 25.0868, 25.0868)* CHOOSE(CONTROL!$C$21, $C$9, 100%, $E$9)</f>
        <v>25.0868</v>
      </c>
      <c r="K585" s="52">
        <f>CHOOSE(CONTROL!$C$42, 25.1793, 25.1793) * CHOOSE(CONTROL!$C$21, $C$9, 100%, $E$9)</f>
        <v>25.179300000000001</v>
      </c>
      <c r="L585" s="17">
        <f>CHOOSE(CONTROL!$C$42, 25.958, 25.958) * CHOOSE(CONTROL!$C$21, $C$9, 100%, $E$9)</f>
        <v>25.957999999999998</v>
      </c>
      <c r="M585" s="17">
        <f>CHOOSE(CONTROL!$C$42, 24.8682, 24.8682) * CHOOSE(CONTROL!$C$21, $C$9, 100%, $E$9)</f>
        <v>24.868200000000002</v>
      </c>
      <c r="N585" s="17">
        <f>CHOOSE(CONTROL!$C$42, 24.8848, 24.8848) * CHOOSE(CONTROL!$C$21, $C$9, 100%, $E$9)</f>
        <v>24.884799999999998</v>
      </c>
      <c r="O585" s="17">
        <f>CHOOSE(CONTROL!$C$42, 25.1499, 25.1499) * CHOOSE(CONTROL!$C$21, $C$9, 100%, $E$9)</f>
        <v>25.149899999999999</v>
      </c>
      <c r="P585" s="17">
        <f>CHOOSE(CONTROL!$C$42, 24.9652, 24.9652) * CHOOSE(CONTROL!$C$21, $C$9, 100%, $E$9)</f>
        <v>24.965199999999999</v>
      </c>
      <c r="Q585" s="17">
        <f>CHOOSE(CONTROL!$C$42, 25.7446, 25.7446) * CHOOSE(CONTROL!$C$21, $C$9, 100%, $E$9)</f>
        <v>25.744599999999998</v>
      </c>
      <c r="R585" s="17">
        <f>CHOOSE(CONTROL!$C$42, 26.3959, 26.3959) * CHOOSE(CONTROL!$C$21, $C$9, 100%, $E$9)</f>
        <v>26.395900000000001</v>
      </c>
      <c r="S585" s="17">
        <f>CHOOSE(CONTROL!$C$42, 24.312, 24.312) * CHOOSE(CONTROL!$C$21, $C$9, 100%, $E$9)</f>
        <v>24.312000000000001</v>
      </c>
      <c r="T585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585" s="56">
        <f>(1000*CHOOSE(CONTROL!$C$42, 695, 695)*CHOOSE(CONTROL!$C$42, 0.5599, 0.5599)*CHOOSE(CONTROL!$C$42, 30, 30))/1000000</f>
        <v>11.673914999999997</v>
      </c>
      <c r="V585" s="56">
        <f>(1000*CHOOSE(CONTROL!$C$42, 500, 500)*CHOOSE(CONTROL!$C$42, 0.275, 0.275)*CHOOSE(CONTROL!$C$42, 30, 30))/1000000</f>
        <v>4.125</v>
      </c>
      <c r="W585" s="56">
        <f>(1000*CHOOSE(CONTROL!$C$42, 0.0916, 0.0916)*CHOOSE(CONTROL!$C$42, 121.5, 121.5)*CHOOSE(CONTROL!$C$42, 30, 30))/1000000</f>
        <v>0.33388200000000001</v>
      </c>
      <c r="X585" s="56">
        <f>(30*0.1790888*145000/1000000)+(30*0.2374*100000/1000000)</f>
        <v>1.4912362799999999</v>
      </c>
      <c r="Y585" s="56"/>
      <c r="Z585" s="17"/>
      <c r="AA585" s="55"/>
      <c r="AB585" s="48">
        <f>(B585*194.205+C585*267.466+D585*133.845+E585*153.484+F585*40+G585*85+H585*0+I585*100+J585*300)/(194.205+267.466+133.845+153.484+0+40+85+100+300)</f>
        <v>25.160355783281009</v>
      </c>
      <c r="AC585" s="45">
        <f>(M585*'RAP TEMPLATE-GAS AVAILABILITY'!O584+N585*'RAP TEMPLATE-GAS AVAILABILITY'!P584+O585*'RAP TEMPLATE-GAS AVAILABILITY'!Q584+P585*'RAP TEMPLATE-GAS AVAILABILITY'!R584)/('RAP TEMPLATE-GAS AVAILABILITY'!O584+'RAP TEMPLATE-GAS AVAILABILITY'!P584+'RAP TEMPLATE-GAS AVAILABILITY'!Q584+'RAP TEMPLATE-GAS AVAILABILITY'!R584)</f>
        <v>24.965016546762591</v>
      </c>
    </row>
    <row r="586" spans="1:29" ht="15.75" x14ac:dyDescent="0.25">
      <c r="A586" s="13">
        <v>58379</v>
      </c>
      <c r="B586" s="17">
        <f>CHOOSE(CONTROL!$C$42, 24.5728, 24.5728) * CHOOSE(CONTROL!$C$21, $C$9, 100%, $E$9)</f>
        <v>24.572800000000001</v>
      </c>
      <c r="C586" s="17">
        <f>CHOOSE(CONTROL!$C$42, 24.5782, 24.5782) * CHOOSE(CONTROL!$C$21, $C$9, 100%, $E$9)</f>
        <v>24.578199999999999</v>
      </c>
      <c r="D586" s="17">
        <f>CHOOSE(CONTROL!$C$42, 24.843, 24.843) * CHOOSE(CONTROL!$C$21, $C$9, 100%, $E$9)</f>
        <v>24.843</v>
      </c>
      <c r="E586" s="17">
        <f>CHOOSE(CONTROL!$C$42, 24.8719, 24.8719) * CHOOSE(CONTROL!$C$21, $C$9, 100%, $E$9)</f>
        <v>24.8719</v>
      </c>
      <c r="F586" s="17">
        <f>CHOOSE(CONTROL!$C$42, 24.5857, 24.5857)*CHOOSE(CONTROL!$C$21, $C$9, 100%, $E$9)</f>
        <v>24.585699999999999</v>
      </c>
      <c r="G586" s="17">
        <f>CHOOSE(CONTROL!$C$42, 24.6022, 24.6022)*CHOOSE(CONTROL!$C$21, $C$9, 100%, $E$9)</f>
        <v>24.6022</v>
      </c>
      <c r="H586" s="17">
        <f>CHOOSE(CONTROL!$C$42, 24.862, 24.862) * CHOOSE(CONTROL!$C$21, $C$9, 100%, $E$9)</f>
        <v>24.861999999999998</v>
      </c>
      <c r="I586" s="17">
        <f>CHOOSE(CONTROL!$C$42, 24.6747, 24.6747)* CHOOSE(CONTROL!$C$21, $C$9, 100%, $E$9)</f>
        <v>24.674700000000001</v>
      </c>
      <c r="J586" s="17">
        <f>CHOOSE(CONTROL!$C$42, 24.5783, 24.5783)* CHOOSE(CONTROL!$C$21, $C$9, 100%, $E$9)</f>
        <v>24.578299999999999</v>
      </c>
      <c r="K586" s="52">
        <f>CHOOSE(CONTROL!$C$42, 24.6686, 24.6686) * CHOOSE(CONTROL!$C$21, $C$9, 100%, $E$9)</f>
        <v>24.668600000000001</v>
      </c>
      <c r="L586" s="17">
        <f>CHOOSE(CONTROL!$C$42, 25.449, 25.449) * CHOOSE(CONTROL!$C$21, $C$9, 100%, $E$9)</f>
        <v>25.449000000000002</v>
      </c>
      <c r="M586" s="17">
        <f>CHOOSE(CONTROL!$C$42, 24.3642, 24.3642) * CHOOSE(CONTROL!$C$21, $C$9, 100%, $E$9)</f>
        <v>24.3642</v>
      </c>
      <c r="N586" s="17">
        <f>CHOOSE(CONTROL!$C$42, 24.3807, 24.3807) * CHOOSE(CONTROL!$C$21, $C$9, 100%, $E$9)</f>
        <v>24.380700000000001</v>
      </c>
      <c r="O586" s="17">
        <f>CHOOSE(CONTROL!$C$42, 24.6454, 24.6454) * CHOOSE(CONTROL!$C$21, $C$9, 100%, $E$9)</f>
        <v>24.645399999999999</v>
      </c>
      <c r="P586" s="17">
        <f>CHOOSE(CONTROL!$C$42, 24.4591, 24.4591) * CHOOSE(CONTROL!$C$21, $C$9, 100%, $E$9)</f>
        <v>24.459099999999999</v>
      </c>
      <c r="Q586" s="17">
        <f>CHOOSE(CONTROL!$C$42, 25.2401, 25.2401) * CHOOSE(CONTROL!$C$21, $C$9, 100%, $E$9)</f>
        <v>25.240100000000002</v>
      </c>
      <c r="R586" s="17">
        <f>CHOOSE(CONTROL!$C$42, 25.8902, 25.8902) * CHOOSE(CONTROL!$C$21, $C$9, 100%, $E$9)</f>
        <v>25.8902</v>
      </c>
      <c r="S586" s="17">
        <f>CHOOSE(CONTROL!$C$42, 23.8184, 23.8184) * CHOOSE(CONTROL!$C$21, $C$9, 100%, $E$9)</f>
        <v>23.8184</v>
      </c>
      <c r="T586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586" s="56">
        <f>(1000*CHOOSE(CONTROL!$C$42, 695, 695)*CHOOSE(CONTROL!$C$42, 0.5599, 0.5599)*CHOOSE(CONTROL!$C$42, 31, 31))/1000000</f>
        <v>12.063045499999998</v>
      </c>
      <c r="V586" s="56">
        <f>(1000*CHOOSE(CONTROL!$C$42, 500, 500)*CHOOSE(CONTROL!$C$42, 0.275, 0.275)*CHOOSE(CONTROL!$C$42, 31, 31))/1000000</f>
        <v>4.2625000000000002</v>
      </c>
      <c r="W586" s="56">
        <f>(1000*CHOOSE(CONTROL!$C$42, 0.0916, 0.0916)*CHOOSE(CONTROL!$C$42, 121.5, 121.5)*CHOOSE(CONTROL!$C$42, 31, 31))/1000000</f>
        <v>0.34501139999999997</v>
      </c>
      <c r="X586" s="56">
        <f>(31*0.1790888*145000/1000000)+(31*0.2374*100000/1000000)</f>
        <v>1.5409441560000001</v>
      </c>
      <c r="Y586" s="56"/>
      <c r="Z586" s="17"/>
      <c r="AA586" s="55"/>
      <c r="AB586" s="48">
        <f>(B586*131.881+C586*277.167+D586*79.08+E586*225.872+F586*40+G586*85+H586*0+I586*100+J586*300)/(131.881+277.167+79.08+225.872+0+40+85+100+300)</f>
        <v>24.657769679580305</v>
      </c>
      <c r="AC586" s="45">
        <f>(M586*'RAP TEMPLATE-GAS AVAILABILITY'!O585+N586*'RAP TEMPLATE-GAS AVAILABILITY'!P585+O586*'RAP TEMPLATE-GAS AVAILABILITY'!Q585+P586*'RAP TEMPLATE-GAS AVAILABILITY'!R585)/('RAP TEMPLATE-GAS AVAILABILITY'!O585+'RAP TEMPLATE-GAS AVAILABILITY'!P585+'RAP TEMPLATE-GAS AVAILABILITY'!Q585+'RAP TEMPLATE-GAS AVAILABILITY'!R585)</f>
        <v>24.460551079136689</v>
      </c>
    </row>
    <row r="587" spans="1:29" ht="15.75" x14ac:dyDescent="0.25">
      <c r="A587" s="13">
        <v>58409</v>
      </c>
      <c r="B587" s="17">
        <f>CHOOSE(CONTROL!$C$42, 25.2195, 25.2195) * CHOOSE(CONTROL!$C$21, $C$9, 100%, $E$9)</f>
        <v>25.2195</v>
      </c>
      <c r="C587" s="17">
        <f>CHOOSE(CONTROL!$C$42, 25.2246, 25.2246) * CHOOSE(CONTROL!$C$21, $C$9, 100%, $E$9)</f>
        <v>25.224599999999999</v>
      </c>
      <c r="D587" s="17">
        <f>CHOOSE(CONTROL!$C$42, 25.3653, 25.3653) * CHOOSE(CONTROL!$C$21, $C$9, 100%, $E$9)</f>
        <v>25.365300000000001</v>
      </c>
      <c r="E587" s="17">
        <f>CHOOSE(CONTROL!$C$42, 25.399, 25.399) * CHOOSE(CONTROL!$C$21, $C$9, 100%, $E$9)</f>
        <v>25.399000000000001</v>
      </c>
      <c r="F587" s="17">
        <f>CHOOSE(CONTROL!$C$42, 25.2328, 25.2328)*CHOOSE(CONTROL!$C$21, $C$9, 100%, $E$9)</f>
        <v>25.232800000000001</v>
      </c>
      <c r="G587" s="17">
        <f>CHOOSE(CONTROL!$C$42, 25.2497, 25.2497)*CHOOSE(CONTROL!$C$21, $C$9, 100%, $E$9)</f>
        <v>25.249700000000001</v>
      </c>
      <c r="H587" s="17">
        <f>CHOOSE(CONTROL!$C$42, 25.3879, 25.3879) * CHOOSE(CONTROL!$C$21, $C$9, 100%, $E$9)</f>
        <v>25.387899999999998</v>
      </c>
      <c r="I587" s="17">
        <f>CHOOSE(CONTROL!$C$42, 25.3201, 25.3201)* CHOOSE(CONTROL!$C$21, $C$9, 100%, $E$9)</f>
        <v>25.3201</v>
      </c>
      <c r="J587" s="17">
        <f>CHOOSE(CONTROL!$C$42, 25.2254, 25.2254)* CHOOSE(CONTROL!$C$21, $C$9, 100%, $E$9)</f>
        <v>25.2254</v>
      </c>
      <c r="K587" s="52">
        <f>CHOOSE(CONTROL!$C$42, 25.3141, 25.3141) * CHOOSE(CONTROL!$C$21, $C$9, 100%, $E$9)</f>
        <v>25.3141</v>
      </c>
      <c r="L587" s="17">
        <f>CHOOSE(CONTROL!$C$42, 25.9749, 25.9749) * CHOOSE(CONTROL!$C$21, $C$9, 100%, $E$9)</f>
        <v>25.974900000000002</v>
      </c>
      <c r="M587" s="17">
        <f>CHOOSE(CONTROL!$C$42, 25.0055, 25.0055) * CHOOSE(CONTROL!$C$21, $C$9, 100%, $E$9)</f>
        <v>25.005500000000001</v>
      </c>
      <c r="N587" s="17">
        <f>CHOOSE(CONTROL!$C$42, 25.0222, 25.0222) * CHOOSE(CONTROL!$C$21, $C$9, 100%, $E$9)</f>
        <v>25.022200000000002</v>
      </c>
      <c r="O587" s="17">
        <f>CHOOSE(CONTROL!$C$42, 25.1666, 25.1666) * CHOOSE(CONTROL!$C$21, $C$9, 100%, $E$9)</f>
        <v>25.166599999999999</v>
      </c>
      <c r="P587" s="17">
        <f>CHOOSE(CONTROL!$C$42, 25.0988, 25.0988) * CHOOSE(CONTROL!$C$21, $C$9, 100%, $E$9)</f>
        <v>25.098800000000001</v>
      </c>
      <c r="Q587" s="17">
        <f>CHOOSE(CONTROL!$C$42, 25.7613, 25.7613) * CHOOSE(CONTROL!$C$21, $C$9, 100%, $E$9)</f>
        <v>25.761299999999999</v>
      </c>
      <c r="R587" s="17">
        <f>CHOOSE(CONTROL!$C$42, 26.4127, 26.4127) * CHOOSE(CONTROL!$C$21, $C$9, 100%, $E$9)</f>
        <v>26.412700000000001</v>
      </c>
      <c r="S587" s="17">
        <f>CHOOSE(CONTROL!$C$42, 24.4458, 24.4458) * CHOOSE(CONTROL!$C$21, $C$9, 100%, $E$9)</f>
        <v>24.445799999999998</v>
      </c>
      <c r="T587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587" s="56">
        <f>(1000*CHOOSE(CONTROL!$C$42, 695, 695)*CHOOSE(CONTROL!$C$42, 0.5599, 0.5599)*CHOOSE(CONTROL!$C$42, 30, 30))/1000000</f>
        <v>11.673914999999997</v>
      </c>
      <c r="V587" s="56">
        <f>(1000*CHOOSE(CONTROL!$C$42, 500, 500)*CHOOSE(CONTROL!$C$42, 0.275, 0.275)*CHOOSE(CONTROL!$C$42, 30, 30))/1000000</f>
        <v>4.125</v>
      </c>
      <c r="W587" s="56">
        <f>(1000*CHOOSE(CONTROL!$C$42, 0.0916, 0.0916)*CHOOSE(CONTROL!$C$42, 121.5, 121.5)*CHOOSE(CONTROL!$C$42, 30, 30))/1000000</f>
        <v>0.33388200000000001</v>
      </c>
      <c r="X587" s="56">
        <f>(30*0.2374*100000/1000000)</f>
        <v>0.71220000000000006</v>
      </c>
      <c r="Y587" s="56"/>
      <c r="Z587" s="17"/>
      <c r="AA587" s="55"/>
      <c r="AB587" s="48">
        <f>(B587*122.58+C587*297.941+D587*89.177+E587*140.302+F587*40+G587*60+H587*0+I587*100+J587*300)/(122.58+297.941+89.177+140.302+0+40+60+100+300)</f>
        <v>25.266351925826086</v>
      </c>
      <c r="AC587" s="45">
        <f>(M587*'RAP TEMPLATE-GAS AVAILABILITY'!O586+N587*'RAP TEMPLATE-GAS AVAILABILITY'!P586+O587*'RAP TEMPLATE-GAS AVAILABILITY'!Q586+P587*'RAP TEMPLATE-GAS AVAILABILITY'!R586)/('RAP TEMPLATE-GAS AVAILABILITY'!O586+'RAP TEMPLATE-GAS AVAILABILITY'!P586+'RAP TEMPLATE-GAS AVAILABILITY'!Q586+'RAP TEMPLATE-GAS AVAILABILITY'!R586)</f>
        <v>25.092902158273379</v>
      </c>
    </row>
    <row r="588" spans="1:29" ht="15.75" x14ac:dyDescent="0.25">
      <c r="A588" s="13">
        <v>58440</v>
      </c>
      <c r="B588" s="17">
        <f>CHOOSE(CONTROL!$C$42, 26.9382, 26.9382) * CHOOSE(CONTROL!$C$21, $C$9, 100%, $E$9)</f>
        <v>26.938199999999998</v>
      </c>
      <c r="C588" s="17">
        <f>CHOOSE(CONTROL!$C$42, 26.9433, 26.9433) * CHOOSE(CONTROL!$C$21, $C$9, 100%, $E$9)</f>
        <v>26.943300000000001</v>
      </c>
      <c r="D588" s="17">
        <f>CHOOSE(CONTROL!$C$42, 27.084, 27.084) * CHOOSE(CONTROL!$C$21, $C$9, 100%, $E$9)</f>
        <v>27.084</v>
      </c>
      <c r="E588" s="17">
        <f>CHOOSE(CONTROL!$C$42, 27.1177, 27.1177) * CHOOSE(CONTROL!$C$21, $C$9, 100%, $E$9)</f>
        <v>27.117699999999999</v>
      </c>
      <c r="F588" s="17">
        <f>CHOOSE(CONTROL!$C$42, 26.954, 26.954)*CHOOSE(CONTROL!$C$21, $C$9, 100%, $E$9)</f>
        <v>26.954000000000001</v>
      </c>
      <c r="G588" s="17">
        <f>CHOOSE(CONTROL!$C$42, 26.9714, 26.9714)*CHOOSE(CONTROL!$C$21, $C$9, 100%, $E$9)</f>
        <v>26.971399999999999</v>
      </c>
      <c r="H588" s="17">
        <f>CHOOSE(CONTROL!$C$42, 27.1066, 27.1066) * CHOOSE(CONTROL!$C$21, $C$9, 100%, $E$9)</f>
        <v>27.1066</v>
      </c>
      <c r="I588" s="17">
        <f>CHOOSE(CONTROL!$C$42, 27.0442, 27.0442)* CHOOSE(CONTROL!$C$21, $C$9, 100%, $E$9)</f>
        <v>27.0442</v>
      </c>
      <c r="J588" s="17">
        <f>CHOOSE(CONTROL!$C$42, 26.9466, 26.9466)* CHOOSE(CONTROL!$C$21, $C$9, 100%, $E$9)</f>
        <v>26.9466</v>
      </c>
      <c r="K588" s="52">
        <f>CHOOSE(CONTROL!$C$42, 27.0382, 27.0382) * CHOOSE(CONTROL!$C$21, $C$9, 100%, $E$9)</f>
        <v>27.0382</v>
      </c>
      <c r="L588" s="17">
        <f>CHOOSE(CONTROL!$C$42, 27.6936, 27.6936) * CHOOSE(CONTROL!$C$21, $C$9, 100%, $E$9)</f>
        <v>27.6936</v>
      </c>
      <c r="M588" s="17">
        <f>CHOOSE(CONTROL!$C$42, 26.7112, 26.7112) * CHOOSE(CONTROL!$C$21, $C$9, 100%, $E$9)</f>
        <v>26.711200000000002</v>
      </c>
      <c r="N588" s="17">
        <f>CHOOSE(CONTROL!$C$42, 26.7285, 26.7285) * CHOOSE(CONTROL!$C$21, $C$9, 100%, $E$9)</f>
        <v>26.7285</v>
      </c>
      <c r="O588" s="17">
        <f>CHOOSE(CONTROL!$C$42, 26.8699, 26.8699) * CHOOSE(CONTROL!$C$21, $C$9, 100%, $E$9)</f>
        <v>26.869900000000001</v>
      </c>
      <c r="P588" s="17">
        <f>CHOOSE(CONTROL!$C$42, 26.8073, 26.8073) * CHOOSE(CONTROL!$C$21, $C$9, 100%, $E$9)</f>
        <v>26.807300000000001</v>
      </c>
      <c r="Q588" s="17">
        <f>CHOOSE(CONTROL!$C$42, 27.4646, 27.4646) * CHOOSE(CONTROL!$C$21, $C$9, 100%, $E$9)</f>
        <v>27.464600000000001</v>
      </c>
      <c r="R588" s="17">
        <f>CHOOSE(CONTROL!$C$42, 28.1202, 28.1202) * CHOOSE(CONTROL!$C$21, $C$9, 100%, $E$9)</f>
        <v>28.120200000000001</v>
      </c>
      <c r="S588" s="17">
        <f>CHOOSE(CONTROL!$C$42, 26.1125, 26.1125) * CHOOSE(CONTROL!$C$21, $C$9, 100%, $E$9)</f>
        <v>26.112500000000001</v>
      </c>
      <c r="T588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588" s="56">
        <f>(1000*CHOOSE(CONTROL!$C$42, 695, 695)*CHOOSE(CONTROL!$C$42, 0.5599, 0.5599)*CHOOSE(CONTROL!$C$42, 31, 31))/1000000</f>
        <v>12.063045499999998</v>
      </c>
      <c r="V588" s="56">
        <f>(1000*CHOOSE(CONTROL!$C$42, 500, 500)*CHOOSE(CONTROL!$C$42, 0.275, 0.275)*CHOOSE(CONTROL!$C$42, 31, 31))/1000000</f>
        <v>4.2625000000000002</v>
      </c>
      <c r="W588" s="56">
        <f>(1000*CHOOSE(CONTROL!$C$42, 0.0916, 0.0916)*CHOOSE(CONTROL!$C$42, 121.5, 121.5)*CHOOSE(CONTROL!$C$42, 31, 31))/1000000</f>
        <v>0.34501139999999997</v>
      </c>
      <c r="X588" s="56">
        <f>(31*0.2374*100000/1000000)</f>
        <v>0.73594000000000004</v>
      </c>
      <c r="Y588" s="56"/>
      <c r="Z588" s="17"/>
      <c r="AA588" s="55"/>
      <c r="AB588" s="48">
        <f>(B588*122.58+C588*297.941+D588*89.177+E588*140.302+F588*40+G588*60+H588*0+I588*100+J588*300)/(122.58+297.941+89.177+140.302+0+40+60+100+300)</f>
        <v>26.986417143217388</v>
      </c>
      <c r="AC588" s="45">
        <f>(M588*'RAP TEMPLATE-GAS AVAILABILITY'!O587+N588*'RAP TEMPLATE-GAS AVAILABILITY'!P587+O588*'RAP TEMPLATE-GAS AVAILABILITY'!Q587+P588*'RAP TEMPLATE-GAS AVAILABILITY'!R587)/('RAP TEMPLATE-GAS AVAILABILITY'!O587+'RAP TEMPLATE-GAS AVAILABILITY'!P587+'RAP TEMPLATE-GAS AVAILABILITY'!Q587+'RAP TEMPLATE-GAS AVAILABILITY'!R587)</f>
        <v>26.797951798561151</v>
      </c>
    </row>
    <row r="589" spans="1:29" ht="15.75" x14ac:dyDescent="0.25">
      <c r="A589" s="13">
        <v>58471</v>
      </c>
      <c r="B589" s="17">
        <f>CHOOSE(CONTROL!$C$42, 29.0077, 29.0077) * CHOOSE(CONTROL!$C$21, $C$9, 100%, $E$9)</f>
        <v>29.0077</v>
      </c>
      <c r="C589" s="17">
        <f>CHOOSE(CONTROL!$C$42, 29.0128, 29.0128) * CHOOSE(CONTROL!$C$21, $C$9, 100%, $E$9)</f>
        <v>29.012799999999999</v>
      </c>
      <c r="D589" s="17">
        <f>CHOOSE(CONTROL!$C$42, 29.1468, 29.1468) * CHOOSE(CONTROL!$C$21, $C$9, 100%, $E$9)</f>
        <v>29.146799999999999</v>
      </c>
      <c r="E589" s="17">
        <f>CHOOSE(CONTROL!$C$42, 29.1805, 29.1805) * CHOOSE(CONTROL!$C$21, $C$9, 100%, $E$9)</f>
        <v>29.180499999999999</v>
      </c>
      <c r="F589" s="17">
        <f>CHOOSE(CONTROL!$C$42, 29.0212, 29.0212)*CHOOSE(CONTROL!$C$21, $C$9, 100%, $E$9)</f>
        <v>29.0212</v>
      </c>
      <c r="G589" s="17">
        <f>CHOOSE(CONTROL!$C$42, 29.0381, 29.0381)*CHOOSE(CONTROL!$C$21, $C$9, 100%, $E$9)</f>
        <v>29.0381</v>
      </c>
      <c r="H589" s="17">
        <f>CHOOSE(CONTROL!$C$42, 29.1694, 29.1694) * CHOOSE(CONTROL!$C$21, $C$9, 100%, $E$9)</f>
        <v>29.1694</v>
      </c>
      <c r="I589" s="17">
        <f>CHOOSE(CONTROL!$C$42, 29.1242, 29.1242)* CHOOSE(CONTROL!$C$21, $C$9, 100%, $E$9)</f>
        <v>29.124199999999998</v>
      </c>
      <c r="J589" s="17">
        <f>CHOOSE(CONTROL!$C$42, 29.0138, 29.0138)* CHOOSE(CONTROL!$C$21, $C$9, 100%, $E$9)</f>
        <v>29.0138</v>
      </c>
      <c r="K589" s="52">
        <f>CHOOSE(CONTROL!$C$42, 29.1182, 29.1182) * CHOOSE(CONTROL!$C$21, $C$9, 100%, $E$9)</f>
        <v>29.118200000000002</v>
      </c>
      <c r="L589" s="17">
        <f>CHOOSE(CONTROL!$C$42, 29.7564, 29.7564) * CHOOSE(CONTROL!$C$21, $C$9, 100%, $E$9)</f>
        <v>29.756399999999999</v>
      </c>
      <c r="M589" s="17">
        <f>CHOOSE(CONTROL!$C$42, 28.7599, 28.7599) * CHOOSE(CONTROL!$C$21, $C$9, 100%, $E$9)</f>
        <v>28.759899999999998</v>
      </c>
      <c r="N589" s="17">
        <f>CHOOSE(CONTROL!$C$42, 28.7766, 28.7766) * CHOOSE(CONTROL!$C$21, $C$9, 100%, $E$9)</f>
        <v>28.776599999999998</v>
      </c>
      <c r="O589" s="17">
        <f>CHOOSE(CONTROL!$C$42, 28.9141, 28.9141) * CHOOSE(CONTROL!$C$21, $C$9, 100%, $E$9)</f>
        <v>28.914100000000001</v>
      </c>
      <c r="P589" s="17">
        <f>CHOOSE(CONTROL!$C$42, 28.8686, 28.8686) * CHOOSE(CONTROL!$C$21, $C$9, 100%, $E$9)</f>
        <v>28.868600000000001</v>
      </c>
      <c r="Q589" s="17">
        <f>CHOOSE(CONTROL!$C$42, 29.5088, 29.5088) * CHOOSE(CONTROL!$C$21, $C$9, 100%, $E$9)</f>
        <v>29.508800000000001</v>
      </c>
      <c r="R589" s="17">
        <f>CHOOSE(CONTROL!$C$42, 30.1695, 30.1695) * CHOOSE(CONTROL!$C$21, $C$9, 100%, $E$9)</f>
        <v>30.169499999999999</v>
      </c>
      <c r="S589" s="17">
        <f>CHOOSE(CONTROL!$C$42, 28.1193, 28.1193) * CHOOSE(CONTROL!$C$21, $C$9, 100%, $E$9)</f>
        <v>28.119299999999999</v>
      </c>
      <c r="T589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589" s="56">
        <f>(1000*CHOOSE(CONTROL!$C$42, 695, 695)*CHOOSE(CONTROL!$C$42, 0.5599, 0.5599)*CHOOSE(CONTROL!$C$42, 31, 31))/1000000</f>
        <v>12.063045499999998</v>
      </c>
      <c r="V589" s="56">
        <f>(1000*CHOOSE(CONTROL!$C$42, 500, 500)*CHOOSE(CONTROL!$C$42, 0.275, 0.275)*CHOOSE(CONTROL!$C$42, 31, 31))/1000000</f>
        <v>4.2625000000000002</v>
      </c>
      <c r="W589" s="56">
        <f>(1000*CHOOSE(CONTROL!$C$42, 0.0916, 0.0916)*CHOOSE(CONTROL!$C$42, 121.5, 121.5)*CHOOSE(CONTROL!$C$42, 31, 31))/1000000</f>
        <v>0.34501139999999997</v>
      </c>
      <c r="X589" s="56">
        <f>(31*0.2374*100000/1000000)</f>
        <v>0.73594000000000004</v>
      </c>
      <c r="Y589" s="56"/>
      <c r="Z589" s="17"/>
      <c r="AA589" s="55"/>
      <c r="AB589" s="48">
        <f>(B589*122.58+C589*297.941+D589*89.177+E589*140.302+F589*40+G589*60+H589*0+I589*100+J589*300)/(122.58+297.941+89.177+140.302+0+40+60+100+300)</f>
        <v>29.054667135130433</v>
      </c>
      <c r="AC589" s="45">
        <f>(M589*'RAP TEMPLATE-GAS AVAILABILITY'!O588+N589*'RAP TEMPLATE-GAS AVAILABILITY'!P588+O589*'RAP TEMPLATE-GAS AVAILABILITY'!Q588+P589*'RAP TEMPLATE-GAS AVAILABILITY'!R588)/('RAP TEMPLATE-GAS AVAILABILITY'!O588+'RAP TEMPLATE-GAS AVAILABILITY'!P588+'RAP TEMPLATE-GAS AVAILABILITY'!Q588+'RAP TEMPLATE-GAS AVAILABILITY'!R588)</f>
        <v>28.846390647482014</v>
      </c>
    </row>
    <row r="590" spans="1:29" ht="15.75" x14ac:dyDescent="0.25">
      <c r="A590" s="13">
        <v>58499</v>
      </c>
      <c r="B590" s="17">
        <f>CHOOSE(CONTROL!$C$42, 29.5239, 29.5239) * CHOOSE(CONTROL!$C$21, $C$9, 100%, $E$9)</f>
        <v>29.523900000000001</v>
      </c>
      <c r="C590" s="17">
        <f>CHOOSE(CONTROL!$C$42, 29.529, 29.529) * CHOOSE(CONTROL!$C$21, $C$9, 100%, $E$9)</f>
        <v>29.529</v>
      </c>
      <c r="D590" s="17">
        <f>CHOOSE(CONTROL!$C$42, 29.663, 29.663) * CHOOSE(CONTROL!$C$21, $C$9, 100%, $E$9)</f>
        <v>29.663</v>
      </c>
      <c r="E590" s="17">
        <f>CHOOSE(CONTROL!$C$42, 29.6967, 29.6967) * CHOOSE(CONTROL!$C$21, $C$9, 100%, $E$9)</f>
        <v>29.6967</v>
      </c>
      <c r="F590" s="17">
        <f>CHOOSE(CONTROL!$C$42, 29.5373, 29.5373)*CHOOSE(CONTROL!$C$21, $C$9, 100%, $E$9)</f>
        <v>29.537299999999998</v>
      </c>
      <c r="G590" s="17">
        <f>CHOOSE(CONTROL!$C$42, 29.5542, 29.5542)*CHOOSE(CONTROL!$C$21, $C$9, 100%, $E$9)</f>
        <v>29.554200000000002</v>
      </c>
      <c r="H590" s="17">
        <f>CHOOSE(CONTROL!$C$42, 29.6856, 29.6856) * CHOOSE(CONTROL!$C$21, $C$9, 100%, $E$9)</f>
        <v>29.685600000000001</v>
      </c>
      <c r="I590" s="17">
        <f>CHOOSE(CONTROL!$C$42, 29.642, 29.642)* CHOOSE(CONTROL!$C$21, $C$9, 100%, $E$9)</f>
        <v>29.641999999999999</v>
      </c>
      <c r="J590" s="17">
        <f>CHOOSE(CONTROL!$C$42, 29.5299, 29.5299)* CHOOSE(CONTROL!$C$21, $C$9, 100%, $E$9)</f>
        <v>29.529900000000001</v>
      </c>
      <c r="K590" s="52">
        <f>CHOOSE(CONTROL!$C$42, 29.636, 29.636) * CHOOSE(CONTROL!$C$21, $C$9, 100%, $E$9)</f>
        <v>29.635999999999999</v>
      </c>
      <c r="L590" s="17">
        <f>CHOOSE(CONTROL!$C$42, 30.2726, 30.2726) * CHOOSE(CONTROL!$C$21, $C$9, 100%, $E$9)</f>
        <v>30.272600000000001</v>
      </c>
      <c r="M590" s="17">
        <f>CHOOSE(CONTROL!$C$42, 29.2713, 29.2713) * CHOOSE(CONTROL!$C$21, $C$9, 100%, $E$9)</f>
        <v>29.2713</v>
      </c>
      <c r="N590" s="17">
        <f>CHOOSE(CONTROL!$C$42, 29.2881, 29.2881) * CHOOSE(CONTROL!$C$21, $C$9, 100%, $E$9)</f>
        <v>29.2881</v>
      </c>
      <c r="O590" s="17">
        <f>CHOOSE(CONTROL!$C$42, 29.4256, 29.4256) * CHOOSE(CONTROL!$C$21, $C$9, 100%, $E$9)</f>
        <v>29.425599999999999</v>
      </c>
      <c r="P590" s="17">
        <f>CHOOSE(CONTROL!$C$42, 29.3817, 29.3817) * CHOOSE(CONTROL!$C$21, $C$9, 100%, $E$9)</f>
        <v>29.381699999999999</v>
      </c>
      <c r="Q590" s="17">
        <f>CHOOSE(CONTROL!$C$42, 30.0203, 30.0203) * CHOOSE(CONTROL!$C$21, $C$9, 100%, $E$9)</f>
        <v>30.020299999999999</v>
      </c>
      <c r="R590" s="17">
        <f>CHOOSE(CONTROL!$C$42, 30.6824, 30.6824) * CHOOSE(CONTROL!$C$21, $C$9, 100%, $E$9)</f>
        <v>30.682400000000001</v>
      </c>
      <c r="S590" s="17">
        <f>CHOOSE(CONTROL!$C$42, 28.6198, 28.6198) * CHOOSE(CONTROL!$C$21, $C$9, 100%, $E$9)</f>
        <v>28.619800000000001</v>
      </c>
      <c r="T590" s="56">
        <f>(((255000*CHOOSE(CONTROL!$C$42, 0.4694, 0.4694)+(750000-255000)*CHOOSE(CONTROL!$C$42, 0.7185, 0.7185)+400000*CHOOSE(CONTROL!$C$42, 1.14, 1.14))*CHOOSE(CONTROL!$C$42, 29, 29))/1000000)+CHOOSE(CONTROL!$C$42, 0.2026, 0.2026)+CHOOSE(CONTROL!$C$42, 0.2576, 0.2576)</f>
        <v>27.4694805</v>
      </c>
      <c r="U590" s="56">
        <f>(1000*CHOOSE(CONTROL!$C$42, 695, 695)*CHOOSE(CONTROL!$C$42, 0.5599, 0.5599)*CHOOSE(CONTROL!$C$42, 29, 29))/1000000</f>
        <v>11.284784499999999</v>
      </c>
      <c r="V590" s="56">
        <f>(1000*CHOOSE(CONTROL!$C$42, 500, 500)*CHOOSE(CONTROL!$C$42, 0.275, 0.275)*CHOOSE(CONTROL!$C$42, 29, 29))/1000000</f>
        <v>3.9874999999999998</v>
      </c>
      <c r="W590" s="56">
        <f>(1000*CHOOSE(CONTROL!$C$42, 0.0916, 0.0916)*CHOOSE(CONTROL!$C$42, 121.5, 121.5)*CHOOSE(CONTROL!$C$42, 29, 29))/1000000</f>
        <v>0.3227526</v>
      </c>
      <c r="X590" s="56">
        <f>(29*0.2374*100000/1000000)</f>
        <v>0.68845999999999996</v>
      </c>
      <c r="Y590" s="56"/>
      <c r="Z590" s="17"/>
      <c r="AA590" s="55"/>
      <c r="AB590" s="48">
        <f>(B590*122.58+C590*297.941+D590*89.177+E590*140.302+F590*40+G590*60+H590*0+I590*100+J590*300)/(122.58+297.941+89.177+140.302+0+40+60+100+300)</f>
        <v>29.570971482956519</v>
      </c>
      <c r="AC590" s="45">
        <f>(M590*'RAP TEMPLATE-GAS AVAILABILITY'!O589+N590*'RAP TEMPLATE-GAS AVAILABILITY'!P589+O590*'RAP TEMPLATE-GAS AVAILABILITY'!Q589+P590*'RAP TEMPLATE-GAS AVAILABILITY'!R589)/('RAP TEMPLATE-GAS AVAILABILITY'!O589+'RAP TEMPLATE-GAS AVAILABILITY'!P589+'RAP TEMPLATE-GAS AVAILABILITY'!Q589+'RAP TEMPLATE-GAS AVAILABILITY'!R589)</f>
        <v>29.358086330935254</v>
      </c>
    </row>
    <row r="591" spans="1:29" ht="15.75" x14ac:dyDescent="0.25">
      <c r="A591" s="13">
        <v>58531</v>
      </c>
      <c r="B591" s="17">
        <f>CHOOSE(CONTROL!$C$42, 28.686, 28.686) * CHOOSE(CONTROL!$C$21, $C$9, 100%, $E$9)</f>
        <v>28.686</v>
      </c>
      <c r="C591" s="17">
        <f>CHOOSE(CONTROL!$C$42, 28.6911, 28.6911) * CHOOSE(CONTROL!$C$21, $C$9, 100%, $E$9)</f>
        <v>28.691099999999999</v>
      </c>
      <c r="D591" s="17">
        <f>CHOOSE(CONTROL!$C$42, 28.8251, 28.8251) * CHOOSE(CONTROL!$C$21, $C$9, 100%, $E$9)</f>
        <v>28.825099999999999</v>
      </c>
      <c r="E591" s="17">
        <f>CHOOSE(CONTROL!$C$42, 28.8588, 28.8588) * CHOOSE(CONTROL!$C$21, $C$9, 100%, $E$9)</f>
        <v>28.858799999999999</v>
      </c>
      <c r="F591" s="17">
        <f>CHOOSE(CONTROL!$C$42, 28.6987, 28.6987)*CHOOSE(CONTROL!$C$21, $C$9, 100%, $E$9)</f>
        <v>28.698699999999999</v>
      </c>
      <c r="G591" s="17">
        <f>CHOOSE(CONTROL!$C$42, 28.7153, 28.7153)*CHOOSE(CONTROL!$C$21, $C$9, 100%, $E$9)</f>
        <v>28.715299999999999</v>
      </c>
      <c r="H591" s="17">
        <f>CHOOSE(CONTROL!$C$42, 28.8477, 28.8477) * CHOOSE(CONTROL!$C$21, $C$9, 100%, $E$9)</f>
        <v>28.8477</v>
      </c>
      <c r="I591" s="17">
        <f>CHOOSE(CONTROL!$C$42, 28.8015, 28.8015)* CHOOSE(CONTROL!$C$21, $C$9, 100%, $E$9)</f>
        <v>28.801500000000001</v>
      </c>
      <c r="J591" s="17">
        <f>CHOOSE(CONTROL!$C$42, 28.6913, 28.6913)* CHOOSE(CONTROL!$C$21, $C$9, 100%, $E$9)</f>
        <v>28.691299999999998</v>
      </c>
      <c r="K591" s="52">
        <f>CHOOSE(CONTROL!$C$42, 28.7955, 28.7955) * CHOOSE(CONTROL!$C$21, $C$9, 100%, $E$9)</f>
        <v>28.795500000000001</v>
      </c>
      <c r="L591" s="17">
        <f>CHOOSE(CONTROL!$C$42, 29.4347, 29.4347) * CHOOSE(CONTROL!$C$21, $C$9, 100%, $E$9)</f>
        <v>29.434699999999999</v>
      </c>
      <c r="M591" s="17">
        <f>CHOOSE(CONTROL!$C$42, 28.4402, 28.4402) * CHOOSE(CONTROL!$C$21, $C$9, 100%, $E$9)</f>
        <v>28.440200000000001</v>
      </c>
      <c r="N591" s="17">
        <f>CHOOSE(CONTROL!$C$42, 28.4568, 28.4568) * CHOOSE(CONTROL!$C$21, $C$9, 100%, $E$9)</f>
        <v>28.456800000000001</v>
      </c>
      <c r="O591" s="17">
        <f>CHOOSE(CONTROL!$C$42, 28.5953, 28.5953) * CHOOSE(CONTROL!$C$21, $C$9, 100%, $E$9)</f>
        <v>28.595300000000002</v>
      </c>
      <c r="P591" s="17">
        <f>CHOOSE(CONTROL!$C$42, 28.5488, 28.5488) * CHOOSE(CONTROL!$C$21, $C$9, 100%, $E$9)</f>
        <v>28.5488</v>
      </c>
      <c r="Q591" s="17">
        <f>CHOOSE(CONTROL!$C$42, 29.19, 29.19) * CHOOSE(CONTROL!$C$21, $C$9, 100%, $E$9)</f>
        <v>29.19</v>
      </c>
      <c r="R591" s="17">
        <f>CHOOSE(CONTROL!$C$42, 29.8499, 29.8499) * CHOOSE(CONTROL!$C$21, $C$9, 100%, $E$9)</f>
        <v>29.849900000000002</v>
      </c>
      <c r="S591" s="17">
        <f>CHOOSE(CONTROL!$C$42, 27.8073, 27.8073) * CHOOSE(CONTROL!$C$21, $C$9, 100%, $E$9)</f>
        <v>27.807300000000001</v>
      </c>
      <c r="T591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591" s="56">
        <f>(1000*CHOOSE(CONTROL!$C$42, 695, 695)*CHOOSE(CONTROL!$C$42, 0.5599, 0.5599)*CHOOSE(CONTROL!$C$42, 31, 31))/1000000</f>
        <v>12.063045499999998</v>
      </c>
      <c r="V591" s="56">
        <f>(1000*CHOOSE(CONTROL!$C$42, 500, 500)*CHOOSE(CONTROL!$C$42, 0.275, 0.275)*CHOOSE(CONTROL!$C$42, 31, 31))/1000000</f>
        <v>4.2625000000000002</v>
      </c>
      <c r="W591" s="56">
        <f>(1000*CHOOSE(CONTROL!$C$42, 0.0916, 0.0916)*CHOOSE(CONTROL!$C$42, 121.5, 121.5)*CHOOSE(CONTROL!$C$42, 31, 31))/1000000</f>
        <v>0.34501139999999997</v>
      </c>
      <c r="X591" s="56">
        <f>(31*0.2374*100000/1000000)</f>
        <v>0.73594000000000004</v>
      </c>
      <c r="Y591" s="56"/>
      <c r="Z591" s="17"/>
      <c r="AA591" s="55"/>
      <c r="AB591" s="48">
        <f>(B591*122.58+C591*297.941+D591*89.177+E591*140.302+F591*40+G591*60+H591*0+I591*100+J591*300)/(122.58+297.941+89.177+140.302+0+40+60+100+300)</f>
        <v>28.732586265565217</v>
      </c>
      <c r="AC591" s="45">
        <f>(M591*'RAP TEMPLATE-GAS AVAILABILITY'!O590+N591*'RAP TEMPLATE-GAS AVAILABILITY'!P590+O591*'RAP TEMPLATE-GAS AVAILABILITY'!Q590+P591*'RAP TEMPLATE-GAS AVAILABILITY'!R590)/('RAP TEMPLATE-GAS AVAILABILITY'!O590+'RAP TEMPLATE-GAS AVAILABILITY'!P590+'RAP TEMPLATE-GAS AVAILABILITY'!Q590+'RAP TEMPLATE-GAS AVAILABILITY'!R590)</f>
        <v>28.527078417266189</v>
      </c>
    </row>
    <row r="592" spans="1:29" ht="15.75" x14ac:dyDescent="0.25">
      <c r="A592" s="13">
        <v>58561</v>
      </c>
      <c r="B592" s="17">
        <f>CHOOSE(CONTROL!$C$42, 28.6012, 28.6012) * CHOOSE(CONTROL!$C$21, $C$9, 100%, $E$9)</f>
        <v>28.601199999999999</v>
      </c>
      <c r="C592" s="17">
        <f>CHOOSE(CONTROL!$C$42, 28.6057, 28.6057) * CHOOSE(CONTROL!$C$21, $C$9, 100%, $E$9)</f>
        <v>28.605699999999999</v>
      </c>
      <c r="D592" s="17">
        <f>CHOOSE(CONTROL!$C$42, 28.8687, 28.8687) * CHOOSE(CONTROL!$C$21, $C$9, 100%, $E$9)</f>
        <v>28.8687</v>
      </c>
      <c r="E592" s="17">
        <f>CHOOSE(CONTROL!$C$42, 28.9005, 28.9005) * CHOOSE(CONTROL!$C$21, $C$9, 100%, $E$9)</f>
        <v>28.900500000000001</v>
      </c>
      <c r="F592" s="17">
        <f>CHOOSE(CONTROL!$C$42, 28.6121, 28.6121)*CHOOSE(CONTROL!$C$21, $C$9, 100%, $E$9)</f>
        <v>28.612100000000002</v>
      </c>
      <c r="G592" s="17">
        <f>CHOOSE(CONTROL!$C$42, 28.6283, 28.6283)*CHOOSE(CONTROL!$C$21, $C$9, 100%, $E$9)</f>
        <v>28.628299999999999</v>
      </c>
      <c r="H592" s="17">
        <f>CHOOSE(CONTROL!$C$42, 28.89, 28.89) * CHOOSE(CONTROL!$C$21, $C$9, 100%, $E$9)</f>
        <v>28.89</v>
      </c>
      <c r="I592" s="17">
        <f>CHOOSE(CONTROL!$C$42, 28.7152, 28.7152)* CHOOSE(CONTROL!$C$21, $C$9, 100%, $E$9)</f>
        <v>28.715199999999999</v>
      </c>
      <c r="J592" s="17">
        <f>CHOOSE(CONTROL!$C$42, 28.6047, 28.6047)* CHOOSE(CONTROL!$C$21, $C$9, 100%, $E$9)</f>
        <v>28.604700000000001</v>
      </c>
      <c r="K592" s="52">
        <f>CHOOSE(CONTROL!$C$42, 28.7091, 28.7091) * CHOOSE(CONTROL!$C$21, $C$9, 100%, $E$9)</f>
        <v>28.709099999999999</v>
      </c>
      <c r="L592" s="17">
        <f>CHOOSE(CONTROL!$C$42, 29.477, 29.477) * CHOOSE(CONTROL!$C$21, $C$9, 100%, $E$9)</f>
        <v>29.477</v>
      </c>
      <c r="M592" s="17">
        <f>CHOOSE(CONTROL!$C$42, 28.3545, 28.3545) * CHOOSE(CONTROL!$C$21, $C$9, 100%, $E$9)</f>
        <v>28.354500000000002</v>
      </c>
      <c r="N592" s="17">
        <f>CHOOSE(CONTROL!$C$42, 28.3705, 28.3705) * CHOOSE(CONTROL!$C$21, $C$9, 100%, $E$9)</f>
        <v>28.3705</v>
      </c>
      <c r="O592" s="17">
        <f>CHOOSE(CONTROL!$C$42, 28.6372, 28.6372) * CHOOSE(CONTROL!$C$21, $C$9, 100%, $E$9)</f>
        <v>28.6372</v>
      </c>
      <c r="P592" s="17">
        <f>CHOOSE(CONTROL!$C$42, 28.4632, 28.4632) * CHOOSE(CONTROL!$C$21, $C$9, 100%, $E$9)</f>
        <v>28.463200000000001</v>
      </c>
      <c r="Q592" s="17">
        <f>CHOOSE(CONTROL!$C$42, 29.2319, 29.2319) * CHOOSE(CONTROL!$C$21, $C$9, 100%, $E$9)</f>
        <v>29.2319</v>
      </c>
      <c r="R592" s="17">
        <f>CHOOSE(CONTROL!$C$42, 29.8919, 29.8919) * CHOOSE(CONTROL!$C$21, $C$9, 100%, $E$9)</f>
        <v>29.8919</v>
      </c>
      <c r="S592" s="17">
        <f>CHOOSE(CONTROL!$C$42, 27.7243, 27.7243) * CHOOSE(CONTROL!$C$21, $C$9, 100%, $E$9)</f>
        <v>27.724299999999999</v>
      </c>
      <c r="T592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592" s="56">
        <f>(1000*CHOOSE(CONTROL!$C$42, 695, 695)*CHOOSE(CONTROL!$C$42, 0.5599, 0.5599)*CHOOSE(CONTROL!$C$42, 30, 30))/1000000</f>
        <v>11.673914999999997</v>
      </c>
      <c r="V592" s="56">
        <f>(1000*CHOOSE(CONTROL!$C$42, 500, 500)*CHOOSE(CONTROL!$C$42, 0.275, 0.275)*CHOOSE(CONTROL!$C$42, 30, 30))/1000000</f>
        <v>4.125</v>
      </c>
      <c r="W592" s="56">
        <f>(1000*CHOOSE(CONTROL!$C$42, 0.0916, 0.0916)*CHOOSE(CONTROL!$C$42, 121.5, 121.5)*CHOOSE(CONTROL!$C$42, 30, 30))/1000000</f>
        <v>0.33388200000000001</v>
      </c>
      <c r="X592" s="56">
        <f>(30*0.1790888*145000/1000000)+(30*0.2374*100000/1000000)</f>
        <v>1.4912362799999999</v>
      </c>
      <c r="Y592" s="56"/>
      <c r="Z592" s="17"/>
      <c r="AA592" s="55"/>
      <c r="AB592" s="48">
        <f>(B592*141.293+C592*267.993+D592*115.016+E592*189.698+F592*40+G592*85+H592*0+I592*100+J592*300)/(141.293+267.993+115.016+189.698+0+40+85+100+300)</f>
        <v>28.685089313882163</v>
      </c>
      <c r="AC592" s="45">
        <f>(M592*'RAP TEMPLATE-GAS AVAILABILITY'!O591+N592*'RAP TEMPLATE-GAS AVAILABILITY'!P591+O592*'RAP TEMPLATE-GAS AVAILABILITY'!Q591+P592*'RAP TEMPLATE-GAS AVAILABILITY'!R591)/('RAP TEMPLATE-GAS AVAILABILITY'!O591+'RAP TEMPLATE-GAS AVAILABILITY'!P591+'RAP TEMPLATE-GAS AVAILABILITY'!Q591+'RAP TEMPLATE-GAS AVAILABILITY'!R591)</f>
        <v>28.453142446043167</v>
      </c>
    </row>
    <row r="593" spans="1:29" ht="15.75" x14ac:dyDescent="0.25">
      <c r="A593" s="13">
        <v>58592</v>
      </c>
      <c r="B593" s="17">
        <f>CHOOSE(CONTROL!$C$42, 28.8549, 28.8549) * CHOOSE(CONTROL!$C$21, $C$9, 100%, $E$9)</f>
        <v>28.854900000000001</v>
      </c>
      <c r="C593" s="17">
        <f>CHOOSE(CONTROL!$C$42, 28.8629, 28.8629) * CHOOSE(CONTROL!$C$21, $C$9, 100%, $E$9)</f>
        <v>28.8629</v>
      </c>
      <c r="D593" s="17">
        <f>CHOOSE(CONTROL!$C$42, 29.1228, 29.1228) * CHOOSE(CONTROL!$C$21, $C$9, 100%, $E$9)</f>
        <v>29.122800000000002</v>
      </c>
      <c r="E593" s="17">
        <f>CHOOSE(CONTROL!$C$42, 29.154, 29.154) * CHOOSE(CONTROL!$C$21, $C$9, 100%, $E$9)</f>
        <v>29.154</v>
      </c>
      <c r="F593" s="17">
        <f>CHOOSE(CONTROL!$C$42, 28.8646, 28.8646)*CHOOSE(CONTROL!$C$21, $C$9, 100%, $E$9)</f>
        <v>28.864599999999999</v>
      </c>
      <c r="G593" s="17">
        <f>CHOOSE(CONTROL!$C$42, 28.881, 28.881)*CHOOSE(CONTROL!$C$21, $C$9, 100%, $E$9)</f>
        <v>28.881</v>
      </c>
      <c r="H593" s="17">
        <f>CHOOSE(CONTROL!$C$42, 29.1423, 29.1423) * CHOOSE(CONTROL!$C$21, $C$9, 100%, $E$9)</f>
        <v>29.142299999999999</v>
      </c>
      <c r="I593" s="17">
        <f>CHOOSE(CONTROL!$C$42, 28.9683, 28.9683)* CHOOSE(CONTROL!$C$21, $C$9, 100%, $E$9)</f>
        <v>28.968299999999999</v>
      </c>
      <c r="J593" s="17">
        <f>CHOOSE(CONTROL!$C$42, 28.8572, 28.8572)* CHOOSE(CONTROL!$C$21, $C$9, 100%, $E$9)</f>
        <v>28.857199999999999</v>
      </c>
      <c r="K593" s="52">
        <f>CHOOSE(CONTROL!$C$42, 28.9622, 28.9622) * CHOOSE(CONTROL!$C$21, $C$9, 100%, $E$9)</f>
        <v>28.962199999999999</v>
      </c>
      <c r="L593" s="17">
        <f>CHOOSE(CONTROL!$C$42, 29.7293, 29.7293) * CHOOSE(CONTROL!$C$21, $C$9, 100%, $E$9)</f>
        <v>29.729299999999999</v>
      </c>
      <c r="M593" s="17">
        <f>CHOOSE(CONTROL!$C$42, 28.6046, 28.6046) * CHOOSE(CONTROL!$C$21, $C$9, 100%, $E$9)</f>
        <v>28.604600000000001</v>
      </c>
      <c r="N593" s="17">
        <f>CHOOSE(CONTROL!$C$42, 28.621, 28.621) * CHOOSE(CONTROL!$C$21, $C$9, 100%, $E$9)</f>
        <v>28.620999999999999</v>
      </c>
      <c r="O593" s="17">
        <f>CHOOSE(CONTROL!$C$42, 28.8872, 28.8872) * CHOOSE(CONTROL!$C$21, $C$9, 100%, $E$9)</f>
        <v>28.8872</v>
      </c>
      <c r="P593" s="17">
        <f>CHOOSE(CONTROL!$C$42, 28.714, 28.714) * CHOOSE(CONTROL!$C$21, $C$9, 100%, $E$9)</f>
        <v>28.713999999999999</v>
      </c>
      <c r="Q593" s="17">
        <f>CHOOSE(CONTROL!$C$42, 29.4819, 29.4819) * CHOOSE(CONTROL!$C$21, $C$9, 100%, $E$9)</f>
        <v>29.4819</v>
      </c>
      <c r="R593" s="17">
        <f>CHOOSE(CONTROL!$C$42, 30.1426, 30.1426) * CHOOSE(CONTROL!$C$21, $C$9, 100%, $E$9)</f>
        <v>30.142600000000002</v>
      </c>
      <c r="S593" s="17">
        <f>CHOOSE(CONTROL!$C$42, 27.969, 27.969) * CHOOSE(CONTROL!$C$21, $C$9, 100%, $E$9)</f>
        <v>27.969000000000001</v>
      </c>
      <c r="T593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593" s="56">
        <f>(1000*CHOOSE(CONTROL!$C$42, 695, 695)*CHOOSE(CONTROL!$C$42, 0.5599, 0.5599)*CHOOSE(CONTROL!$C$42, 31, 31))/1000000</f>
        <v>12.063045499999998</v>
      </c>
      <c r="V593" s="56">
        <f>(1000*CHOOSE(CONTROL!$C$42, 500, 500)*CHOOSE(CONTROL!$C$42, 0.275, 0.275)*CHOOSE(CONTROL!$C$42, 31, 31))/1000000</f>
        <v>4.2625000000000002</v>
      </c>
      <c r="W593" s="56">
        <f>(1000*CHOOSE(CONTROL!$C$42, 0.0916, 0.0916)*CHOOSE(CONTROL!$C$42, 121.5, 121.5)*CHOOSE(CONTROL!$C$42, 31, 31))/1000000</f>
        <v>0.34501139999999997</v>
      </c>
      <c r="X593" s="56">
        <f>(31*0.1790888*145000/1000000)+(31*0.2374*100000/1000000)</f>
        <v>1.5409441560000001</v>
      </c>
      <c r="Y593" s="56"/>
      <c r="Z593" s="17"/>
      <c r="AA593" s="55"/>
      <c r="AB593" s="48">
        <f>(B593*194.205+C593*267.466+D593*133.845+E593*153.484+F593*40+G593*85+H593*0+I593*100+J593*300)/(194.205+267.466+133.845+153.484+0+40+85+100+300)</f>
        <v>28.932247227551017</v>
      </c>
      <c r="AC593" s="45">
        <f>(M593*'RAP TEMPLATE-GAS AVAILABILITY'!O592+N593*'RAP TEMPLATE-GAS AVAILABILITY'!P592+O593*'RAP TEMPLATE-GAS AVAILABILITY'!Q592+P593*'RAP TEMPLATE-GAS AVAILABILITY'!R592)/('RAP TEMPLATE-GAS AVAILABILITY'!O592+'RAP TEMPLATE-GAS AVAILABILITY'!P592+'RAP TEMPLATE-GAS AVAILABILITY'!Q592+'RAP TEMPLATE-GAS AVAILABILITY'!R592)</f>
        <v>28.703407194244608</v>
      </c>
    </row>
    <row r="594" spans="1:29" ht="15.75" x14ac:dyDescent="0.25">
      <c r="A594" s="13">
        <v>58622</v>
      </c>
      <c r="B594" s="17">
        <f>CHOOSE(CONTROL!$C$42, 29.673, 29.673) * CHOOSE(CONTROL!$C$21, $C$9, 100%, $E$9)</f>
        <v>29.672999999999998</v>
      </c>
      <c r="C594" s="17">
        <f>CHOOSE(CONTROL!$C$42, 29.681, 29.681) * CHOOSE(CONTROL!$C$21, $C$9, 100%, $E$9)</f>
        <v>29.681000000000001</v>
      </c>
      <c r="D594" s="17">
        <f>CHOOSE(CONTROL!$C$42, 29.941, 29.941) * CHOOSE(CONTROL!$C$21, $C$9, 100%, $E$9)</f>
        <v>29.940999999999999</v>
      </c>
      <c r="E594" s="17">
        <f>CHOOSE(CONTROL!$C$42, 29.9721, 29.9721) * CHOOSE(CONTROL!$C$21, $C$9, 100%, $E$9)</f>
        <v>29.972100000000001</v>
      </c>
      <c r="F594" s="17">
        <f>CHOOSE(CONTROL!$C$42, 29.683, 29.683)*CHOOSE(CONTROL!$C$21, $C$9, 100%, $E$9)</f>
        <v>29.683</v>
      </c>
      <c r="G594" s="17">
        <f>CHOOSE(CONTROL!$C$42, 29.6995, 29.6995)*CHOOSE(CONTROL!$C$21, $C$9, 100%, $E$9)</f>
        <v>29.6995</v>
      </c>
      <c r="H594" s="17">
        <f>CHOOSE(CONTROL!$C$42, 29.9605, 29.9605) * CHOOSE(CONTROL!$C$21, $C$9, 100%, $E$9)</f>
        <v>29.9605</v>
      </c>
      <c r="I594" s="17">
        <f>CHOOSE(CONTROL!$C$42, 29.789, 29.789)* CHOOSE(CONTROL!$C$21, $C$9, 100%, $E$9)</f>
        <v>29.789000000000001</v>
      </c>
      <c r="J594" s="17">
        <f>CHOOSE(CONTROL!$C$42, 29.6756, 29.6756)* CHOOSE(CONTROL!$C$21, $C$9, 100%, $E$9)</f>
        <v>29.675599999999999</v>
      </c>
      <c r="K594" s="52">
        <f>CHOOSE(CONTROL!$C$42, 29.7829, 29.7829) * CHOOSE(CONTROL!$C$21, $C$9, 100%, $E$9)</f>
        <v>29.782900000000001</v>
      </c>
      <c r="L594" s="17">
        <f>CHOOSE(CONTROL!$C$42, 30.5475, 30.5475) * CHOOSE(CONTROL!$C$21, $C$9, 100%, $E$9)</f>
        <v>30.547499999999999</v>
      </c>
      <c r="M594" s="17">
        <f>CHOOSE(CONTROL!$C$42, 29.4157, 29.4157) * CHOOSE(CONTROL!$C$21, $C$9, 100%, $E$9)</f>
        <v>29.415700000000001</v>
      </c>
      <c r="N594" s="17">
        <f>CHOOSE(CONTROL!$C$42, 29.4321, 29.4321) * CHOOSE(CONTROL!$C$21, $C$9, 100%, $E$9)</f>
        <v>29.432099999999998</v>
      </c>
      <c r="O594" s="17">
        <f>CHOOSE(CONTROL!$C$42, 29.698, 29.698) * CHOOSE(CONTROL!$C$21, $C$9, 100%, $E$9)</f>
        <v>29.698</v>
      </c>
      <c r="P594" s="17">
        <f>CHOOSE(CONTROL!$C$42, 29.5273, 29.5273) * CHOOSE(CONTROL!$C$21, $C$9, 100%, $E$9)</f>
        <v>29.5273</v>
      </c>
      <c r="Q594" s="17">
        <f>CHOOSE(CONTROL!$C$42, 30.2927, 30.2927) * CHOOSE(CONTROL!$C$21, $C$9, 100%, $E$9)</f>
        <v>30.2927</v>
      </c>
      <c r="R594" s="17">
        <f>CHOOSE(CONTROL!$C$42, 30.9554, 30.9554) * CHOOSE(CONTROL!$C$21, $C$9, 100%, $E$9)</f>
        <v>30.955400000000001</v>
      </c>
      <c r="S594" s="17">
        <f>CHOOSE(CONTROL!$C$42, 28.7624, 28.7624) * CHOOSE(CONTROL!$C$21, $C$9, 100%, $E$9)</f>
        <v>28.7624</v>
      </c>
      <c r="T594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594" s="56">
        <f>(1000*CHOOSE(CONTROL!$C$42, 695, 695)*CHOOSE(CONTROL!$C$42, 0.5599, 0.5599)*CHOOSE(CONTROL!$C$42, 30, 30))/1000000</f>
        <v>11.673914999999997</v>
      </c>
      <c r="V594" s="56">
        <f>(1000*CHOOSE(CONTROL!$C$42, 500, 500)*CHOOSE(CONTROL!$C$42, 0.275, 0.275)*CHOOSE(CONTROL!$C$42, 30, 30))/1000000</f>
        <v>4.125</v>
      </c>
      <c r="W594" s="56">
        <f>(1000*CHOOSE(CONTROL!$C$42, 0.0916, 0.0916)*CHOOSE(CONTROL!$C$42, 121.5, 121.5)*CHOOSE(CONTROL!$C$42, 30, 30))/1000000</f>
        <v>0.33388200000000001</v>
      </c>
      <c r="X594" s="56">
        <f>(30*0.1790888*145000/1000000)+(30*0.2374*100000/1000000)</f>
        <v>1.4912362799999999</v>
      </c>
      <c r="Y594" s="56"/>
      <c r="Z594" s="17"/>
      <c r="AA594" s="55"/>
      <c r="AB594" s="48">
        <f>(B594*194.205+C594*267.466+D594*133.845+E594*153.484+F594*40+G594*85+H594*0+I594*100+J594*300)/(194.205+267.466+133.845+153.484+0+40+85+100+300)</f>
        <v>29.750668565463112</v>
      </c>
      <c r="AC594" s="45">
        <f>(M594*'RAP TEMPLATE-GAS AVAILABILITY'!O593+N594*'RAP TEMPLATE-GAS AVAILABILITY'!P593+O594*'RAP TEMPLATE-GAS AVAILABILITY'!Q593+P594*'RAP TEMPLATE-GAS AVAILABILITY'!R593)/('RAP TEMPLATE-GAS AVAILABILITY'!O593+'RAP TEMPLATE-GAS AVAILABILITY'!P593+'RAP TEMPLATE-GAS AVAILABILITY'!Q593+'RAP TEMPLATE-GAS AVAILABILITY'!R593)</f>
        <v>29.514739568345323</v>
      </c>
    </row>
    <row r="595" spans="1:29" ht="15.75" x14ac:dyDescent="0.25">
      <c r="A595" s="13">
        <v>58653</v>
      </c>
      <c r="B595" s="17">
        <f>CHOOSE(CONTROL!$C$42, 29.104, 29.104) * CHOOSE(CONTROL!$C$21, $C$9, 100%, $E$9)</f>
        <v>29.103999999999999</v>
      </c>
      <c r="C595" s="17">
        <f>CHOOSE(CONTROL!$C$42, 29.112, 29.112) * CHOOSE(CONTROL!$C$21, $C$9, 100%, $E$9)</f>
        <v>29.111999999999998</v>
      </c>
      <c r="D595" s="17">
        <f>CHOOSE(CONTROL!$C$42, 29.3719, 29.3719) * CHOOSE(CONTROL!$C$21, $C$9, 100%, $E$9)</f>
        <v>29.3719</v>
      </c>
      <c r="E595" s="17">
        <f>CHOOSE(CONTROL!$C$42, 29.4031, 29.4031) * CHOOSE(CONTROL!$C$21, $C$9, 100%, $E$9)</f>
        <v>29.403099999999998</v>
      </c>
      <c r="F595" s="17">
        <f>CHOOSE(CONTROL!$C$42, 29.1144, 29.1144)*CHOOSE(CONTROL!$C$21, $C$9, 100%, $E$9)</f>
        <v>29.1144</v>
      </c>
      <c r="G595" s="17">
        <f>CHOOSE(CONTROL!$C$42, 29.131, 29.131)*CHOOSE(CONTROL!$C$21, $C$9, 100%, $E$9)</f>
        <v>29.131</v>
      </c>
      <c r="H595" s="17">
        <f>CHOOSE(CONTROL!$C$42, 29.3914, 29.3914) * CHOOSE(CONTROL!$C$21, $C$9, 100%, $E$9)</f>
        <v>29.391400000000001</v>
      </c>
      <c r="I595" s="17">
        <f>CHOOSE(CONTROL!$C$42, 29.2182, 29.2182)* CHOOSE(CONTROL!$C$21, $C$9, 100%, $E$9)</f>
        <v>29.2182</v>
      </c>
      <c r="J595" s="17">
        <f>CHOOSE(CONTROL!$C$42, 29.107, 29.107)* CHOOSE(CONTROL!$C$21, $C$9, 100%, $E$9)</f>
        <v>29.106999999999999</v>
      </c>
      <c r="K595" s="52">
        <f>CHOOSE(CONTROL!$C$42, 29.2121, 29.2121) * CHOOSE(CONTROL!$C$21, $C$9, 100%, $E$9)</f>
        <v>29.2121</v>
      </c>
      <c r="L595" s="17">
        <f>CHOOSE(CONTROL!$C$42, 29.9784, 29.9784) * CHOOSE(CONTROL!$C$21, $C$9, 100%, $E$9)</f>
        <v>29.978400000000001</v>
      </c>
      <c r="M595" s="17">
        <f>CHOOSE(CONTROL!$C$42, 28.8522, 28.8522) * CHOOSE(CONTROL!$C$21, $C$9, 100%, $E$9)</f>
        <v>28.8522</v>
      </c>
      <c r="N595" s="17">
        <f>CHOOSE(CONTROL!$C$42, 28.8687, 28.8687) * CHOOSE(CONTROL!$C$21, $C$9, 100%, $E$9)</f>
        <v>28.8687</v>
      </c>
      <c r="O595" s="17">
        <f>CHOOSE(CONTROL!$C$42, 29.1341, 29.1341) * CHOOSE(CONTROL!$C$21, $C$9, 100%, $E$9)</f>
        <v>29.1341</v>
      </c>
      <c r="P595" s="17">
        <f>CHOOSE(CONTROL!$C$42, 28.9617, 28.9617) * CHOOSE(CONTROL!$C$21, $C$9, 100%, $E$9)</f>
        <v>28.9617</v>
      </c>
      <c r="Q595" s="17">
        <f>CHOOSE(CONTROL!$C$42, 29.7288, 29.7288) * CHOOSE(CONTROL!$C$21, $C$9, 100%, $E$9)</f>
        <v>29.7288</v>
      </c>
      <c r="R595" s="17">
        <f>CHOOSE(CONTROL!$C$42, 30.3901, 30.3901) * CHOOSE(CONTROL!$C$21, $C$9, 100%, $E$9)</f>
        <v>30.3901</v>
      </c>
      <c r="S595" s="17">
        <f>CHOOSE(CONTROL!$C$42, 28.2106, 28.2106) * CHOOSE(CONTROL!$C$21, $C$9, 100%, $E$9)</f>
        <v>28.210599999999999</v>
      </c>
      <c r="T595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595" s="56">
        <f>(1000*CHOOSE(CONTROL!$C$42, 695, 695)*CHOOSE(CONTROL!$C$42, 0.5599, 0.5599)*CHOOSE(CONTROL!$C$42, 31, 31))/1000000</f>
        <v>12.063045499999998</v>
      </c>
      <c r="V595" s="56">
        <f>(1000*CHOOSE(CONTROL!$C$42, 500, 500)*CHOOSE(CONTROL!$C$42, 0.275, 0.275)*CHOOSE(CONTROL!$C$42, 31, 31))/1000000</f>
        <v>4.2625000000000002</v>
      </c>
      <c r="W595" s="56">
        <f>(1000*CHOOSE(CONTROL!$C$42, 0.0916, 0.0916)*CHOOSE(CONTROL!$C$42, 121.5, 121.5)*CHOOSE(CONTROL!$C$42, 31, 31))/1000000</f>
        <v>0.34501139999999997</v>
      </c>
      <c r="X595" s="56">
        <f>(31*0.1790888*145000/1000000)+(31*0.2374*100000/1000000)</f>
        <v>1.5409441560000001</v>
      </c>
      <c r="Y595" s="56"/>
      <c r="Z595" s="17"/>
      <c r="AA595" s="55"/>
      <c r="AB595" s="48">
        <f>(B595*194.205+C595*267.466+D595*133.845+E595*153.484+F595*40+G595*85+H595*0+I595*100+J595*300)/(194.205+267.466+133.845+153.484+0+40+85+100+300)</f>
        <v>29.1816568821821</v>
      </c>
      <c r="AC595" s="45">
        <f>(M595*'RAP TEMPLATE-GAS AVAILABILITY'!O594+N595*'RAP TEMPLATE-GAS AVAILABILITY'!P594+O595*'RAP TEMPLATE-GAS AVAILABILITY'!Q594+P595*'RAP TEMPLATE-GAS AVAILABILITY'!R594)/('RAP TEMPLATE-GAS AVAILABILITY'!O594+'RAP TEMPLATE-GAS AVAILABILITY'!P594+'RAP TEMPLATE-GAS AVAILABILITY'!Q594+'RAP TEMPLATE-GAS AVAILABILITY'!R594)</f>
        <v>28.950848201438852</v>
      </c>
    </row>
    <row r="596" spans="1:29" ht="15.75" x14ac:dyDescent="0.25">
      <c r="A596" s="13">
        <v>58684</v>
      </c>
      <c r="B596" s="17">
        <f>CHOOSE(CONTROL!$C$42, 27.667, 27.667) * CHOOSE(CONTROL!$C$21, $C$9, 100%, $E$9)</f>
        <v>27.667000000000002</v>
      </c>
      <c r="C596" s="17">
        <f>CHOOSE(CONTROL!$C$42, 27.675, 27.675) * CHOOSE(CONTROL!$C$21, $C$9, 100%, $E$9)</f>
        <v>27.675000000000001</v>
      </c>
      <c r="D596" s="17">
        <f>CHOOSE(CONTROL!$C$42, 27.935, 27.935) * CHOOSE(CONTROL!$C$21, $C$9, 100%, $E$9)</f>
        <v>27.934999999999999</v>
      </c>
      <c r="E596" s="17">
        <f>CHOOSE(CONTROL!$C$42, 27.9661, 27.9661) * CHOOSE(CONTROL!$C$21, $C$9, 100%, $E$9)</f>
        <v>27.966100000000001</v>
      </c>
      <c r="F596" s="17">
        <f>CHOOSE(CONTROL!$C$42, 27.6777, 27.6777)*CHOOSE(CONTROL!$C$21, $C$9, 100%, $E$9)</f>
        <v>27.677700000000002</v>
      </c>
      <c r="G596" s="17">
        <f>CHOOSE(CONTROL!$C$42, 27.6944, 27.6944)*CHOOSE(CONTROL!$C$21, $C$9, 100%, $E$9)</f>
        <v>27.694400000000002</v>
      </c>
      <c r="H596" s="17">
        <f>CHOOSE(CONTROL!$C$42, 27.9545, 27.9545) * CHOOSE(CONTROL!$C$21, $C$9, 100%, $E$9)</f>
        <v>27.954499999999999</v>
      </c>
      <c r="I596" s="17">
        <f>CHOOSE(CONTROL!$C$42, 27.7768, 27.7768)* CHOOSE(CONTROL!$C$21, $C$9, 100%, $E$9)</f>
        <v>27.776800000000001</v>
      </c>
      <c r="J596" s="17">
        <f>CHOOSE(CONTROL!$C$42, 27.6703, 27.6703)* CHOOSE(CONTROL!$C$21, $C$9, 100%, $E$9)</f>
        <v>27.670300000000001</v>
      </c>
      <c r="K596" s="52">
        <f>CHOOSE(CONTROL!$C$42, 27.7707, 27.7707) * CHOOSE(CONTROL!$C$21, $C$9, 100%, $E$9)</f>
        <v>27.770700000000001</v>
      </c>
      <c r="L596" s="17">
        <f>CHOOSE(CONTROL!$C$42, 28.5415, 28.5415) * CHOOSE(CONTROL!$C$21, $C$9, 100%, $E$9)</f>
        <v>28.541499999999999</v>
      </c>
      <c r="M596" s="17">
        <f>CHOOSE(CONTROL!$C$42, 27.4284, 27.4284) * CHOOSE(CONTROL!$C$21, $C$9, 100%, $E$9)</f>
        <v>27.4284</v>
      </c>
      <c r="N596" s="17">
        <f>CHOOSE(CONTROL!$C$42, 27.445, 27.445) * CHOOSE(CONTROL!$C$21, $C$9, 100%, $E$9)</f>
        <v>27.445</v>
      </c>
      <c r="O596" s="17">
        <f>CHOOSE(CONTROL!$C$42, 27.7101, 27.7101) * CHOOSE(CONTROL!$C$21, $C$9, 100%, $E$9)</f>
        <v>27.710100000000001</v>
      </c>
      <c r="P596" s="17">
        <f>CHOOSE(CONTROL!$C$42, 27.5332, 27.5332) * CHOOSE(CONTROL!$C$21, $C$9, 100%, $E$9)</f>
        <v>27.533200000000001</v>
      </c>
      <c r="Q596" s="17">
        <f>CHOOSE(CONTROL!$C$42, 28.3048, 28.3048) * CHOOSE(CONTROL!$C$21, $C$9, 100%, $E$9)</f>
        <v>28.3048</v>
      </c>
      <c r="R596" s="17">
        <f>CHOOSE(CONTROL!$C$42, 28.9625, 28.9625) * CHOOSE(CONTROL!$C$21, $C$9, 100%, $E$9)</f>
        <v>28.962499999999999</v>
      </c>
      <c r="S596" s="17">
        <f>CHOOSE(CONTROL!$C$42, 26.8172, 26.8172) * CHOOSE(CONTROL!$C$21, $C$9, 100%, $E$9)</f>
        <v>26.8172</v>
      </c>
      <c r="T596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596" s="56">
        <f>(1000*CHOOSE(CONTROL!$C$42, 695, 695)*CHOOSE(CONTROL!$C$42, 0.5599, 0.5599)*CHOOSE(CONTROL!$C$42, 31, 31))/1000000</f>
        <v>12.063045499999998</v>
      </c>
      <c r="V596" s="56">
        <f>(1000*CHOOSE(CONTROL!$C$42, 500, 500)*CHOOSE(CONTROL!$C$42, 0.275, 0.275)*CHOOSE(CONTROL!$C$42, 31, 31))/1000000</f>
        <v>4.2625000000000002</v>
      </c>
      <c r="W596" s="56">
        <f>(1000*CHOOSE(CONTROL!$C$42, 0.0916, 0.0916)*CHOOSE(CONTROL!$C$42, 121.5, 121.5)*CHOOSE(CONTROL!$C$42, 31, 31))/1000000</f>
        <v>0.34501139999999997</v>
      </c>
      <c r="X596" s="56">
        <f>(31*0.1790888*145000/1000000)+(31*0.2374*100000/1000000)</f>
        <v>1.5409441560000001</v>
      </c>
      <c r="Y596" s="56"/>
      <c r="Z596" s="17"/>
      <c r="AA596" s="55"/>
      <c r="AB596" s="48">
        <f>(B596*194.205+C596*267.466+D596*133.845+E596*153.484+F596*40+G596*85+H596*0+I596*100+J596*300)/(194.205+267.466+133.845+153.484+0+40+85+100+300)</f>
        <v>27.744428769544744</v>
      </c>
      <c r="AC596" s="45">
        <f>(M596*'RAP TEMPLATE-GAS AVAILABILITY'!O595+N596*'RAP TEMPLATE-GAS AVAILABILITY'!P595+O596*'RAP TEMPLATE-GAS AVAILABILITY'!Q595+P596*'RAP TEMPLATE-GAS AVAILABILITY'!R595)/('RAP TEMPLATE-GAS AVAILABILITY'!O595+'RAP TEMPLATE-GAS AVAILABILITY'!P595+'RAP TEMPLATE-GAS AVAILABILITY'!Q595+'RAP TEMPLATE-GAS AVAILABILITY'!R595)</f>
        <v>27.526338848920862</v>
      </c>
    </row>
    <row r="597" spans="1:29" ht="15.75" x14ac:dyDescent="0.25">
      <c r="A597" s="13">
        <v>58714</v>
      </c>
      <c r="B597" s="17">
        <f>CHOOSE(CONTROL!$C$42, 25.9111, 25.9111) * CHOOSE(CONTROL!$C$21, $C$9, 100%, $E$9)</f>
        <v>25.911100000000001</v>
      </c>
      <c r="C597" s="17">
        <f>CHOOSE(CONTROL!$C$42, 25.9191, 25.9191) * CHOOSE(CONTROL!$C$21, $C$9, 100%, $E$9)</f>
        <v>25.9191</v>
      </c>
      <c r="D597" s="17">
        <f>CHOOSE(CONTROL!$C$42, 26.179, 26.179) * CHOOSE(CONTROL!$C$21, $C$9, 100%, $E$9)</f>
        <v>26.178999999999998</v>
      </c>
      <c r="E597" s="17">
        <f>CHOOSE(CONTROL!$C$42, 26.2102, 26.2102) * CHOOSE(CONTROL!$C$21, $C$9, 100%, $E$9)</f>
        <v>26.2102</v>
      </c>
      <c r="F597" s="17">
        <f>CHOOSE(CONTROL!$C$42, 25.9217, 25.9217)*CHOOSE(CONTROL!$C$21, $C$9, 100%, $E$9)</f>
        <v>25.921700000000001</v>
      </c>
      <c r="G597" s="17">
        <f>CHOOSE(CONTROL!$C$42, 25.9384, 25.9384)*CHOOSE(CONTROL!$C$21, $C$9, 100%, $E$9)</f>
        <v>25.938400000000001</v>
      </c>
      <c r="H597" s="17">
        <f>CHOOSE(CONTROL!$C$42, 26.1985, 26.1985) * CHOOSE(CONTROL!$C$21, $C$9, 100%, $E$9)</f>
        <v>26.198499999999999</v>
      </c>
      <c r="I597" s="17">
        <f>CHOOSE(CONTROL!$C$42, 26.0153, 26.0153)* CHOOSE(CONTROL!$C$21, $C$9, 100%, $E$9)</f>
        <v>26.0153</v>
      </c>
      <c r="J597" s="17">
        <f>CHOOSE(CONTROL!$C$42, 25.9143, 25.9143)* CHOOSE(CONTROL!$C$21, $C$9, 100%, $E$9)</f>
        <v>25.914300000000001</v>
      </c>
      <c r="K597" s="52">
        <f>CHOOSE(CONTROL!$C$42, 26.0093, 26.0093) * CHOOSE(CONTROL!$C$21, $C$9, 100%, $E$9)</f>
        <v>26.0093</v>
      </c>
      <c r="L597" s="17">
        <f>CHOOSE(CONTROL!$C$42, 26.7855, 26.7855) * CHOOSE(CONTROL!$C$21, $C$9, 100%, $E$9)</f>
        <v>26.785499999999999</v>
      </c>
      <c r="M597" s="17">
        <f>CHOOSE(CONTROL!$C$42, 25.6883, 25.6883) * CHOOSE(CONTROL!$C$21, $C$9, 100%, $E$9)</f>
        <v>25.688300000000002</v>
      </c>
      <c r="N597" s="17">
        <f>CHOOSE(CONTROL!$C$42, 25.7048, 25.7048) * CHOOSE(CONTROL!$C$21, $C$9, 100%, $E$9)</f>
        <v>25.704799999999999</v>
      </c>
      <c r="O597" s="17">
        <f>CHOOSE(CONTROL!$C$42, 25.9699, 25.9699) * CHOOSE(CONTROL!$C$21, $C$9, 100%, $E$9)</f>
        <v>25.969899999999999</v>
      </c>
      <c r="P597" s="17">
        <f>CHOOSE(CONTROL!$C$42, 25.7877, 25.7877) * CHOOSE(CONTROL!$C$21, $C$9, 100%, $E$9)</f>
        <v>25.787700000000001</v>
      </c>
      <c r="Q597" s="17">
        <f>CHOOSE(CONTROL!$C$42, 26.5646, 26.5646) * CHOOSE(CONTROL!$C$21, $C$9, 100%, $E$9)</f>
        <v>26.564599999999999</v>
      </c>
      <c r="R597" s="17">
        <f>CHOOSE(CONTROL!$C$42, 27.218, 27.218) * CHOOSE(CONTROL!$C$21, $C$9, 100%, $E$9)</f>
        <v>27.218</v>
      </c>
      <c r="S597" s="17">
        <f>CHOOSE(CONTROL!$C$42, 25.1144, 25.1144) * CHOOSE(CONTROL!$C$21, $C$9, 100%, $E$9)</f>
        <v>25.1144</v>
      </c>
      <c r="T597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597" s="56">
        <f>(1000*CHOOSE(CONTROL!$C$42, 695, 695)*CHOOSE(CONTROL!$C$42, 0.5599, 0.5599)*CHOOSE(CONTROL!$C$42, 30, 30))/1000000</f>
        <v>11.673914999999997</v>
      </c>
      <c r="V597" s="56">
        <f>(1000*CHOOSE(CONTROL!$C$42, 500, 500)*CHOOSE(CONTROL!$C$42, 0.275, 0.275)*CHOOSE(CONTROL!$C$42, 30, 30))/1000000</f>
        <v>4.125</v>
      </c>
      <c r="W597" s="56">
        <f>(1000*CHOOSE(CONTROL!$C$42, 0.0916, 0.0916)*CHOOSE(CONTROL!$C$42, 121.5, 121.5)*CHOOSE(CONTROL!$C$42, 30, 30))/1000000</f>
        <v>0.33388200000000001</v>
      </c>
      <c r="X597" s="56">
        <f>(30*0.1790888*145000/1000000)+(30*0.2374*100000/1000000)</f>
        <v>1.4912362799999999</v>
      </c>
      <c r="Y597" s="56"/>
      <c r="Z597" s="17"/>
      <c r="AA597" s="55"/>
      <c r="AB597" s="48">
        <f>(B597*194.205+C597*267.466+D597*133.845+E597*153.484+F597*40+G597*85+H597*0+I597*100+J597*300)/(194.205+267.466+133.845+153.484+0+40+85+100+300)</f>
        <v>25.988045343720565</v>
      </c>
      <c r="AC597" s="45">
        <f>(M597*'RAP TEMPLATE-GAS AVAILABILITY'!O596+N597*'RAP TEMPLATE-GAS AVAILABILITY'!P596+O597*'RAP TEMPLATE-GAS AVAILABILITY'!Q596+P597*'RAP TEMPLATE-GAS AVAILABILITY'!R596)/('RAP TEMPLATE-GAS AVAILABILITY'!O596+'RAP TEMPLATE-GAS AVAILABILITY'!P596+'RAP TEMPLATE-GAS AVAILABILITY'!Q596+'RAP TEMPLATE-GAS AVAILABILITY'!R596)</f>
        <v>25.785410791366903</v>
      </c>
    </row>
    <row r="598" spans="1:29" ht="15.75" x14ac:dyDescent="0.25">
      <c r="A598" s="13">
        <v>58745</v>
      </c>
      <c r="B598" s="17">
        <f>CHOOSE(CONTROL!$C$42, 25.3835, 25.3835) * CHOOSE(CONTROL!$C$21, $C$9, 100%, $E$9)</f>
        <v>25.383500000000002</v>
      </c>
      <c r="C598" s="17">
        <f>CHOOSE(CONTROL!$C$42, 25.3888, 25.3888) * CHOOSE(CONTROL!$C$21, $C$9, 100%, $E$9)</f>
        <v>25.3888</v>
      </c>
      <c r="D598" s="17">
        <f>CHOOSE(CONTROL!$C$42, 25.6536, 25.6536) * CHOOSE(CONTROL!$C$21, $C$9, 100%, $E$9)</f>
        <v>25.653600000000001</v>
      </c>
      <c r="E598" s="17">
        <f>CHOOSE(CONTROL!$C$42, 25.6825, 25.6825) * CHOOSE(CONTROL!$C$21, $C$9, 100%, $E$9)</f>
        <v>25.682500000000001</v>
      </c>
      <c r="F598" s="17">
        <f>CHOOSE(CONTROL!$C$42, 25.3963, 25.3963)*CHOOSE(CONTROL!$C$21, $C$9, 100%, $E$9)</f>
        <v>25.3963</v>
      </c>
      <c r="G598" s="17">
        <f>CHOOSE(CONTROL!$C$42, 25.4129, 25.4129)*CHOOSE(CONTROL!$C$21, $C$9, 100%, $E$9)</f>
        <v>25.4129</v>
      </c>
      <c r="H598" s="17">
        <f>CHOOSE(CONTROL!$C$42, 25.6726, 25.6726) * CHOOSE(CONTROL!$C$21, $C$9, 100%, $E$9)</f>
        <v>25.672599999999999</v>
      </c>
      <c r="I598" s="17">
        <f>CHOOSE(CONTROL!$C$42, 25.4879, 25.4879)* CHOOSE(CONTROL!$C$21, $C$9, 100%, $E$9)</f>
        <v>25.4879</v>
      </c>
      <c r="J598" s="17">
        <f>CHOOSE(CONTROL!$C$42, 25.3889, 25.3889)* CHOOSE(CONTROL!$C$21, $C$9, 100%, $E$9)</f>
        <v>25.3889</v>
      </c>
      <c r="K598" s="52">
        <f>CHOOSE(CONTROL!$C$42, 25.4818, 25.4818) * CHOOSE(CONTROL!$C$21, $C$9, 100%, $E$9)</f>
        <v>25.4818</v>
      </c>
      <c r="L598" s="17">
        <f>CHOOSE(CONTROL!$C$42, 26.2596, 26.2596) * CHOOSE(CONTROL!$C$21, $C$9, 100%, $E$9)</f>
        <v>26.259599999999999</v>
      </c>
      <c r="M598" s="17">
        <f>CHOOSE(CONTROL!$C$42, 25.1676, 25.1676) * CHOOSE(CONTROL!$C$21, $C$9, 100%, $E$9)</f>
        <v>25.1676</v>
      </c>
      <c r="N598" s="17">
        <f>CHOOSE(CONTROL!$C$42, 25.184, 25.184) * CHOOSE(CONTROL!$C$21, $C$9, 100%, $E$9)</f>
        <v>25.184000000000001</v>
      </c>
      <c r="O598" s="17">
        <f>CHOOSE(CONTROL!$C$42, 25.4488, 25.4488) * CHOOSE(CONTROL!$C$21, $C$9, 100%, $E$9)</f>
        <v>25.448799999999999</v>
      </c>
      <c r="P598" s="17">
        <f>CHOOSE(CONTROL!$C$42, 25.265, 25.265) * CHOOSE(CONTROL!$C$21, $C$9, 100%, $E$9)</f>
        <v>25.265000000000001</v>
      </c>
      <c r="Q598" s="17">
        <f>CHOOSE(CONTROL!$C$42, 26.0435, 26.0435) * CHOOSE(CONTROL!$C$21, $C$9, 100%, $E$9)</f>
        <v>26.043500000000002</v>
      </c>
      <c r="R598" s="17">
        <f>CHOOSE(CONTROL!$C$42, 26.6956, 26.6956) * CHOOSE(CONTROL!$C$21, $C$9, 100%, $E$9)</f>
        <v>26.695599999999999</v>
      </c>
      <c r="S598" s="17">
        <f>CHOOSE(CONTROL!$C$42, 24.6045, 24.6045) * CHOOSE(CONTROL!$C$21, $C$9, 100%, $E$9)</f>
        <v>24.604500000000002</v>
      </c>
      <c r="T598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598" s="56">
        <f>(1000*CHOOSE(CONTROL!$C$42, 695, 695)*CHOOSE(CONTROL!$C$42, 0.5599, 0.5599)*CHOOSE(CONTROL!$C$42, 31, 31))/1000000</f>
        <v>12.063045499999998</v>
      </c>
      <c r="V598" s="56">
        <f>(1000*CHOOSE(CONTROL!$C$42, 500, 500)*CHOOSE(CONTROL!$C$42, 0.275, 0.275)*CHOOSE(CONTROL!$C$42, 31, 31))/1000000</f>
        <v>4.2625000000000002</v>
      </c>
      <c r="W598" s="56">
        <f>(1000*CHOOSE(CONTROL!$C$42, 0.0916, 0.0916)*CHOOSE(CONTROL!$C$42, 121.5, 121.5)*CHOOSE(CONTROL!$C$42, 31, 31))/1000000</f>
        <v>0.34501139999999997</v>
      </c>
      <c r="X598" s="56">
        <f>(31*0.1790888*145000/1000000)+(31*0.2374*100000/1000000)</f>
        <v>1.5409441560000001</v>
      </c>
      <c r="Y598" s="56"/>
      <c r="Z598" s="17"/>
      <c r="AA598" s="55"/>
      <c r="AB598" s="48">
        <f>(B598*131.881+C598*277.167+D598*79.08+E598*225.872+F598*40+G598*85+H598*0+I598*100+J598*300)/(131.881+277.167+79.08+225.872+0+40+85+100+300)</f>
        <v>25.468597030750605</v>
      </c>
      <c r="AC598" s="45">
        <f>(M598*'RAP TEMPLATE-GAS AVAILABILITY'!O597+N598*'RAP TEMPLATE-GAS AVAILABILITY'!P597+O598*'RAP TEMPLATE-GAS AVAILABILITY'!Q597+P598*'RAP TEMPLATE-GAS AVAILABILITY'!R597)/('RAP TEMPLATE-GAS AVAILABILITY'!O597+'RAP TEMPLATE-GAS AVAILABILITY'!P597+'RAP TEMPLATE-GAS AVAILABILITY'!Q597+'RAP TEMPLATE-GAS AVAILABILITY'!R597)</f>
        <v>25.264287769784172</v>
      </c>
    </row>
    <row r="599" spans="1:29" ht="15.75" x14ac:dyDescent="0.25">
      <c r="A599" s="13">
        <v>58775</v>
      </c>
      <c r="B599" s="17">
        <f>CHOOSE(CONTROL!$C$42, 26.0515, 26.0515) * CHOOSE(CONTROL!$C$21, $C$9, 100%, $E$9)</f>
        <v>26.051500000000001</v>
      </c>
      <c r="C599" s="17">
        <f>CHOOSE(CONTROL!$C$42, 26.0566, 26.0566) * CHOOSE(CONTROL!$C$21, $C$9, 100%, $E$9)</f>
        <v>26.0566</v>
      </c>
      <c r="D599" s="17">
        <f>CHOOSE(CONTROL!$C$42, 26.1973, 26.1973) * CHOOSE(CONTROL!$C$21, $C$9, 100%, $E$9)</f>
        <v>26.197299999999998</v>
      </c>
      <c r="E599" s="17">
        <f>CHOOSE(CONTROL!$C$42, 26.231, 26.231) * CHOOSE(CONTROL!$C$21, $C$9, 100%, $E$9)</f>
        <v>26.231000000000002</v>
      </c>
      <c r="F599" s="17">
        <f>CHOOSE(CONTROL!$C$42, 26.0648, 26.0648)*CHOOSE(CONTROL!$C$21, $C$9, 100%, $E$9)</f>
        <v>26.064800000000002</v>
      </c>
      <c r="G599" s="17">
        <f>CHOOSE(CONTROL!$C$42, 26.0817, 26.0817)*CHOOSE(CONTROL!$C$21, $C$9, 100%, $E$9)</f>
        <v>26.081700000000001</v>
      </c>
      <c r="H599" s="17">
        <f>CHOOSE(CONTROL!$C$42, 26.2199, 26.2199) * CHOOSE(CONTROL!$C$21, $C$9, 100%, $E$9)</f>
        <v>26.219899999999999</v>
      </c>
      <c r="I599" s="17">
        <f>CHOOSE(CONTROL!$C$42, 26.1547, 26.1547)* CHOOSE(CONTROL!$C$21, $C$9, 100%, $E$9)</f>
        <v>26.154699999999998</v>
      </c>
      <c r="J599" s="17">
        <f>CHOOSE(CONTROL!$C$42, 26.0574, 26.0574)* CHOOSE(CONTROL!$C$21, $C$9, 100%, $E$9)</f>
        <v>26.057400000000001</v>
      </c>
      <c r="K599" s="52">
        <f>CHOOSE(CONTROL!$C$42, 26.1487, 26.1487) * CHOOSE(CONTROL!$C$21, $C$9, 100%, $E$9)</f>
        <v>26.148700000000002</v>
      </c>
      <c r="L599" s="17">
        <f>CHOOSE(CONTROL!$C$42, 26.8069, 26.8069) * CHOOSE(CONTROL!$C$21, $C$9, 100%, $E$9)</f>
        <v>26.806899999999999</v>
      </c>
      <c r="M599" s="17">
        <f>CHOOSE(CONTROL!$C$42, 25.8301, 25.8301) * CHOOSE(CONTROL!$C$21, $C$9, 100%, $E$9)</f>
        <v>25.830100000000002</v>
      </c>
      <c r="N599" s="17">
        <f>CHOOSE(CONTROL!$C$42, 25.8468, 25.8468) * CHOOSE(CONTROL!$C$21, $C$9, 100%, $E$9)</f>
        <v>25.846800000000002</v>
      </c>
      <c r="O599" s="17">
        <f>CHOOSE(CONTROL!$C$42, 25.9911, 25.9911) * CHOOSE(CONTROL!$C$21, $C$9, 100%, $E$9)</f>
        <v>25.991099999999999</v>
      </c>
      <c r="P599" s="17">
        <f>CHOOSE(CONTROL!$C$42, 25.9259, 25.9259) * CHOOSE(CONTROL!$C$21, $C$9, 100%, $E$9)</f>
        <v>25.925899999999999</v>
      </c>
      <c r="Q599" s="17">
        <f>CHOOSE(CONTROL!$C$42, 26.5858, 26.5858) * CHOOSE(CONTROL!$C$21, $C$9, 100%, $E$9)</f>
        <v>26.585799999999999</v>
      </c>
      <c r="R599" s="17">
        <f>CHOOSE(CONTROL!$C$42, 27.2393, 27.2393) * CHOOSE(CONTROL!$C$21, $C$9, 100%, $E$9)</f>
        <v>27.2393</v>
      </c>
      <c r="S599" s="17">
        <f>CHOOSE(CONTROL!$C$42, 25.2527, 25.2527) * CHOOSE(CONTROL!$C$21, $C$9, 100%, $E$9)</f>
        <v>25.252700000000001</v>
      </c>
      <c r="T599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599" s="56">
        <f>(1000*CHOOSE(CONTROL!$C$42, 695, 695)*CHOOSE(CONTROL!$C$42, 0.5599, 0.5599)*CHOOSE(CONTROL!$C$42, 30, 30))/1000000</f>
        <v>11.673914999999997</v>
      </c>
      <c r="V599" s="56">
        <f>(1000*CHOOSE(CONTROL!$C$42, 500, 500)*CHOOSE(CONTROL!$C$42, 0.275, 0.275)*CHOOSE(CONTROL!$C$42, 30, 30))/1000000</f>
        <v>4.125</v>
      </c>
      <c r="W599" s="56">
        <f>(1000*CHOOSE(CONTROL!$C$42, 0.0916, 0.0916)*CHOOSE(CONTROL!$C$42, 121.5, 121.5)*CHOOSE(CONTROL!$C$42, 30, 30))/1000000</f>
        <v>0.33388200000000001</v>
      </c>
      <c r="X599" s="56">
        <f>(30*0.2374*100000/1000000)</f>
        <v>0.71220000000000006</v>
      </c>
      <c r="Y599" s="56"/>
      <c r="Z599" s="17"/>
      <c r="AA599" s="55"/>
      <c r="AB599" s="48">
        <f>(B599*122.58+C599*297.941+D599*89.177+E599*140.302+F599*40+G599*60+H599*0+I599*100+J599*300)/(122.58+297.941+89.177+140.302+0+40+60+100+300)</f>
        <v>26.09857801278261</v>
      </c>
      <c r="AC599" s="45">
        <f>(M599*'RAP TEMPLATE-GAS AVAILABILITY'!O598+N599*'RAP TEMPLATE-GAS AVAILABILITY'!P598+O599*'RAP TEMPLATE-GAS AVAILABILITY'!Q598+P599*'RAP TEMPLATE-GAS AVAILABILITY'!R598)/('RAP TEMPLATE-GAS AVAILABILITY'!O598+'RAP TEMPLATE-GAS AVAILABILITY'!P598+'RAP TEMPLATE-GAS AVAILABILITY'!Q598+'RAP TEMPLATE-GAS AVAILABILITY'!R598)</f>
        <v>25.917816546762591</v>
      </c>
    </row>
    <row r="600" spans="1:29" ht="15.75" x14ac:dyDescent="0.25">
      <c r="A600" s="13">
        <v>58806</v>
      </c>
      <c r="B600" s="17">
        <f>CHOOSE(CONTROL!$C$42, 27.827, 27.827) * CHOOSE(CONTROL!$C$21, $C$9, 100%, $E$9)</f>
        <v>27.827000000000002</v>
      </c>
      <c r="C600" s="17">
        <f>CHOOSE(CONTROL!$C$42, 27.8321, 27.8321) * CHOOSE(CONTROL!$C$21, $C$9, 100%, $E$9)</f>
        <v>27.832100000000001</v>
      </c>
      <c r="D600" s="17">
        <f>CHOOSE(CONTROL!$C$42, 27.9727, 27.9727) * CHOOSE(CONTROL!$C$21, $C$9, 100%, $E$9)</f>
        <v>27.9727</v>
      </c>
      <c r="E600" s="17">
        <f>CHOOSE(CONTROL!$C$42, 28.0065, 28.0065) * CHOOSE(CONTROL!$C$21, $C$9, 100%, $E$9)</f>
        <v>28.006499999999999</v>
      </c>
      <c r="F600" s="17">
        <f>CHOOSE(CONTROL!$C$42, 27.8427, 27.8427)*CHOOSE(CONTROL!$C$21, $C$9, 100%, $E$9)</f>
        <v>27.842700000000001</v>
      </c>
      <c r="G600" s="17">
        <f>CHOOSE(CONTROL!$C$42, 27.8602, 27.8602)*CHOOSE(CONTROL!$C$21, $C$9, 100%, $E$9)</f>
        <v>27.860199999999999</v>
      </c>
      <c r="H600" s="17">
        <f>CHOOSE(CONTROL!$C$42, 27.9954, 27.9954) * CHOOSE(CONTROL!$C$21, $C$9, 100%, $E$9)</f>
        <v>27.9954</v>
      </c>
      <c r="I600" s="17">
        <f>CHOOSE(CONTROL!$C$42, 27.9357, 27.9357)* CHOOSE(CONTROL!$C$21, $C$9, 100%, $E$9)</f>
        <v>27.935700000000001</v>
      </c>
      <c r="J600" s="17">
        <f>CHOOSE(CONTROL!$C$42, 27.8353, 27.8353)* CHOOSE(CONTROL!$C$21, $C$9, 100%, $E$9)</f>
        <v>27.8353</v>
      </c>
      <c r="K600" s="52">
        <f>CHOOSE(CONTROL!$C$42, 27.9297, 27.9297) * CHOOSE(CONTROL!$C$21, $C$9, 100%, $E$9)</f>
        <v>27.9297</v>
      </c>
      <c r="L600" s="17">
        <f>CHOOSE(CONTROL!$C$42, 28.5824, 28.5824) * CHOOSE(CONTROL!$C$21, $C$9, 100%, $E$9)</f>
        <v>28.5824</v>
      </c>
      <c r="M600" s="17">
        <f>CHOOSE(CONTROL!$C$42, 27.592, 27.592) * CHOOSE(CONTROL!$C$21, $C$9, 100%, $E$9)</f>
        <v>27.591999999999999</v>
      </c>
      <c r="N600" s="17">
        <f>CHOOSE(CONTROL!$C$42, 27.6093, 27.6093) * CHOOSE(CONTROL!$C$21, $C$9, 100%, $E$9)</f>
        <v>27.609300000000001</v>
      </c>
      <c r="O600" s="17">
        <f>CHOOSE(CONTROL!$C$42, 27.7506, 27.7506) * CHOOSE(CONTROL!$C$21, $C$9, 100%, $E$9)</f>
        <v>27.750599999999999</v>
      </c>
      <c r="P600" s="17">
        <f>CHOOSE(CONTROL!$C$42, 27.6908, 27.6908) * CHOOSE(CONTROL!$C$21, $C$9, 100%, $E$9)</f>
        <v>27.690799999999999</v>
      </c>
      <c r="Q600" s="17">
        <f>CHOOSE(CONTROL!$C$42, 28.3453, 28.3453) * CHOOSE(CONTROL!$C$21, $C$9, 100%, $E$9)</f>
        <v>28.345300000000002</v>
      </c>
      <c r="R600" s="17">
        <f>CHOOSE(CONTROL!$C$42, 29.0032, 29.0032) * CHOOSE(CONTROL!$C$21, $C$9, 100%, $E$9)</f>
        <v>29.0032</v>
      </c>
      <c r="S600" s="17">
        <f>CHOOSE(CONTROL!$C$42, 26.9743, 26.9743) * CHOOSE(CONTROL!$C$21, $C$9, 100%, $E$9)</f>
        <v>26.974299999999999</v>
      </c>
      <c r="T600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600" s="56">
        <f>(1000*CHOOSE(CONTROL!$C$42, 695, 695)*CHOOSE(CONTROL!$C$42, 0.5599, 0.5599)*CHOOSE(CONTROL!$C$42, 31, 31))/1000000</f>
        <v>12.063045499999998</v>
      </c>
      <c r="V600" s="56">
        <f>(1000*CHOOSE(CONTROL!$C$42, 500, 500)*CHOOSE(CONTROL!$C$42, 0.275, 0.275)*CHOOSE(CONTROL!$C$42, 31, 31))/1000000</f>
        <v>4.2625000000000002</v>
      </c>
      <c r="W600" s="56">
        <f>(1000*CHOOSE(CONTROL!$C$42, 0.0916, 0.0916)*CHOOSE(CONTROL!$C$42, 121.5, 121.5)*CHOOSE(CONTROL!$C$42, 31, 31))/1000000</f>
        <v>0.34501139999999997</v>
      </c>
      <c r="X600" s="56">
        <f>(31*0.2374*100000/1000000)</f>
        <v>0.73594000000000004</v>
      </c>
      <c r="Y600" s="56"/>
      <c r="Z600" s="17"/>
      <c r="AA600" s="55"/>
      <c r="AB600" s="48">
        <f>(B600*122.58+C600*297.941+D600*89.177+E600*140.302+F600*40+G600*60+H600*0+I600*100+J600*300)/(122.58+297.941+89.177+140.302+0+40+60+100+300)</f>
        <v>27.875414606086956</v>
      </c>
      <c r="AC600" s="45">
        <f>(M600*'RAP TEMPLATE-GAS AVAILABILITY'!O599+N600*'RAP TEMPLATE-GAS AVAILABILITY'!P599+O600*'RAP TEMPLATE-GAS AVAILABILITY'!Q599+P600*'RAP TEMPLATE-GAS AVAILABILITY'!R599)/('RAP TEMPLATE-GAS AVAILABILITY'!O599+'RAP TEMPLATE-GAS AVAILABILITY'!P599+'RAP TEMPLATE-GAS AVAILABILITY'!Q599+'RAP TEMPLATE-GAS AVAILABILITY'!R599)</f>
        <v>27.679094964028774</v>
      </c>
    </row>
    <row r="601" spans="1:29" ht="15.75" x14ac:dyDescent="0.25">
      <c r="A601" s="13">
        <v>58837</v>
      </c>
      <c r="B601" s="17">
        <f>CHOOSE(CONTROL!$C$42, 29.9648, 29.9648) * CHOOSE(CONTROL!$C$21, $C$9, 100%, $E$9)</f>
        <v>29.9648</v>
      </c>
      <c r="C601" s="17">
        <f>CHOOSE(CONTROL!$C$42, 29.9699, 29.9699) * CHOOSE(CONTROL!$C$21, $C$9, 100%, $E$9)</f>
        <v>29.969899999999999</v>
      </c>
      <c r="D601" s="17">
        <f>CHOOSE(CONTROL!$C$42, 30.1038, 30.1038) * CHOOSE(CONTROL!$C$21, $C$9, 100%, $E$9)</f>
        <v>30.1038</v>
      </c>
      <c r="E601" s="17">
        <f>CHOOSE(CONTROL!$C$42, 30.1376, 30.1376) * CHOOSE(CONTROL!$C$21, $C$9, 100%, $E$9)</f>
        <v>30.137599999999999</v>
      </c>
      <c r="F601" s="17">
        <f>CHOOSE(CONTROL!$C$42, 29.9782, 29.9782)*CHOOSE(CONTROL!$C$21, $C$9, 100%, $E$9)</f>
        <v>29.978200000000001</v>
      </c>
      <c r="G601" s="17">
        <f>CHOOSE(CONTROL!$C$42, 29.9951, 29.9951)*CHOOSE(CONTROL!$C$21, $C$9, 100%, $E$9)</f>
        <v>29.995100000000001</v>
      </c>
      <c r="H601" s="17">
        <f>CHOOSE(CONTROL!$C$42, 30.1265, 30.1265) * CHOOSE(CONTROL!$C$21, $C$9, 100%, $E$9)</f>
        <v>30.1265</v>
      </c>
      <c r="I601" s="17">
        <f>CHOOSE(CONTROL!$C$42, 30.0843, 30.0843)* CHOOSE(CONTROL!$C$21, $C$9, 100%, $E$9)</f>
        <v>30.084299999999999</v>
      </c>
      <c r="J601" s="17">
        <f>CHOOSE(CONTROL!$C$42, 29.9708, 29.9708)* CHOOSE(CONTROL!$C$21, $C$9, 100%, $E$9)</f>
        <v>29.970800000000001</v>
      </c>
      <c r="K601" s="52">
        <f>CHOOSE(CONTROL!$C$42, 30.0782, 30.0782) * CHOOSE(CONTROL!$C$21, $C$9, 100%, $E$9)</f>
        <v>30.078199999999999</v>
      </c>
      <c r="L601" s="17">
        <f>CHOOSE(CONTROL!$C$42, 30.7135, 30.7135) * CHOOSE(CONTROL!$C$21, $C$9, 100%, $E$9)</f>
        <v>30.7135</v>
      </c>
      <c r="M601" s="17">
        <f>CHOOSE(CONTROL!$C$42, 29.7083, 29.7083) * CHOOSE(CONTROL!$C$21, $C$9, 100%, $E$9)</f>
        <v>29.708300000000001</v>
      </c>
      <c r="N601" s="17">
        <f>CHOOSE(CONTROL!$C$42, 29.725, 29.725) * CHOOSE(CONTROL!$C$21, $C$9, 100%, $E$9)</f>
        <v>29.725000000000001</v>
      </c>
      <c r="O601" s="17">
        <f>CHOOSE(CONTROL!$C$42, 29.8625, 29.8625) * CHOOSE(CONTROL!$C$21, $C$9, 100%, $E$9)</f>
        <v>29.862500000000001</v>
      </c>
      <c r="P601" s="17">
        <f>CHOOSE(CONTROL!$C$42, 29.8199, 29.8199) * CHOOSE(CONTROL!$C$21, $C$9, 100%, $E$9)</f>
        <v>29.819900000000001</v>
      </c>
      <c r="Q601" s="17">
        <f>CHOOSE(CONTROL!$C$42, 30.4572, 30.4572) * CHOOSE(CONTROL!$C$21, $C$9, 100%, $E$9)</f>
        <v>30.4572</v>
      </c>
      <c r="R601" s="17">
        <f>CHOOSE(CONTROL!$C$42, 31.1204, 31.1204) * CHOOSE(CONTROL!$C$21, $C$9, 100%, $E$9)</f>
        <v>31.1204</v>
      </c>
      <c r="S601" s="17">
        <f>CHOOSE(CONTROL!$C$42, 29.0473, 29.0473) * CHOOSE(CONTROL!$C$21, $C$9, 100%, $E$9)</f>
        <v>29.0473</v>
      </c>
      <c r="T601" s="56">
        <f>(((255000*CHOOSE(CONTROL!$C$42, 0.4694, 0.4694)+(750000-255000)*CHOOSE(CONTROL!$C$42, 0.7185, 0.7185)+400000*CHOOSE(CONTROL!$C$42, 1.14, 1.14))*CHOOSE(CONTROL!$C$42, 31, 31))/1000000)+CHOOSE(CONTROL!$C$42, 0.1621, 0.1621)+CHOOSE(CONTROL!$C$42, 0.2589, 0.2589)</f>
        <v>29.292989500000001</v>
      </c>
      <c r="U601" s="56">
        <f>(1000*CHOOSE(CONTROL!$C$42, 695, 695)*CHOOSE(CONTROL!$C$42, 0.5599, 0.5599)*CHOOSE(CONTROL!$C$42, 31, 31))/1000000</f>
        <v>12.063045499999998</v>
      </c>
      <c r="V601" s="56">
        <f>(1000*CHOOSE(CONTROL!$C$42, 500, 500)*CHOOSE(CONTROL!$C$42, 0.275, 0.275)*CHOOSE(CONTROL!$C$42, 31, 31))/1000000</f>
        <v>4.2625000000000002</v>
      </c>
      <c r="W601" s="56">
        <f>(1000*CHOOSE(CONTROL!$C$42, 0.0916, 0.0916)*CHOOSE(CONTROL!$C$42, 121.5, 121.5)*CHOOSE(CONTROL!$C$42, 31, 31))/1000000</f>
        <v>0.34501139999999997</v>
      </c>
      <c r="X601" s="56">
        <f>(31*0.2374*100000/1000000)</f>
        <v>0.73594000000000004</v>
      </c>
      <c r="Y601" s="56"/>
      <c r="Z601" s="17"/>
      <c r="AA601" s="55"/>
      <c r="AB601" s="48">
        <f>(B601*122.58+C601*297.941+D601*89.177+E601*140.302+F601*40+G601*60+H601*0+I601*100+J601*300)/(122.58+297.941+89.177+140.302+0+40+60+100+300)</f>
        <v>30.011985467565214</v>
      </c>
      <c r="AC601" s="45">
        <f>(M601*'RAP TEMPLATE-GAS AVAILABILITY'!O600+N601*'RAP TEMPLATE-GAS AVAILABILITY'!P600+O601*'RAP TEMPLATE-GAS AVAILABILITY'!Q600+P601*'RAP TEMPLATE-GAS AVAILABILITY'!R600)/('RAP TEMPLATE-GAS AVAILABILITY'!O600+'RAP TEMPLATE-GAS AVAILABILITY'!P600+'RAP TEMPLATE-GAS AVAILABILITY'!Q600+'RAP TEMPLATE-GAS AVAILABILITY'!R600)</f>
        <v>29.795207913669064</v>
      </c>
    </row>
    <row r="602" spans="1:29" ht="15.75" x14ac:dyDescent="0.25">
      <c r="A602" s="13">
        <v>58865</v>
      </c>
      <c r="B602" s="17">
        <f>CHOOSE(CONTROL!$C$42, 30.498, 30.498) * CHOOSE(CONTROL!$C$21, $C$9, 100%, $E$9)</f>
        <v>30.498000000000001</v>
      </c>
      <c r="C602" s="17">
        <f>CHOOSE(CONTROL!$C$42, 30.5031, 30.5031) * CHOOSE(CONTROL!$C$21, $C$9, 100%, $E$9)</f>
        <v>30.5031</v>
      </c>
      <c r="D602" s="17">
        <f>CHOOSE(CONTROL!$C$42, 30.637, 30.637) * CHOOSE(CONTROL!$C$21, $C$9, 100%, $E$9)</f>
        <v>30.637</v>
      </c>
      <c r="E602" s="17">
        <f>CHOOSE(CONTROL!$C$42, 30.6708, 30.6708) * CHOOSE(CONTROL!$C$21, $C$9, 100%, $E$9)</f>
        <v>30.6708</v>
      </c>
      <c r="F602" s="17">
        <f>CHOOSE(CONTROL!$C$42, 30.5114, 30.5114)*CHOOSE(CONTROL!$C$21, $C$9, 100%, $E$9)</f>
        <v>30.511399999999998</v>
      </c>
      <c r="G602" s="17">
        <f>CHOOSE(CONTROL!$C$42, 30.5283, 30.5283)*CHOOSE(CONTROL!$C$21, $C$9, 100%, $E$9)</f>
        <v>30.528300000000002</v>
      </c>
      <c r="H602" s="17">
        <f>CHOOSE(CONTROL!$C$42, 30.6597, 30.6597) * CHOOSE(CONTROL!$C$21, $C$9, 100%, $E$9)</f>
        <v>30.659700000000001</v>
      </c>
      <c r="I602" s="17">
        <f>CHOOSE(CONTROL!$C$42, 30.6192, 30.6192)* CHOOSE(CONTROL!$C$21, $C$9, 100%, $E$9)</f>
        <v>30.619199999999999</v>
      </c>
      <c r="J602" s="17">
        <f>CHOOSE(CONTROL!$C$42, 30.504, 30.504)* CHOOSE(CONTROL!$C$21, $C$9, 100%, $E$9)</f>
        <v>30.504000000000001</v>
      </c>
      <c r="K602" s="52">
        <f>CHOOSE(CONTROL!$C$42, 30.6131, 30.6131) * CHOOSE(CONTROL!$C$21, $C$9, 100%, $E$9)</f>
        <v>30.613099999999999</v>
      </c>
      <c r="L602" s="17">
        <f>CHOOSE(CONTROL!$C$42, 31.2467, 31.2467) * CHOOSE(CONTROL!$C$21, $C$9, 100%, $E$9)</f>
        <v>31.246700000000001</v>
      </c>
      <c r="M602" s="17">
        <f>CHOOSE(CONTROL!$C$42, 30.2367, 30.2367) * CHOOSE(CONTROL!$C$21, $C$9, 100%, $E$9)</f>
        <v>30.236699999999999</v>
      </c>
      <c r="N602" s="17">
        <f>CHOOSE(CONTROL!$C$42, 30.2534, 30.2534) * CHOOSE(CONTROL!$C$21, $C$9, 100%, $E$9)</f>
        <v>30.253399999999999</v>
      </c>
      <c r="O602" s="17">
        <f>CHOOSE(CONTROL!$C$42, 30.391, 30.391) * CHOOSE(CONTROL!$C$21, $C$9, 100%, $E$9)</f>
        <v>30.390999999999998</v>
      </c>
      <c r="P602" s="17">
        <f>CHOOSE(CONTROL!$C$42, 30.35, 30.35) * CHOOSE(CONTROL!$C$21, $C$9, 100%, $E$9)</f>
        <v>30.35</v>
      </c>
      <c r="Q602" s="17">
        <f>CHOOSE(CONTROL!$C$42, 30.9857, 30.9857) * CHOOSE(CONTROL!$C$21, $C$9, 100%, $E$9)</f>
        <v>30.985700000000001</v>
      </c>
      <c r="R602" s="17">
        <f>CHOOSE(CONTROL!$C$42, 31.6501, 31.6501) * CHOOSE(CONTROL!$C$21, $C$9, 100%, $E$9)</f>
        <v>31.650099999999998</v>
      </c>
      <c r="S602" s="17">
        <f>CHOOSE(CONTROL!$C$42, 29.5644, 29.5644) * CHOOSE(CONTROL!$C$21, $C$9, 100%, $E$9)</f>
        <v>29.564399999999999</v>
      </c>
      <c r="T602" s="56">
        <f>(((255000*CHOOSE(CONTROL!$C$42, 0.4694, 0.4694)+(750000-255000)*CHOOSE(CONTROL!$C$42, 0.7185, 0.7185)+400000*CHOOSE(CONTROL!$C$42, 1.14, 1.14))*CHOOSE(CONTROL!$C$42, 28, 28))/1000000)+CHOOSE(CONTROL!$C$42, 0.2026, 0.2026)+CHOOSE(CONTROL!$C$42, 0.2576, 0.2576)</f>
        <v>26.538126000000002</v>
      </c>
      <c r="U602" s="56">
        <f>(1000*CHOOSE(CONTROL!$C$42, 695, 695)*CHOOSE(CONTROL!$C$42, 0.5599, 0.5599)*CHOOSE(CONTROL!$C$42, 28, 28))/1000000</f>
        <v>10.895653999999999</v>
      </c>
      <c r="V602" s="56">
        <f>(1000*CHOOSE(CONTROL!$C$42, 500, 500)*CHOOSE(CONTROL!$C$42, 0.275, 0.275)*CHOOSE(CONTROL!$C$42, 28, 28))/1000000</f>
        <v>3.85</v>
      </c>
      <c r="W602" s="56">
        <f>(1000*CHOOSE(CONTROL!$C$42, 0.0916, 0.0916)*CHOOSE(CONTROL!$C$42, 121.5, 121.5)*CHOOSE(CONTROL!$C$42, 28, 28))/1000000</f>
        <v>0.31162319999999999</v>
      </c>
      <c r="X602" s="56">
        <f>(28*0.2374*100000/1000000)</f>
        <v>0.66471999999999998</v>
      </c>
      <c r="Y602" s="56"/>
      <c r="Z602" s="17"/>
      <c r="AA602" s="55"/>
      <c r="AB602" s="48">
        <f>(B602*122.58+C602*297.941+D602*89.177+E602*140.302+F602*40+G602*60+H602*0+I602*100+J602*300)/(122.58+297.941+89.177+140.302+0+40+60+100+300)</f>
        <v>30.54533329365217</v>
      </c>
      <c r="AC602" s="45">
        <f>(M602*'RAP TEMPLATE-GAS AVAILABILITY'!O601+N602*'RAP TEMPLATE-GAS AVAILABILITY'!P601+O602*'RAP TEMPLATE-GAS AVAILABILITY'!Q601+P602*'RAP TEMPLATE-GAS AVAILABILITY'!R601)/('RAP TEMPLATE-GAS AVAILABILITY'!O601+'RAP TEMPLATE-GAS AVAILABILITY'!P601+'RAP TEMPLATE-GAS AVAILABILITY'!Q601+'RAP TEMPLATE-GAS AVAILABILITY'!R601)</f>
        <v>30.323897841726613</v>
      </c>
    </row>
    <row r="603" spans="1:29" ht="15.75" x14ac:dyDescent="0.25">
      <c r="A603" s="13">
        <v>58893</v>
      </c>
      <c r="B603" s="17">
        <f>CHOOSE(CONTROL!$C$42, 29.6324, 29.6324) * CHOOSE(CONTROL!$C$21, $C$9, 100%, $E$9)</f>
        <v>29.632400000000001</v>
      </c>
      <c r="C603" s="17">
        <f>CHOOSE(CONTROL!$C$42, 29.6375, 29.6375) * CHOOSE(CONTROL!$C$21, $C$9, 100%, $E$9)</f>
        <v>29.637499999999999</v>
      </c>
      <c r="D603" s="17">
        <f>CHOOSE(CONTROL!$C$42, 29.7715, 29.7715) * CHOOSE(CONTROL!$C$21, $C$9, 100%, $E$9)</f>
        <v>29.7715</v>
      </c>
      <c r="E603" s="17">
        <f>CHOOSE(CONTROL!$C$42, 29.8052, 29.8052) * CHOOSE(CONTROL!$C$21, $C$9, 100%, $E$9)</f>
        <v>29.805199999999999</v>
      </c>
      <c r="F603" s="17">
        <f>CHOOSE(CONTROL!$C$42, 29.6451, 29.6451)*CHOOSE(CONTROL!$C$21, $C$9, 100%, $E$9)</f>
        <v>29.645099999999999</v>
      </c>
      <c r="G603" s="17">
        <f>CHOOSE(CONTROL!$C$42, 29.6618, 29.6618)*CHOOSE(CONTROL!$C$21, $C$9, 100%, $E$9)</f>
        <v>29.661799999999999</v>
      </c>
      <c r="H603" s="17">
        <f>CHOOSE(CONTROL!$C$42, 29.7941, 29.7941) * CHOOSE(CONTROL!$C$21, $C$9, 100%, $E$9)</f>
        <v>29.7941</v>
      </c>
      <c r="I603" s="17">
        <f>CHOOSE(CONTROL!$C$42, 29.7509, 29.7509)* CHOOSE(CONTROL!$C$21, $C$9, 100%, $E$9)</f>
        <v>29.750900000000001</v>
      </c>
      <c r="J603" s="17">
        <f>CHOOSE(CONTROL!$C$42, 29.6377, 29.6377)* CHOOSE(CONTROL!$C$21, $C$9, 100%, $E$9)</f>
        <v>29.637699999999999</v>
      </c>
      <c r="K603" s="52">
        <f>CHOOSE(CONTROL!$C$42, 29.7449, 29.7449) * CHOOSE(CONTROL!$C$21, $C$9, 100%, $E$9)</f>
        <v>29.744900000000001</v>
      </c>
      <c r="L603" s="17">
        <f>CHOOSE(CONTROL!$C$42, 30.3811, 30.3811) * CHOOSE(CONTROL!$C$21, $C$9, 100%, $E$9)</f>
        <v>30.3811</v>
      </c>
      <c r="M603" s="17">
        <f>CHOOSE(CONTROL!$C$42, 29.3782, 29.3782) * CHOOSE(CONTROL!$C$21, $C$9, 100%, $E$9)</f>
        <v>29.3782</v>
      </c>
      <c r="N603" s="17">
        <f>CHOOSE(CONTROL!$C$42, 29.3947, 29.3947) * CHOOSE(CONTROL!$C$21, $C$9, 100%, $E$9)</f>
        <v>29.3947</v>
      </c>
      <c r="O603" s="17">
        <f>CHOOSE(CONTROL!$C$42, 29.5332, 29.5332) * CHOOSE(CONTROL!$C$21, $C$9, 100%, $E$9)</f>
        <v>29.533200000000001</v>
      </c>
      <c r="P603" s="17">
        <f>CHOOSE(CONTROL!$C$42, 29.4896, 29.4896) * CHOOSE(CONTROL!$C$21, $C$9, 100%, $E$9)</f>
        <v>29.489599999999999</v>
      </c>
      <c r="Q603" s="17">
        <f>CHOOSE(CONTROL!$C$42, 30.1279, 30.1279) * CHOOSE(CONTROL!$C$21, $C$9, 100%, $E$9)</f>
        <v>30.1279</v>
      </c>
      <c r="R603" s="17">
        <f>CHOOSE(CONTROL!$C$42, 30.7902, 30.7902) * CHOOSE(CONTROL!$C$21, $C$9, 100%, $E$9)</f>
        <v>30.790199999999999</v>
      </c>
      <c r="S603" s="17">
        <f>CHOOSE(CONTROL!$C$42, 28.7251, 28.7251) * CHOOSE(CONTROL!$C$21, $C$9, 100%, $E$9)</f>
        <v>28.725100000000001</v>
      </c>
      <c r="T603" s="56">
        <f>(((255000*CHOOSE(CONTROL!$C$42, 0.4694, 0.4694)+(750000-255000)*CHOOSE(CONTROL!$C$42, 0.7185, 0.7185)+400000*CHOOSE(CONTROL!$C$42, 1.14, 1.14))*CHOOSE(CONTROL!$C$42, 31, 31))/1000000)+CHOOSE(CONTROL!$C$42, 0.2567, 0.2567)+CHOOSE(CONTROL!$C$42, 0.268, 0.268)</f>
        <v>29.396689500000001</v>
      </c>
      <c r="U603" s="56">
        <f>(1000*CHOOSE(CONTROL!$C$42, 695, 695)*CHOOSE(CONTROL!$C$42, 0.5599, 0.5599)*CHOOSE(CONTROL!$C$42, 31, 31))/1000000</f>
        <v>12.063045499999998</v>
      </c>
      <c r="V603" s="56">
        <f>(1000*CHOOSE(CONTROL!$C$42, 500, 500)*CHOOSE(CONTROL!$C$42, 0.275, 0.275)*CHOOSE(CONTROL!$C$42, 31, 31))/1000000</f>
        <v>4.2625000000000002</v>
      </c>
      <c r="W603" s="56">
        <f>(1000*CHOOSE(CONTROL!$C$42, 0.0916, 0.0916)*CHOOSE(CONTROL!$C$42, 121.5, 121.5)*CHOOSE(CONTROL!$C$42, 31, 31))/1000000</f>
        <v>0.34501139999999997</v>
      </c>
      <c r="X603" s="56">
        <f>(31*0.2374*100000/1000000)</f>
        <v>0.73594000000000004</v>
      </c>
      <c r="Y603" s="56"/>
      <c r="Z603" s="17"/>
      <c r="AA603" s="55"/>
      <c r="AB603" s="48">
        <f>(B603*122.58+C603*297.941+D603*89.177+E603*140.302+F603*40+G603*60+H603*0+I603*100+J603*300)/(122.58+297.941+89.177+140.302+0+40+60+100+300)</f>
        <v>29.67925235252174</v>
      </c>
      <c r="AC603" s="45">
        <f>(M603*'RAP TEMPLATE-GAS AVAILABILITY'!O602+N603*'RAP TEMPLATE-GAS AVAILABILITY'!P602+O603*'RAP TEMPLATE-GAS AVAILABILITY'!Q602+P603*'RAP TEMPLATE-GAS AVAILABILITY'!R602)/('RAP TEMPLATE-GAS AVAILABILITY'!O602+'RAP TEMPLATE-GAS AVAILABILITY'!P602+'RAP TEMPLATE-GAS AVAILABILITY'!Q602+'RAP TEMPLATE-GAS AVAILABILITY'!R602)</f>
        <v>29.46543021582734</v>
      </c>
    </row>
    <row r="604" spans="1:29" ht="15.75" x14ac:dyDescent="0.25">
      <c r="A604" s="13">
        <v>58926</v>
      </c>
      <c r="B604" s="17">
        <f>CHOOSE(CONTROL!$C$42, 29.5448, 29.5448) * CHOOSE(CONTROL!$C$21, $C$9, 100%, $E$9)</f>
        <v>29.544799999999999</v>
      </c>
      <c r="C604" s="17">
        <f>CHOOSE(CONTROL!$C$42, 29.5493, 29.5493) * CHOOSE(CONTROL!$C$21, $C$9, 100%, $E$9)</f>
        <v>29.549299999999999</v>
      </c>
      <c r="D604" s="17">
        <f>CHOOSE(CONTROL!$C$42, 29.8123, 29.8123) * CHOOSE(CONTROL!$C$21, $C$9, 100%, $E$9)</f>
        <v>29.8123</v>
      </c>
      <c r="E604" s="17">
        <f>CHOOSE(CONTROL!$C$42, 29.8441, 29.8441) * CHOOSE(CONTROL!$C$21, $C$9, 100%, $E$9)</f>
        <v>29.844100000000001</v>
      </c>
      <c r="F604" s="17">
        <f>CHOOSE(CONTROL!$C$42, 29.5557, 29.5557)*CHOOSE(CONTROL!$C$21, $C$9, 100%, $E$9)</f>
        <v>29.555700000000002</v>
      </c>
      <c r="G604" s="17">
        <f>CHOOSE(CONTROL!$C$42, 29.5719, 29.5719)*CHOOSE(CONTROL!$C$21, $C$9, 100%, $E$9)</f>
        <v>29.571899999999999</v>
      </c>
      <c r="H604" s="17">
        <f>CHOOSE(CONTROL!$C$42, 29.8336, 29.8336) * CHOOSE(CONTROL!$C$21, $C$9, 100%, $E$9)</f>
        <v>29.833600000000001</v>
      </c>
      <c r="I604" s="17">
        <f>CHOOSE(CONTROL!$C$42, 29.6617, 29.6617)* CHOOSE(CONTROL!$C$21, $C$9, 100%, $E$9)</f>
        <v>29.6617</v>
      </c>
      <c r="J604" s="17">
        <f>CHOOSE(CONTROL!$C$42, 29.5483, 29.5483)* CHOOSE(CONTROL!$C$21, $C$9, 100%, $E$9)</f>
        <v>29.548300000000001</v>
      </c>
      <c r="K604" s="52">
        <f>CHOOSE(CONTROL!$C$42, 29.6557, 29.6557) * CHOOSE(CONTROL!$C$21, $C$9, 100%, $E$9)</f>
        <v>29.6557</v>
      </c>
      <c r="L604" s="17">
        <f>CHOOSE(CONTROL!$C$42, 30.4206, 30.4206) * CHOOSE(CONTROL!$C$21, $C$9, 100%, $E$9)</f>
        <v>30.4206</v>
      </c>
      <c r="M604" s="17">
        <f>CHOOSE(CONTROL!$C$42, 29.2896, 29.2896) * CHOOSE(CONTROL!$C$21, $C$9, 100%, $E$9)</f>
        <v>29.2896</v>
      </c>
      <c r="N604" s="17">
        <f>CHOOSE(CONTROL!$C$42, 29.3056, 29.3056) * CHOOSE(CONTROL!$C$21, $C$9, 100%, $E$9)</f>
        <v>29.305599999999998</v>
      </c>
      <c r="O604" s="17">
        <f>CHOOSE(CONTROL!$C$42, 29.5723, 29.5723) * CHOOSE(CONTROL!$C$21, $C$9, 100%, $E$9)</f>
        <v>29.572299999999998</v>
      </c>
      <c r="P604" s="17">
        <f>CHOOSE(CONTROL!$C$42, 29.4012, 29.4012) * CHOOSE(CONTROL!$C$21, $C$9, 100%, $E$9)</f>
        <v>29.401199999999999</v>
      </c>
      <c r="Q604" s="17">
        <f>CHOOSE(CONTROL!$C$42, 30.167, 30.167) * CHOOSE(CONTROL!$C$21, $C$9, 100%, $E$9)</f>
        <v>30.167000000000002</v>
      </c>
      <c r="R604" s="17">
        <f>CHOOSE(CONTROL!$C$42, 30.8294, 30.8294) * CHOOSE(CONTROL!$C$21, $C$9, 100%, $E$9)</f>
        <v>30.8294</v>
      </c>
      <c r="S604" s="17">
        <f>CHOOSE(CONTROL!$C$42, 28.6393, 28.6393) * CHOOSE(CONTROL!$C$21, $C$9, 100%, $E$9)</f>
        <v>28.639299999999999</v>
      </c>
      <c r="T604" s="56">
        <f>(((280000*CHOOSE(CONTROL!$C$42, 0.4694, 0.4694)+(839000-280000)*CHOOSE(CONTROL!$C$42, 0.7185, 0.7185)+400000*CHOOSE(CONTROL!$C$42, 1.14, 1.14))*CHOOSE(CONTROL!$C$42, 30, 30))/1000000)+CHOOSE(CONTROL!$C$42, 0.2248, 0.2248)+CHOOSE(CONTROL!$C$42, 0.2886, 0.2886)</f>
        <v>30.185604999999999</v>
      </c>
      <c r="U604" s="56">
        <f>(1000*CHOOSE(CONTROL!$C$42, 695, 695)*CHOOSE(CONTROL!$C$42, 0.5599, 0.5599)*CHOOSE(CONTROL!$C$42, 30, 30))/1000000</f>
        <v>11.673914999999997</v>
      </c>
      <c r="V604" s="56">
        <f>(1000*CHOOSE(CONTROL!$C$42, 500, 500)*CHOOSE(CONTROL!$C$42, 0.275, 0.275)*CHOOSE(CONTROL!$C$42, 30, 30))/1000000</f>
        <v>4.125</v>
      </c>
      <c r="W604" s="56">
        <f>(1000*CHOOSE(CONTROL!$C$42, 0.0916, 0.0916)*CHOOSE(CONTROL!$C$42, 121.5, 121.5)*CHOOSE(CONTROL!$C$42, 30, 30))/1000000</f>
        <v>0.33388200000000001</v>
      </c>
      <c r="X604" s="56">
        <f>(30*0.1790888*145000/1000000)+(30*0.2374*100000/1000000)</f>
        <v>1.4912362799999999</v>
      </c>
      <c r="Y604" s="56"/>
      <c r="Z604" s="17"/>
      <c r="AA604" s="55"/>
      <c r="AB604" s="48">
        <f>(B604*141.293+C604*267.993+D604*115.016+E604*189.698+F604*40+G604*85+H604*0+I604*100+J604*300)/(141.293+267.993+115.016+189.698+0+40+85+100+300)</f>
        <v>29.628923373607744</v>
      </c>
      <c r="AC604" s="45">
        <f>(M604*'RAP TEMPLATE-GAS AVAILABILITY'!O603+N604*'RAP TEMPLATE-GAS AVAILABILITY'!P603+O604*'RAP TEMPLATE-GAS AVAILABILITY'!Q603+P604*'RAP TEMPLATE-GAS AVAILABILITY'!R603)/('RAP TEMPLATE-GAS AVAILABILITY'!O603+'RAP TEMPLATE-GAS AVAILABILITY'!P603+'RAP TEMPLATE-GAS AVAILABILITY'!Q603+'RAP TEMPLATE-GAS AVAILABILITY'!R603)</f>
        <v>29.388659712230215</v>
      </c>
    </row>
    <row r="605" spans="1:29" ht="15.75" x14ac:dyDescent="0.25">
      <c r="A605" s="13">
        <v>58957</v>
      </c>
      <c r="B605" s="17">
        <f>CHOOSE(CONTROL!$C$42, 29.8068, 29.8068) * CHOOSE(CONTROL!$C$21, $C$9, 100%, $E$9)</f>
        <v>29.806799999999999</v>
      </c>
      <c r="C605" s="17">
        <f>CHOOSE(CONTROL!$C$42, 29.8148, 29.8148) * CHOOSE(CONTROL!$C$21, $C$9, 100%, $E$9)</f>
        <v>29.814800000000002</v>
      </c>
      <c r="D605" s="17">
        <f>CHOOSE(CONTROL!$C$42, 30.0747, 30.0747) * CHOOSE(CONTROL!$C$21, $C$9, 100%, $E$9)</f>
        <v>30.0747</v>
      </c>
      <c r="E605" s="17">
        <f>CHOOSE(CONTROL!$C$42, 30.1059, 30.1059) * CHOOSE(CONTROL!$C$21, $C$9, 100%, $E$9)</f>
        <v>30.105899999999998</v>
      </c>
      <c r="F605" s="17">
        <f>CHOOSE(CONTROL!$C$42, 29.8165, 29.8165)*CHOOSE(CONTROL!$C$21, $C$9, 100%, $E$9)</f>
        <v>29.816500000000001</v>
      </c>
      <c r="G605" s="17">
        <f>CHOOSE(CONTROL!$C$42, 29.833, 29.833)*CHOOSE(CONTROL!$C$21, $C$9, 100%, $E$9)</f>
        <v>29.832999999999998</v>
      </c>
      <c r="H605" s="17">
        <f>CHOOSE(CONTROL!$C$42, 30.0942, 30.0942) * CHOOSE(CONTROL!$C$21, $C$9, 100%, $E$9)</f>
        <v>30.094200000000001</v>
      </c>
      <c r="I605" s="17">
        <f>CHOOSE(CONTROL!$C$42, 29.9232, 29.9232)* CHOOSE(CONTROL!$C$21, $C$9, 100%, $E$9)</f>
        <v>29.923200000000001</v>
      </c>
      <c r="J605" s="17">
        <f>CHOOSE(CONTROL!$C$42, 29.8091, 29.8091)* CHOOSE(CONTROL!$C$21, $C$9, 100%, $E$9)</f>
        <v>29.809100000000001</v>
      </c>
      <c r="K605" s="52">
        <f>CHOOSE(CONTROL!$C$42, 29.9171, 29.9171) * CHOOSE(CONTROL!$C$21, $C$9, 100%, $E$9)</f>
        <v>29.917100000000001</v>
      </c>
      <c r="L605" s="17">
        <f>CHOOSE(CONTROL!$C$42, 30.6812, 30.6812) * CHOOSE(CONTROL!$C$21, $C$9, 100%, $E$9)</f>
        <v>30.6812</v>
      </c>
      <c r="M605" s="17">
        <f>CHOOSE(CONTROL!$C$42, 29.548, 29.548) * CHOOSE(CONTROL!$C$21, $C$9, 100%, $E$9)</f>
        <v>29.547999999999998</v>
      </c>
      <c r="N605" s="17">
        <f>CHOOSE(CONTROL!$C$42, 29.5643, 29.5643) * CHOOSE(CONTROL!$C$21, $C$9, 100%, $E$9)</f>
        <v>29.564299999999999</v>
      </c>
      <c r="O605" s="17">
        <f>CHOOSE(CONTROL!$C$42, 29.8306, 29.8306) * CHOOSE(CONTROL!$C$21, $C$9, 100%, $E$9)</f>
        <v>29.8306</v>
      </c>
      <c r="P605" s="17">
        <f>CHOOSE(CONTROL!$C$42, 29.6603, 29.6603) * CHOOSE(CONTROL!$C$21, $C$9, 100%, $E$9)</f>
        <v>29.660299999999999</v>
      </c>
      <c r="Q605" s="17">
        <f>CHOOSE(CONTROL!$C$42, 30.4253, 30.4253) * CHOOSE(CONTROL!$C$21, $C$9, 100%, $E$9)</f>
        <v>30.4253</v>
      </c>
      <c r="R605" s="17">
        <f>CHOOSE(CONTROL!$C$42, 31.0884, 31.0884) * CHOOSE(CONTROL!$C$21, $C$9, 100%, $E$9)</f>
        <v>31.0884</v>
      </c>
      <c r="S605" s="17">
        <f>CHOOSE(CONTROL!$C$42, 28.8921, 28.8921) * CHOOSE(CONTROL!$C$21, $C$9, 100%, $E$9)</f>
        <v>28.892099999999999</v>
      </c>
      <c r="T605" s="56">
        <f>((((430000*CHOOSE(CONTROL!$C$42, 0.4694, 0.4694)+(874000-430000)*CHOOSE(CONTROL!$C$42, 0.7185, 0.7185)+400000*CHOOSE(CONTROL!$C$42, 1.14, 1.14))*CHOOSE(CONTROL!$C$42, 31, 31))/1000000))+CHOOSE(CONTROL!$C$42, 0.188, 0.188)+CHOOSE(CONTROL!$C$42, 0.5154, 0.5154)</f>
        <v>30.985935999999999</v>
      </c>
      <c r="U605" s="56">
        <f>(1000*CHOOSE(CONTROL!$C$42, 695, 695)*CHOOSE(CONTROL!$C$42, 0.5599, 0.5599)*CHOOSE(CONTROL!$C$42, 31, 31))/1000000</f>
        <v>12.063045499999998</v>
      </c>
      <c r="V605" s="56">
        <f>(1000*CHOOSE(CONTROL!$C$42, 500, 500)*CHOOSE(CONTROL!$C$42, 0.275, 0.275)*CHOOSE(CONTROL!$C$42, 31, 31))/1000000</f>
        <v>4.2625000000000002</v>
      </c>
      <c r="W605" s="56">
        <f>(1000*CHOOSE(CONTROL!$C$42, 0.0916, 0.0916)*CHOOSE(CONTROL!$C$42, 121.5, 121.5)*CHOOSE(CONTROL!$C$42, 31, 31))/1000000</f>
        <v>0.34501139999999997</v>
      </c>
      <c r="X605" s="56">
        <f>(31*0.1790888*145000/1000000)+(31*0.2374*100000/1000000)</f>
        <v>1.5409441560000001</v>
      </c>
      <c r="Y605" s="56"/>
      <c r="Z605" s="17"/>
      <c r="AA605" s="55"/>
      <c r="AB605" s="48">
        <f>(B605*194.205+C605*267.466+D605*133.845+E605*153.484+F605*40+G605*85+H605*0+I605*100+J605*300)/(194.205+267.466+133.845+153.484+0+40+85+100+300)</f>
        <v>29.884389378257456</v>
      </c>
      <c r="AC605" s="45">
        <f>(M605*'RAP TEMPLATE-GAS AVAILABILITY'!O604+N605*'RAP TEMPLATE-GAS AVAILABILITY'!P604+O605*'RAP TEMPLATE-GAS AVAILABILITY'!Q604+P605*'RAP TEMPLATE-GAS AVAILABILITY'!R604)/('RAP TEMPLATE-GAS AVAILABILITY'!O604+'RAP TEMPLATE-GAS AVAILABILITY'!P604+'RAP TEMPLATE-GAS AVAILABILITY'!Q604+'RAP TEMPLATE-GAS AVAILABILITY'!R604)</f>
        <v>29.647201438848917</v>
      </c>
    </row>
    <row r="606" spans="1:29" ht="15.75" x14ac:dyDescent="0.25">
      <c r="A606" s="13">
        <v>58987</v>
      </c>
      <c r="B606" s="17">
        <f>CHOOSE(CONTROL!$C$42, 30.652, 30.652) * CHOOSE(CONTROL!$C$21, $C$9, 100%, $E$9)</f>
        <v>30.652000000000001</v>
      </c>
      <c r="C606" s="17">
        <f>CHOOSE(CONTROL!$C$42, 30.66, 30.66) * CHOOSE(CONTROL!$C$21, $C$9, 100%, $E$9)</f>
        <v>30.66</v>
      </c>
      <c r="D606" s="17">
        <f>CHOOSE(CONTROL!$C$42, 30.9199, 30.9199) * CHOOSE(CONTROL!$C$21, $C$9, 100%, $E$9)</f>
        <v>30.919899999999998</v>
      </c>
      <c r="E606" s="17">
        <f>CHOOSE(CONTROL!$C$42, 30.9511, 30.9511) * CHOOSE(CONTROL!$C$21, $C$9, 100%, $E$9)</f>
        <v>30.9511</v>
      </c>
      <c r="F606" s="17">
        <f>CHOOSE(CONTROL!$C$42, 30.6619, 30.6619)*CHOOSE(CONTROL!$C$21, $C$9, 100%, $E$9)</f>
        <v>30.661899999999999</v>
      </c>
      <c r="G606" s="17">
        <f>CHOOSE(CONTROL!$C$42, 30.6785, 30.6785)*CHOOSE(CONTROL!$C$21, $C$9, 100%, $E$9)</f>
        <v>30.6785</v>
      </c>
      <c r="H606" s="17">
        <f>CHOOSE(CONTROL!$C$42, 30.9394, 30.9394) * CHOOSE(CONTROL!$C$21, $C$9, 100%, $E$9)</f>
        <v>30.939399999999999</v>
      </c>
      <c r="I606" s="17">
        <f>CHOOSE(CONTROL!$C$42, 30.7709, 30.7709)* CHOOSE(CONTROL!$C$21, $C$9, 100%, $E$9)</f>
        <v>30.770900000000001</v>
      </c>
      <c r="J606" s="17">
        <f>CHOOSE(CONTROL!$C$42, 30.6545, 30.6545)* CHOOSE(CONTROL!$C$21, $C$9, 100%, $E$9)</f>
        <v>30.654499999999999</v>
      </c>
      <c r="K606" s="52">
        <f>CHOOSE(CONTROL!$C$42, 30.7649, 30.7649) * CHOOSE(CONTROL!$C$21, $C$9, 100%, $E$9)</f>
        <v>30.764900000000001</v>
      </c>
      <c r="L606" s="17">
        <f>CHOOSE(CONTROL!$C$42, 31.5264, 31.5264) * CHOOSE(CONTROL!$C$21, $C$9, 100%, $E$9)</f>
        <v>31.526399999999999</v>
      </c>
      <c r="M606" s="17">
        <f>CHOOSE(CONTROL!$C$42, 30.3858, 30.3858) * CHOOSE(CONTROL!$C$21, $C$9, 100%, $E$9)</f>
        <v>30.3858</v>
      </c>
      <c r="N606" s="17">
        <f>CHOOSE(CONTROL!$C$42, 30.4022, 30.4022) * CHOOSE(CONTROL!$C$21, $C$9, 100%, $E$9)</f>
        <v>30.402200000000001</v>
      </c>
      <c r="O606" s="17">
        <f>CHOOSE(CONTROL!$C$42, 30.6681, 30.6681) * CHOOSE(CONTROL!$C$21, $C$9, 100%, $E$9)</f>
        <v>30.668099999999999</v>
      </c>
      <c r="P606" s="17">
        <f>CHOOSE(CONTROL!$C$42, 30.5004, 30.5004) * CHOOSE(CONTROL!$C$21, $C$9, 100%, $E$9)</f>
        <v>30.500399999999999</v>
      </c>
      <c r="Q606" s="17">
        <f>CHOOSE(CONTROL!$C$42, 31.2628, 31.2628) * CHOOSE(CONTROL!$C$21, $C$9, 100%, $E$9)</f>
        <v>31.262799999999999</v>
      </c>
      <c r="R606" s="17">
        <f>CHOOSE(CONTROL!$C$42, 31.928, 31.928) * CHOOSE(CONTROL!$C$21, $C$9, 100%, $E$9)</f>
        <v>31.928000000000001</v>
      </c>
      <c r="S606" s="17">
        <f>CHOOSE(CONTROL!$C$42, 29.7116, 29.7116) * CHOOSE(CONTROL!$C$21, $C$9, 100%, $E$9)</f>
        <v>29.711600000000001</v>
      </c>
      <c r="T606" s="56">
        <f>((((430000*CHOOSE(CONTROL!$C$42, 0.4694, 0.4694)+(874000-430000)*CHOOSE(CONTROL!$C$42, 0.7185, 0.7185)+400000*CHOOSE(CONTROL!$C$42, 1.14, 1.14))*CHOOSE(CONTROL!$C$42, 30, 30))/1000000))+CHOOSE(CONTROL!$C$42, 0.1616, 0.1616)+CHOOSE(CONTROL!$C$42, 0.5074, 0.5074)</f>
        <v>29.974679999999999</v>
      </c>
      <c r="U606" s="56">
        <f>(1000*CHOOSE(CONTROL!$C$42, 695, 695)*CHOOSE(CONTROL!$C$42, 0.5599, 0.5599)*CHOOSE(CONTROL!$C$42, 30, 30))/1000000</f>
        <v>11.673914999999997</v>
      </c>
      <c r="V606" s="56">
        <f>(1000*CHOOSE(CONTROL!$C$42, 500, 500)*CHOOSE(CONTROL!$C$42, 0.275, 0.275)*CHOOSE(CONTROL!$C$42, 30, 30))/1000000</f>
        <v>4.125</v>
      </c>
      <c r="W606" s="56">
        <f>(1000*CHOOSE(CONTROL!$C$42, 0.0916, 0.0916)*CHOOSE(CONTROL!$C$42, 121.5, 121.5)*CHOOSE(CONTROL!$C$42, 30, 30))/1000000</f>
        <v>0.33388200000000001</v>
      </c>
      <c r="X606" s="56">
        <f>(30*0.1790888*145000/1000000)+(30*0.2374*100000/1000000)</f>
        <v>1.4912362799999999</v>
      </c>
      <c r="Y606" s="56"/>
      <c r="Z606" s="17"/>
      <c r="AA606" s="55"/>
      <c r="AB606" s="48">
        <f>(B606*194.205+C606*267.466+D606*133.845+E606*153.484+F606*40+G606*85+H606*0+I606*100+J606*300)/(194.205+267.466+133.845+153.484+0+40+85+100+300)</f>
        <v>30.729859001491363</v>
      </c>
      <c r="AC606" s="45">
        <f>(M606*'RAP TEMPLATE-GAS AVAILABILITY'!O605+N606*'RAP TEMPLATE-GAS AVAILABILITY'!P605+O606*'RAP TEMPLATE-GAS AVAILABILITY'!Q605+P606*'RAP TEMPLATE-GAS AVAILABILITY'!R605)/('RAP TEMPLATE-GAS AVAILABILITY'!O605+'RAP TEMPLATE-GAS AVAILABILITY'!P605+'RAP TEMPLATE-GAS AVAILABILITY'!Q605+'RAP TEMPLATE-GAS AVAILABILITY'!R605)</f>
        <v>30.485271223021584</v>
      </c>
    </row>
    <row r="607" spans="1:29" ht="15.75" x14ac:dyDescent="0.25">
      <c r="A607" s="13">
        <v>59018</v>
      </c>
      <c r="B607" s="17">
        <f>CHOOSE(CONTROL!$C$42, 30.0642, 30.0642) * CHOOSE(CONTROL!$C$21, $C$9, 100%, $E$9)</f>
        <v>30.0642</v>
      </c>
      <c r="C607" s="17">
        <f>CHOOSE(CONTROL!$C$42, 30.0721, 30.0721) * CHOOSE(CONTROL!$C$21, $C$9, 100%, $E$9)</f>
        <v>30.072099999999999</v>
      </c>
      <c r="D607" s="17">
        <f>CHOOSE(CONTROL!$C$42, 30.3321, 30.3321) * CHOOSE(CONTROL!$C$21, $C$9, 100%, $E$9)</f>
        <v>30.332100000000001</v>
      </c>
      <c r="E607" s="17">
        <f>CHOOSE(CONTROL!$C$42, 30.3633, 30.3633) * CHOOSE(CONTROL!$C$21, $C$9, 100%, $E$9)</f>
        <v>30.363299999999999</v>
      </c>
      <c r="F607" s="17">
        <f>CHOOSE(CONTROL!$C$42, 30.0746, 30.0746)*CHOOSE(CONTROL!$C$21, $C$9, 100%, $E$9)</f>
        <v>30.0746</v>
      </c>
      <c r="G607" s="17">
        <f>CHOOSE(CONTROL!$C$42, 30.0912, 30.0912)*CHOOSE(CONTROL!$C$21, $C$9, 100%, $E$9)</f>
        <v>30.091200000000001</v>
      </c>
      <c r="H607" s="17">
        <f>CHOOSE(CONTROL!$C$42, 30.3516, 30.3516) * CHOOSE(CONTROL!$C$21, $C$9, 100%, $E$9)</f>
        <v>30.351600000000001</v>
      </c>
      <c r="I607" s="17">
        <f>CHOOSE(CONTROL!$C$42, 30.1813, 30.1813)* CHOOSE(CONTROL!$C$21, $C$9, 100%, $E$9)</f>
        <v>30.1813</v>
      </c>
      <c r="J607" s="17">
        <f>CHOOSE(CONTROL!$C$42, 30.0672, 30.0672)* CHOOSE(CONTROL!$C$21, $C$9, 100%, $E$9)</f>
        <v>30.0672</v>
      </c>
      <c r="K607" s="52">
        <f>CHOOSE(CONTROL!$C$42, 30.1753, 30.1753) * CHOOSE(CONTROL!$C$21, $C$9, 100%, $E$9)</f>
        <v>30.1753</v>
      </c>
      <c r="L607" s="17">
        <f>CHOOSE(CONTROL!$C$42, 30.9386, 30.9386) * CHOOSE(CONTROL!$C$21, $C$9, 100%, $E$9)</f>
        <v>30.938600000000001</v>
      </c>
      <c r="M607" s="17">
        <f>CHOOSE(CONTROL!$C$42, 29.8038, 29.8038) * CHOOSE(CONTROL!$C$21, $C$9, 100%, $E$9)</f>
        <v>29.803799999999999</v>
      </c>
      <c r="N607" s="17">
        <f>CHOOSE(CONTROL!$C$42, 29.8202, 29.8202) * CHOOSE(CONTROL!$C$21, $C$9, 100%, $E$9)</f>
        <v>29.8202</v>
      </c>
      <c r="O607" s="17">
        <f>CHOOSE(CONTROL!$C$42, 30.0856, 30.0856) * CHOOSE(CONTROL!$C$21, $C$9, 100%, $E$9)</f>
        <v>30.085599999999999</v>
      </c>
      <c r="P607" s="17">
        <f>CHOOSE(CONTROL!$C$42, 29.9161, 29.9161) * CHOOSE(CONTROL!$C$21, $C$9, 100%, $E$9)</f>
        <v>29.9161</v>
      </c>
      <c r="Q607" s="17">
        <f>CHOOSE(CONTROL!$C$42, 30.6803, 30.6803) * CHOOSE(CONTROL!$C$21, $C$9, 100%, $E$9)</f>
        <v>30.680299999999999</v>
      </c>
      <c r="R607" s="17">
        <f>CHOOSE(CONTROL!$C$42, 31.344, 31.344) * CHOOSE(CONTROL!$C$21, $C$9, 100%, $E$9)</f>
        <v>31.344000000000001</v>
      </c>
      <c r="S607" s="17">
        <f>CHOOSE(CONTROL!$C$42, 29.1416, 29.1416) * CHOOSE(CONTROL!$C$21, $C$9, 100%, $E$9)</f>
        <v>29.1416</v>
      </c>
      <c r="T607" s="56">
        <f>((((430000*CHOOSE(CONTROL!$C$42, 0.4694, 0.4694)+(874000-430000)*CHOOSE(CONTROL!$C$42, 0.7185, 0.7185)+400000*CHOOSE(CONTROL!$C$42, 1.14, 1.14))*CHOOSE(CONTROL!$C$42, 31, 31))/1000000))+CHOOSE(CONTROL!$C$42, 0.1555, 0.1555)+CHOOSE(CONTROL!$C$42, 0.5217, 0.5217)</f>
        <v>30.959735999999999</v>
      </c>
      <c r="U607" s="56">
        <f>(1000*CHOOSE(CONTROL!$C$42, 695, 695)*CHOOSE(CONTROL!$C$42, 0.5599, 0.5599)*CHOOSE(CONTROL!$C$42, 31, 31))/1000000</f>
        <v>12.063045499999998</v>
      </c>
      <c r="V607" s="56">
        <f>(1000*CHOOSE(CONTROL!$C$42, 500, 500)*CHOOSE(CONTROL!$C$42, 0.275, 0.275)*CHOOSE(CONTROL!$C$42, 31, 31))/1000000</f>
        <v>4.2625000000000002</v>
      </c>
      <c r="W607" s="56">
        <f>(1000*CHOOSE(CONTROL!$C$42, 0.0916, 0.0916)*CHOOSE(CONTROL!$C$42, 121.5, 121.5)*CHOOSE(CONTROL!$C$42, 31, 31))/1000000</f>
        <v>0.34501139999999997</v>
      </c>
      <c r="X607" s="56">
        <f>(31*0.1790888*145000/1000000)+(31*0.2374*100000/1000000)</f>
        <v>1.5409441560000001</v>
      </c>
      <c r="Y607" s="56"/>
      <c r="Z607" s="17"/>
      <c r="AA607" s="55"/>
      <c r="AB607" s="48">
        <f>(B607*194.205+C607*267.466+D607*133.845+E607*153.484+F607*40+G607*85+H607*0+I607*100+J607*300)/(194.205+267.466+133.845+153.484+0+40+85+100+300)</f>
        <v>30.142063517503924</v>
      </c>
      <c r="AC607" s="45">
        <f>(M607*'RAP TEMPLATE-GAS AVAILABILITY'!O606+N607*'RAP TEMPLATE-GAS AVAILABILITY'!P606+O607*'RAP TEMPLATE-GAS AVAILABILITY'!Q606+P607*'RAP TEMPLATE-GAS AVAILABILITY'!R606)/('RAP TEMPLATE-GAS AVAILABILITY'!O606+'RAP TEMPLATE-GAS AVAILABILITY'!P606+'RAP TEMPLATE-GAS AVAILABILITY'!Q606+'RAP TEMPLATE-GAS AVAILABILITY'!R606)</f>
        <v>29.902799999999999</v>
      </c>
    </row>
    <row r="608" spans="1:29" ht="15.75" x14ac:dyDescent="0.25">
      <c r="A608" s="13">
        <v>59049</v>
      </c>
      <c r="B608" s="17">
        <f>CHOOSE(CONTROL!$C$42, 28.5798, 28.5798) * CHOOSE(CONTROL!$C$21, $C$9, 100%, $E$9)</f>
        <v>28.579799999999999</v>
      </c>
      <c r="C608" s="17">
        <f>CHOOSE(CONTROL!$C$42, 28.5878, 28.5878) * CHOOSE(CONTROL!$C$21, $C$9, 100%, $E$9)</f>
        <v>28.587800000000001</v>
      </c>
      <c r="D608" s="17">
        <f>CHOOSE(CONTROL!$C$42, 28.8477, 28.8477) * CHOOSE(CONTROL!$C$21, $C$9, 100%, $E$9)</f>
        <v>28.8477</v>
      </c>
      <c r="E608" s="17">
        <f>CHOOSE(CONTROL!$C$42, 28.8789, 28.8789) * CHOOSE(CONTROL!$C$21, $C$9, 100%, $E$9)</f>
        <v>28.878900000000002</v>
      </c>
      <c r="F608" s="17">
        <f>CHOOSE(CONTROL!$C$42, 28.5904, 28.5904)*CHOOSE(CONTROL!$C$21, $C$9, 100%, $E$9)</f>
        <v>28.590399999999999</v>
      </c>
      <c r="G608" s="17">
        <f>CHOOSE(CONTROL!$C$42, 28.6071, 28.6071)*CHOOSE(CONTROL!$C$21, $C$9, 100%, $E$9)</f>
        <v>28.607099999999999</v>
      </c>
      <c r="H608" s="17">
        <f>CHOOSE(CONTROL!$C$42, 28.8672, 28.8672) * CHOOSE(CONTROL!$C$21, $C$9, 100%, $E$9)</f>
        <v>28.8672</v>
      </c>
      <c r="I608" s="17">
        <f>CHOOSE(CONTROL!$C$42, 28.6923, 28.6923)* CHOOSE(CONTROL!$C$21, $C$9, 100%, $E$9)</f>
        <v>28.692299999999999</v>
      </c>
      <c r="J608" s="17">
        <f>CHOOSE(CONTROL!$C$42, 28.583, 28.583)* CHOOSE(CONTROL!$C$21, $C$9, 100%, $E$9)</f>
        <v>28.582999999999998</v>
      </c>
      <c r="K608" s="52">
        <f>CHOOSE(CONTROL!$C$42, 28.6863, 28.6863) * CHOOSE(CONTROL!$C$21, $C$9, 100%, $E$9)</f>
        <v>28.686299999999999</v>
      </c>
      <c r="L608" s="17">
        <f>CHOOSE(CONTROL!$C$42, 29.4542, 29.4542) * CHOOSE(CONTROL!$C$21, $C$9, 100%, $E$9)</f>
        <v>29.4542</v>
      </c>
      <c r="M608" s="17">
        <f>CHOOSE(CONTROL!$C$42, 28.3329, 28.3329) * CHOOSE(CONTROL!$C$21, $C$9, 100%, $E$9)</f>
        <v>28.332899999999999</v>
      </c>
      <c r="N608" s="17">
        <f>CHOOSE(CONTROL!$C$42, 28.3495, 28.3495) * CHOOSE(CONTROL!$C$21, $C$9, 100%, $E$9)</f>
        <v>28.349499999999999</v>
      </c>
      <c r="O608" s="17">
        <f>CHOOSE(CONTROL!$C$42, 28.6146, 28.6146) * CHOOSE(CONTROL!$C$21, $C$9, 100%, $E$9)</f>
        <v>28.614599999999999</v>
      </c>
      <c r="P608" s="17">
        <f>CHOOSE(CONTROL!$C$42, 28.4405, 28.4405) * CHOOSE(CONTROL!$C$21, $C$9, 100%, $E$9)</f>
        <v>28.4405</v>
      </c>
      <c r="Q608" s="17">
        <f>CHOOSE(CONTROL!$C$42, 29.2093, 29.2093) * CHOOSE(CONTROL!$C$21, $C$9, 100%, $E$9)</f>
        <v>29.209299999999999</v>
      </c>
      <c r="R608" s="17">
        <f>CHOOSE(CONTROL!$C$42, 29.8693, 29.8693) * CHOOSE(CONTROL!$C$21, $C$9, 100%, $E$9)</f>
        <v>29.869299999999999</v>
      </c>
      <c r="S608" s="17">
        <f>CHOOSE(CONTROL!$C$42, 27.7022, 27.7022) * CHOOSE(CONTROL!$C$21, $C$9, 100%, $E$9)</f>
        <v>27.702200000000001</v>
      </c>
      <c r="T608" s="56">
        <f>((((430000*CHOOSE(CONTROL!$C$42, 0.4694, 0.4694)+(874000-430000)*CHOOSE(CONTROL!$C$42, 0.7185, 0.7185)+400000*CHOOSE(CONTROL!$C$42, 1.14, 1.14))*CHOOSE(CONTROL!$C$42, 31, 31))/1000000))+CHOOSE(CONTROL!$C$42, 0.1911, 0.1911)+CHOOSE(CONTROL!$C$42, 0.5131, 0.5131)</f>
        <v>30.986736000000001</v>
      </c>
      <c r="U608" s="56">
        <f>(1000*CHOOSE(CONTROL!$C$42, 695, 695)*CHOOSE(CONTROL!$C$42, 0.5599, 0.5599)*CHOOSE(CONTROL!$C$42, 31, 31))/1000000</f>
        <v>12.063045499999998</v>
      </c>
      <c r="V608" s="56">
        <f>(1000*CHOOSE(CONTROL!$C$42, 500, 500)*CHOOSE(CONTROL!$C$42, 0.275, 0.275)*CHOOSE(CONTROL!$C$42, 31, 31))/1000000</f>
        <v>4.2625000000000002</v>
      </c>
      <c r="W608" s="56">
        <f>(1000*CHOOSE(CONTROL!$C$42, 0.0916, 0.0916)*CHOOSE(CONTROL!$C$42, 121.5, 121.5)*CHOOSE(CONTROL!$C$42, 31, 31))/1000000</f>
        <v>0.34501139999999997</v>
      </c>
      <c r="X608" s="56">
        <f>(31*0.1790888*145000/1000000)+(31*0.2374*100000/1000000)</f>
        <v>1.5409441560000001</v>
      </c>
      <c r="Y608" s="56"/>
      <c r="Z608" s="17"/>
      <c r="AA608" s="55"/>
      <c r="AB608" s="48">
        <f>(B608*194.205+C608*267.466+D608*133.845+E608*153.484+F608*40+G608*85+H608*0+I608*100+J608*300)/(194.205+267.466+133.845+153.484+0+40+85+100+300)</f>
        <v>28.657396835086345</v>
      </c>
      <c r="AC608" s="45">
        <f>(M608*'RAP TEMPLATE-GAS AVAILABILITY'!O607+N608*'RAP TEMPLATE-GAS AVAILABILITY'!P607+O608*'RAP TEMPLATE-GAS AVAILABILITY'!Q607+P608*'RAP TEMPLATE-GAS AVAILABILITY'!R607)/('RAP TEMPLATE-GAS AVAILABILITY'!O607+'RAP TEMPLATE-GAS AVAILABILITY'!P607+'RAP TEMPLATE-GAS AVAILABILITY'!Q607+'RAP TEMPLATE-GAS AVAILABILITY'!R607)</f>
        <v>28.431241726618705</v>
      </c>
    </row>
    <row r="609" spans="1:29" ht="15.75" x14ac:dyDescent="0.25">
      <c r="A609" s="13">
        <v>59079</v>
      </c>
      <c r="B609" s="17">
        <f>CHOOSE(CONTROL!$C$42, 26.7658, 26.7658) * CHOOSE(CONTROL!$C$21, $C$9, 100%, $E$9)</f>
        <v>26.765799999999999</v>
      </c>
      <c r="C609" s="17">
        <f>CHOOSE(CONTROL!$C$42, 26.7738, 26.7738) * CHOOSE(CONTROL!$C$21, $C$9, 100%, $E$9)</f>
        <v>26.773800000000001</v>
      </c>
      <c r="D609" s="17">
        <f>CHOOSE(CONTROL!$C$42, 27.0338, 27.0338) * CHOOSE(CONTROL!$C$21, $C$9, 100%, $E$9)</f>
        <v>27.033799999999999</v>
      </c>
      <c r="E609" s="17">
        <f>CHOOSE(CONTROL!$C$42, 27.0649, 27.0649) * CHOOSE(CONTROL!$C$21, $C$9, 100%, $E$9)</f>
        <v>27.064900000000002</v>
      </c>
      <c r="F609" s="17">
        <f>CHOOSE(CONTROL!$C$42, 26.7765, 26.7765)*CHOOSE(CONTROL!$C$21, $C$9, 100%, $E$9)</f>
        <v>26.776499999999999</v>
      </c>
      <c r="G609" s="17">
        <f>CHOOSE(CONTROL!$C$42, 26.7932, 26.7932)*CHOOSE(CONTROL!$C$21, $C$9, 100%, $E$9)</f>
        <v>26.793199999999999</v>
      </c>
      <c r="H609" s="17">
        <f>CHOOSE(CONTROL!$C$42, 27.0533, 27.0533) * CHOOSE(CONTROL!$C$21, $C$9, 100%, $E$9)</f>
        <v>27.0533</v>
      </c>
      <c r="I609" s="17">
        <f>CHOOSE(CONTROL!$C$42, 26.8728, 26.8728)* CHOOSE(CONTROL!$C$21, $C$9, 100%, $E$9)</f>
        <v>26.872800000000002</v>
      </c>
      <c r="J609" s="17">
        <f>CHOOSE(CONTROL!$C$42, 26.7691, 26.7691)* CHOOSE(CONTROL!$C$21, $C$9, 100%, $E$9)</f>
        <v>26.769100000000002</v>
      </c>
      <c r="K609" s="52">
        <f>CHOOSE(CONTROL!$C$42, 26.8667, 26.8667) * CHOOSE(CONTROL!$C$21, $C$9, 100%, $E$9)</f>
        <v>26.866700000000002</v>
      </c>
      <c r="L609" s="17">
        <f>CHOOSE(CONTROL!$C$42, 27.6403, 27.6403) * CHOOSE(CONTROL!$C$21, $C$9, 100%, $E$9)</f>
        <v>27.6403</v>
      </c>
      <c r="M609" s="17">
        <f>CHOOSE(CONTROL!$C$42, 26.5353, 26.5353) * CHOOSE(CONTROL!$C$21, $C$9, 100%, $E$9)</f>
        <v>26.535299999999999</v>
      </c>
      <c r="N609" s="17">
        <f>CHOOSE(CONTROL!$C$42, 26.5519, 26.5519) * CHOOSE(CONTROL!$C$21, $C$9, 100%, $E$9)</f>
        <v>26.5519</v>
      </c>
      <c r="O609" s="17">
        <f>CHOOSE(CONTROL!$C$42, 26.817, 26.817) * CHOOSE(CONTROL!$C$21, $C$9, 100%, $E$9)</f>
        <v>26.817</v>
      </c>
      <c r="P609" s="17">
        <f>CHOOSE(CONTROL!$C$42, 26.6374, 26.6374) * CHOOSE(CONTROL!$C$21, $C$9, 100%, $E$9)</f>
        <v>26.6374</v>
      </c>
      <c r="Q609" s="17">
        <f>CHOOSE(CONTROL!$C$42, 27.4117, 27.4117) * CHOOSE(CONTROL!$C$21, $C$9, 100%, $E$9)</f>
        <v>27.4117</v>
      </c>
      <c r="R609" s="17">
        <f>CHOOSE(CONTROL!$C$42, 28.0672, 28.0672) * CHOOSE(CONTROL!$C$21, $C$9, 100%, $E$9)</f>
        <v>28.0672</v>
      </c>
      <c r="S609" s="17">
        <f>CHOOSE(CONTROL!$C$42, 25.9433, 25.9433) * CHOOSE(CONTROL!$C$21, $C$9, 100%, $E$9)</f>
        <v>25.943300000000001</v>
      </c>
      <c r="T609" s="56">
        <f>((((430000*CHOOSE(CONTROL!$C$42, 0.4694, 0.4694)+(874000-430000)*CHOOSE(CONTROL!$C$42, 0.7185, 0.7185)+400000*CHOOSE(CONTROL!$C$42, 1.14, 1.14))*CHOOSE(CONTROL!$C$42, 30, 30))/1000000))+CHOOSE(CONTROL!$C$42, 0.1717, 0.1717)+CHOOSE(CONTROL!$C$42, 0.4923, 0.4923)</f>
        <v>29.96968</v>
      </c>
      <c r="U609" s="56">
        <f>(1000*CHOOSE(CONTROL!$C$42, 695, 695)*CHOOSE(CONTROL!$C$42, 0.5599, 0.5599)*CHOOSE(CONTROL!$C$42, 30, 30))/1000000</f>
        <v>11.673914999999997</v>
      </c>
      <c r="V609" s="56">
        <f>(1000*CHOOSE(CONTROL!$C$42, 500, 500)*CHOOSE(CONTROL!$C$42, 0.275, 0.275)*CHOOSE(CONTROL!$C$42, 30, 30))/1000000</f>
        <v>4.125</v>
      </c>
      <c r="W609" s="56">
        <f>(1000*CHOOSE(CONTROL!$C$42, 0.0916, 0.0916)*CHOOSE(CONTROL!$C$42, 121.5, 121.5)*CHOOSE(CONTROL!$C$42, 30, 30))/1000000</f>
        <v>0.33388200000000001</v>
      </c>
      <c r="X609" s="56">
        <f>(30*0.1790888*145000/1000000)+(30*0.2374*100000/1000000)</f>
        <v>1.4912362799999999</v>
      </c>
      <c r="Y609" s="56"/>
      <c r="Z609" s="17"/>
      <c r="AA609" s="55"/>
      <c r="AB609" s="48">
        <f>(B609*194.205+C609*267.466+D609*133.845+E609*153.484+F609*40+G609*85+H609*0+I609*100+J609*300)/(194.205+267.466+133.845+153.484+0+40+85+100+300)</f>
        <v>26.843008989324961</v>
      </c>
      <c r="AC609" s="45">
        <f>(M609*'RAP TEMPLATE-GAS AVAILABILITY'!O608+N609*'RAP TEMPLATE-GAS AVAILABILITY'!P608+O609*'RAP TEMPLATE-GAS AVAILABILITY'!Q608+P609*'RAP TEMPLATE-GAS AVAILABILITY'!R608)/('RAP TEMPLATE-GAS AVAILABILITY'!O608+'RAP TEMPLATE-GAS AVAILABILITY'!P608+'RAP TEMPLATE-GAS AVAILABILITY'!Q608+'RAP TEMPLATE-GAS AVAILABILITY'!R608)</f>
        <v>26.632850359712229</v>
      </c>
    </row>
    <row r="610" spans="1:29" ht="15.75" x14ac:dyDescent="0.25">
      <c r="A610" s="13">
        <v>59110</v>
      </c>
      <c r="B610" s="17">
        <f>CHOOSE(CONTROL!$C$42, 26.2209, 26.2209) * CHOOSE(CONTROL!$C$21, $C$9, 100%, $E$9)</f>
        <v>26.2209</v>
      </c>
      <c r="C610" s="17">
        <f>CHOOSE(CONTROL!$C$42, 26.2263, 26.2263) * CHOOSE(CONTROL!$C$21, $C$9, 100%, $E$9)</f>
        <v>26.226299999999998</v>
      </c>
      <c r="D610" s="17">
        <f>CHOOSE(CONTROL!$C$42, 26.4911, 26.4911) * CHOOSE(CONTROL!$C$21, $C$9, 100%, $E$9)</f>
        <v>26.491099999999999</v>
      </c>
      <c r="E610" s="17">
        <f>CHOOSE(CONTROL!$C$42, 26.5199, 26.5199) * CHOOSE(CONTROL!$C$21, $C$9, 100%, $E$9)</f>
        <v>26.5199</v>
      </c>
      <c r="F610" s="17">
        <f>CHOOSE(CONTROL!$C$42, 26.2338, 26.2338)*CHOOSE(CONTROL!$C$21, $C$9, 100%, $E$9)</f>
        <v>26.233799999999999</v>
      </c>
      <c r="G610" s="17">
        <f>CHOOSE(CONTROL!$C$42, 26.2503, 26.2503)*CHOOSE(CONTROL!$C$21, $C$9, 100%, $E$9)</f>
        <v>26.250299999999999</v>
      </c>
      <c r="H610" s="17">
        <f>CHOOSE(CONTROL!$C$42, 26.5101, 26.5101) * CHOOSE(CONTROL!$C$21, $C$9, 100%, $E$9)</f>
        <v>26.510100000000001</v>
      </c>
      <c r="I610" s="17">
        <f>CHOOSE(CONTROL!$C$42, 26.3279, 26.3279)* CHOOSE(CONTROL!$C$21, $C$9, 100%, $E$9)</f>
        <v>26.3279</v>
      </c>
      <c r="J610" s="17">
        <f>CHOOSE(CONTROL!$C$42, 26.2264, 26.2264)* CHOOSE(CONTROL!$C$21, $C$9, 100%, $E$9)</f>
        <v>26.226400000000002</v>
      </c>
      <c r="K610" s="52">
        <f>CHOOSE(CONTROL!$C$42, 26.3218, 26.3218) * CHOOSE(CONTROL!$C$21, $C$9, 100%, $E$9)</f>
        <v>26.3218</v>
      </c>
      <c r="L610" s="17">
        <f>CHOOSE(CONTROL!$C$42, 27.0971, 27.0971) * CHOOSE(CONTROL!$C$21, $C$9, 100%, $E$9)</f>
        <v>27.097100000000001</v>
      </c>
      <c r="M610" s="17">
        <f>CHOOSE(CONTROL!$C$42, 25.9975, 25.9975) * CHOOSE(CONTROL!$C$21, $C$9, 100%, $E$9)</f>
        <v>25.997499999999999</v>
      </c>
      <c r="N610" s="17">
        <f>CHOOSE(CONTROL!$C$42, 26.0139, 26.0139) * CHOOSE(CONTROL!$C$21, $C$9, 100%, $E$9)</f>
        <v>26.0139</v>
      </c>
      <c r="O610" s="17">
        <f>CHOOSE(CONTROL!$C$42, 26.2787, 26.2787) * CHOOSE(CONTROL!$C$21, $C$9, 100%, $E$9)</f>
        <v>26.278700000000001</v>
      </c>
      <c r="P610" s="17">
        <f>CHOOSE(CONTROL!$C$42, 26.0974, 26.0974) * CHOOSE(CONTROL!$C$21, $C$9, 100%, $E$9)</f>
        <v>26.0974</v>
      </c>
      <c r="Q610" s="17">
        <f>CHOOSE(CONTROL!$C$42, 26.8734, 26.8734) * CHOOSE(CONTROL!$C$21, $C$9, 100%, $E$9)</f>
        <v>26.8734</v>
      </c>
      <c r="R610" s="17">
        <f>CHOOSE(CONTROL!$C$42, 27.5275, 27.5275) * CHOOSE(CONTROL!$C$21, $C$9, 100%, $E$9)</f>
        <v>27.5275</v>
      </c>
      <c r="S610" s="17">
        <f>CHOOSE(CONTROL!$C$42, 25.4165, 25.4165) * CHOOSE(CONTROL!$C$21, $C$9, 100%, $E$9)</f>
        <v>25.416499999999999</v>
      </c>
      <c r="T610" s="56">
        <f>(((280000*CHOOSE(CONTROL!$C$42, 0.4694, 0.4694)+(839000-280000)*CHOOSE(CONTROL!$C$42, 0.7185, 0.7185)+400000*CHOOSE(CONTROL!$C$42, 1.14, 1.14))*CHOOSE(CONTROL!$C$42, 31, 31))/1000000)+CHOOSE(CONTROL!$C$42, 0.1549, 0.1549)+CHOOSE(CONTROL!$C$42, 0.4621, 0.4621)</f>
        <v>31.278278500000003</v>
      </c>
      <c r="U610" s="56">
        <f>(1000*CHOOSE(CONTROL!$C$42, 695, 695)*CHOOSE(CONTROL!$C$42, 0.5599, 0.5599)*CHOOSE(CONTROL!$C$42, 31, 31))/1000000</f>
        <v>12.063045499999998</v>
      </c>
      <c r="V610" s="56">
        <f>(1000*CHOOSE(CONTROL!$C$42, 500, 500)*CHOOSE(CONTROL!$C$42, 0.275, 0.275)*CHOOSE(CONTROL!$C$42, 31, 31))/1000000</f>
        <v>4.2625000000000002</v>
      </c>
      <c r="W610" s="56">
        <f>(1000*CHOOSE(CONTROL!$C$42, 0.0916, 0.0916)*CHOOSE(CONTROL!$C$42, 121.5, 121.5)*CHOOSE(CONTROL!$C$42, 31, 31))/1000000</f>
        <v>0.34501139999999997</v>
      </c>
      <c r="X610" s="56">
        <f>(31*0.1790888*145000/1000000)+(31*0.2374*100000/1000000)</f>
        <v>1.5409441560000001</v>
      </c>
      <c r="Y610" s="56"/>
      <c r="Z610" s="17"/>
      <c r="AA610" s="55"/>
      <c r="AB610" s="48">
        <f>(B610*131.881+C610*277.167+D610*79.08+E610*225.872+F610*40+G610*85+H610*0+I610*100+J610*300)/(131.881+277.167+79.08+225.872+0+40+85+100+300)</f>
        <v>26.306263071670703</v>
      </c>
      <c r="AC610" s="45">
        <f>(M610*'RAP TEMPLATE-GAS AVAILABILITY'!O609+N610*'RAP TEMPLATE-GAS AVAILABILITY'!P609+O610*'RAP TEMPLATE-GAS AVAILABILITY'!Q609+P610*'RAP TEMPLATE-GAS AVAILABILITY'!R609)/('RAP TEMPLATE-GAS AVAILABILITY'!O609+'RAP TEMPLATE-GAS AVAILABILITY'!P609+'RAP TEMPLATE-GAS AVAILABILITY'!Q609+'RAP TEMPLATE-GAS AVAILABILITY'!R609)</f>
        <v>26.094547482014391</v>
      </c>
    </row>
    <row r="611" spans="1:29" ht="15.75" x14ac:dyDescent="0.25">
      <c r="A611" s="13">
        <v>59140</v>
      </c>
      <c r="B611" s="17">
        <f>CHOOSE(CONTROL!$C$42, 26.911, 26.911) * CHOOSE(CONTROL!$C$21, $C$9, 100%, $E$9)</f>
        <v>26.911000000000001</v>
      </c>
      <c r="C611" s="17">
        <f>CHOOSE(CONTROL!$C$42, 26.9161, 26.9161) * CHOOSE(CONTROL!$C$21, $C$9, 100%, $E$9)</f>
        <v>26.9161</v>
      </c>
      <c r="D611" s="17">
        <f>CHOOSE(CONTROL!$C$42, 27.0568, 27.0568) * CHOOSE(CONTROL!$C$21, $C$9, 100%, $E$9)</f>
        <v>27.056799999999999</v>
      </c>
      <c r="E611" s="17">
        <f>CHOOSE(CONTROL!$C$42, 27.0905, 27.0905) * CHOOSE(CONTROL!$C$21, $C$9, 100%, $E$9)</f>
        <v>27.090499999999999</v>
      </c>
      <c r="F611" s="17">
        <f>CHOOSE(CONTROL!$C$42, 26.9243, 26.9243)*CHOOSE(CONTROL!$C$21, $C$9, 100%, $E$9)</f>
        <v>26.924299999999999</v>
      </c>
      <c r="G611" s="17">
        <f>CHOOSE(CONTROL!$C$42, 26.9412, 26.9412)*CHOOSE(CONTROL!$C$21, $C$9, 100%, $E$9)</f>
        <v>26.941199999999998</v>
      </c>
      <c r="H611" s="17">
        <f>CHOOSE(CONTROL!$C$42, 27.0794, 27.0794) * CHOOSE(CONTROL!$C$21, $C$9, 100%, $E$9)</f>
        <v>27.0794</v>
      </c>
      <c r="I611" s="17">
        <f>CHOOSE(CONTROL!$C$42, 27.0169, 27.0169)* CHOOSE(CONTROL!$C$21, $C$9, 100%, $E$9)</f>
        <v>27.0169</v>
      </c>
      <c r="J611" s="17">
        <f>CHOOSE(CONTROL!$C$42, 26.9169, 26.9169)* CHOOSE(CONTROL!$C$21, $C$9, 100%, $E$9)</f>
        <v>26.916899999999998</v>
      </c>
      <c r="K611" s="52">
        <f>CHOOSE(CONTROL!$C$42, 27.0108, 27.0108) * CHOOSE(CONTROL!$C$21, $C$9, 100%, $E$9)</f>
        <v>27.0108</v>
      </c>
      <c r="L611" s="17">
        <f>CHOOSE(CONTROL!$C$42, 27.6664, 27.6664) * CHOOSE(CONTROL!$C$21, $C$9, 100%, $E$9)</f>
        <v>27.666399999999999</v>
      </c>
      <c r="M611" s="17">
        <f>CHOOSE(CONTROL!$C$42, 26.6818, 26.6818) * CHOOSE(CONTROL!$C$21, $C$9, 100%, $E$9)</f>
        <v>26.681799999999999</v>
      </c>
      <c r="N611" s="17">
        <f>CHOOSE(CONTROL!$C$42, 26.6985, 26.6985) * CHOOSE(CONTROL!$C$21, $C$9, 100%, $E$9)</f>
        <v>26.698499999999999</v>
      </c>
      <c r="O611" s="17">
        <f>CHOOSE(CONTROL!$C$42, 26.8429, 26.8429) * CHOOSE(CONTROL!$C$21, $C$9, 100%, $E$9)</f>
        <v>26.8429</v>
      </c>
      <c r="P611" s="17">
        <f>CHOOSE(CONTROL!$C$42, 26.7802, 26.7802) * CHOOSE(CONTROL!$C$21, $C$9, 100%, $E$9)</f>
        <v>26.780200000000001</v>
      </c>
      <c r="Q611" s="17">
        <f>CHOOSE(CONTROL!$C$42, 27.4376, 27.4376) * CHOOSE(CONTROL!$C$21, $C$9, 100%, $E$9)</f>
        <v>27.4376</v>
      </c>
      <c r="R611" s="17">
        <f>CHOOSE(CONTROL!$C$42, 28.0932, 28.0932) * CHOOSE(CONTROL!$C$21, $C$9, 100%, $E$9)</f>
        <v>28.0932</v>
      </c>
      <c r="S611" s="17">
        <f>CHOOSE(CONTROL!$C$42, 26.0861, 26.0861) * CHOOSE(CONTROL!$C$21, $C$9, 100%, $E$9)</f>
        <v>26.086099999999998</v>
      </c>
      <c r="T611" s="56">
        <f>(((255000*CHOOSE(CONTROL!$C$42, 0.4694, 0.4694)+(750000-255000)*CHOOSE(CONTROL!$C$42, 0.7185, 0.7185)+400000*CHOOSE(CONTROL!$C$42, 1.14, 1.14))*CHOOSE(CONTROL!$C$42, 30, 30))/1000000)+CHOOSE(CONTROL!$C$42, 0.1444, 0.1444)+CHOOSE(CONTROL!$C$42, 0.3305, 0.3305)</f>
        <v>28.415535000000002</v>
      </c>
      <c r="U611" s="56">
        <f>(1000*CHOOSE(CONTROL!$C$42, 695, 695)*CHOOSE(CONTROL!$C$42, 0.5599, 0.5599)*CHOOSE(CONTROL!$C$42, 30, 30))/1000000</f>
        <v>11.673914999999997</v>
      </c>
      <c r="V611" s="56">
        <f>(1000*CHOOSE(CONTROL!$C$42, 500, 500)*CHOOSE(CONTROL!$C$42, 0.275, 0.275)*CHOOSE(CONTROL!$C$42, 30, 30))/1000000</f>
        <v>4.125</v>
      </c>
      <c r="W611" s="56">
        <f>(1000*CHOOSE(CONTROL!$C$42, 0.0916, 0.0916)*CHOOSE(CONTROL!$C$42, 121.5, 121.5)*CHOOSE(CONTROL!$C$42, 30, 30))/1000000</f>
        <v>0.33388200000000001</v>
      </c>
      <c r="X611" s="56">
        <f>(30*0.2374*100000/1000000)</f>
        <v>0.71220000000000006</v>
      </c>
      <c r="Y611" s="56"/>
      <c r="Z611" s="17"/>
      <c r="AA611" s="55"/>
      <c r="AB611" s="48">
        <f>(B611*122.58+C611*297.941+D611*89.177+E611*140.302+F611*40+G611*60+H611*0+I611*100+J611*300)/(122.58+297.941+89.177+140.302+0+40+60+100+300)</f>
        <v>26.958312795391304</v>
      </c>
      <c r="AC611" s="45">
        <f>(M611*'RAP TEMPLATE-GAS AVAILABILITY'!O610+N611*'RAP TEMPLATE-GAS AVAILABILITY'!P610+O611*'RAP TEMPLATE-GAS AVAILABILITY'!Q610+P611*'RAP TEMPLATE-GAS AVAILABILITY'!R610)/('RAP TEMPLATE-GAS AVAILABILITY'!O610+'RAP TEMPLATE-GAS AVAILABILITY'!P610+'RAP TEMPLATE-GAS AVAILABILITY'!Q610+'RAP TEMPLATE-GAS AVAILABILITY'!R610)</f>
        <v>26.769935971223024</v>
      </c>
    </row>
    <row r="612" spans="1:29" ht="15.75" x14ac:dyDescent="0.25">
      <c r="A612" s="13">
        <v>59171</v>
      </c>
      <c r="B612" s="17">
        <f>CHOOSE(CONTROL!$C$42, 28.7444, 28.7444) * CHOOSE(CONTROL!$C$21, $C$9, 100%, $E$9)</f>
        <v>28.744399999999999</v>
      </c>
      <c r="C612" s="17">
        <f>CHOOSE(CONTROL!$C$42, 28.7494, 28.7494) * CHOOSE(CONTROL!$C$21, $C$9, 100%, $E$9)</f>
        <v>28.749400000000001</v>
      </c>
      <c r="D612" s="17">
        <f>CHOOSE(CONTROL!$C$42, 28.8901, 28.8901) * CHOOSE(CONTROL!$C$21, $C$9, 100%, $E$9)</f>
        <v>28.8901</v>
      </c>
      <c r="E612" s="17">
        <f>CHOOSE(CONTROL!$C$42, 28.9239, 28.9239) * CHOOSE(CONTROL!$C$21, $C$9, 100%, $E$9)</f>
        <v>28.9239</v>
      </c>
      <c r="F612" s="17">
        <f>CHOOSE(CONTROL!$C$42, 28.7601, 28.7601)*CHOOSE(CONTROL!$C$21, $C$9, 100%, $E$9)</f>
        <v>28.760100000000001</v>
      </c>
      <c r="G612" s="17">
        <f>CHOOSE(CONTROL!$C$42, 28.7775, 28.7775)*CHOOSE(CONTROL!$C$21, $C$9, 100%, $E$9)</f>
        <v>28.7775</v>
      </c>
      <c r="H612" s="17">
        <f>CHOOSE(CONTROL!$C$42, 28.9127, 28.9127) * CHOOSE(CONTROL!$C$21, $C$9, 100%, $E$9)</f>
        <v>28.912700000000001</v>
      </c>
      <c r="I612" s="17">
        <f>CHOOSE(CONTROL!$C$42, 28.8559, 28.8559)* CHOOSE(CONTROL!$C$21, $C$9, 100%, $E$9)</f>
        <v>28.855899999999998</v>
      </c>
      <c r="J612" s="17">
        <f>CHOOSE(CONTROL!$C$42, 28.7527, 28.7527)* CHOOSE(CONTROL!$C$21, $C$9, 100%, $E$9)</f>
        <v>28.752700000000001</v>
      </c>
      <c r="K612" s="52">
        <f>CHOOSE(CONTROL!$C$42, 28.8499, 28.8499) * CHOOSE(CONTROL!$C$21, $C$9, 100%, $E$9)</f>
        <v>28.849900000000002</v>
      </c>
      <c r="L612" s="17">
        <f>CHOOSE(CONTROL!$C$42, 29.4997, 29.4997) * CHOOSE(CONTROL!$C$21, $C$9, 100%, $E$9)</f>
        <v>29.499700000000001</v>
      </c>
      <c r="M612" s="17">
        <f>CHOOSE(CONTROL!$C$42, 28.5011, 28.5011) * CHOOSE(CONTROL!$C$21, $C$9, 100%, $E$9)</f>
        <v>28.501100000000001</v>
      </c>
      <c r="N612" s="17">
        <f>CHOOSE(CONTROL!$C$42, 28.5184, 28.5184) * CHOOSE(CONTROL!$C$21, $C$9, 100%, $E$9)</f>
        <v>28.5184</v>
      </c>
      <c r="O612" s="17">
        <f>CHOOSE(CONTROL!$C$42, 28.6597, 28.6597) * CHOOSE(CONTROL!$C$21, $C$9, 100%, $E$9)</f>
        <v>28.659700000000001</v>
      </c>
      <c r="P612" s="17">
        <f>CHOOSE(CONTROL!$C$42, 28.6027, 28.6027) * CHOOSE(CONTROL!$C$21, $C$9, 100%, $E$9)</f>
        <v>28.602699999999999</v>
      </c>
      <c r="Q612" s="17">
        <f>CHOOSE(CONTROL!$C$42, 29.2544, 29.2544) * CHOOSE(CONTROL!$C$21, $C$9, 100%, $E$9)</f>
        <v>29.2544</v>
      </c>
      <c r="R612" s="17">
        <f>CHOOSE(CONTROL!$C$42, 29.9145, 29.9145) * CHOOSE(CONTROL!$C$21, $C$9, 100%, $E$9)</f>
        <v>29.9145</v>
      </c>
      <c r="S612" s="17">
        <f>CHOOSE(CONTROL!$C$42, 27.8639, 27.8639) * CHOOSE(CONTROL!$C$21, $C$9, 100%, $E$9)</f>
        <v>27.863900000000001</v>
      </c>
      <c r="T612" s="56">
        <f>(((255000*CHOOSE(CONTROL!$C$42, 0.4694, 0.4694)+(750000-255000)*CHOOSE(CONTROL!$C$42, 0.7185, 0.7185)+400000*CHOOSE(CONTROL!$C$42, 1.14, 1.14))*CHOOSE(CONTROL!$C$42, 31, 31))/1000000)+CHOOSE(CONTROL!$C$42, 0.1342, 0.1342)+CHOOSE(CONTROL!$C$42, 0.346, 0.346)</f>
        <v>29.352189500000001</v>
      </c>
      <c r="U612" s="56">
        <f>(1000*CHOOSE(CONTROL!$C$42, 695, 695)*CHOOSE(CONTROL!$C$42, 0.5599, 0.5599)*CHOOSE(CONTROL!$C$42, 31, 31))/1000000</f>
        <v>12.063045499999998</v>
      </c>
      <c r="V612" s="56">
        <f>(1000*CHOOSE(CONTROL!$C$42, 500, 500)*CHOOSE(CONTROL!$C$42, 0.275, 0.275)*CHOOSE(CONTROL!$C$42, 31, 31))/1000000</f>
        <v>4.2625000000000002</v>
      </c>
      <c r="W612" s="56">
        <f>(1000*CHOOSE(CONTROL!$C$42, 0.0916, 0.0916)*CHOOSE(CONTROL!$C$42, 121.5, 121.5)*CHOOSE(CONTROL!$C$42, 31, 31))/1000000</f>
        <v>0.34501139999999997</v>
      </c>
      <c r="X612" s="56">
        <f>(31*0.2374*100000/1000000)</f>
        <v>0.73594000000000004</v>
      </c>
      <c r="Y612" s="56"/>
      <c r="Z612" s="17"/>
      <c r="AA612" s="55"/>
      <c r="AB612" s="48">
        <f>(B612*122.58+C612*297.941+D612*89.177+E612*140.302+F612*40+G612*60+H612*0+I612*100+J612*300)/(122.58+297.941+89.177+140.302+0+40+60+100+300)</f>
        <v>28.793026959043477</v>
      </c>
      <c r="AC612" s="45">
        <f>(M612*'RAP TEMPLATE-GAS AVAILABILITY'!O611+N612*'RAP TEMPLATE-GAS AVAILABILITY'!P611+O612*'RAP TEMPLATE-GAS AVAILABILITY'!Q611+P612*'RAP TEMPLATE-GAS AVAILABILITY'!R611)/('RAP TEMPLATE-GAS AVAILABILITY'!O611+'RAP TEMPLATE-GAS AVAILABILITY'!P611+'RAP TEMPLATE-GAS AVAILABILITY'!Q611+'RAP TEMPLATE-GAS AVAILABILITY'!R611)</f>
        <v>28.588597841726621</v>
      </c>
    </row>
    <row r="613" spans="1:29" ht="15" x14ac:dyDescent="0.2">
      <c r="A613" s="12"/>
    </row>
    <row r="614" spans="1:29" ht="15.75" x14ac:dyDescent="0.25">
      <c r="A614" s="11">
        <v>2012</v>
      </c>
      <c r="B614" s="17">
        <f t="shared" ref="B614:J614" si="5">AVERAGE(B13:B24)</f>
        <v>2.8676612740569323</v>
      </c>
      <c r="C614" s="17">
        <f t="shared" si="5"/>
        <v>2.9150197702780711</v>
      </c>
      <c r="D614" s="17">
        <f t="shared" si="5"/>
        <v>3.0761447733518743</v>
      </c>
      <c r="E614" s="17">
        <f t="shared" si="5"/>
        <v>3.1144512004062683</v>
      </c>
      <c r="F614" s="17">
        <f t="shared" si="5"/>
        <v>2.8911237361290838</v>
      </c>
      <c r="G614" s="17">
        <f t="shared" si="5"/>
        <v>2.9020580688768742</v>
      </c>
      <c r="H614" s="17">
        <f t="shared" si="5"/>
        <v>3.1032512664530167</v>
      </c>
      <c r="I614" s="17">
        <f t="shared" si="5"/>
        <v>2.9186096440428209</v>
      </c>
      <c r="J614" s="17">
        <f t="shared" si="5"/>
        <v>2.8817737361290838</v>
      </c>
      <c r="K614" s="52"/>
      <c r="L614" s="17">
        <f t="shared" ref="L614:S614" si="6">AVERAGE(L13:L24)</f>
        <v>3.6902512664530183</v>
      </c>
      <c r="M614" s="17">
        <f t="shared" si="6"/>
        <v>2.8423351182218934</v>
      </c>
      <c r="N614" s="17">
        <f t="shared" si="6"/>
        <v>2.85698856478861</v>
      </c>
      <c r="O614" s="17">
        <f t="shared" si="6"/>
        <v>3.0606571780592167</v>
      </c>
      <c r="P614" s="17">
        <f t="shared" si="6"/>
        <v>2.8786619517475476</v>
      </c>
      <c r="Q614" s="17">
        <f t="shared" si="6"/>
        <v>3.6553071780592163</v>
      </c>
      <c r="R614" s="17">
        <f t="shared" si="6"/>
        <v>4.2514454460043636</v>
      </c>
      <c r="S614" s="17">
        <f t="shared" si="6"/>
        <v>2.7899160595008308</v>
      </c>
      <c r="T614" s="51">
        <f t="shared" ref="T614:Y614" si="7">SUM(T13:T24)</f>
        <v>353.35206149999999</v>
      </c>
      <c r="U614" s="51">
        <f t="shared" si="7"/>
        <v>142.42889999999997</v>
      </c>
      <c r="V614" s="51">
        <f t="shared" si="7"/>
        <v>58.377000000000002</v>
      </c>
      <c r="W614" s="51">
        <f t="shared" si="7"/>
        <v>6.7058520000000001</v>
      </c>
      <c r="X614" s="51">
        <f t="shared" si="7"/>
        <v>0</v>
      </c>
      <c r="Y614" s="51">
        <f t="shared" si="7"/>
        <v>4.6800000000000006</v>
      </c>
      <c r="Z614" s="17">
        <f>AVERAGE(Z13:Z24)</f>
        <v>2.8672375566368102</v>
      </c>
      <c r="AA614" s="51">
        <f>SUM(AA13:AA24)</f>
        <v>9.4679999999999982</v>
      </c>
      <c r="AB614" s="48">
        <f>AVERAGE(AB13:AB24)</f>
        <v>2.9533228861761494</v>
      </c>
      <c r="AC614" s="45">
        <f>AVERAGE(AC13:AC24)</f>
        <v>2.9514015128473701</v>
      </c>
    </row>
    <row r="615" spans="1:29" ht="15.75" x14ac:dyDescent="0.25">
      <c r="A615" s="11">
        <v>2013</v>
      </c>
      <c r="B615" s="17">
        <f t="shared" ref="B615:J615" si="8">AVERAGE(B25:B36)</f>
        <v>3.8539833333333324</v>
      </c>
      <c r="C615" s="17">
        <f t="shared" si="8"/>
        <v>3.8602500000000002</v>
      </c>
      <c r="D615" s="17">
        <f t="shared" si="8"/>
        <v>4.0655166666666664</v>
      </c>
      <c r="E615" s="17">
        <f t="shared" si="8"/>
        <v>4.0976333333333335</v>
      </c>
      <c r="F615" s="17">
        <f t="shared" si="8"/>
        <v>3.8629333333333338</v>
      </c>
      <c r="G615" s="17">
        <f t="shared" si="8"/>
        <v>3.8783166666666666</v>
      </c>
      <c r="H615" s="17">
        <f t="shared" si="8"/>
        <v>4.0864249999999993</v>
      </c>
      <c r="I615" s="17">
        <f t="shared" si="8"/>
        <v>3.8911833333333328</v>
      </c>
      <c r="J615" s="17">
        <f t="shared" si="8"/>
        <v>3.8555333333333333</v>
      </c>
      <c r="K615" s="52"/>
      <c r="L615" s="17">
        <f t="shared" ref="L615:S615" si="9">AVERAGE(L25:L36)</f>
        <v>4.6734249999999999</v>
      </c>
      <c r="M615" s="17">
        <f t="shared" si="9"/>
        <v>3.827866666666667</v>
      </c>
      <c r="N615" s="17">
        <f t="shared" si="9"/>
        <v>3.8431166666666665</v>
      </c>
      <c r="O615" s="17">
        <f t="shared" si="9"/>
        <v>4.0566666666666666</v>
      </c>
      <c r="P615" s="17">
        <f t="shared" si="9"/>
        <v>3.8631333333333333</v>
      </c>
      <c r="Q615" s="17">
        <f t="shared" si="9"/>
        <v>4.6513666666666662</v>
      </c>
      <c r="R615" s="17">
        <f t="shared" si="9"/>
        <v>5.2500166666666663</v>
      </c>
      <c r="S615" s="17">
        <f t="shared" si="9"/>
        <v>3.7267416666666668</v>
      </c>
      <c r="T615" s="51">
        <f t="shared" ref="T615:Y615" si="10">SUM(T25:T36)</f>
        <v>360.245881</v>
      </c>
      <c r="U615" s="51">
        <f t="shared" si="10"/>
        <v>142.03263249999998</v>
      </c>
      <c r="V615" s="51">
        <f t="shared" si="10"/>
        <v>58.217499999999994</v>
      </c>
      <c r="W615" s="51">
        <f t="shared" si="10"/>
        <v>6.6867999999999999</v>
      </c>
      <c r="X615" s="51">
        <f t="shared" si="10"/>
        <v>5.5571254639999994</v>
      </c>
      <c r="Y615" s="51">
        <f t="shared" si="10"/>
        <v>4.6800000000000006</v>
      </c>
      <c r="Z615" s="17">
        <f>AVERAGE(Z25:Z36)</f>
        <v>3.840875</v>
      </c>
      <c r="AA615" s="51">
        <f>SUM(AA25:AA36)</f>
        <v>9.4679999999999982</v>
      </c>
      <c r="AB615" s="48">
        <f>AVERAGE(AB25:AB36)</f>
        <v>3.9246366081477042</v>
      </c>
      <c r="AC615" s="45">
        <f>AVERAGE(AC25:AC36)</f>
        <v>3.9224086330935251</v>
      </c>
    </row>
    <row r="616" spans="1:29" ht="15.75" x14ac:dyDescent="0.25">
      <c r="A616" s="11">
        <v>2014</v>
      </c>
      <c r="B616" s="17">
        <f t="shared" ref="B616:J616" si="11">AVERAGE(B37:B48)</f>
        <v>4.2439583333333326</v>
      </c>
      <c r="C616" s="17">
        <f t="shared" si="11"/>
        <v>4.2502249999999995</v>
      </c>
      <c r="D616" s="17">
        <f t="shared" si="11"/>
        <v>4.4594500000000004</v>
      </c>
      <c r="E616" s="17">
        <f t="shared" si="11"/>
        <v>4.4915583333333329</v>
      </c>
      <c r="F616" s="17">
        <f t="shared" si="11"/>
        <v>4.2559083333333341</v>
      </c>
      <c r="G616" s="17">
        <f t="shared" si="11"/>
        <v>4.2726500000000005</v>
      </c>
      <c r="H616" s="17">
        <f t="shared" si="11"/>
        <v>4.4803749999999996</v>
      </c>
      <c r="I616" s="17">
        <f t="shared" si="11"/>
        <v>4.2816583333333336</v>
      </c>
      <c r="J616" s="17">
        <f t="shared" si="11"/>
        <v>4.2485083333333327</v>
      </c>
      <c r="K616" s="52"/>
      <c r="L616" s="17">
        <f t="shared" ref="L616:S616" si="12">AVERAGE(L37:L48)</f>
        <v>5.0673750000000011</v>
      </c>
      <c r="M616" s="17">
        <f t="shared" si="12"/>
        <v>4.2172999999999989</v>
      </c>
      <c r="N616" s="17">
        <f t="shared" si="12"/>
        <v>4.233883333333333</v>
      </c>
      <c r="O616" s="17">
        <f t="shared" si="12"/>
        <v>4.4470750000000008</v>
      </c>
      <c r="P616" s="17">
        <f t="shared" si="12"/>
        <v>4.2500749999999998</v>
      </c>
      <c r="Q616" s="17">
        <f t="shared" si="12"/>
        <v>5.0417749999999986</v>
      </c>
      <c r="R616" s="17">
        <f t="shared" si="12"/>
        <v>5.6413833333333336</v>
      </c>
      <c r="S616" s="17">
        <f t="shared" si="12"/>
        <v>4.1049083333333334</v>
      </c>
      <c r="T616" s="51">
        <f t="shared" ref="T616:Y616" si="13">SUM(T37:T48)</f>
        <v>364.83318099999997</v>
      </c>
      <c r="U616" s="51">
        <f t="shared" si="13"/>
        <v>142.03263249999998</v>
      </c>
      <c r="V616" s="51">
        <f t="shared" si="13"/>
        <v>58.217499999999994</v>
      </c>
      <c r="W616" s="51">
        <f t="shared" si="13"/>
        <v>6.6867999999999999</v>
      </c>
      <c r="X616" s="51">
        <f t="shared" si="13"/>
        <v>5.5571254639999994</v>
      </c>
      <c r="Y616" s="51">
        <f t="shared" si="13"/>
        <v>1.17</v>
      </c>
      <c r="Z616" s="17">
        <f>AVERAGE(Z37:Z48)</f>
        <v>4.22065</v>
      </c>
      <c r="AA616" s="51">
        <f>SUM(AA37:AA48)</f>
        <v>9.4679999999999982</v>
      </c>
      <c r="AB616" s="48">
        <f>AVERAGE(AB37:AB48)</f>
        <v>4.3177532472912707</v>
      </c>
      <c r="AC616" s="45">
        <f>AVERAGE(AC37:AC48)</f>
        <v>4.3126332733812944</v>
      </c>
    </row>
    <row r="617" spans="1:29" ht="15.75" x14ac:dyDescent="0.25">
      <c r="A617" s="11">
        <v>2015</v>
      </c>
      <c r="B617" s="17">
        <f t="shared" ref="B617:J617" si="14">AVERAGE(B49:B60)</f>
        <v>4.4068916666666667</v>
      </c>
      <c r="C617" s="17">
        <f t="shared" si="14"/>
        <v>4.4131583333333335</v>
      </c>
      <c r="D617" s="17">
        <f t="shared" si="14"/>
        <v>4.6223833333333335</v>
      </c>
      <c r="E617" s="17">
        <f t="shared" si="14"/>
        <v>4.654491666666666</v>
      </c>
      <c r="F617" s="17">
        <f t="shared" si="14"/>
        <v>4.4188583333333336</v>
      </c>
      <c r="G617" s="17">
        <f t="shared" si="14"/>
        <v>4.435575</v>
      </c>
      <c r="H617" s="17">
        <f t="shared" si="14"/>
        <v>4.6432833333333337</v>
      </c>
      <c r="I617" s="17">
        <f t="shared" si="14"/>
        <v>4.4450833333333337</v>
      </c>
      <c r="J617" s="17">
        <f t="shared" si="14"/>
        <v>4.411458333333333</v>
      </c>
      <c r="K617" s="52"/>
      <c r="L617" s="17">
        <f t="shared" ref="L617:S617" si="15">AVERAGE(L49:L60)</f>
        <v>5.2302833333333334</v>
      </c>
      <c r="M617" s="17">
        <f t="shared" si="15"/>
        <v>4.3787916666666673</v>
      </c>
      <c r="N617" s="17">
        <f t="shared" si="15"/>
        <v>4.3953499999999996</v>
      </c>
      <c r="O617" s="17">
        <f t="shared" si="15"/>
        <v>4.6085416666666674</v>
      </c>
      <c r="P617" s="17">
        <f t="shared" si="15"/>
        <v>4.4120416666666671</v>
      </c>
      <c r="Q617" s="17">
        <f t="shared" si="15"/>
        <v>5.203241666666667</v>
      </c>
      <c r="R617" s="17">
        <f t="shared" si="15"/>
        <v>5.8032666666666666</v>
      </c>
      <c r="S617" s="17">
        <f t="shared" si="15"/>
        <v>4.2628916666666665</v>
      </c>
      <c r="T617" s="51">
        <f>SUM(T49:T60)</f>
        <v>364.83318099999997</v>
      </c>
      <c r="U617" s="51">
        <f>SUM(U49:U60)</f>
        <v>142.03263249999998</v>
      </c>
      <c r="V617" s="51">
        <f>SUM(V49:V60)</f>
        <v>58.217499999999994</v>
      </c>
      <c r="W617" s="51">
        <f>SUM(W49:W60)</f>
        <v>6.6867999999999999</v>
      </c>
      <c r="X617" s="51">
        <f>SUM(X49:X60)</f>
        <v>12.085625463999998</v>
      </c>
      <c r="Y617" s="51"/>
      <c r="Z617" s="17">
        <f>AVERAGE(Z49:Z60)</f>
        <v>4.3823750000000006</v>
      </c>
      <c r="AA617" s="51">
        <f>SUM(AA49:AA60)</f>
        <v>9.4679999999999982</v>
      </c>
      <c r="AB617" s="48">
        <f>AVERAGE(AB49:AB60)</f>
        <v>4.4721164034012659</v>
      </c>
      <c r="AC617" s="45">
        <f>AVERAGE(AC49:AC60)</f>
        <v>4.4638922661870497</v>
      </c>
    </row>
    <row r="618" spans="1:29" ht="15.75" x14ac:dyDescent="0.25">
      <c r="A618" s="11">
        <v>2016</v>
      </c>
      <c r="B618" s="17">
        <f t="shared" ref="B618:J618" si="16">AVERAGE(B61:B72)</f>
        <v>4.6431166666666677</v>
      </c>
      <c r="C618" s="17">
        <f t="shared" si="16"/>
        <v>4.649375</v>
      </c>
      <c r="D618" s="17">
        <f t="shared" si="16"/>
        <v>4.8586</v>
      </c>
      <c r="E618" s="17">
        <f t="shared" si="16"/>
        <v>4.8907250000000007</v>
      </c>
      <c r="F618" s="17">
        <f t="shared" si="16"/>
        <v>4.6550666666666656</v>
      </c>
      <c r="G618" s="17">
        <f t="shared" si="16"/>
        <v>4.6717916666666657</v>
      </c>
      <c r="H618" s="17">
        <f t="shared" si="16"/>
        <v>4.8795166666666665</v>
      </c>
      <c r="I618" s="17">
        <f t="shared" si="16"/>
        <v>4.6820333333333339</v>
      </c>
      <c r="J618" s="17">
        <f t="shared" si="16"/>
        <v>4.6476666666666668</v>
      </c>
      <c r="K618" s="52"/>
      <c r="L618" s="17">
        <f t="shared" ref="L618:S618" si="17">AVERAGE(L61:L72)</f>
        <v>5.4665166666666671</v>
      </c>
      <c r="M618" s="17">
        <f t="shared" si="17"/>
        <v>4.6128833333333334</v>
      </c>
      <c r="N618" s="17">
        <f t="shared" si="17"/>
        <v>4.6294499999999994</v>
      </c>
      <c r="O618" s="17">
        <f t="shared" si="17"/>
        <v>4.8426416666666663</v>
      </c>
      <c r="P618" s="17">
        <f t="shared" si="17"/>
        <v>4.6468583333333333</v>
      </c>
      <c r="Q618" s="17">
        <f t="shared" si="17"/>
        <v>5.4373416666666676</v>
      </c>
      <c r="R618" s="17">
        <f t="shared" si="17"/>
        <v>6.0379250000000004</v>
      </c>
      <c r="S618" s="17">
        <f t="shared" si="17"/>
        <v>4.4919583333333337</v>
      </c>
      <c r="T618" s="51">
        <f>SUM(T61:T72)</f>
        <v>358.26753550000001</v>
      </c>
      <c r="U618" s="51">
        <f>SUM(U61:U72)</f>
        <v>142.42176299999997</v>
      </c>
      <c r="V618" s="51">
        <f>SUM(V61:V72)</f>
        <v>58.377000000000002</v>
      </c>
      <c r="W618" s="51">
        <f>SUM(W61:W72)</f>
        <v>4.9434229999999992</v>
      </c>
      <c r="X618" s="51">
        <f>SUM(X61:X72)</f>
        <v>14.245965463999999</v>
      </c>
      <c r="Y618" s="51"/>
      <c r="Z618" s="17"/>
      <c r="AA618" s="51"/>
      <c r="AB618" s="48">
        <f>AVERAGE(AB61:AB72)</f>
        <v>4.7031360988774908</v>
      </c>
      <c r="AC618" s="45">
        <f>AVERAGE(AC61:AC72)</f>
        <v>4.6961092925659473</v>
      </c>
    </row>
    <row r="619" spans="1:29" ht="15.75" x14ac:dyDescent="0.25">
      <c r="A619" s="11">
        <v>2017</v>
      </c>
      <c r="B619" s="17">
        <f t="shared" ref="B619:S619" si="18">AVERAGE(B73:B84)</f>
        <v>5.2660333333333336</v>
      </c>
      <c r="C619" s="17">
        <f t="shared" si="18"/>
        <v>5.2723083333333332</v>
      </c>
      <c r="D619" s="17">
        <f t="shared" si="18"/>
        <v>5.4815250000000004</v>
      </c>
      <c r="E619" s="17">
        <f t="shared" si="18"/>
        <v>5.5136333333333338</v>
      </c>
      <c r="F619" s="17">
        <f t="shared" si="18"/>
        <v>5.2779999999999996</v>
      </c>
      <c r="G619" s="17">
        <f t="shared" si="18"/>
        <v>5.294716666666667</v>
      </c>
      <c r="H619" s="17">
        <f t="shared" si="18"/>
        <v>5.5024250000000015</v>
      </c>
      <c r="I619" s="17">
        <f t="shared" si="18"/>
        <v>5.3068916666666661</v>
      </c>
      <c r="J619" s="17">
        <f t="shared" si="18"/>
        <v>5.2706</v>
      </c>
      <c r="K619" s="52">
        <f t="shared" si="18"/>
        <v>5.3008499999999996</v>
      </c>
      <c r="L619" s="17">
        <f t="shared" si="18"/>
        <v>6.0894250000000012</v>
      </c>
      <c r="M619" s="17">
        <f t="shared" si="18"/>
        <v>5.2301833333333327</v>
      </c>
      <c r="N619" s="17">
        <f t="shared" si="18"/>
        <v>5.2467499999999996</v>
      </c>
      <c r="O619" s="17">
        <f t="shared" si="18"/>
        <v>5.4599499999999992</v>
      </c>
      <c r="P619" s="17">
        <f t="shared" si="18"/>
        <v>5.2660666666666662</v>
      </c>
      <c r="Q619" s="17">
        <f t="shared" si="18"/>
        <v>6.0546499999999996</v>
      </c>
      <c r="R619" s="17">
        <f t="shared" si="18"/>
        <v>6.6567833333333333</v>
      </c>
      <c r="S619" s="17">
        <f t="shared" si="18"/>
        <v>5.0959833333333338</v>
      </c>
      <c r="T619" s="51">
        <f>SUM(T73:T84)</f>
        <v>357.33618100000001</v>
      </c>
      <c r="U619" s="51">
        <f>SUM(U73:U84)</f>
        <v>142.03263249999998</v>
      </c>
      <c r="V619" s="51">
        <f>SUM(V73:V84)</f>
        <v>58.217499999999994</v>
      </c>
      <c r="W619" s="51">
        <f>SUM(W73:W84)</f>
        <v>4.0622309999999988</v>
      </c>
      <c r="X619" s="51">
        <f>SUM(X73:X84)</f>
        <v>14.222225463999999</v>
      </c>
      <c r="Y619" s="51"/>
      <c r="Z619" s="17"/>
      <c r="AA619" s="17"/>
      <c r="AB619" s="48">
        <f>AVERAGE(AB73:AB84)</f>
        <v>5.3262216424966287</v>
      </c>
      <c r="AC619" s="45">
        <f>AVERAGE(AC73:AC84)</f>
        <v>5.3136876498800953</v>
      </c>
    </row>
    <row r="620" spans="1:29" ht="15.75" x14ac:dyDescent="0.25">
      <c r="A620" s="11">
        <v>2018</v>
      </c>
      <c r="B620" s="17">
        <f t="shared" ref="B620:S620" si="19">AVERAGE(B85:B96)</f>
        <v>5.810716666666667</v>
      </c>
      <c r="C620" s="17">
        <f t="shared" si="19"/>
        <v>5.816983333333333</v>
      </c>
      <c r="D620" s="17">
        <f t="shared" si="19"/>
        <v>6.0262083333333338</v>
      </c>
      <c r="E620" s="17">
        <f t="shared" si="19"/>
        <v>6.0583166666666664</v>
      </c>
      <c r="F620" s="17">
        <f t="shared" si="19"/>
        <v>5.8226750000000003</v>
      </c>
      <c r="G620" s="17">
        <f t="shared" si="19"/>
        <v>5.8393833333333331</v>
      </c>
      <c r="H620" s="17">
        <f t="shared" si="19"/>
        <v>6.0471166666666667</v>
      </c>
      <c r="I620" s="17">
        <f t="shared" si="19"/>
        <v>5.8532666666666664</v>
      </c>
      <c r="J620" s="17">
        <f t="shared" si="19"/>
        <v>5.8152750000000006</v>
      </c>
      <c r="K620" s="52">
        <f t="shared" si="19"/>
        <v>5.8472333333333344</v>
      </c>
      <c r="L620" s="17">
        <f t="shared" si="19"/>
        <v>6.6341166666666664</v>
      </c>
      <c r="M620" s="17">
        <f t="shared" si="19"/>
        <v>5.7699833333333332</v>
      </c>
      <c r="N620" s="17">
        <f t="shared" si="19"/>
        <v>5.7865333333333338</v>
      </c>
      <c r="O620" s="17">
        <f t="shared" si="19"/>
        <v>5.9997333333333343</v>
      </c>
      <c r="P620" s="17">
        <f t="shared" si="19"/>
        <v>5.8075250000000009</v>
      </c>
      <c r="Q620" s="17">
        <f t="shared" si="19"/>
        <v>6.594433333333332</v>
      </c>
      <c r="R620" s="17">
        <f t="shared" si="19"/>
        <v>7.1979250000000006</v>
      </c>
      <c r="S620" s="17">
        <f t="shared" si="19"/>
        <v>5.6241833333333338</v>
      </c>
      <c r="T620" s="51">
        <f>SUM(T85:T96)</f>
        <v>357.33618100000001</v>
      </c>
      <c r="U620" s="51">
        <f>SUM(U85:U96)</f>
        <v>142.03263249999998</v>
      </c>
      <c r="V620" s="51">
        <f>SUM(V85:V96)</f>
        <v>50.187500000000007</v>
      </c>
      <c r="W620" s="51">
        <f>SUM(W85:W96)</f>
        <v>4.0622309999999988</v>
      </c>
      <c r="X620" s="51">
        <f>SUM(X85:X96)</f>
        <v>14.222225463999999</v>
      </c>
      <c r="Y620" s="51"/>
      <c r="Z620" s="17"/>
      <c r="AA620" s="17"/>
      <c r="AB620" s="48">
        <f>AVERAGE(AB85:AB96)</f>
        <v>5.8710389860307179</v>
      </c>
      <c r="AC620" s="45">
        <f>AVERAGE(AC85:AC96)</f>
        <v>5.8537177458033574</v>
      </c>
    </row>
    <row r="621" spans="1:29" ht="15.75" x14ac:dyDescent="0.25">
      <c r="A621" s="11">
        <v>2019</v>
      </c>
      <c r="B621" s="17">
        <f t="shared" ref="B621:S621" si="20">AVERAGE(B97:B108)</f>
        <v>6.3536666666666664</v>
      </c>
      <c r="C621" s="17">
        <f t="shared" si="20"/>
        <v>6.359941666666665</v>
      </c>
      <c r="D621" s="17">
        <f t="shared" si="20"/>
        <v>6.5691833333333323</v>
      </c>
      <c r="E621" s="17">
        <f t="shared" si="20"/>
        <v>6.6012750000000002</v>
      </c>
      <c r="F621" s="17">
        <f t="shared" si="20"/>
        <v>6.3656416666666678</v>
      </c>
      <c r="G621" s="17">
        <f t="shared" si="20"/>
        <v>6.3823499999999997</v>
      </c>
      <c r="H621" s="17">
        <f t="shared" si="20"/>
        <v>6.5900833333333324</v>
      </c>
      <c r="I621" s="17">
        <f t="shared" si="20"/>
        <v>6.3978999999999999</v>
      </c>
      <c r="J621" s="17">
        <f t="shared" si="20"/>
        <v>6.3582416666666681</v>
      </c>
      <c r="K621" s="52">
        <f t="shared" si="20"/>
        <v>6.3918833333333334</v>
      </c>
      <c r="L621" s="17">
        <f t="shared" si="20"/>
        <v>7.177083333333333</v>
      </c>
      <c r="M621" s="17">
        <f t="shared" si="20"/>
        <v>6.3080500000000006</v>
      </c>
      <c r="N621" s="17">
        <f t="shared" si="20"/>
        <v>6.3246083333333329</v>
      </c>
      <c r="O621" s="17">
        <f t="shared" si="20"/>
        <v>6.5378166666666671</v>
      </c>
      <c r="P621" s="17">
        <f t="shared" si="20"/>
        <v>6.3472499999999998</v>
      </c>
      <c r="Q621" s="17">
        <f t="shared" si="20"/>
        <v>7.1325166666666675</v>
      </c>
      <c r="R621" s="17">
        <f t="shared" si="20"/>
        <v>7.7373416666666657</v>
      </c>
      <c r="S621" s="17">
        <f t="shared" si="20"/>
        <v>6.1506999999999996</v>
      </c>
      <c r="T621" s="51">
        <f>SUM(T97:T108)</f>
        <v>357.33618100000001</v>
      </c>
      <c r="U621" s="51">
        <f>SUM(U97:U108)</f>
        <v>142.03263249999998</v>
      </c>
      <c r="V621" s="51">
        <f>SUM(V97:V108)</f>
        <v>50.187500000000007</v>
      </c>
      <c r="W621" s="51">
        <f>SUM(W97:W108)</f>
        <v>4.0622309999999988</v>
      </c>
      <c r="X621" s="51">
        <f>SUM(X97:X108)</f>
        <v>14.222225463999999</v>
      </c>
      <c r="Y621" s="51"/>
      <c r="Z621" s="17"/>
      <c r="AA621" s="17"/>
      <c r="AB621" s="48">
        <f>AVERAGE(AB97:AB108)</f>
        <v>6.4141383583005158</v>
      </c>
      <c r="AC621" s="45">
        <f>AVERAGE(AC97:AC108)</f>
        <v>6.3920296163069539</v>
      </c>
    </row>
    <row r="622" spans="1:29" ht="15.75" x14ac:dyDescent="0.25">
      <c r="A622" s="11">
        <v>2020</v>
      </c>
      <c r="B622" s="17">
        <f t="shared" ref="B622:S622" si="21">AVERAGE(B109:B120)</f>
        <v>6.8938416666666669</v>
      </c>
      <c r="C622" s="17">
        <f t="shared" si="21"/>
        <v>6.9001166666666682</v>
      </c>
      <c r="D622" s="17">
        <f t="shared" si="21"/>
        <v>7.109333333333332</v>
      </c>
      <c r="E622" s="17">
        <f t="shared" si="21"/>
        <v>7.141449999999999</v>
      </c>
      <c r="F622" s="17">
        <f t="shared" si="21"/>
        <v>6.9058083333333329</v>
      </c>
      <c r="G622" s="17">
        <f t="shared" si="21"/>
        <v>6.9225249999999994</v>
      </c>
      <c r="H622" s="17">
        <f t="shared" si="21"/>
        <v>7.1302416666666666</v>
      </c>
      <c r="I622" s="17">
        <f t="shared" si="21"/>
        <v>6.9397416666666656</v>
      </c>
      <c r="J622" s="17">
        <f t="shared" si="21"/>
        <v>6.8984083333333333</v>
      </c>
      <c r="K622" s="52">
        <f t="shared" si="21"/>
        <v>6.933724999999999</v>
      </c>
      <c r="L622" s="17">
        <f t="shared" si="21"/>
        <v>7.7172416666666663</v>
      </c>
      <c r="M622" s="17">
        <f t="shared" si="21"/>
        <v>6.8433666666666682</v>
      </c>
      <c r="N622" s="17">
        <f t="shared" si="21"/>
        <v>6.8599333333333341</v>
      </c>
      <c r="O622" s="17">
        <f t="shared" si="21"/>
        <v>7.0731333333333337</v>
      </c>
      <c r="P622" s="17">
        <f t="shared" si="21"/>
        <v>6.8842000000000008</v>
      </c>
      <c r="Q622" s="17">
        <f t="shared" si="21"/>
        <v>7.6678333333333333</v>
      </c>
      <c r="R622" s="17">
        <f t="shared" si="21"/>
        <v>8.2739916666666673</v>
      </c>
      <c r="S622" s="17">
        <f t="shared" si="21"/>
        <v>6.6744999999999992</v>
      </c>
      <c r="T622" s="51">
        <f>SUM(T109:T120)</f>
        <v>358.26753550000001</v>
      </c>
      <c r="U622" s="51">
        <f>SUM(U109:U120)</f>
        <v>142.42176299999997</v>
      </c>
      <c r="V622" s="51">
        <f>SUM(V109:V120)</f>
        <v>50.325000000000003</v>
      </c>
      <c r="W622" s="51">
        <f>SUM(W109:W120)</f>
        <v>4.0733603999999994</v>
      </c>
      <c r="X622" s="51">
        <f>SUM(X109:X120)</f>
        <v>14.245965463999999</v>
      </c>
      <c r="Y622" s="51"/>
      <c r="Z622" s="17"/>
      <c r="AA622" s="17"/>
      <c r="AB622" s="48">
        <f>AVERAGE(AB109:AB120)</f>
        <v>6.9544459603887416</v>
      </c>
      <c r="AC622" s="45">
        <f>AVERAGE(AC109:AC120)</f>
        <v>6.9275832134292576</v>
      </c>
    </row>
    <row r="623" spans="1:29" ht="15.75" x14ac:dyDescent="0.25">
      <c r="A623" s="11">
        <v>2021</v>
      </c>
      <c r="B623" s="17">
        <f t="shared" ref="B623:S623" si="22">AVERAGE(B121:B132)</f>
        <v>7.2951916666666667</v>
      </c>
      <c r="C623" s="17">
        <f t="shared" si="22"/>
        <v>7.3014666666666663</v>
      </c>
      <c r="D623" s="17">
        <f t="shared" si="22"/>
        <v>7.510675</v>
      </c>
      <c r="E623" s="17">
        <f t="shared" si="22"/>
        <v>7.5428000000000006</v>
      </c>
      <c r="F623" s="17">
        <f t="shared" si="22"/>
        <v>7.3071666666666664</v>
      </c>
      <c r="G623" s="17">
        <f t="shared" si="22"/>
        <v>7.3238499999999993</v>
      </c>
      <c r="H623" s="17">
        <f t="shared" si="22"/>
        <v>7.5316000000000001</v>
      </c>
      <c r="I623" s="17">
        <f t="shared" si="22"/>
        <v>7.3423583333333342</v>
      </c>
      <c r="J623" s="17">
        <f t="shared" si="22"/>
        <v>7.2997666666666676</v>
      </c>
      <c r="K623" s="52">
        <f t="shared" si="22"/>
        <v>7.3363000000000014</v>
      </c>
      <c r="L623" s="17">
        <f t="shared" si="22"/>
        <v>8.1186000000000007</v>
      </c>
      <c r="M623" s="17">
        <f t="shared" si="22"/>
        <v>7.2411000000000003</v>
      </c>
      <c r="N623" s="17">
        <f t="shared" si="22"/>
        <v>7.2576833333333326</v>
      </c>
      <c r="O623" s="17">
        <f t="shared" si="22"/>
        <v>7.4708666666666668</v>
      </c>
      <c r="P623" s="17">
        <f t="shared" si="22"/>
        <v>7.2831666666666655</v>
      </c>
      <c r="Q623" s="17">
        <f t="shared" si="22"/>
        <v>8.0655666666666654</v>
      </c>
      <c r="R623" s="17">
        <f t="shared" si="22"/>
        <v>8.6727333333333316</v>
      </c>
      <c r="S623" s="17">
        <f t="shared" si="22"/>
        <v>7.0636666666666672</v>
      </c>
      <c r="T623" s="51">
        <f>SUM(T121:T132)</f>
        <v>357.33618100000001</v>
      </c>
      <c r="U623" s="51">
        <f>SUM(U121:U132)</f>
        <v>142.03263249999998</v>
      </c>
      <c r="V623" s="51">
        <f>SUM(V121:V132)</f>
        <v>50.187500000000007</v>
      </c>
      <c r="W623" s="51">
        <f>SUM(W121:W132)</f>
        <v>4.0622309999999988</v>
      </c>
      <c r="X623" s="51">
        <f>SUM(X121:X132)</f>
        <v>14.222225463999999</v>
      </c>
      <c r="Y623" s="51"/>
      <c r="Z623" s="17"/>
      <c r="AA623" s="17"/>
      <c r="AB623" s="48">
        <f>AVERAGE(AB121:AB132)</f>
        <v>7.3559003794264521</v>
      </c>
      <c r="AC623" s="45">
        <f>AVERAGE(AC121:AC132)</f>
        <v>7.3254964028776977</v>
      </c>
    </row>
    <row r="624" spans="1:29" ht="15.75" x14ac:dyDescent="0.25">
      <c r="A624" s="11">
        <v>2022</v>
      </c>
      <c r="B624" s="17">
        <f t="shared" ref="B624:S624" si="23">AVERAGE(B133:B144)</f>
        <v>7.6017083333333346</v>
      </c>
      <c r="C624" s="17">
        <f t="shared" si="23"/>
        <v>7.6079833333333342</v>
      </c>
      <c r="D624" s="17">
        <f t="shared" si="23"/>
        <v>7.817191666666667</v>
      </c>
      <c r="E624" s="17">
        <f t="shared" si="23"/>
        <v>7.8493083333333322</v>
      </c>
      <c r="F624" s="17">
        <f t="shared" si="23"/>
        <v>7.613666666666667</v>
      </c>
      <c r="G624" s="17">
        <f t="shared" si="23"/>
        <v>7.6303750000000008</v>
      </c>
      <c r="H624" s="17">
        <f t="shared" si="23"/>
        <v>7.8381083333333335</v>
      </c>
      <c r="I624" s="17">
        <f t="shared" si="23"/>
        <v>7.6497999999999999</v>
      </c>
      <c r="J624" s="17">
        <f t="shared" si="23"/>
        <v>7.6062666666666665</v>
      </c>
      <c r="K624" s="52">
        <f t="shared" si="23"/>
        <v>7.6437916666666661</v>
      </c>
      <c r="L624" s="17">
        <f t="shared" si="23"/>
        <v>8.4251083333333341</v>
      </c>
      <c r="M624" s="17">
        <f t="shared" si="23"/>
        <v>7.5448666666666675</v>
      </c>
      <c r="N624" s="17">
        <f t="shared" si="23"/>
        <v>7.5614250000000007</v>
      </c>
      <c r="O624" s="17">
        <f t="shared" si="23"/>
        <v>7.7746083333333331</v>
      </c>
      <c r="P624" s="17">
        <f t="shared" si="23"/>
        <v>7.5878749999999995</v>
      </c>
      <c r="Q624" s="17">
        <f t="shared" si="23"/>
        <v>8.3693083333333327</v>
      </c>
      <c r="R624" s="17">
        <f t="shared" si="23"/>
        <v>8.9772499999999997</v>
      </c>
      <c r="S624" s="17">
        <f t="shared" si="23"/>
        <v>7.3609</v>
      </c>
      <c r="T624" s="51">
        <f>SUM(T133:T144)</f>
        <v>357.33618100000001</v>
      </c>
      <c r="U624" s="51">
        <f>SUM(U133:U144)</f>
        <v>142.03263249999998</v>
      </c>
      <c r="V624" s="51">
        <f>SUM(V133:V144)</f>
        <v>50.187500000000007</v>
      </c>
      <c r="W624" s="51">
        <f>SUM(W133:W144)</f>
        <v>4.0622309999999988</v>
      </c>
      <c r="X624" s="51">
        <f>SUM(X133:X144)</f>
        <v>14.222225463999999</v>
      </c>
      <c r="Y624" s="51"/>
      <c r="Z624" s="17"/>
      <c r="AA624" s="17"/>
      <c r="AB624" s="48">
        <f>AVERAGE(AB133:AB144)</f>
        <v>7.6624879593972635</v>
      </c>
      <c r="AC624" s="45">
        <f>AVERAGE(AC133:AC144)</f>
        <v>7.6293857913669072</v>
      </c>
    </row>
    <row r="625" spans="1:29" ht="15.75" x14ac:dyDescent="0.25">
      <c r="A625" s="11">
        <v>2023</v>
      </c>
      <c r="B625" s="17">
        <f t="shared" ref="B625:S625" si="24">AVERAGE(B145:B156)</f>
        <v>8.2307583333333323</v>
      </c>
      <c r="C625" s="17">
        <f t="shared" si="24"/>
        <v>8.2370250000000009</v>
      </c>
      <c r="D625" s="17">
        <f t="shared" si="24"/>
        <v>8.4462500000000009</v>
      </c>
      <c r="E625" s="17">
        <f t="shared" si="24"/>
        <v>8.4783500000000007</v>
      </c>
      <c r="F625" s="17">
        <f t="shared" si="24"/>
        <v>8.2427333333333319</v>
      </c>
      <c r="G625" s="17">
        <f t="shared" si="24"/>
        <v>8.2594250000000002</v>
      </c>
      <c r="H625" s="17">
        <f t="shared" si="24"/>
        <v>8.4671666666666656</v>
      </c>
      <c r="I625" s="17">
        <f t="shared" si="24"/>
        <v>8.2808250000000001</v>
      </c>
      <c r="J625" s="17">
        <f t="shared" si="24"/>
        <v>8.2353333333333332</v>
      </c>
      <c r="K625" s="52">
        <f t="shared" si="24"/>
        <v>8.2747916666666672</v>
      </c>
      <c r="L625" s="17">
        <f t="shared" si="24"/>
        <v>9.0541666666666671</v>
      </c>
      <c r="M625" s="17">
        <f t="shared" si="24"/>
        <v>8.1682583333333341</v>
      </c>
      <c r="N625" s="17">
        <f t="shared" si="24"/>
        <v>8.184825</v>
      </c>
      <c r="O625" s="17">
        <f t="shared" si="24"/>
        <v>8.3980166666666669</v>
      </c>
      <c r="P625" s="17">
        <f t="shared" si="24"/>
        <v>8.2131833333333351</v>
      </c>
      <c r="Q625" s="17">
        <f t="shared" si="24"/>
        <v>8.9927166666666665</v>
      </c>
      <c r="R625" s="17">
        <f t="shared" si="24"/>
        <v>9.6022083333333317</v>
      </c>
      <c r="S625" s="17">
        <f t="shared" si="24"/>
        <v>7.970883333333334</v>
      </c>
      <c r="T625" s="51">
        <f>SUM(T145:T156)</f>
        <v>357.33618100000001</v>
      </c>
      <c r="U625" s="51">
        <f>SUM(U145:U156)</f>
        <v>142.03263249999998</v>
      </c>
      <c r="V625" s="51">
        <f>SUM(V145:V156)</f>
        <v>50.187500000000007</v>
      </c>
      <c r="W625" s="51">
        <f>SUM(W145:W156)</f>
        <v>4.0622309999999988</v>
      </c>
      <c r="X625" s="51">
        <f>SUM(X145:X156)</f>
        <v>14.222225463999999</v>
      </c>
      <c r="Y625" s="51"/>
      <c r="Z625" s="17"/>
      <c r="AA625" s="17"/>
      <c r="AB625" s="48">
        <f>AVERAGE(AB145:AB156)</f>
        <v>8.2917031834088579</v>
      </c>
      <c r="AC625" s="45">
        <f>AVERAGE(AC145:AC156)</f>
        <v>8.2530627098321343</v>
      </c>
    </row>
    <row r="626" spans="1:29" ht="15.75" x14ac:dyDescent="0.25">
      <c r="A626" s="11">
        <v>2024</v>
      </c>
      <c r="B626" s="17">
        <f t="shared" ref="B626:S626" si="25">AVERAGE(B157:B168)</f>
        <v>8.5960333333333327</v>
      </c>
      <c r="C626" s="17">
        <f t="shared" si="25"/>
        <v>8.6022833333333324</v>
      </c>
      <c r="D626" s="17">
        <f t="shared" si="25"/>
        <v>8.8115083333333342</v>
      </c>
      <c r="E626" s="17">
        <f t="shared" si="25"/>
        <v>8.8436249999999994</v>
      </c>
      <c r="F626" s="17">
        <f t="shared" si="25"/>
        <v>8.6079916666666687</v>
      </c>
      <c r="G626" s="17">
        <f t="shared" si="25"/>
        <v>8.6246749999999999</v>
      </c>
      <c r="H626" s="17">
        <f t="shared" si="25"/>
        <v>8.832416666666667</v>
      </c>
      <c r="I626" s="17">
        <f t="shared" si="25"/>
        <v>8.647199999999998</v>
      </c>
      <c r="J626" s="17">
        <f t="shared" si="25"/>
        <v>8.6005916666666664</v>
      </c>
      <c r="K626" s="52">
        <f t="shared" si="25"/>
        <v>8.6411749999999987</v>
      </c>
      <c r="L626" s="17">
        <f t="shared" si="25"/>
        <v>9.4194166666666668</v>
      </c>
      <c r="M626" s="17">
        <f t="shared" si="25"/>
        <v>8.5302416666666652</v>
      </c>
      <c r="N626" s="17">
        <f t="shared" si="25"/>
        <v>8.5467999999999993</v>
      </c>
      <c r="O626" s="17">
        <f t="shared" si="25"/>
        <v>8.7599833333333326</v>
      </c>
      <c r="P626" s="17">
        <f t="shared" si="25"/>
        <v>8.5762499999999999</v>
      </c>
      <c r="Q626" s="17">
        <f t="shared" si="25"/>
        <v>9.3546833333333321</v>
      </c>
      <c r="R626" s="17">
        <f t="shared" si="25"/>
        <v>9.965066666666667</v>
      </c>
      <c r="S626" s="17">
        <f t="shared" si="25"/>
        <v>8.3250833333333336</v>
      </c>
      <c r="T626" s="51">
        <f>SUM(T157:T168)</f>
        <v>358.26753550000001</v>
      </c>
      <c r="U626" s="51">
        <f>SUM(U157:U168)</f>
        <v>142.42176299999997</v>
      </c>
      <c r="V626" s="51">
        <f>SUM(V157:V168)</f>
        <v>50.325000000000003</v>
      </c>
      <c r="W626" s="51">
        <f>SUM(W157:W168)</f>
        <v>4.0733603999999994</v>
      </c>
      <c r="X626" s="51">
        <f>SUM(X157:X168)</f>
        <v>14.245965463999999</v>
      </c>
      <c r="Y626" s="51"/>
      <c r="Z626" s="17"/>
      <c r="AA626" s="17"/>
      <c r="AB626" s="48">
        <f>AVERAGE(AB157:AB168)</f>
        <v>8.6570572336048475</v>
      </c>
      <c r="AC626" s="45">
        <f>AVERAGE(AC157:AC168)</f>
        <v>8.6151953237410073</v>
      </c>
    </row>
    <row r="627" spans="1:29" ht="15.75" x14ac:dyDescent="0.25">
      <c r="A627" s="11">
        <v>2025</v>
      </c>
      <c r="B627" s="17">
        <f t="shared" ref="B627:S627" si="26">AVERAGE(B169:B180)</f>
        <v>8.9594916666666666</v>
      </c>
      <c r="C627" s="17">
        <f t="shared" si="26"/>
        <v>8.9657749999999989</v>
      </c>
      <c r="D627" s="17">
        <f t="shared" si="26"/>
        <v>9.1750083333333325</v>
      </c>
      <c r="E627" s="17">
        <f t="shared" si="26"/>
        <v>9.2071000000000005</v>
      </c>
      <c r="F627" s="17">
        <f t="shared" si="26"/>
        <v>8.9714833333333353</v>
      </c>
      <c r="G627" s="17">
        <f t="shared" si="26"/>
        <v>8.9881833333333354</v>
      </c>
      <c r="H627" s="17">
        <f t="shared" si="26"/>
        <v>9.195924999999999</v>
      </c>
      <c r="I627" s="17">
        <f t="shared" si="26"/>
        <v>9.0118333333333336</v>
      </c>
      <c r="J627" s="17">
        <f t="shared" si="26"/>
        <v>8.964083333333333</v>
      </c>
      <c r="K627" s="52">
        <f t="shared" si="26"/>
        <v>9.0057833333333352</v>
      </c>
      <c r="L627" s="17">
        <f t="shared" si="26"/>
        <v>9.7829250000000005</v>
      </c>
      <c r="M627" s="17">
        <f t="shared" si="26"/>
        <v>8.8904500000000013</v>
      </c>
      <c r="N627" s="17">
        <f t="shared" si="26"/>
        <v>8.9070166666666655</v>
      </c>
      <c r="O627" s="17">
        <f t="shared" si="26"/>
        <v>9.1202083333333324</v>
      </c>
      <c r="P627" s="17">
        <f t="shared" si="26"/>
        <v>8.9375916666666662</v>
      </c>
      <c r="Q627" s="17">
        <f t="shared" si="26"/>
        <v>9.7149083333333337</v>
      </c>
      <c r="R627" s="17">
        <f t="shared" si="26"/>
        <v>10.326191666666666</v>
      </c>
      <c r="S627" s="17">
        <f t="shared" si="26"/>
        <v>8.6775749999999992</v>
      </c>
      <c r="T627" s="51">
        <f>SUM(T169:T180)</f>
        <v>357.33618100000001</v>
      </c>
      <c r="U627" s="51">
        <f>SUM(U169:U180)</f>
        <v>142.03263249999998</v>
      </c>
      <c r="V627" s="51">
        <f>SUM(V169:V180)</f>
        <v>50.187500000000007</v>
      </c>
      <c r="W627" s="51">
        <f>SUM(W169:W180)</f>
        <v>4.0622309999999988</v>
      </c>
      <c r="X627" s="51">
        <f>SUM(X169:X180)</f>
        <v>14.222225463999999</v>
      </c>
      <c r="Y627" s="51"/>
      <c r="Z627" s="17"/>
      <c r="AA627" s="17"/>
      <c r="AB627" s="48">
        <f>AVERAGE(AB169:AB180)</f>
        <v>9.0206386414884339</v>
      </c>
      <c r="AC627" s="45">
        <f>AVERAGE(AC169:AC180)</f>
        <v>8.9755704436450827</v>
      </c>
    </row>
    <row r="628" spans="1:29" ht="15.75" x14ac:dyDescent="0.25">
      <c r="A628" s="11">
        <v>2026</v>
      </c>
      <c r="B628" s="17">
        <f t="shared" ref="B628:S628" si="27">AVERAGE(B181:B192)</f>
        <v>9.2824000000000009</v>
      </c>
      <c r="C628" s="17">
        <f t="shared" si="27"/>
        <v>9.288666666666666</v>
      </c>
      <c r="D628" s="17">
        <f t="shared" si="27"/>
        <v>9.497891666666666</v>
      </c>
      <c r="E628" s="17">
        <f t="shared" si="27"/>
        <v>9.5300000000000011</v>
      </c>
      <c r="F628" s="17">
        <f t="shared" si="27"/>
        <v>9.2943583333333333</v>
      </c>
      <c r="G628" s="17">
        <f t="shared" si="27"/>
        <v>9.3110583333333317</v>
      </c>
      <c r="H628" s="17">
        <f t="shared" si="27"/>
        <v>9.5188000000000006</v>
      </c>
      <c r="I628" s="17">
        <f t="shared" si="27"/>
        <v>9.3357250000000001</v>
      </c>
      <c r="J628" s="17">
        <f t="shared" si="27"/>
        <v>9.2869583333333328</v>
      </c>
      <c r="K628" s="52">
        <f t="shared" si="27"/>
        <v>9.3296833333333318</v>
      </c>
      <c r="L628" s="17">
        <f t="shared" si="27"/>
        <v>10.105800000000002</v>
      </c>
      <c r="M628" s="17">
        <f t="shared" si="27"/>
        <v>9.2104333333333326</v>
      </c>
      <c r="N628" s="17">
        <f t="shared" si="27"/>
        <v>9.2270166666666658</v>
      </c>
      <c r="O628" s="17">
        <f t="shared" si="27"/>
        <v>9.440199999999999</v>
      </c>
      <c r="P628" s="17">
        <f t="shared" si="27"/>
        <v>9.2585499999999996</v>
      </c>
      <c r="Q628" s="17">
        <f t="shared" si="27"/>
        <v>10.034900000000002</v>
      </c>
      <c r="R628" s="17">
        <f t="shared" si="27"/>
        <v>10.646966666666666</v>
      </c>
      <c r="S628" s="17">
        <f t="shared" si="27"/>
        <v>8.9906749999999995</v>
      </c>
      <c r="T628" s="51">
        <f>SUM(T181:T192)</f>
        <v>357.33618100000001</v>
      </c>
      <c r="U628" s="51">
        <f>SUM(U181:U192)</f>
        <v>142.03263249999998</v>
      </c>
      <c r="V628" s="51">
        <f>SUM(V181:V192)</f>
        <v>50.187500000000007</v>
      </c>
      <c r="W628" s="51">
        <f>SUM(W181:W192)</f>
        <v>4.0622309999999988</v>
      </c>
      <c r="X628" s="51">
        <f>SUM(X181:X192)</f>
        <v>14.222225463999999</v>
      </c>
      <c r="Y628" s="51"/>
      <c r="Z628" s="17"/>
      <c r="AA628" s="17"/>
      <c r="AB628" s="48">
        <f>AVERAGE(AB181:AB192)</f>
        <v>9.3436093910922402</v>
      </c>
      <c r="AC628" s="45">
        <f>AVERAGE(AC181:AC192)</f>
        <v>9.2957002398081521</v>
      </c>
    </row>
    <row r="629" spans="1:29" ht="15.75" x14ac:dyDescent="0.25">
      <c r="A629" s="11">
        <v>2027</v>
      </c>
      <c r="B629" s="17">
        <f t="shared" ref="B629:S629" si="28">AVERAGE(B193:B204)</f>
        <v>9.6001999999999992</v>
      </c>
      <c r="C629" s="17">
        <f t="shared" si="28"/>
        <v>9.6064583333333342</v>
      </c>
      <c r="D629" s="17">
        <f t="shared" si="28"/>
        <v>9.815691666666666</v>
      </c>
      <c r="E629" s="17">
        <f t="shared" si="28"/>
        <v>9.8478000000000012</v>
      </c>
      <c r="F629" s="17">
        <f t="shared" si="28"/>
        <v>9.6121499999999997</v>
      </c>
      <c r="G629" s="17">
        <f t="shared" si="28"/>
        <v>9.6288833333333326</v>
      </c>
      <c r="H629" s="17">
        <f t="shared" si="28"/>
        <v>9.8366000000000025</v>
      </c>
      <c r="I629" s="17">
        <f t="shared" si="28"/>
        <v>9.6545000000000005</v>
      </c>
      <c r="J629" s="17">
        <f t="shared" si="28"/>
        <v>9.604750000000001</v>
      </c>
      <c r="K629" s="52">
        <f t="shared" si="28"/>
        <v>9.6484666666666659</v>
      </c>
      <c r="L629" s="17">
        <f t="shared" si="28"/>
        <v>10.423599999999999</v>
      </c>
      <c r="M629" s="17">
        <f t="shared" si="28"/>
        <v>9.5253916666666676</v>
      </c>
      <c r="N629" s="17">
        <f t="shared" si="28"/>
        <v>9.5419499999999999</v>
      </c>
      <c r="O629" s="17">
        <f t="shared" si="28"/>
        <v>9.7551333333333314</v>
      </c>
      <c r="P629" s="17">
        <f t="shared" si="28"/>
        <v>9.5744750000000014</v>
      </c>
      <c r="Q629" s="17">
        <f t="shared" si="28"/>
        <v>10.349833333333333</v>
      </c>
      <c r="R629" s="17">
        <f t="shared" si="28"/>
        <v>10.962708333333332</v>
      </c>
      <c r="S629" s="17">
        <f t="shared" si="28"/>
        <v>9.2988416666666662</v>
      </c>
      <c r="T629" s="51">
        <f>SUM(T193:T204)</f>
        <v>357.33618100000001</v>
      </c>
      <c r="U629" s="51">
        <f>SUM(U193:U204)</f>
        <v>142.03263249999998</v>
      </c>
      <c r="V629" s="51">
        <f>SUM(V193:V204)</f>
        <v>50.187500000000007</v>
      </c>
      <c r="W629" s="51">
        <f>SUM(W193:W204)</f>
        <v>4.0622309999999988</v>
      </c>
      <c r="X629" s="51">
        <f>SUM(X193:X204)</f>
        <v>14.222225463999999</v>
      </c>
      <c r="Y629" s="51"/>
      <c r="Z629" s="17"/>
      <c r="AA629" s="17"/>
      <c r="AB629" s="48">
        <f>AVERAGE(AB193:AB204)</f>
        <v>9.6614871665354247</v>
      </c>
      <c r="AC629" s="45">
        <f>AVERAGE(AC193:AC204)</f>
        <v>9.6107848920863308</v>
      </c>
    </row>
    <row r="630" spans="1:29" ht="15.75" x14ac:dyDescent="0.25">
      <c r="A630" s="11">
        <v>2028</v>
      </c>
      <c r="B630" s="17">
        <f t="shared" ref="B630:S630" si="29">AVERAGE(B205:B216)</f>
        <v>9.9200833333333325</v>
      </c>
      <c r="C630" s="17">
        <f t="shared" si="29"/>
        <v>9.9263416666666657</v>
      </c>
      <c r="D630" s="17">
        <f t="shared" si="29"/>
        <v>10.135566666666668</v>
      </c>
      <c r="E630" s="17">
        <f t="shared" si="29"/>
        <v>10.167683333333335</v>
      </c>
      <c r="F630" s="17">
        <f t="shared" si="29"/>
        <v>9.9320416666666667</v>
      </c>
      <c r="G630" s="17">
        <f t="shared" si="29"/>
        <v>9.9487583333333358</v>
      </c>
      <c r="H630" s="17">
        <f t="shared" si="29"/>
        <v>10.156474999999999</v>
      </c>
      <c r="I630" s="17">
        <f t="shared" si="29"/>
        <v>9.9753833333333333</v>
      </c>
      <c r="J630" s="17">
        <f t="shared" si="29"/>
        <v>9.9246416666666661</v>
      </c>
      <c r="K630" s="52">
        <f t="shared" si="29"/>
        <v>9.9693500000000004</v>
      </c>
      <c r="L630" s="17">
        <f t="shared" si="29"/>
        <v>10.743474999999998</v>
      </c>
      <c r="M630" s="17">
        <f t="shared" si="29"/>
        <v>9.8423750000000023</v>
      </c>
      <c r="N630" s="17">
        <f t="shared" si="29"/>
        <v>9.8589583333333337</v>
      </c>
      <c r="O630" s="17">
        <f t="shared" si="29"/>
        <v>10.072141666666665</v>
      </c>
      <c r="P630" s="17">
        <f t="shared" si="29"/>
        <v>9.8924416666666648</v>
      </c>
      <c r="Q630" s="17">
        <f t="shared" si="29"/>
        <v>10.666841666666668</v>
      </c>
      <c r="R630" s="17">
        <f t="shared" si="29"/>
        <v>11.280525000000003</v>
      </c>
      <c r="S630" s="17">
        <f t="shared" si="29"/>
        <v>9.6090416666666663</v>
      </c>
      <c r="T630" s="51">
        <f>SUM(T205:T216)</f>
        <v>358.26753550000001</v>
      </c>
      <c r="U630" s="51">
        <f>SUM(U205:U216)</f>
        <v>142.42176299999997</v>
      </c>
      <c r="V630" s="51">
        <f>SUM(V205:V216)</f>
        <v>50.325000000000003</v>
      </c>
      <c r="W630" s="51">
        <f>SUM(W205:W216)</f>
        <v>4.0733603999999994</v>
      </c>
      <c r="X630" s="51">
        <f>SUM(X205:X216)</f>
        <v>14.245965463999999</v>
      </c>
      <c r="Y630" s="51"/>
      <c r="Z630" s="17"/>
      <c r="AA630" s="17"/>
      <c r="AB630" s="48">
        <f>AVERAGE(AB205:AB216)</f>
        <v>9.9814536654741435</v>
      </c>
      <c r="AC630" s="45">
        <f>AVERAGE(AC205:AC216)</f>
        <v>9.9279224820143881</v>
      </c>
    </row>
    <row r="631" spans="1:29" ht="15.75" x14ac:dyDescent="0.25">
      <c r="A631" s="11">
        <v>2029</v>
      </c>
      <c r="B631" s="17">
        <f t="shared" ref="B631:S631" si="30">AVERAGE(B217:B228)</f>
        <v>10.249974999999999</v>
      </c>
      <c r="C631" s="17">
        <f t="shared" si="30"/>
        <v>10.256208333333333</v>
      </c>
      <c r="D631" s="17">
        <f t="shared" si="30"/>
        <v>10.465433333333333</v>
      </c>
      <c r="E631" s="17">
        <f t="shared" si="30"/>
        <v>10.497574999999999</v>
      </c>
      <c r="F631" s="17">
        <f t="shared" si="30"/>
        <v>10.261925</v>
      </c>
      <c r="G631" s="17">
        <f t="shared" si="30"/>
        <v>10.278641666666667</v>
      </c>
      <c r="H631" s="17">
        <f t="shared" si="30"/>
        <v>10.486350000000002</v>
      </c>
      <c r="I631" s="17">
        <f t="shared" si="30"/>
        <v>10.306291666666665</v>
      </c>
      <c r="J631" s="17">
        <f t="shared" si="30"/>
        <v>10.254524999999999</v>
      </c>
      <c r="K631" s="52">
        <f t="shared" si="30"/>
        <v>10.30025</v>
      </c>
      <c r="L631" s="17">
        <f t="shared" si="30"/>
        <v>11.073349999999998</v>
      </c>
      <c r="M631" s="17">
        <f t="shared" si="30"/>
        <v>10.169300000000002</v>
      </c>
      <c r="N631" s="17">
        <f t="shared" si="30"/>
        <v>10.185874999999999</v>
      </c>
      <c r="O631" s="17">
        <f t="shared" si="30"/>
        <v>10.399066666666668</v>
      </c>
      <c r="P631" s="17">
        <f t="shared" si="30"/>
        <v>10.220374999999999</v>
      </c>
      <c r="Q631" s="17">
        <f t="shared" si="30"/>
        <v>10.993766666666668</v>
      </c>
      <c r="R631" s="17">
        <f t="shared" si="30"/>
        <v>11.60825</v>
      </c>
      <c r="S631" s="17">
        <f t="shared" si="30"/>
        <v>9.9289083333333306</v>
      </c>
      <c r="T631" s="51">
        <f>SUM(T217:T228)</f>
        <v>357.33618100000001</v>
      </c>
      <c r="U631" s="51">
        <f>SUM(U217:U228)</f>
        <v>142.03263249999998</v>
      </c>
      <c r="V631" s="51">
        <f>SUM(V217:V228)</f>
        <v>50.187500000000007</v>
      </c>
      <c r="W631" s="51">
        <f>SUM(W217:W228)</f>
        <v>4.0622309999999988</v>
      </c>
      <c r="X631" s="51">
        <f>SUM(X217:X228)</f>
        <v>14.222225463999999</v>
      </c>
      <c r="Y631" s="51"/>
      <c r="Z631" s="17"/>
      <c r="AA631" s="17"/>
      <c r="AB631" s="48">
        <f>AVERAGE(AB217:AB228)</f>
        <v>10.311418073976915</v>
      </c>
      <c r="AC631" s="45">
        <f>AVERAGE(AC217:AC228)</f>
        <v>10.254992086330935</v>
      </c>
    </row>
    <row r="632" spans="1:29" ht="15.75" x14ac:dyDescent="0.25">
      <c r="A632" s="11">
        <v>2030</v>
      </c>
      <c r="B632" s="17">
        <f t="shared" ref="B632:S632" si="31">AVERAGE(B229:B240)</f>
        <v>10.547375000000001</v>
      </c>
      <c r="C632" s="17">
        <f t="shared" si="31"/>
        <v>10.553641666666666</v>
      </c>
      <c r="D632" s="17">
        <f t="shared" si="31"/>
        <v>10.762858333333334</v>
      </c>
      <c r="E632" s="17">
        <f t="shared" si="31"/>
        <v>10.794975000000001</v>
      </c>
      <c r="F632" s="17">
        <f t="shared" si="31"/>
        <v>10.559341666666667</v>
      </c>
      <c r="G632" s="17">
        <f t="shared" si="31"/>
        <v>10.576066666666668</v>
      </c>
      <c r="H632" s="17">
        <f t="shared" si="31"/>
        <v>10.783775</v>
      </c>
      <c r="I632" s="17">
        <f t="shared" si="31"/>
        <v>10.604616666666667</v>
      </c>
      <c r="J632" s="17">
        <f t="shared" si="31"/>
        <v>10.551941666666666</v>
      </c>
      <c r="K632" s="52">
        <f t="shared" si="31"/>
        <v>10.598591666666666</v>
      </c>
      <c r="L632" s="17">
        <f t="shared" si="31"/>
        <v>11.370775</v>
      </c>
      <c r="M632" s="17">
        <f t="shared" si="31"/>
        <v>10.464041666666667</v>
      </c>
      <c r="N632" s="17">
        <f t="shared" si="31"/>
        <v>10.480616666666668</v>
      </c>
      <c r="O632" s="17">
        <f t="shared" si="31"/>
        <v>10.693783333333334</v>
      </c>
      <c r="P632" s="17">
        <f t="shared" si="31"/>
        <v>10.516033333333334</v>
      </c>
      <c r="Q632" s="17">
        <f t="shared" si="31"/>
        <v>11.288483333333334</v>
      </c>
      <c r="R632" s="17">
        <f t="shared" si="31"/>
        <v>11.903716666666666</v>
      </c>
      <c r="S632" s="17">
        <f t="shared" si="31"/>
        <v>10.217325000000001</v>
      </c>
      <c r="T632" s="51">
        <f>SUM(T229:T240)</f>
        <v>357.33618100000001</v>
      </c>
      <c r="U632" s="51">
        <f>SUM(U229:U240)</f>
        <v>142.03263249999998</v>
      </c>
      <c r="V632" s="51">
        <f>SUM(V229:V240)</f>
        <v>50.187500000000007</v>
      </c>
      <c r="W632" s="51">
        <f>SUM(W229:W240)</f>
        <v>4.0622309999999988</v>
      </c>
      <c r="X632" s="51">
        <f>SUM(X229:X240)</f>
        <v>14.222225463999999</v>
      </c>
      <c r="Y632" s="51"/>
      <c r="Z632" s="17"/>
      <c r="AA632" s="17"/>
      <c r="AB632" s="48">
        <f>AVERAGE(AB229:AB240)</f>
        <v>10.608910084821618</v>
      </c>
      <c r="AC632" s="45">
        <f>AVERAGE(AC229:AC240)</f>
        <v>10.549857194244604</v>
      </c>
    </row>
    <row r="633" spans="1:29" ht="15.75" x14ac:dyDescent="0.25">
      <c r="A633" s="11">
        <v>2031</v>
      </c>
      <c r="B633" s="17">
        <f t="shared" ref="B633:S633" si="32">AVERAGE(B241:B252)</f>
        <v>10.935666666666668</v>
      </c>
      <c r="C633" s="17">
        <f t="shared" si="32"/>
        <v>10.941941666666665</v>
      </c>
      <c r="D633" s="17">
        <f t="shared" si="32"/>
        <v>11.151183333333334</v>
      </c>
      <c r="E633" s="17">
        <f t="shared" si="32"/>
        <v>11.183275</v>
      </c>
      <c r="F633" s="17">
        <f t="shared" si="32"/>
        <v>10.947641666666668</v>
      </c>
      <c r="G633" s="17">
        <f t="shared" si="32"/>
        <v>10.964366666666665</v>
      </c>
      <c r="H633" s="17">
        <f t="shared" si="32"/>
        <v>11.172091666666665</v>
      </c>
      <c r="I633" s="17">
        <f t="shared" si="32"/>
        <v>10.994133333333332</v>
      </c>
      <c r="J633" s="17">
        <f t="shared" si="32"/>
        <v>10.940241666666667</v>
      </c>
      <c r="K633" s="52">
        <f t="shared" si="32"/>
        <v>10.988083333333334</v>
      </c>
      <c r="L633" s="17">
        <f t="shared" si="32"/>
        <v>11.759091666666665</v>
      </c>
      <c r="M633" s="17">
        <f t="shared" si="32"/>
        <v>10.848866666666666</v>
      </c>
      <c r="N633" s="17">
        <f t="shared" si="32"/>
        <v>10.865416666666668</v>
      </c>
      <c r="O633" s="17">
        <f t="shared" si="32"/>
        <v>11.078616666666667</v>
      </c>
      <c r="P633" s="17">
        <f t="shared" si="32"/>
        <v>10.902016666666668</v>
      </c>
      <c r="Q633" s="17">
        <f t="shared" si="32"/>
        <v>11.673316666666667</v>
      </c>
      <c r="R633" s="17">
        <f t="shared" si="32"/>
        <v>12.289499999999999</v>
      </c>
      <c r="S633" s="17">
        <f t="shared" si="32"/>
        <v>10.593858333333335</v>
      </c>
      <c r="T633" s="51">
        <f>SUM(T241:T252)</f>
        <v>357.33618100000001</v>
      </c>
      <c r="U633" s="51">
        <f>SUM(U241:U252)</f>
        <v>142.03263249999998</v>
      </c>
      <c r="V633" s="51">
        <f>SUM(V241:V252)</f>
        <v>50.187500000000007</v>
      </c>
      <c r="W633" s="51">
        <f>SUM(W241:W252)</f>
        <v>4.0622309999999988</v>
      </c>
      <c r="X633" s="51">
        <f>SUM(X241:X252)</f>
        <v>14.222225463999999</v>
      </c>
      <c r="Y633" s="51"/>
      <c r="Z633" s="17"/>
      <c r="AA633" s="17"/>
      <c r="AB633" s="48">
        <f>AVERAGE(AB241:AB252)</f>
        <v>10.997312946270418</v>
      </c>
      <c r="AC633" s="45">
        <f>AVERAGE(AC241:AC252)</f>
        <v>10.934848321342924</v>
      </c>
    </row>
    <row r="634" spans="1:29" ht="15.75" x14ac:dyDescent="0.25">
      <c r="A634" s="11">
        <v>2032</v>
      </c>
      <c r="B634" s="17">
        <f t="shared" ref="B634:S634" si="33">AVERAGE(B253:B264)</f>
        <v>11.296233333333333</v>
      </c>
      <c r="C634" s="17">
        <f t="shared" si="33"/>
        <v>11.3025</v>
      </c>
      <c r="D634" s="17">
        <f t="shared" si="33"/>
        <v>11.511708333333333</v>
      </c>
      <c r="E634" s="17">
        <f t="shared" si="33"/>
        <v>11.543833333333334</v>
      </c>
      <c r="F634" s="17">
        <f t="shared" si="33"/>
        <v>11.308191666666668</v>
      </c>
      <c r="G634" s="17">
        <f t="shared" si="33"/>
        <v>11.324908333333333</v>
      </c>
      <c r="H634" s="17">
        <f t="shared" si="33"/>
        <v>11.532625000000001</v>
      </c>
      <c r="I634" s="17">
        <f t="shared" si="33"/>
        <v>11.355791666666669</v>
      </c>
      <c r="J634" s="17">
        <f t="shared" si="33"/>
        <v>11.300791666666667</v>
      </c>
      <c r="K634" s="52">
        <f t="shared" si="33"/>
        <v>11.349758333333334</v>
      </c>
      <c r="L634" s="17">
        <f t="shared" si="33"/>
        <v>12.119624999999999</v>
      </c>
      <c r="M634" s="17">
        <f t="shared" si="33"/>
        <v>11.206158333333335</v>
      </c>
      <c r="N634" s="17">
        <f t="shared" si="33"/>
        <v>11.222724999999999</v>
      </c>
      <c r="O634" s="17">
        <f t="shared" si="33"/>
        <v>11.435908333333332</v>
      </c>
      <c r="P634" s="17">
        <f t="shared" si="33"/>
        <v>11.260424999999998</v>
      </c>
      <c r="Q634" s="17">
        <f t="shared" si="33"/>
        <v>12.030608333333335</v>
      </c>
      <c r="R634" s="17">
        <f t="shared" si="33"/>
        <v>12.647683333333331</v>
      </c>
      <c r="S634" s="17">
        <f t="shared" si="33"/>
        <v>10.943474999999999</v>
      </c>
      <c r="T634" s="51">
        <f>SUM(T253:T264)</f>
        <v>358.26753550000001</v>
      </c>
      <c r="U634" s="51">
        <f>SUM(U253:U264)</f>
        <v>142.42176299999997</v>
      </c>
      <c r="V634" s="51">
        <f>SUM(V253:V264)</f>
        <v>50.325000000000003</v>
      </c>
      <c r="W634" s="51">
        <f>SUM(W253:W264)</f>
        <v>4.0733603999999994</v>
      </c>
      <c r="X634" s="51">
        <f>SUM(X253:X264)</f>
        <v>14.245965463999999</v>
      </c>
      <c r="Y634" s="51"/>
      <c r="Z634" s="17"/>
      <c r="AA634" s="17"/>
      <c r="AB634" s="48">
        <f>AVERAGE(AB253:AB264)</f>
        <v>11.357955110839043</v>
      </c>
      <c r="AC634" s="45">
        <f>AVERAGE(AC253:AC264)</f>
        <v>11.292301618705034</v>
      </c>
    </row>
    <row r="635" spans="1:29" ht="15.75" x14ac:dyDescent="0.25">
      <c r="A635" s="11">
        <v>2033</v>
      </c>
      <c r="B635" s="17">
        <f t="shared" ref="B635:S635" si="34">AVERAGE(B265:B276)</f>
        <v>11.668675</v>
      </c>
      <c r="C635" s="17">
        <f t="shared" si="34"/>
        <v>11.674933333333335</v>
      </c>
      <c r="D635" s="17">
        <f t="shared" si="34"/>
        <v>11.884166666666667</v>
      </c>
      <c r="E635" s="17">
        <f t="shared" si="34"/>
        <v>11.916283333333332</v>
      </c>
      <c r="F635" s="17">
        <f t="shared" si="34"/>
        <v>11.680641666666666</v>
      </c>
      <c r="G635" s="17">
        <f t="shared" si="34"/>
        <v>11.69735</v>
      </c>
      <c r="H635" s="17">
        <f t="shared" si="34"/>
        <v>11.905074999999998</v>
      </c>
      <c r="I635" s="17">
        <f t="shared" si="34"/>
        <v>11.729391666666665</v>
      </c>
      <c r="J635" s="17">
        <f t="shared" si="34"/>
        <v>11.673241666666668</v>
      </c>
      <c r="K635" s="52">
        <f t="shared" si="34"/>
        <v>11.723358333333335</v>
      </c>
      <c r="L635" s="17">
        <f t="shared" si="34"/>
        <v>12.492075</v>
      </c>
      <c r="M635" s="17">
        <f t="shared" si="34"/>
        <v>11.575258333333332</v>
      </c>
      <c r="N635" s="17">
        <f t="shared" si="34"/>
        <v>11.591808333333333</v>
      </c>
      <c r="O635" s="17">
        <f t="shared" si="34"/>
        <v>11.805008333333333</v>
      </c>
      <c r="P635" s="17">
        <f t="shared" si="34"/>
        <v>11.630641666666667</v>
      </c>
      <c r="Q635" s="17">
        <f t="shared" si="34"/>
        <v>12.399708333333331</v>
      </c>
      <c r="R635" s="17">
        <f t="shared" si="34"/>
        <v>13.017708333333333</v>
      </c>
      <c r="S635" s="17">
        <f t="shared" si="34"/>
        <v>11.304633333333333</v>
      </c>
      <c r="T635" s="51">
        <f>SUM(T265:T276)</f>
        <v>357.33618100000001</v>
      </c>
      <c r="U635" s="51">
        <f>SUM(U265:U276)</f>
        <v>142.03263249999998</v>
      </c>
      <c r="V635" s="51">
        <f>SUM(V265:V276)</f>
        <v>50.187500000000007</v>
      </c>
      <c r="W635" s="51">
        <f>SUM(W265:W276)</f>
        <v>4.0622309999999988</v>
      </c>
      <c r="X635" s="51">
        <f>SUM(X265:X276)</f>
        <v>14.222225463999999</v>
      </c>
      <c r="Y635" s="51"/>
      <c r="Z635" s="17"/>
      <c r="AA635" s="17"/>
      <c r="AB635" s="48">
        <f>AVERAGE(AB265:AB276)</f>
        <v>11.730496704357668</v>
      </c>
      <c r="AC635" s="45">
        <f>AVERAGE(AC265:AC276)</f>
        <v>11.661559892086332</v>
      </c>
    </row>
    <row r="636" spans="1:29" ht="15.75" x14ac:dyDescent="0.25">
      <c r="A636" s="11">
        <v>2034</v>
      </c>
      <c r="B636" s="17">
        <f t="shared" ref="B636:S636" si="35">AVERAGE(B277:B288)</f>
        <v>12.053416666666665</v>
      </c>
      <c r="C636" s="17">
        <f t="shared" si="35"/>
        <v>12.059674999999999</v>
      </c>
      <c r="D636" s="17">
        <f t="shared" si="35"/>
        <v>12.268883333333333</v>
      </c>
      <c r="E636" s="17">
        <f t="shared" si="35"/>
        <v>12.301016666666667</v>
      </c>
      <c r="F636" s="17">
        <f t="shared" si="35"/>
        <v>12.065383333333335</v>
      </c>
      <c r="G636" s="17">
        <f t="shared" si="35"/>
        <v>12.082100000000002</v>
      </c>
      <c r="H636" s="17">
        <f t="shared" si="35"/>
        <v>12.2898</v>
      </c>
      <c r="I636" s="17">
        <f t="shared" si="35"/>
        <v>12.115341666666668</v>
      </c>
      <c r="J636" s="17">
        <f t="shared" si="35"/>
        <v>12.057983333333333</v>
      </c>
      <c r="K636" s="52">
        <f t="shared" si="35"/>
        <v>12.109291666666669</v>
      </c>
      <c r="L636" s="17">
        <f t="shared" si="35"/>
        <v>12.876800000000001</v>
      </c>
      <c r="M636" s="17">
        <f t="shared" si="35"/>
        <v>11.956558333333332</v>
      </c>
      <c r="N636" s="17">
        <f t="shared" si="35"/>
        <v>11.973108333333334</v>
      </c>
      <c r="O636" s="17">
        <f t="shared" si="35"/>
        <v>12.186291666666664</v>
      </c>
      <c r="P636" s="17">
        <f t="shared" si="35"/>
        <v>12.0131</v>
      </c>
      <c r="Q636" s="17">
        <f t="shared" si="35"/>
        <v>12.780991666666665</v>
      </c>
      <c r="R636" s="17">
        <f t="shared" si="35"/>
        <v>13.399933333333331</v>
      </c>
      <c r="S636" s="17">
        <f t="shared" si="35"/>
        <v>11.677716666666667</v>
      </c>
      <c r="T636" s="51">
        <f>SUM(T277:T288)</f>
        <v>357.33618100000001</v>
      </c>
      <c r="U636" s="51">
        <f>SUM(U277:U288)</f>
        <v>142.03263249999998</v>
      </c>
      <c r="V636" s="51">
        <f>SUM(V277:V288)</f>
        <v>50.187500000000007</v>
      </c>
      <c r="W636" s="51">
        <f>SUM(W277:W288)</f>
        <v>4.0622309999999988</v>
      </c>
      <c r="X636" s="51">
        <f>SUM(X277:X288)</f>
        <v>14.222225463999999</v>
      </c>
      <c r="Y636" s="51"/>
      <c r="Z636" s="17"/>
      <c r="AA636" s="17"/>
      <c r="AB636" s="48">
        <f>AVERAGE(AB277:AB288)</f>
        <v>12.115334067984728</v>
      </c>
      <c r="AC636" s="45">
        <f>AVERAGE(AC277:AC288)</f>
        <v>12.043021882494005</v>
      </c>
    </row>
    <row r="637" spans="1:29" ht="15.75" x14ac:dyDescent="0.25">
      <c r="A637" s="11">
        <v>2035</v>
      </c>
      <c r="B637" s="17">
        <f t="shared" ref="B637:S637" si="36">AVERAGE(B289:B300)</f>
        <v>12.450858333333331</v>
      </c>
      <c r="C637" s="17">
        <f t="shared" si="36"/>
        <v>12.457099999999997</v>
      </c>
      <c r="D637" s="17">
        <f t="shared" si="36"/>
        <v>12.666350000000001</v>
      </c>
      <c r="E637" s="17">
        <f t="shared" si="36"/>
        <v>12.698450000000001</v>
      </c>
      <c r="F637" s="17">
        <f t="shared" si="36"/>
        <v>12.462808333333335</v>
      </c>
      <c r="G637" s="17">
        <f t="shared" si="36"/>
        <v>12.479525000000002</v>
      </c>
      <c r="H637" s="17">
        <f t="shared" si="36"/>
        <v>12.687266666666668</v>
      </c>
      <c r="I637" s="17">
        <f t="shared" si="36"/>
        <v>12.514024999999998</v>
      </c>
      <c r="J637" s="17">
        <f t="shared" si="36"/>
        <v>12.455408333333333</v>
      </c>
      <c r="K637" s="52">
        <f t="shared" si="36"/>
        <v>12.507966666666666</v>
      </c>
      <c r="L637" s="17">
        <f t="shared" si="36"/>
        <v>13.274266666666668</v>
      </c>
      <c r="M637" s="17">
        <f t="shared" si="36"/>
        <v>12.350399999999999</v>
      </c>
      <c r="N637" s="17">
        <f t="shared" si="36"/>
        <v>12.366958333333335</v>
      </c>
      <c r="O637" s="17">
        <f t="shared" si="36"/>
        <v>12.580141666666664</v>
      </c>
      <c r="P637" s="17">
        <f t="shared" si="36"/>
        <v>12.408183333333334</v>
      </c>
      <c r="Q637" s="17">
        <f t="shared" si="36"/>
        <v>13.174841666666667</v>
      </c>
      <c r="R637" s="17">
        <f t="shared" si="36"/>
        <v>13.794791666666667</v>
      </c>
      <c r="S637" s="17">
        <f t="shared" si="36"/>
        <v>12.063116666666666</v>
      </c>
      <c r="T637" s="51">
        <f>SUM(T289:T300)</f>
        <v>357.33618100000001</v>
      </c>
      <c r="U637" s="51">
        <f>SUM(U289:U300)</f>
        <v>142.03263249999998</v>
      </c>
      <c r="V637" s="51">
        <f>SUM(V289:V300)</f>
        <v>50.187500000000007</v>
      </c>
      <c r="W637" s="51">
        <f>SUM(W289:W300)</f>
        <v>4.0622309999999988</v>
      </c>
      <c r="X637" s="51">
        <f>SUM(X289:X300)</f>
        <v>14.222225463999999</v>
      </c>
      <c r="Y637" s="51"/>
      <c r="Z637" s="17"/>
      <c r="AA637" s="17"/>
      <c r="AB637" s="48">
        <f>AVERAGE(AB289:AB300)</f>
        <v>12.512870258441765</v>
      </c>
      <c r="AC637" s="45">
        <f>AVERAGE(AC289:AC300)</f>
        <v>12.437045023980815</v>
      </c>
    </row>
    <row r="638" spans="1:29" ht="15.75" x14ac:dyDescent="0.25">
      <c r="A638" s="11">
        <v>2036</v>
      </c>
      <c r="B638" s="17">
        <f t="shared" ref="B638:S638" si="37">AVERAGE(B301:B312)</f>
        <v>12.861391666666664</v>
      </c>
      <c r="C638" s="17">
        <f t="shared" si="37"/>
        <v>12.867658333333331</v>
      </c>
      <c r="D638" s="17">
        <f t="shared" si="37"/>
        <v>13.0769</v>
      </c>
      <c r="E638" s="17">
        <f t="shared" si="37"/>
        <v>13.109</v>
      </c>
      <c r="F638" s="17">
        <f t="shared" si="37"/>
        <v>12.873358333333334</v>
      </c>
      <c r="G638" s="17">
        <f t="shared" si="37"/>
        <v>12.890083333333331</v>
      </c>
      <c r="H638" s="17">
        <f t="shared" si="37"/>
        <v>13.097808333333335</v>
      </c>
      <c r="I638" s="17">
        <f t="shared" si="37"/>
        <v>12.925841666666669</v>
      </c>
      <c r="J638" s="17">
        <f t="shared" si="37"/>
        <v>12.865958333333333</v>
      </c>
      <c r="K638" s="52">
        <f t="shared" si="37"/>
        <v>12.919791666666667</v>
      </c>
      <c r="L638" s="17">
        <f t="shared" si="37"/>
        <v>13.684808333333335</v>
      </c>
      <c r="M638" s="17">
        <f t="shared" si="37"/>
        <v>12.757266666666668</v>
      </c>
      <c r="N638" s="17">
        <f t="shared" si="37"/>
        <v>12.773833333333334</v>
      </c>
      <c r="O638" s="17">
        <f t="shared" si="37"/>
        <v>12.987025000000001</v>
      </c>
      <c r="P638" s="17">
        <f t="shared" si="37"/>
        <v>12.816283333333333</v>
      </c>
      <c r="Q638" s="17">
        <f t="shared" si="37"/>
        <v>13.581725</v>
      </c>
      <c r="R638" s="17">
        <f t="shared" si="37"/>
        <v>14.202666666666666</v>
      </c>
      <c r="S638" s="17">
        <f t="shared" si="37"/>
        <v>12.461241666666666</v>
      </c>
      <c r="T638" s="51">
        <f>SUM(T301:T312)</f>
        <v>358.26753550000001</v>
      </c>
      <c r="U638" s="51">
        <f>SUM(U301:U312)</f>
        <v>142.42176299999997</v>
      </c>
      <c r="V638" s="51">
        <f>SUM(V301:V312)</f>
        <v>50.325000000000003</v>
      </c>
      <c r="W638" s="51">
        <f>SUM(W301:W312)</f>
        <v>4.0733603999999994</v>
      </c>
      <c r="X638" s="51">
        <f>SUM(X301:X312)</f>
        <v>14.245965463999999</v>
      </c>
      <c r="Y638" s="51"/>
      <c r="Z638" s="17"/>
      <c r="AA638" s="17"/>
      <c r="AB638" s="48">
        <f>AVERAGE(AB301:AB312)</f>
        <v>12.92352529074288</v>
      </c>
      <c r="AC638" s="45">
        <f>AVERAGE(AC301:AC312)</f>
        <v>12.844095743405274</v>
      </c>
    </row>
    <row r="639" spans="1:29" ht="15.75" x14ac:dyDescent="0.25">
      <c r="A639" s="11">
        <v>2037</v>
      </c>
      <c r="B639" s="17">
        <f t="shared" ref="B639:S639" si="38">AVERAGE(B313:B324)</f>
        <v>13.285524999999998</v>
      </c>
      <c r="C639" s="17">
        <f t="shared" si="38"/>
        <v>13.291774999999999</v>
      </c>
      <c r="D639" s="17">
        <f t="shared" si="38"/>
        <v>13.501008333333333</v>
      </c>
      <c r="E639" s="17">
        <f t="shared" si="38"/>
        <v>13.533116666666666</v>
      </c>
      <c r="F639" s="17">
        <f t="shared" si="38"/>
        <v>13.297499999999999</v>
      </c>
      <c r="G639" s="17">
        <f t="shared" si="38"/>
        <v>13.314183333333334</v>
      </c>
      <c r="H639" s="17">
        <f t="shared" si="38"/>
        <v>13.521908333333334</v>
      </c>
      <c r="I639" s="17">
        <f t="shared" si="38"/>
        <v>13.351258333333332</v>
      </c>
      <c r="J639" s="17">
        <f t="shared" si="38"/>
        <v>13.290100000000001</v>
      </c>
      <c r="K639" s="52">
        <f t="shared" si="38"/>
        <v>13.345224999999999</v>
      </c>
      <c r="L639" s="17">
        <f t="shared" si="38"/>
        <v>14.108908333333332</v>
      </c>
      <c r="M639" s="17">
        <f t="shared" si="38"/>
        <v>13.177550000000002</v>
      </c>
      <c r="N639" s="17">
        <f t="shared" si="38"/>
        <v>13.194099999999999</v>
      </c>
      <c r="O639" s="17">
        <f t="shared" si="38"/>
        <v>13.407300000000001</v>
      </c>
      <c r="P639" s="17">
        <f t="shared" si="38"/>
        <v>13.237883333333334</v>
      </c>
      <c r="Q639" s="17">
        <f t="shared" si="38"/>
        <v>14.001999999999997</v>
      </c>
      <c r="R639" s="17">
        <f t="shared" si="38"/>
        <v>14.624008333333331</v>
      </c>
      <c r="S639" s="17">
        <f t="shared" si="38"/>
        <v>12.872499999999997</v>
      </c>
      <c r="T639" s="51">
        <f>SUM(T313:T324)</f>
        <v>357.33618100000001</v>
      </c>
      <c r="U639" s="51">
        <f>SUM(U313:U324)</f>
        <v>142.03263249999998</v>
      </c>
      <c r="V639" s="51">
        <f>SUM(V313:V324)</f>
        <v>50.187500000000007</v>
      </c>
      <c r="W639" s="51">
        <f>SUM(W313:W324)</f>
        <v>4.0622309999999988</v>
      </c>
      <c r="X639" s="51">
        <f>SUM(X313:X324)</f>
        <v>14.222225463999999</v>
      </c>
      <c r="Y639" s="51"/>
      <c r="Z639" s="17"/>
      <c r="AA639" s="17"/>
      <c r="AB639" s="48">
        <f>AVERAGE(AB313:AB324)</f>
        <v>13.347755249299661</v>
      </c>
      <c r="AC639" s="45">
        <f>AVERAGE(AC313:AC324)</f>
        <v>13.264563788968827</v>
      </c>
    </row>
    <row r="640" spans="1:29" ht="15.75" x14ac:dyDescent="0.25">
      <c r="A640" s="11">
        <f t="shared" ref="A640:A663" si="39">A639+1</f>
        <v>2038</v>
      </c>
      <c r="B640" s="17">
        <f t="shared" ref="B640:S640" si="40">AVERAGE(B325:B336)</f>
        <v>13.723616666666667</v>
      </c>
      <c r="C640" s="17">
        <f t="shared" si="40"/>
        <v>13.729874999999998</v>
      </c>
      <c r="D640" s="17">
        <f t="shared" si="40"/>
        <v>13.939108333333335</v>
      </c>
      <c r="E640" s="17">
        <f t="shared" si="40"/>
        <v>13.971225000000002</v>
      </c>
      <c r="F640" s="17">
        <f t="shared" si="40"/>
        <v>13.735574999999999</v>
      </c>
      <c r="G640" s="17">
        <f t="shared" si="40"/>
        <v>13.752308333333337</v>
      </c>
      <c r="H640" s="17">
        <f t="shared" si="40"/>
        <v>13.960025000000002</v>
      </c>
      <c r="I640" s="17">
        <f t="shared" si="40"/>
        <v>13.790733333333336</v>
      </c>
      <c r="J640" s="17">
        <f t="shared" si="40"/>
        <v>13.728175</v>
      </c>
      <c r="K640" s="52">
        <f t="shared" si="40"/>
        <v>13.784683333333334</v>
      </c>
      <c r="L640" s="17">
        <f t="shared" si="40"/>
        <v>14.547025</v>
      </c>
      <c r="M640" s="17">
        <f t="shared" si="40"/>
        <v>13.611725</v>
      </c>
      <c r="N640" s="17">
        <f t="shared" si="40"/>
        <v>13.628283333333334</v>
      </c>
      <c r="O640" s="17">
        <f t="shared" si="40"/>
        <v>13.841466666666667</v>
      </c>
      <c r="P640" s="17">
        <f t="shared" si="40"/>
        <v>13.673375000000002</v>
      </c>
      <c r="Q640" s="17">
        <f t="shared" si="40"/>
        <v>14.436166666666667</v>
      </c>
      <c r="R640" s="17">
        <f t="shared" si="40"/>
        <v>15.059258333333332</v>
      </c>
      <c r="S640" s="17">
        <f t="shared" si="40"/>
        <v>13.297341666666668</v>
      </c>
      <c r="T640" s="51">
        <f>SUM(T325:T336)</f>
        <v>357.33618100000001</v>
      </c>
      <c r="U640" s="51">
        <f>SUM(U325:U336)</f>
        <v>142.03263249999998</v>
      </c>
      <c r="V640" s="51">
        <f>SUM(V325:V336)</f>
        <v>50.187500000000007</v>
      </c>
      <c r="W640" s="51">
        <f>SUM(W325:W336)</f>
        <v>4.0622309999999988</v>
      </c>
      <c r="X640" s="51">
        <f>SUM(X325:X336)</f>
        <v>14.222225463999999</v>
      </c>
      <c r="Y640" s="51"/>
      <c r="Z640" s="17"/>
      <c r="AA640" s="17"/>
      <c r="AB640" s="48">
        <f>AVERAGE(AB325:AB336)</f>
        <v>13.78596406741662</v>
      </c>
      <c r="AC640" s="45">
        <f>AVERAGE(AC325:AC336)</f>
        <v>13.698926378896884</v>
      </c>
    </row>
    <row r="641" spans="1:29" ht="15.75" x14ac:dyDescent="0.25">
      <c r="A641" s="11">
        <f t="shared" si="39"/>
        <v>2039</v>
      </c>
      <c r="B641" s="17">
        <f t="shared" ref="B641:S641" si="41">AVERAGE(B337:B348)</f>
        <v>14.176174999999999</v>
      </c>
      <c r="C641" s="17">
        <f t="shared" si="41"/>
        <v>14.182441666666668</v>
      </c>
      <c r="D641" s="17">
        <f t="shared" si="41"/>
        <v>14.391675000000001</v>
      </c>
      <c r="E641" s="17">
        <f t="shared" si="41"/>
        <v>14.423775000000001</v>
      </c>
      <c r="F641" s="17">
        <f t="shared" si="41"/>
        <v>14.188133333333331</v>
      </c>
      <c r="G641" s="17">
        <f t="shared" si="41"/>
        <v>14.204866666666668</v>
      </c>
      <c r="H641" s="17">
        <f t="shared" si="41"/>
        <v>14.412583333333336</v>
      </c>
      <c r="I641" s="17">
        <f t="shared" si="41"/>
        <v>14.2447</v>
      </c>
      <c r="J641" s="17">
        <f t="shared" si="41"/>
        <v>14.180733333333334</v>
      </c>
      <c r="K641" s="52">
        <f t="shared" si="41"/>
        <v>14.238666666666665</v>
      </c>
      <c r="L641" s="17">
        <f t="shared" si="41"/>
        <v>14.999583333333334</v>
      </c>
      <c r="M641" s="17">
        <f t="shared" si="41"/>
        <v>14.060224999999997</v>
      </c>
      <c r="N641" s="17">
        <f t="shared" si="41"/>
        <v>14.076791666666665</v>
      </c>
      <c r="O641" s="17">
        <f t="shared" si="41"/>
        <v>14.289974999999998</v>
      </c>
      <c r="P641" s="17">
        <f t="shared" si="41"/>
        <v>14.123250000000001</v>
      </c>
      <c r="Q641" s="17">
        <f t="shared" si="41"/>
        <v>14.884675000000001</v>
      </c>
      <c r="R641" s="17">
        <f t="shared" si="41"/>
        <v>15.508891666666665</v>
      </c>
      <c r="S641" s="17">
        <f t="shared" si="41"/>
        <v>13.736166666666668</v>
      </c>
      <c r="T641" s="51">
        <f>SUM(T337:T348)</f>
        <v>357.33618100000001</v>
      </c>
      <c r="U641" s="51">
        <f>SUM(U337:U348)</f>
        <v>142.03263249999998</v>
      </c>
      <c r="V641" s="51">
        <f>SUM(V337:V348)</f>
        <v>50.187500000000007</v>
      </c>
      <c r="W641" s="51">
        <f>SUM(W337:W348)</f>
        <v>4.0622309999999988</v>
      </c>
      <c r="X641" s="51">
        <f>SUM(X337:X348)</f>
        <v>14.222225463999999</v>
      </c>
      <c r="Y641" s="51"/>
      <c r="Z641" s="54"/>
      <c r="AA641" s="53"/>
      <c r="AB641" s="48">
        <f>AVERAGE(AB337:AB348)</f>
        <v>14.238639578555405</v>
      </c>
      <c r="AC641" s="45">
        <f>AVERAGE(AC337:AC348)</f>
        <v>14.147629916067146</v>
      </c>
    </row>
    <row r="642" spans="1:29" ht="15.75" x14ac:dyDescent="0.25">
      <c r="A642" s="11">
        <f t="shared" si="39"/>
        <v>2040</v>
      </c>
      <c r="B642" s="17">
        <f t="shared" ref="B642:S642" si="42">AVERAGE(B349:B360)</f>
        <v>14.643675</v>
      </c>
      <c r="C642" s="17">
        <f t="shared" si="42"/>
        <v>14.649949999999999</v>
      </c>
      <c r="D642" s="17">
        <f t="shared" si="42"/>
        <v>14.859166666666667</v>
      </c>
      <c r="E642" s="17">
        <f t="shared" si="42"/>
        <v>14.891275000000002</v>
      </c>
      <c r="F642" s="17">
        <f t="shared" si="42"/>
        <v>14.655641666666668</v>
      </c>
      <c r="G642" s="17">
        <f t="shared" si="42"/>
        <v>14.672349999999996</v>
      </c>
      <c r="H642" s="17">
        <f t="shared" si="42"/>
        <v>14.880075</v>
      </c>
      <c r="I642" s="17">
        <f t="shared" si="42"/>
        <v>14.713633333333332</v>
      </c>
      <c r="J642" s="17">
        <f t="shared" si="42"/>
        <v>14.648241666666669</v>
      </c>
      <c r="K642" s="52">
        <f t="shared" si="42"/>
        <v>14.707616666666667</v>
      </c>
      <c r="L642" s="17">
        <f t="shared" si="42"/>
        <v>15.467074999999999</v>
      </c>
      <c r="M642" s="17">
        <f t="shared" si="42"/>
        <v>14.523508333333334</v>
      </c>
      <c r="N642" s="17">
        <f t="shared" si="42"/>
        <v>14.540075</v>
      </c>
      <c r="O642" s="17">
        <f t="shared" si="42"/>
        <v>14.753275</v>
      </c>
      <c r="P642" s="17">
        <f t="shared" si="42"/>
        <v>14.587975000000002</v>
      </c>
      <c r="Q642" s="17">
        <f t="shared" si="42"/>
        <v>15.347974999999998</v>
      </c>
      <c r="R642" s="17">
        <f t="shared" si="42"/>
        <v>15.973333333333334</v>
      </c>
      <c r="S642" s="17">
        <f t="shared" si="42"/>
        <v>14.18951666666667</v>
      </c>
      <c r="T642" s="51">
        <f>SUM(T349:T360)</f>
        <v>358.26753550000001</v>
      </c>
      <c r="U642" s="51">
        <f>SUM(U349:U360)</f>
        <v>142.42176299999997</v>
      </c>
      <c r="V642" s="51">
        <f>SUM(V349:V360)</f>
        <v>50.325000000000003</v>
      </c>
      <c r="W642" s="51">
        <f>SUM(W349:W360)</f>
        <v>4.0733603999999994</v>
      </c>
      <c r="X642" s="51">
        <f>SUM(X349:X360)</f>
        <v>14.245965463999999</v>
      </c>
      <c r="Y642" s="51"/>
      <c r="Z642" s="54"/>
      <c r="AA642" s="53"/>
      <c r="AB642" s="48">
        <f>AVERAGE(AB349:AB360)</f>
        <v>14.706260197315991</v>
      </c>
      <c r="AC642" s="45">
        <f>AVERAGE(AC349:AC360)</f>
        <v>14.611125359712227</v>
      </c>
    </row>
    <row r="643" spans="1:29" ht="15.75" x14ac:dyDescent="0.25">
      <c r="A643" s="11">
        <f t="shared" si="39"/>
        <v>2041</v>
      </c>
      <c r="B643" s="17">
        <f t="shared" ref="B643:S643" si="43">AVERAGE(B361:B372)</f>
        <v>15.126625000000002</v>
      </c>
      <c r="C643" s="17">
        <f t="shared" si="43"/>
        <v>15.132891666666666</v>
      </c>
      <c r="D643" s="17">
        <f t="shared" si="43"/>
        <v>15.342091666666667</v>
      </c>
      <c r="E643" s="17">
        <f t="shared" si="43"/>
        <v>15.374224999999997</v>
      </c>
      <c r="F643" s="17">
        <f t="shared" si="43"/>
        <v>15.138575000000001</v>
      </c>
      <c r="G643" s="17">
        <f t="shared" si="43"/>
        <v>15.155291666666665</v>
      </c>
      <c r="H643" s="17">
        <f t="shared" si="43"/>
        <v>15.363033333333332</v>
      </c>
      <c r="I643" s="17">
        <f t="shared" si="43"/>
        <v>15.198066666666668</v>
      </c>
      <c r="J643" s="17">
        <f t="shared" si="43"/>
        <v>15.131175000000001</v>
      </c>
      <c r="K643" s="52">
        <f t="shared" si="43"/>
        <v>15.192041666666663</v>
      </c>
      <c r="L643" s="17">
        <f t="shared" si="43"/>
        <v>15.950033333333332</v>
      </c>
      <c r="M643" s="17">
        <f t="shared" si="43"/>
        <v>15.0021</v>
      </c>
      <c r="N643" s="17">
        <f t="shared" si="43"/>
        <v>15.018683333333334</v>
      </c>
      <c r="O643" s="17">
        <f t="shared" si="43"/>
        <v>15.231858333333335</v>
      </c>
      <c r="P643" s="17">
        <f t="shared" si="43"/>
        <v>15.068024999999999</v>
      </c>
      <c r="Q643" s="17">
        <f t="shared" si="43"/>
        <v>15.826558333333333</v>
      </c>
      <c r="R643" s="17">
        <f t="shared" si="43"/>
        <v>16.453116666666666</v>
      </c>
      <c r="S643" s="17">
        <f t="shared" si="43"/>
        <v>14.657816666666667</v>
      </c>
      <c r="T643" s="51">
        <f>SUM(T361:T372)</f>
        <v>357.33618100000001</v>
      </c>
      <c r="U643" s="51">
        <f>SUM(U361:U372)</f>
        <v>142.03263249999998</v>
      </c>
      <c r="V643" s="51">
        <f>SUM(V361:V372)</f>
        <v>50.187500000000007</v>
      </c>
      <c r="W643" s="51">
        <f>SUM(W361:W372)</f>
        <v>4.0622309999999988</v>
      </c>
      <c r="X643" s="51">
        <f>SUM(X361:X372)</f>
        <v>14.222225463999999</v>
      </c>
      <c r="Y643" s="51"/>
      <c r="Z643" s="54"/>
      <c r="AA643" s="53"/>
      <c r="AB643" s="48">
        <f>AVERAGE(AB361:AB372)</f>
        <v>15.189323635726582</v>
      </c>
      <c r="AC643" s="45">
        <f>AVERAGE(AC361:AC372)</f>
        <v>15.089926918465229</v>
      </c>
    </row>
    <row r="644" spans="1:29" ht="15.75" x14ac:dyDescent="0.25">
      <c r="A644" s="11">
        <f t="shared" si="39"/>
        <v>2042</v>
      </c>
      <c r="B644" s="17">
        <f t="shared" ref="B644:S644" si="44">AVERAGE(B373:B384)</f>
        <v>15.625500000000001</v>
      </c>
      <c r="C644" s="17">
        <f t="shared" si="44"/>
        <v>15.631750000000002</v>
      </c>
      <c r="D644" s="17">
        <f t="shared" si="44"/>
        <v>15.840975</v>
      </c>
      <c r="E644" s="17">
        <f t="shared" si="44"/>
        <v>15.873100000000001</v>
      </c>
      <c r="F644" s="17">
        <f t="shared" si="44"/>
        <v>15.637441666666666</v>
      </c>
      <c r="G644" s="17">
        <f t="shared" si="44"/>
        <v>15.654166666666669</v>
      </c>
      <c r="H644" s="17">
        <f t="shared" si="44"/>
        <v>15.861883333333333</v>
      </c>
      <c r="I644" s="17">
        <f t="shared" si="44"/>
        <v>15.698508333333331</v>
      </c>
      <c r="J644" s="17">
        <f t="shared" si="44"/>
        <v>15.630041666666669</v>
      </c>
      <c r="K644" s="52">
        <f t="shared" si="44"/>
        <v>15.692441666666669</v>
      </c>
      <c r="L644" s="17">
        <f t="shared" si="44"/>
        <v>16.448883333333331</v>
      </c>
      <c r="M644" s="17">
        <f t="shared" si="44"/>
        <v>15.496474999999998</v>
      </c>
      <c r="N644" s="17">
        <f t="shared" si="44"/>
        <v>15.513033333333333</v>
      </c>
      <c r="O644" s="17">
        <f t="shared" si="44"/>
        <v>15.726241666666668</v>
      </c>
      <c r="P644" s="17">
        <f t="shared" si="44"/>
        <v>15.563933333333331</v>
      </c>
      <c r="Q644" s="17">
        <f t="shared" si="44"/>
        <v>16.320941666666666</v>
      </c>
      <c r="R644" s="17">
        <f t="shared" si="44"/>
        <v>16.948741666666667</v>
      </c>
      <c r="S644" s="17">
        <f t="shared" si="44"/>
        <v>15.141550000000001</v>
      </c>
      <c r="T644" s="51">
        <f>SUM(T373:T384)</f>
        <v>357.33618100000001</v>
      </c>
      <c r="U644" s="51">
        <f>SUM(U373:U384)</f>
        <v>142.03263249999998</v>
      </c>
      <c r="V644" s="51">
        <f>SUM(V373:V384)</f>
        <v>50.187500000000007</v>
      </c>
      <c r="W644" s="51">
        <f>SUM(W373:W384)</f>
        <v>4.0622309999999988</v>
      </c>
      <c r="X644" s="51">
        <f>SUM(X373:X384)</f>
        <v>14.222225463999999</v>
      </c>
      <c r="Y644" s="51"/>
      <c r="Z644" s="54"/>
      <c r="AA644" s="53"/>
      <c r="AB644" s="48">
        <f>AVERAGE(AB373:AB384)</f>
        <v>15.688322010747321</v>
      </c>
      <c r="AC644" s="45">
        <f>AVERAGE(AC373:AC384)</f>
        <v>15.584522002398081</v>
      </c>
    </row>
    <row r="645" spans="1:29" ht="15.75" x14ac:dyDescent="0.25">
      <c r="A645" s="11">
        <f t="shared" si="39"/>
        <v>2043</v>
      </c>
      <c r="B645" s="17">
        <f t="shared" ref="B645:S645" si="45">AVERAGE(B385:B396)</f>
        <v>16.140808333333336</v>
      </c>
      <c r="C645" s="17">
        <f t="shared" si="45"/>
        <v>16.147091666666672</v>
      </c>
      <c r="D645" s="17">
        <f t="shared" si="45"/>
        <v>16.356300000000001</v>
      </c>
      <c r="E645" s="17">
        <f t="shared" si="45"/>
        <v>16.388416666666664</v>
      </c>
      <c r="F645" s="17">
        <f t="shared" si="45"/>
        <v>16.152783333333335</v>
      </c>
      <c r="G645" s="17">
        <f t="shared" si="45"/>
        <v>16.169491666666669</v>
      </c>
      <c r="H645" s="17">
        <f t="shared" si="45"/>
        <v>16.377224999999999</v>
      </c>
      <c r="I645" s="17">
        <f t="shared" si="45"/>
        <v>16.215433333333333</v>
      </c>
      <c r="J645" s="17">
        <f t="shared" si="45"/>
        <v>16.145383333333331</v>
      </c>
      <c r="K645" s="52">
        <f t="shared" si="45"/>
        <v>16.209383333333331</v>
      </c>
      <c r="L645" s="17">
        <f t="shared" si="45"/>
        <v>16.964224999999995</v>
      </c>
      <c r="M645" s="17">
        <f t="shared" si="45"/>
        <v>16.007183333333334</v>
      </c>
      <c r="N645" s="17">
        <f t="shared" si="45"/>
        <v>16.02374166666667</v>
      </c>
      <c r="O645" s="17">
        <f t="shared" si="45"/>
        <v>16.236924999999999</v>
      </c>
      <c r="P645" s="17">
        <f t="shared" si="45"/>
        <v>16.076208333333334</v>
      </c>
      <c r="Q645" s="17">
        <f t="shared" si="45"/>
        <v>16.831624999999999</v>
      </c>
      <c r="R645" s="17">
        <f t="shared" si="45"/>
        <v>17.460708333333329</v>
      </c>
      <c r="S645" s="17">
        <f t="shared" si="45"/>
        <v>15.641283333333336</v>
      </c>
      <c r="T645" s="51">
        <f>SUM(T385:T396)</f>
        <v>357.33618100000001</v>
      </c>
      <c r="U645" s="51">
        <f>SUM(U385:U396)</f>
        <v>142.03263249999998</v>
      </c>
      <c r="V645" s="51">
        <f>SUM(V385:V396)</f>
        <v>50.187500000000007</v>
      </c>
      <c r="W645" s="51">
        <f>SUM(W385:W396)</f>
        <v>4.0622309999999988</v>
      </c>
      <c r="X645" s="51">
        <f>SUM(X385:X396)</f>
        <v>14.222225463999999</v>
      </c>
      <c r="Y645" s="51"/>
      <c r="Z645" s="54"/>
      <c r="AA645" s="53"/>
      <c r="AB645" s="48">
        <f>AVERAGE(AB385:AB396)</f>
        <v>16.203784180343749</v>
      </c>
      <c r="AC645" s="45">
        <f>AVERAGE(AC385:AC396)</f>
        <v>16.095445863309351</v>
      </c>
    </row>
    <row r="646" spans="1:29" ht="15.75" x14ac:dyDescent="0.25">
      <c r="A646" s="11">
        <f t="shared" si="39"/>
        <v>2044</v>
      </c>
      <c r="B646" s="17">
        <f t="shared" ref="B646:S646" si="46">AVERAGE(B397:B408)</f>
        <v>16.673158333333333</v>
      </c>
      <c r="C646" s="17">
        <f t="shared" si="46"/>
        <v>16.679433333333332</v>
      </c>
      <c r="D646" s="17">
        <f t="shared" si="46"/>
        <v>16.888641666666661</v>
      </c>
      <c r="E646" s="17">
        <f t="shared" si="46"/>
        <v>16.920758333333335</v>
      </c>
      <c r="F646" s="17">
        <f t="shared" si="46"/>
        <v>16.685125000000003</v>
      </c>
      <c r="G646" s="17">
        <f t="shared" si="46"/>
        <v>16.701849999999997</v>
      </c>
      <c r="H646" s="17">
        <f t="shared" si="46"/>
        <v>16.909575000000004</v>
      </c>
      <c r="I646" s="17">
        <f t="shared" si="46"/>
        <v>16.749416666666665</v>
      </c>
      <c r="J646" s="17">
        <f t="shared" si="46"/>
        <v>16.677725000000002</v>
      </c>
      <c r="K646" s="52">
        <f t="shared" si="46"/>
        <v>16.743383333333334</v>
      </c>
      <c r="L646" s="17">
        <f t="shared" si="46"/>
        <v>17.496574999999996</v>
      </c>
      <c r="M646" s="17">
        <f t="shared" si="46"/>
        <v>16.534741666666665</v>
      </c>
      <c r="N646" s="17">
        <f t="shared" si="46"/>
        <v>16.551308333333335</v>
      </c>
      <c r="O646" s="17">
        <f t="shared" si="46"/>
        <v>16.764499999999995</v>
      </c>
      <c r="P646" s="17">
        <f t="shared" si="46"/>
        <v>16.605391666666666</v>
      </c>
      <c r="Q646" s="17">
        <f t="shared" si="46"/>
        <v>17.359200000000001</v>
      </c>
      <c r="R646" s="17">
        <f t="shared" si="46"/>
        <v>17.989591666666669</v>
      </c>
      <c r="S646" s="17">
        <f t="shared" si="46"/>
        <v>16.157508333333329</v>
      </c>
      <c r="T646" s="51">
        <f>SUM(T397:T408)</f>
        <v>358.26753550000001</v>
      </c>
      <c r="U646" s="51">
        <f>SUM(U397:U408)</f>
        <v>142.42176299999997</v>
      </c>
      <c r="V646" s="51">
        <f>SUM(V397:V408)</f>
        <v>50.325000000000003</v>
      </c>
      <c r="W646" s="51">
        <f>SUM(W397:W408)</f>
        <v>4.0733603999999994</v>
      </c>
      <c r="X646" s="51">
        <f>SUM(X397:X408)</f>
        <v>14.245965463999999</v>
      </c>
      <c r="Y646" s="51"/>
      <c r="Z646" s="54"/>
      <c r="AA646" s="53"/>
      <c r="AB646" s="48">
        <f>AVERAGE(AB397:AB408)</f>
        <v>16.736263317256881</v>
      </c>
      <c r="AC646" s="45">
        <f>AVERAGE(AC397:AC408)</f>
        <v>16.623247482014389</v>
      </c>
    </row>
    <row r="647" spans="1:29" ht="15.75" x14ac:dyDescent="0.25">
      <c r="A647" s="11">
        <f t="shared" si="39"/>
        <v>2045</v>
      </c>
      <c r="B647" s="17">
        <f t="shared" ref="B647:S647" si="47">AVERAGE(B409:B420)</f>
        <v>17.223074999999998</v>
      </c>
      <c r="C647" s="17">
        <f t="shared" si="47"/>
        <v>17.229341666666667</v>
      </c>
      <c r="D647" s="17">
        <f t="shared" si="47"/>
        <v>17.438558333333329</v>
      </c>
      <c r="E647" s="17">
        <f t="shared" si="47"/>
        <v>17.470683333333334</v>
      </c>
      <c r="F647" s="17">
        <f t="shared" si="47"/>
        <v>17.235041666666667</v>
      </c>
      <c r="G647" s="17">
        <f t="shared" si="47"/>
        <v>17.251766666666672</v>
      </c>
      <c r="H647" s="17">
        <f t="shared" si="47"/>
        <v>17.459466666666668</v>
      </c>
      <c r="I647" s="17">
        <f t="shared" si="47"/>
        <v>17.30105</v>
      </c>
      <c r="J647" s="17">
        <f t="shared" si="47"/>
        <v>17.227641666666667</v>
      </c>
      <c r="K647" s="52">
        <f t="shared" si="47"/>
        <v>17.294999999999998</v>
      </c>
      <c r="L647" s="17">
        <f t="shared" si="47"/>
        <v>18.046466666666667</v>
      </c>
      <c r="M647" s="17">
        <f t="shared" si="47"/>
        <v>17.079708333333333</v>
      </c>
      <c r="N647" s="17">
        <f t="shared" si="47"/>
        <v>17.096275000000002</v>
      </c>
      <c r="O647" s="17">
        <f t="shared" si="47"/>
        <v>17.309450000000002</v>
      </c>
      <c r="P647" s="17">
        <f t="shared" si="47"/>
        <v>17.152024999999998</v>
      </c>
      <c r="Q647" s="17">
        <f t="shared" si="47"/>
        <v>17.904149999999998</v>
      </c>
      <c r="R647" s="17">
        <f t="shared" si="47"/>
        <v>18.535925000000002</v>
      </c>
      <c r="S647" s="17">
        <f t="shared" si="47"/>
        <v>16.690758333333335</v>
      </c>
      <c r="T647" s="51">
        <f>SUM(T409:T420)</f>
        <v>357.33618100000001</v>
      </c>
      <c r="U647" s="51">
        <f>SUM(U409:U420)</f>
        <v>142.03263249999998</v>
      </c>
      <c r="V647" s="51">
        <f>SUM(V409:V420)</f>
        <v>50.187500000000007</v>
      </c>
      <c r="W647" s="51">
        <f>SUM(W409:W420)</f>
        <v>4.0622309999999988</v>
      </c>
      <c r="X647" s="51">
        <f>SUM(X409:X420)</f>
        <v>14.222225463999999</v>
      </c>
      <c r="Y647" s="51"/>
      <c r="Z647" s="54"/>
      <c r="AA647" s="53"/>
      <c r="AB647" s="48">
        <f>AVERAGE(AB409:AB420)</f>
        <v>17.286320082406572</v>
      </c>
      <c r="AC647" s="45">
        <f>AVERAGE(AC409:AC420)</f>
        <v>17.168447841726621</v>
      </c>
    </row>
    <row r="648" spans="1:29" ht="15.75" x14ac:dyDescent="0.25">
      <c r="A648" s="11">
        <f t="shared" si="39"/>
        <v>2046</v>
      </c>
      <c r="B648" s="17">
        <f t="shared" ref="B648:S648" si="48">AVERAGE(B421:B432)</f>
        <v>17.791141666666665</v>
      </c>
      <c r="C648" s="17">
        <f t="shared" si="48"/>
        <v>17.797400000000003</v>
      </c>
      <c r="D648" s="17">
        <f t="shared" si="48"/>
        <v>18.006624999999996</v>
      </c>
      <c r="E648" s="17">
        <f t="shared" si="48"/>
        <v>18.038733333333337</v>
      </c>
      <c r="F648" s="17">
        <f t="shared" si="48"/>
        <v>17.803108333333331</v>
      </c>
      <c r="G648" s="17">
        <f t="shared" si="48"/>
        <v>17.819816666666664</v>
      </c>
      <c r="H648" s="17">
        <f t="shared" si="48"/>
        <v>18.027533333333334</v>
      </c>
      <c r="I648" s="17">
        <f t="shared" si="48"/>
        <v>17.870875000000002</v>
      </c>
      <c r="J648" s="17">
        <f t="shared" si="48"/>
        <v>17.795708333333337</v>
      </c>
      <c r="K648" s="52">
        <f t="shared" si="48"/>
        <v>17.864833333333337</v>
      </c>
      <c r="L648" s="17">
        <f t="shared" si="48"/>
        <v>18.614533333333338</v>
      </c>
      <c r="M648" s="17">
        <f t="shared" si="48"/>
        <v>17.642658333333333</v>
      </c>
      <c r="N648" s="17">
        <f t="shared" si="48"/>
        <v>17.659216666666669</v>
      </c>
      <c r="O648" s="17">
        <f t="shared" si="48"/>
        <v>17.872408333333329</v>
      </c>
      <c r="P648" s="17">
        <f t="shared" si="48"/>
        <v>17.716725</v>
      </c>
      <c r="Q648" s="17">
        <f t="shared" si="48"/>
        <v>18.467108333333332</v>
      </c>
      <c r="R648" s="17">
        <f t="shared" si="48"/>
        <v>19.100283333333334</v>
      </c>
      <c r="S648" s="17">
        <f t="shared" si="48"/>
        <v>17.241608333333335</v>
      </c>
      <c r="T648" s="51">
        <f>SUM(T421:T432)</f>
        <v>357.33618100000001</v>
      </c>
      <c r="U648" s="51">
        <f>SUM(U421:U432)</f>
        <v>142.03263249999998</v>
      </c>
      <c r="V648" s="51">
        <f>SUM(V421:V432)</f>
        <v>50.187500000000007</v>
      </c>
      <c r="W648" s="51">
        <f>SUM(W421:W432)</f>
        <v>4.0622309999999988</v>
      </c>
      <c r="X648" s="51">
        <f>SUM(X421:X432)</f>
        <v>14.222225463999999</v>
      </c>
      <c r="Y648" s="51"/>
      <c r="Z648" s="54"/>
      <c r="AA648" s="53"/>
      <c r="AB648" s="48">
        <f>AVERAGE(AB421:AB432)</f>
        <v>17.854526048890673</v>
      </c>
      <c r="AC648" s="45">
        <f>AVERAGE(AC421:AC432)</f>
        <v>17.731648621103119</v>
      </c>
    </row>
    <row r="649" spans="1:29" ht="15.75" x14ac:dyDescent="0.25">
      <c r="A649" s="11">
        <f t="shared" si="39"/>
        <v>2047</v>
      </c>
      <c r="B649" s="17">
        <f t="shared" ref="B649:S649" si="49">AVERAGE(B433:B444)</f>
        <v>18.377941666666668</v>
      </c>
      <c r="C649" s="17">
        <f t="shared" si="49"/>
        <v>18.384216666666667</v>
      </c>
      <c r="D649" s="17">
        <f t="shared" si="49"/>
        <v>18.593433333333333</v>
      </c>
      <c r="E649" s="17">
        <f t="shared" si="49"/>
        <v>18.625549999999997</v>
      </c>
      <c r="F649" s="17">
        <f t="shared" si="49"/>
        <v>18.389916666666668</v>
      </c>
      <c r="G649" s="17">
        <f t="shared" si="49"/>
        <v>18.406616666666668</v>
      </c>
      <c r="H649" s="17">
        <f t="shared" si="49"/>
        <v>18.614349999999998</v>
      </c>
      <c r="I649" s="17">
        <f t="shared" si="49"/>
        <v>18.459508333333336</v>
      </c>
      <c r="J649" s="17">
        <f t="shared" si="49"/>
        <v>18.382516666666668</v>
      </c>
      <c r="K649" s="52">
        <f t="shared" si="49"/>
        <v>18.453466666666667</v>
      </c>
      <c r="L649" s="17">
        <f t="shared" si="49"/>
        <v>19.201349999999998</v>
      </c>
      <c r="M649" s="17">
        <f t="shared" si="49"/>
        <v>18.224208333333333</v>
      </c>
      <c r="N649" s="17">
        <f t="shared" si="49"/>
        <v>18.240775000000003</v>
      </c>
      <c r="O649" s="17">
        <f t="shared" si="49"/>
        <v>18.453950000000003</v>
      </c>
      <c r="P649" s="17">
        <f t="shared" si="49"/>
        <v>18.300041666666669</v>
      </c>
      <c r="Q649" s="17">
        <f t="shared" si="49"/>
        <v>19.048649999999999</v>
      </c>
      <c r="R649" s="17">
        <f t="shared" si="49"/>
        <v>19.683258333333331</v>
      </c>
      <c r="S649" s="17">
        <f t="shared" si="49"/>
        <v>17.810633333333332</v>
      </c>
      <c r="T649" s="51">
        <f>SUM(T433:T444)</f>
        <v>357.33618100000001</v>
      </c>
      <c r="U649" s="51">
        <f>SUM(U433:U444)</f>
        <v>142.03263249999998</v>
      </c>
      <c r="V649" s="51">
        <f>SUM(V433:V444)</f>
        <v>50.187500000000007</v>
      </c>
      <c r="W649" s="51">
        <f>SUM(W433:W444)</f>
        <v>4.0622309999999988</v>
      </c>
      <c r="X649" s="51">
        <f>SUM(X433:X444)</f>
        <v>14.222225463999999</v>
      </c>
      <c r="Y649" s="51"/>
      <c r="Z649" s="54"/>
      <c r="AA649" s="53"/>
      <c r="AB649" s="48">
        <f>AVERAGE(AB433:AB444)</f>
        <v>18.441486309596581</v>
      </c>
      <c r="AC649" s="45">
        <f>AVERAGE(AC433:AC444)</f>
        <v>18.313450959232615</v>
      </c>
    </row>
    <row r="650" spans="1:29" ht="15.75" x14ac:dyDescent="0.25">
      <c r="A650" s="11">
        <f t="shared" si="39"/>
        <v>2048</v>
      </c>
      <c r="B650" s="17">
        <f t="shared" ref="B650:S650" si="50">AVERAGE(B445:B456)</f>
        <v>18.984141666666666</v>
      </c>
      <c r="C650" s="17">
        <f t="shared" si="50"/>
        <v>18.990399999999998</v>
      </c>
      <c r="D650" s="17">
        <f t="shared" si="50"/>
        <v>19.199616666666667</v>
      </c>
      <c r="E650" s="17">
        <f t="shared" si="50"/>
        <v>19.231733333333334</v>
      </c>
      <c r="F650" s="17">
        <f t="shared" si="50"/>
        <v>18.996099999999998</v>
      </c>
      <c r="G650" s="17">
        <f t="shared" si="50"/>
        <v>19.012816666666666</v>
      </c>
      <c r="H650" s="17">
        <f t="shared" si="50"/>
        <v>19.220558333333333</v>
      </c>
      <c r="I650" s="17">
        <f t="shared" si="50"/>
        <v>19.067558333333334</v>
      </c>
      <c r="J650" s="17">
        <f t="shared" si="50"/>
        <v>18.988700000000001</v>
      </c>
      <c r="K650" s="52">
        <f t="shared" si="50"/>
        <v>19.061525</v>
      </c>
      <c r="L650" s="17">
        <f t="shared" si="50"/>
        <v>19.807558333333336</v>
      </c>
      <c r="M650" s="17">
        <f t="shared" si="50"/>
        <v>18.824925</v>
      </c>
      <c r="N650" s="17">
        <f t="shared" si="50"/>
        <v>18.841483333333333</v>
      </c>
      <c r="O650" s="17">
        <f t="shared" si="50"/>
        <v>19.05466666666667</v>
      </c>
      <c r="P650" s="17">
        <f t="shared" si="50"/>
        <v>18.902616666666667</v>
      </c>
      <c r="Q650" s="17">
        <f t="shared" si="50"/>
        <v>19.649366666666666</v>
      </c>
      <c r="R650" s="17">
        <f t="shared" si="50"/>
        <v>20.285508333333333</v>
      </c>
      <c r="S650" s="17">
        <f t="shared" si="50"/>
        <v>18.398449999999997</v>
      </c>
      <c r="T650" s="51">
        <f>SUM(T445:T456)</f>
        <v>358.26753550000001</v>
      </c>
      <c r="U650" s="51">
        <f>SUM(U445:U456)</f>
        <v>142.42176299999997</v>
      </c>
      <c r="V650" s="51">
        <f>SUM(V445:V456)</f>
        <v>50.325000000000003</v>
      </c>
      <c r="W650" s="51">
        <f>SUM(W445:W456)</f>
        <v>4.0733603999999994</v>
      </c>
      <c r="X650" s="51">
        <f>SUM(X445:X456)</f>
        <v>14.245965463999999</v>
      </c>
      <c r="Y650" s="51"/>
      <c r="Z650" s="54"/>
      <c r="AA650" s="53"/>
      <c r="AB650" s="48">
        <f>AVERAGE(AB445:AB456)</f>
        <v>19.047827858122634</v>
      </c>
      <c r="AC650" s="45">
        <f>AVERAGE(AC445:AC456)</f>
        <v>18.914433093525179</v>
      </c>
    </row>
    <row r="651" spans="1:29" ht="15.75" x14ac:dyDescent="0.25">
      <c r="A651" s="11">
        <f t="shared" si="39"/>
        <v>2049</v>
      </c>
      <c r="B651" s="17">
        <f t="shared" ref="B651:S651" si="51">AVERAGE(B457:B468)</f>
        <v>19.61034166666667</v>
      </c>
      <c r="C651" s="17">
        <f t="shared" si="51"/>
        <v>19.616600000000002</v>
      </c>
      <c r="D651" s="17">
        <f t="shared" si="51"/>
        <v>19.825808333333338</v>
      </c>
      <c r="E651" s="17">
        <f t="shared" si="51"/>
        <v>19.857941666666665</v>
      </c>
      <c r="F651" s="17">
        <f t="shared" si="51"/>
        <v>19.622266666666665</v>
      </c>
      <c r="G651" s="17">
        <f t="shared" si="51"/>
        <v>19.638999999999999</v>
      </c>
      <c r="H651" s="17">
        <f t="shared" si="51"/>
        <v>19.846725000000003</v>
      </c>
      <c r="I651" s="17">
        <f t="shared" si="51"/>
        <v>19.695700000000002</v>
      </c>
      <c r="J651" s="17">
        <f t="shared" si="51"/>
        <v>19.614866666666668</v>
      </c>
      <c r="K651" s="52">
        <f t="shared" si="51"/>
        <v>19.689641666666663</v>
      </c>
      <c r="L651" s="17">
        <f t="shared" si="51"/>
        <v>20.433724999999999</v>
      </c>
      <c r="M651" s="17">
        <f t="shared" si="51"/>
        <v>19.445491666666669</v>
      </c>
      <c r="N651" s="17">
        <f t="shared" si="51"/>
        <v>19.462050000000001</v>
      </c>
      <c r="O651" s="17">
        <f t="shared" si="51"/>
        <v>19.675224999999998</v>
      </c>
      <c r="P651" s="17">
        <f t="shared" si="51"/>
        <v>19.525083333333335</v>
      </c>
      <c r="Q651" s="17">
        <f t="shared" si="51"/>
        <v>20.269924999999997</v>
      </c>
      <c r="R651" s="17">
        <f t="shared" si="51"/>
        <v>20.907608333333336</v>
      </c>
      <c r="S651" s="17">
        <f t="shared" si="51"/>
        <v>19.005658333333336</v>
      </c>
      <c r="T651" s="51">
        <f>SUM(T457:T468)</f>
        <v>357.33618100000001</v>
      </c>
      <c r="U651" s="51">
        <f>SUM(U457:U468)</f>
        <v>142.03263249999998</v>
      </c>
      <c r="V651" s="51">
        <f>SUM(V457:V468)</f>
        <v>50.187500000000007</v>
      </c>
      <c r="W651" s="51">
        <f>SUM(W457:W468)</f>
        <v>4.0622309999999988</v>
      </c>
      <c r="X651" s="51">
        <f>SUM(X457:X468)</f>
        <v>14.222225463999999</v>
      </c>
      <c r="Y651" s="51"/>
      <c r="Z651" s="54"/>
      <c r="AA651" s="53"/>
      <c r="AB651" s="48">
        <f>AVERAGE(AB457:AB468)</f>
        <v>19.674177701491335</v>
      </c>
      <c r="AC651" s="45">
        <f>AVERAGE(AC457:AC468)</f>
        <v>19.535270803357317</v>
      </c>
    </row>
    <row r="652" spans="1:29" ht="15.75" x14ac:dyDescent="0.25">
      <c r="A652" s="11">
        <f t="shared" si="39"/>
        <v>2050</v>
      </c>
      <c r="B652" s="17">
        <f t="shared" ref="B652:S652" si="52">AVERAGE(B469:B480)</f>
        <v>20.257166666666667</v>
      </c>
      <c r="C652" s="17">
        <f t="shared" si="52"/>
        <v>20.263433333333335</v>
      </c>
      <c r="D652" s="17">
        <f t="shared" si="52"/>
        <v>20.472674999999999</v>
      </c>
      <c r="E652" s="17">
        <f t="shared" si="52"/>
        <v>20.504783333333332</v>
      </c>
      <c r="F652" s="17">
        <f t="shared" si="52"/>
        <v>20.269133333333336</v>
      </c>
      <c r="G652" s="17">
        <f t="shared" si="52"/>
        <v>20.285866666666667</v>
      </c>
      <c r="H652" s="17">
        <f t="shared" si="52"/>
        <v>20.493566666666666</v>
      </c>
      <c r="I652" s="17">
        <f t="shared" si="52"/>
        <v>20.344558333333335</v>
      </c>
      <c r="J652" s="17">
        <f t="shared" si="52"/>
        <v>20.261733333333336</v>
      </c>
      <c r="K652" s="52">
        <f t="shared" si="52"/>
        <v>20.338516666666667</v>
      </c>
      <c r="L652" s="17">
        <f t="shared" si="52"/>
        <v>21.080566666666666</v>
      </c>
      <c r="M652" s="17">
        <f t="shared" si="52"/>
        <v>20.086524999999998</v>
      </c>
      <c r="N652" s="17">
        <f t="shared" si="52"/>
        <v>20.103083333333334</v>
      </c>
      <c r="O652" s="17">
        <f t="shared" si="52"/>
        <v>20.316275000000001</v>
      </c>
      <c r="P652" s="17">
        <f t="shared" si="52"/>
        <v>20.168083333333335</v>
      </c>
      <c r="Q652" s="17">
        <f t="shared" si="52"/>
        <v>20.910974999999997</v>
      </c>
      <c r="R652" s="17">
        <f t="shared" si="52"/>
        <v>21.550249999999995</v>
      </c>
      <c r="S652" s="17">
        <f t="shared" si="52"/>
        <v>19.63291666666667</v>
      </c>
      <c r="T652" s="51">
        <f>SUM(T469:T480)</f>
        <v>357.33618100000001</v>
      </c>
      <c r="U652" s="51">
        <f>SUM(U469:U480)</f>
        <v>142.03263249999998</v>
      </c>
      <c r="V652" s="51">
        <f>SUM(V469:V480)</f>
        <v>50.187500000000007</v>
      </c>
      <c r="W652" s="51">
        <f>SUM(W469:W480)</f>
        <v>4.0622309999999988</v>
      </c>
      <c r="X652" s="51">
        <f>SUM(X469:X480)</f>
        <v>14.222225463999999</v>
      </c>
      <c r="Y652" s="51"/>
      <c r="Z652" s="54"/>
      <c r="AA652" s="53"/>
      <c r="AB652" s="48">
        <f>AVERAGE(AB469:AB480)</f>
        <v>20.321191924730595</v>
      </c>
      <c r="AC652" s="45">
        <f>AVERAGE(AC469:AC480)</f>
        <v>20.176593225419662</v>
      </c>
    </row>
    <row r="653" spans="1:29" ht="15.75" x14ac:dyDescent="0.25">
      <c r="A653" s="11">
        <f t="shared" si="39"/>
        <v>2051</v>
      </c>
      <c r="B653" s="17">
        <f t="shared" ref="B653:S653" si="53">AVERAGE(B481:B492)</f>
        <v>20.925374999999999</v>
      </c>
      <c r="C653" s="17">
        <f t="shared" si="53"/>
        <v>20.931633333333334</v>
      </c>
      <c r="D653" s="17">
        <f t="shared" si="53"/>
        <v>21.140866666666664</v>
      </c>
      <c r="E653" s="17">
        <f t="shared" si="53"/>
        <v>21.172966666666667</v>
      </c>
      <c r="F653" s="17">
        <f t="shared" si="53"/>
        <v>20.937324999999998</v>
      </c>
      <c r="G653" s="17">
        <f t="shared" si="53"/>
        <v>20.95406666666667</v>
      </c>
      <c r="H653" s="17">
        <f t="shared" si="53"/>
        <v>21.161783333333336</v>
      </c>
      <c r="I653" s="17">
        <f t="shared" si="53"/>
        <v>21.014841666666666</v>
      </c>
      <c r="J653" s="17">
        <f t="shared" si="53"/>
        <v>20.929925000000001</v>
      </c>
      <c r="K653" s="52">
        <f t="shared" si="53"/>
        <v>21.008775000000004</v>
      </c>
      <c r="L653" s="17">
        <f t="shared" si="53"/>
        <v>21.748783333333336</v>
      </c>
      <c r="M653" s="17">
        <f t="shared" si="53"/>
        <v>20.748708333333337</v>
      </c>
      <c r="N653" s="17">
        <f t="shared" si="53"/>
        <v>20.765283333333336</v>
      </c>
      <c r="O653" s="17">
        <f t="shared" si="53"/>
        <v>20.978458333333332</v>
      </c>
      <c r="P653" s="17">
        <f t="shared" si="53"/>
        <v>20.832316666666667</v>
      </c>
      <c r="Q653" s="17">
        <f t="shared" si="53"/>
        <v>21.573158333333335</v>
      </c>
      <c r="R653" s="17">
        <f t="shared" si="53"/>
        <v>22.214100000000002</v>
      </c>
      <c r="S653" s="17">
        <f t="shared" si="53"/>
        <v>20.280891666666665</v>
      </c>
      <c r="T653" s="51">
        <f>SUM(T481:T492)</f>
        <v>357.33618100000001</v>
      </c>
      <c r="U653" s="51">
        <f>SUM(U481:U492)</f>
        <v>142.03263249999998</v>
      </c>
      <c r="V653" s="51">
        <f>SUM(V481:V492)</f>
        <v>50.187500000000007</v>
      </c>
      <c r="W653" s="51">
        <f>SUM(W481:W492)</f>
        <v>4.0622309999999988</v>
      </c>
      <c r="X653" s="51">
        <f>SUM(X481:X492)</f>
        <v>14.222225463999999</v>
      </c>
      <c r="Y653" s="51"/>
      <c r="Z653" s="54"/>
      <c r="AA653" s="53"/>
      <c r="AB653" s="48">
        <f>AVERAGE(AB481:AB492)</f>
        <v>20.989559301982297</v>
      </c>
      <c r="AC653" s="45">
        <f>AVERAGE(AC481:AC492)</f>
        <v>20.839075359712229</v>
      </c>
    </row>
    <row r="654" spans="1:29" ht="15.75" x14ac:dyDescent="0.25">
      <c r="A654" s="11">
        <f t="shared" si="39"/>
        <v>2052</v>
      </c>
      <c r="B654" s="17">
        <f t="shared" ref="B654:S654" si="54">AVERAGE(B493:B504)</f>
        <v>21.615649999999999</v>
      </c>
      <c r="C654" s="17">
        <f t="shared" si="54"/>
        <v>21.6219</v>
      </c>
      <c r="D654" s="17">
        <f t="shared" si="54"/>
        <v>21.831125</v>
      </c>
      <c r="E654" s="17">
        <f t="shared" si="54"/>
        <v>21.863241666666671</v>
      </c>
      <c r="F654" s="17">
        <f t="shared" si="54"/>
        <v>21.627608333333338</v>
      </c>
      <c r="G654" s="17">
        <f t="shared" si="54"/>
        <v>21.644308333333331</v>
      </c>
      <c r="H654" s="17">
        <f t="shared" si="54"/>
        <v>21.852033333333335</v>
      </c>
      <c r="I654" s="17">
        <f t="shared" si="54"/>
        <v>21.707233333333335</v>
      </c>
      <c r="J654" s="17">
        <f t="shared" si="54"/>
        <v>21.620208333333327</v>
      </c>
      <c r="K654" s="52">
        <f t="shared" si="54"/>
        <v>21.70120833333333</v>
      </c>
      <c r="L654" s="17">
        <f t="shared" si="54"/>
        <v>22.439033333333331</v>
      </c>
      <c r="M654" s="17">
        <f t="shared" si="54"/>
        <v>21.432766666666666</v>
      </c>
      <c r="N654" s="17">
        <f t="shared" si="54"/>
        <v>21.449333333333332</v>
      </c>
      <c r="O654" s="17">
        <f t="shared" si="54"/>
        <v>21.662508333333335</v>
      </c>
      <c r="P654" s="17">
        <f t="shared" si="54"/>
        <v>21.518483333333332</v>
      </c>
      <c r="Q654" s="17">
        <f t="shared" si="54"/>
        <v>22.257208333333335</v>
      </c>
      <c r="R654" s="17">
        <f t="shared" si="54"/>
        <v>22.899858333333331</v>
      </c>
      <c r="S654" s="17">
        <f t="shared" si="54"/>
        <v>20.950216666666666</v>
      </c>
      <c r="T654" s="51">
        <f>SUM(T493:T504)</f>
        <v>358.26753550000001</v>
      </c>
      <c r="U654" s="51">
        <f>SUM(U493:U504)</f>
        <v>142.42176299999997</v>
      </c>
      <c r="V654" s="51">
        <f>SUM(V493:V504)</f>
        <v>50.325000000000003</v>
      </c>
      <c r="W654" s="51">
        <f>SUM(W493:W504)</f>
        <v>4.0733603999999994</v>
      </c>
      <c r="X654" s="51">
        <f>SUM(X493:X504)</f>
        <v>14.245965463999999</v>
      </c>
      <c r="Y654" s="51"/>
      <c r="Z654" s="54"/>
      <c r="AA654" s="53"/>
      <c r="AB654" s="48">
        <f>AVERAGE(AB493:AB504)</f>
        <v>21.680005494569901</v>
      </c>
      <c r="AC654" s="45">
        <f>AVERAGE(AC493:AC504)</f>
        <v>21.523434232613909</v>
      </c>
    </row>
    <row r="655" spans="1:29" ht="15.75" x14ac:dyDescent="0.25">
      <c r="A655" s="11">
        <f t="shared" si="39"/>
        <v>2053</v>
      </c>
      <c r="B655" s="17">
        <f t="shared" ref="B655:S655" si="55">AVERAGE(B505:B516)</f>
        <v>22.328683333333331</v>
      </c>
      <c r="C655" s="17">
        <f t="shared" si="55"/>
        <v>22.334958333333333</v>
      </c>
      <c r="D655" s="17">
        <f t="shared" si="55"/>
        <v>22.544158333333332</v>
      </c>
      <c r="E655" s="17">
        <f t="shared" si="55"/>
        <v>22.576283333333333</v>
      </c>
      <c r="F655" s="17">
        <f t="shared" si="55"/>
        <v>22.34064166666667</v>
      </c>
      <c r="G655" s="17">
        <f t="shared" si="55"/>
        <v>22.35735</v>
      </c>
      <c r="H655" s="17">
        <f t="shared" si="55"/>
        <v>22.565074999999997</v>
      </c>
      <c r="I655" s="17">
        <f t="shared" si="55"/>
        <v>22.422491666666662</v>
      </c>
      <c r="J655" s="17">
        <f t="shared" si="55"/>
        <v>22.333241666666666</v>
      </c>
      <c r="K655" s="52">
        <f t="shared" si="55"/>
        <v>22.416458333333328</v>
      </c>
      <c r="L655" s="17">
        <f t="shared" si="55"/>
        <v>23.152075</v>
      </c>
      <c r="M655" s="17">
        <f t="shared" si="55"/>
        <v>22.139391666666668</v>
      </c>
      <c r="N655" s="17">
        <f t="shared" si="55"/>
        <v>22.155958333333334</v>
      </c>
      <c r="O655" s="17">
        <f t="shared" si="55"/>
        <v>22.369150000000001</v>
      </c>
      <c r="P655" s="17">
        <f t="shared" si="55"/>
        <v>22.227283333333332</v>
      </c>
      <c r="Q655" s="17">
        <f t="shared" si="55"/>
        <v>22.963850000000004</v>
      </c>
      <c r="R655" s="17">
        <f t="shared" si="55"/>
        <v>23.608258333333335</v>
      </c>
      <c r="S655" s="17">
        <f t="shared" si="55"/>
        <v>21.641649999999998</v>
      </c>
      <c r="T655" s="51">
        <f>SUM(T505:T516)</f>
        <v>357.33618100000001</v>
      </c>
      <c r="U655" s="51">
        <f>SUM(U505:U516)</f>
        <v>142.03263249999998</v>
      </c>
      <c r="V655" s="51">
        <f>SUM(V505:V516)</f>
        <v>50.187500000000007</v>
      </c>
      <c r="W655" s="51">
        <f>SUM(W505:W516)</f>
        <v>4.0622309999999988</v>
      </c>
      <c r="X655" s="51">
        <f>SUM(X505:X516)</f>
        <v>14.222225463999999</v>
      </c>
      <c r="Y655" s="51"/>
      <c r="Z655" s="54"/>
      <c r="AA655" s="53"/>
      <c r="AB655" s="48">
        <f>AVERAGE(AB505:AB516)</f>
        <v>22.393229429293299</v>
      </c>
      <c r="AC655" s="45">
        <f>AVERAGE(AC505:AC516)</f>
        <v>22.230375419664266</v>
      </c>
    </row>
    <row r="656" spans="1:29" ht="15.75" x14ac:dyDescent="0.25">
      <c r="A656" s="11">
        <f t="shared" si="39"/>
        <v>2054</v>
      </c>
      <c r="B656" s="17">
        <f t="shared" ref="B656:S656" si="56">AVERAGE(B517:B528)</f>
        <v>23.065241666666665</v>
      </c>
      <c r="C656" s="17">
        <f t="shared" si="56"/>
        <v>23.071524999999994</v>
      </c>
      <c r="D656" s="17">
        <f t="shared" si="56"/>
        <v>23.280741666666671</v>
      </c>
      <c r="E656" s="17">
        <f t="shared" si="56"/>
        <v>23.312850000000001</v>
      </c>
      <c r="F656" s="17">
        <f t="shared" si="56"/>
        <v>23.077216666666668</v>
      </c>
      <c r="G656" s="17">
        <f t="shared" si="56"/>
        <v>23.093924999999999</v>
      </c>
      <c r="H656" s="17">
        <f t="shared" si="56"/>
        <v>23.301633333333331</v>
      </c>
      <c r="I656" s="17">
        <f t="shared" si="56"/>
        <v>23.161350000000002</v>
      </c>
      <c r="J656" s="17">
        <f t="shared" si="56"/>
        <v>23.069816666666668</v>
      </c>
      <c r="K656" s="52">
        <f t="shared" si="56"/>
        <v>23.1553</v>
      </c>
      <c r="L656" s="17">
        <f t="shared" si="56"/>
        <v>23.888633333333331</v>
      </c>
      <c r="M656" s="17">
        <f t="shared" si="56"/>
        <v>22.869341666666667</v>
      </c>
      <c r="N656" s="17">
        <f t="shared" si="56"/>
        <v>22.885908333333333</v>
      </c>
      <c r="O656" s="17">
        <f t="shared" si="56"/>
        <v>23.099083333333329</v>
      </c>
      <c r="P656" s="17">
        <f t="shared" si="56"/>
        <v>22.959474999999998</v>
      </c>
      <c r="Q656" s="17">
        <f t="shared" si="56"/>
        <v>23.693783333333332</v>
      </c>
      <c r="R656" s="17">
        <f t="shared" si="56"/>
        <v>24.340024999999997</v>
      </c>
      <c r="S656" s="17">
        <f t="shared" si="56"/>
        <v>22.355908333333332</v>
      </c>
      <c r="T656" s="51">
        <f>SUM(T517:T528)</f>
        <v>357.33618100000001</v>
      </c>
      <c r="U656" s="51">
        <f>SUM(U517:U528)</f>
        <v>142.03263249999998</v>
      </c>
      <c r="V656" s="51">
        <f>SUM(V517:V528)</f>
        <v>50.187500000000007</v>
      </c>
      <c r="W656" s="51">
        <f>SUM(W517:W528)</f>
        <v>4.0622309999999988</v>
      </c>
      <c r="X656" s="51">
        <f>SUM(X517:X528)</f>
        <v>14.222225463999999</v>
      </c>
      <c r="Y656" s="51"/>
      <c r="Z656" s="50"/>
      <c r="AA656" s="49"/>
      <c r="AB656" s="48">
        <f>AVERAGE(AB517:AB528)</f>
        <v>23.129988349554015</v>
      </c>
      <c r="AC656" s="45">
        <f>AVERAGE(AC517:AC528)</f>
        <v>22.96064184652278</v>
      </c>
    </row>
    <row r="657" spans="1:29" ht="15.75" x14ac:dyDescent="0.25">
      <c r="A657" s="11">
        <f t="shared" si="39"/>
        <v>2055</v>
      </c>
      <c r="B657" s="17">
        <f t="shared" ref="B657:S657" si="57">AVERAGE(B529:B540)</f>
        <v>23.826141666666668</v>
      </c>
      <c r="C657" s="17">
        <f t="shared" si="57"/>
        <v>23.832400000000003</v>
      </c>
      <c r="D657" s="17">
        <f t="shared" si="57"/>
        <v>24.041608333333333</v>
      </c>
      <c r="E657" s="17">
        <f t="shared" si="57"/>
        <v>24.07375</v>
      </c>
      <c r="F657" s="17">
        <f t="shared" si="57"/>
        <v>23.838099999999997</v>
      </c>
      <c r="G657" s="17">
        <f t="shared" si="57"/>
        <v>23.854816666666668</v>
      </c>
      <c r="H657" s="17">
        <f t="shared" si="57"/>
        <v>24.062533333333334</v>
      </c>
      <c r="I657" s="17">
        <f t="shared" si="57"/>
        <v>23.924599999999995</v>
      </c>
      <c r="J657" s="17">
        <f t="shared" si="57"/>
        <v>23.830700000000004</v>
      </c>
      <c r="K657" s="52">
        <f t="shared" si="57"/>
        <v>23.918558333333326</v>
      </c>
      <c r="L657" s="17">
        <f t="shared" si="57"/>
        <v>24.649533333333334</v>
      </c>
      <c r="M657" s="17">
        <f t="shared" si="57"/>
        <v>23.623383333333337</v>
      </c>
      <c r="N657" s="17">
        <f t="shared" si="57"/>
        <v>23.639949999999999</v>
      </c>
      <c r="O657" s="17">
        <f t="shared" si="57"/>
        <v>23.853149999999999</v>
      </c>
      <c r="P657" s="17">
        <f t="shared" si="57"/>
        <v>23.715816666666665</v>
      </c>
      <c r="Q657" s="17">
        <f t="shared" si="57"/>
        <v>24.447849999999999</v>
      </c>
      <c r="R657" s="17">
        <f t="shared" si="57"/>
        <v>25.095958333333332</v>
      </c>
      <c r="S657" s="17">
        <f t="shared" si="57"/>
        <v>23.093725000000003</v>
      </c>
      <c r="T657" s="51">
        <f>SUM(T529:T540)</f>
        <v>357.33618100000001</v>
      </c>
      <c r="U657" s="51">
        <f>SUM(U529:U540)</f>
        <v>142.03263249999998</v>
      </c>
      <c r="V657" s="51">
        <f>SUM(V529:V540)</f>
        <v>50.187500000000007</v>
      </c>
      <c r="W657" s="51">
        <f>SUM(W529:W540)</f>
        <v>4.0622309999999988</v>
      </c>
      <c r="X657" s="51">
        <f>SUM(X529:X540)</f>
        <v>14.222225463999999</v>
      </c>
      <c r="Y657" s="51"/>
      <c r="Z657" s="50"/>
      <c r="AA657" s="49"/>
      <c r="AB657" s="48">
        <f>AVERAGE(AB529:AB540)</f>
        <v>23.891067984789789</v>
      </c>
      <c r="AC657" s="45">
        <f>AVERAGE(AC529:AC540)</f>
        <v>23.7150257793765</v>
      </c>
    </row>
    <row r="658" spans="1:29" ht="15.75" x14ac:dyDescent="0.25">
      <c r="A658" s="11">
        <f t="shared" si="39"/>
        <v>2056</v>
      </c>
      <c r="B658" s="17">
        <f t="shared" ref="B658:S658" si="58">AVERAGE(B541:B552)</f>
        <v>24.61214166666667</v>
      </c>
      <c r="C658" s="17">
        <f t="shared" si="58"/>
        <v>24.618399999999998</v>
      </c>
      <c r="D658" s="17">
        <f t="shared" si="58"/>
        <v>24.82761666666666</v>
      </c>
      <c r="E658" s="17">
        <f t="shared" si="58"/>
        <v>24.859741666666665</v>
      </c>
      <c r="F658" s="17">
        <f t="shared" si="58"/>
        <v>24.624083333333335</v>
      </c>
      <c r="G658" s="17">
        <f t="shared" si="58"/>
        <v>24.640816666666666</v>
      </c>
      <c r="H658" s="17">
        <f t="shared" si="58"/>
        <v>24.848549999999999</v>
      </c>
      <c r="I658" s="17">
        <f t="shared" si="58"/>
        <v>24.713024999999998</v>
      </c>
      <c r="J658" s="17">
        <f t="shared" si="58"/>
        <v>24.616683333333331</v>
      </c>
      <c r="K658" s="52">
        <f t="shared" si="58"/>
        <v>24.70698333333333</v>
      </c>
      <c r="L658" s="17">
        <f t="shared" si="58"/>
        <v>25.435550000000003</v>
      </c>
      <c r="M658" s="17">
        <f t="shared" si="58"/>
        <v>24.402316666666664</v>
      </c>
      <c r="N658" s="17">
        <f t="shared" si="58"/>
        <v>24.418875</v>
      </c>
      <c r="O658" s="17">
        <f t="shared" si="58"/>
        <v>24.632066666666663</v>
      </c>
      <c r="P658" s="17">
        <f t="shared" si="58"/>
        <v>24.497158333333335</v>
      </c>
      <c r="Q658" s="17">
        <f t="shared" si="58"/>
        <v>25.226766666666666</v>
      </c>
      <c r="R658" s="17">
        <f t="shared" si="58"/>
        <v>25.876825</v>
      </c>
      <c r="S658" s="17">
        <f t="shared" si="58"/>
        <v>23.855916666666669</v>
      </c>
      <c r="T658" s="51">
        <f>SUM(T541:T552)</f>
        <v>358.26753550000001</v>
      </c>
      <c r="U658" s="51">
        <f>SUM(U541:U552)</f>
        <v>142.42176299999997</v>
      </c>
      <c r="V658" s="51">
        <f>SUM(V541:V552)</f>
        <v>50.325000000000003</v>
      </c>
      <c r="W658" s="51">
        <f>SUM(W541:W552)</f>
        <v>4.0733603999999994</v>
      </c>
      <c r="X658" s="51">
        <f>SUM(X541:X552)</f>
        <v>14.245965463999999</v>
      </c>
      <c r="Y658" s="51"/>
      <c r="Z658" s="50"/>
      <c r="AA658" s="49"/>
      <c r="AB658" s="48">
        <f>AVERAGE(AB541:AB552)</f>
        <v>24.677263253038657</v>
      </c>
      <c r="AC658" s="45">
        <f>AVERAGE(AC541:AC552)</f>
        <v>24.494296163069539</v>
      </c>
    </row>
    <row r="659" spans="1:29" ht="15.75" x14ac:dyDescent="0.25">
      <c r="A659" s="11">
        <f t="shared" si="39"/>
        <v>2057</v>
      </c>
      <c r="B659" s="17">
        <f t="shared" ref="B659:S659" si="59">AVERAGE(B553:B564)</f>
        <v>25.424066666666665</v>
      </c>
      <c r="C659" s="17">
        <f t="shared" si="59"/>
        <v>25.430324999999996</v>
      </c>
      <c r="D659" s="17">
        <f t="shared" si="59"/>
        <v>25.639575000000004</v>
      </c>
      <c r="E659" s="17">
        <f t="shared" si="59"/>
        <v>25.671658333333337</v>
      </c>
      <c r="F659" s="17">
        <f t="shared" si="59"/>
        <v>25.436033333333331</v>
      </c>
      <c r="G659" s="17">
        <f t="shared" si="59"/>
        <v>25.452741666666668</v>
      </c>
      <c r="H659" s="17">
        <f t="shared" si="59"/>
        <v>25.660475000000005</v>
      </c>
      <c r="I659" s="17">
        <f t="shared" si="59"/>
        <v>25.527483333333336</v>
      </c>
      <c r="J659" s="17">
        <f t="shared" si="59"/>
        <v>25.428633333333337</v>
      </c>
      <c r="K659" s="52">
        <f t="shared" si="59"/>
        <v>25.521449999999998</v>
      </c>
      <c r="L659" s="17">
        <f t="shared" si="59"/>
        <v>26.247475000000005</v>
      </c>
      <c r="M659" s="17">
        <f t="shared" si="59"/>
        <v>25.206950000000003</v>
      </c>
      <c r="N659" s="17">
        <f t="shared" si="59"/>
        <v>25.223516666666665</v>
      </c>
      <c r="O659" s="17">
        <f t="shared" si="59"/>
        <v>25.436708333333332</v>
      </c>
      <c r="P659" s="17">
        <f t="shared" si="59"/>
        <v>25.304266666666667</v>
      </c>
      <c r="Q659" s="17">
        <f t="shared" si="59"/>
        <v>26.031408333333335</v>
      </c>
      <c r="R659" s="17">
        <f t="shared" si="59"/>
        <v>26.683474999999998</v>
      </c>
      <c r="S659" s="17">
        <f t="shared" si="59"/>
        <v>24.643258333333332</v>
      </c>
      <c r="T659" s="51">
        <f>SUM(T553:T564)</f>
        <v>357.33618100000001</v>
      </c>
      <c r="U659" s="51">
        <f>SUM(U553:U564)</f>
        <v>142.03263249999998</v>
      </c>
      <c r="V659" s="51">
        <f>SUM(V553:V564)</f>
        <v>50.187500000000007</v>
      </c>
      <c r="W659" s="51">
        <f>SUM(W553:W564)</f>
        <v>4.0622309999999988</v>
      </c>
      <c r="X659" s="51">
        <f>SUM(X553:X564)</f>
        <v>14.222225463999999</v>
      </c>
      <c r="Y659" s="51"/>
      <c r="Z659" s="50"/>
      <c r="AA659" s="49"/>
      <c r="AB659" s="48">
        <f>AVERAGE(AB553:AB564)</f>
        <v>25.489406022535615</v>
      </c>
      <c r="AC659" s="45">
        <f>AVERAGE(AC553:AC564)</f>
        <v>25.299291306954434</v>
      </c>
    </row>
    <row r="660" spans="1:29" ht="15.75" x14ac:dyDescent="0.25">
      <c r="A660" s="11">
        <f t="shared" si="39"/>
        <v>2058</v>
      </c>
      <c r="B660" s="17">
        <f t="shared" ref="B660:S660" si="60">AVERAGE(B565:B576)</f>
        <v>26.262825000000003</v>
      </c>
      <c r="C660" s="17">
        <f t="shared" si="60"/>
        <v>26.269083333333338</v>
      </c>
      <c r="D660" s="17">
        <f t="shared" si="60"/>
        <v>26.478291666666664</v>
      </c>
      <c r="E660" s="17">
        <f t="shared" si="60"/>
        <v>26.510416666666671</v>
      </c>
      <c r="F660" s="17">
        <f t="shared" si="60"/>
        <v>26.274775000000002</v>
      </c>
      <c r="G660" s="17">
        <f t="shared" si="60"/>
        <v>26.291475000000002</v>
      </c>
      <c r="H660" s="17">
        <f t="shared" si="60"/>
        <v>26.499224999999999</v>
      </c>
      <c r="I660" s="17">
        <f t="shared" si="60"/>
        <v>26.368833333333331</v>
      </c>
      <c r="J660" s="17">
        <f t="shared" si="60"/>
        <v>26.267375000000001</v>
      </c>
      <c r="K660" s="52">
        <f t="shared" si="60"/>
        <v>26.362774999999996</v>
      </c>
      <c r="L660" s="17">
        <f t="shared" si="60"/>
        <v>27.086225000000002</v>
      </c>
      <c r="M660" s="17">
        <f t="shared" si="60"/>
        <v>26.038141666666672</v>
      </c>
      <c r="N660" s="17">
        <f t="shared" si="60"/>
        <v>26.054716666666668</v>
      </c>
      <c r="O660" s="17">
        <f t="shared" si="60"/>
        <v>26.267899999999997</v>
      </c>
      <c r="P660" s="17">
        <f t="shared" si="60"/>
        <v>26.138016666666669</v>
      </c>
      <c r="Q660" s="17">
        <f t="shared" si="60"/>
        <v>26.8626</v>
      </c>
      <c r="R660" s="17">
        <f t="shared" si="60"/>
        <v>27.516766666666665</v>
      </c>
      <c r="S660" s="17">
        <f t="shared" si="60"/>
        <v>25.456583333333338</v>
      </c>
      <c r="T660" s="51">
        <f>SUM(T565:T576)</f>
        <v>357.33618100000001</v>
      </c>
      <c r="U660" s="51">
        <f>SUM(U565:U576)</f>
        <v>142.03263249999998</v>
      </c>
      <c r="V660" s="51">
        <f>SUM(V565:V576)</f>
        <v>50.187500000000007</v>
      </c>
      <c r="W660" s="51">
        <f>SUM(W565:W576)</f>
        <v>4.0622309999999988</v>
      </c>
      <c r="X660" s="51">
        <f>SUM(X565:X576)</f>
        <v>14.222225463999999</v>
      </c>
      <c r="Y660" s="51"/>
      <c r="Z660" s="50"/>
      <c r="AA660" s="49"/>
      <c r="AB660" s="48">
        <f>AVERAGE(AB565:AB576)</f>
        <v>26.328367800232268</v>
      </c>
      <c r="AC660" s="45">
        <f>AVERAGE(AC565:AC576)</f>
        <v>26.130851558752997</v>
      </c>
    </row>
    <row r="661" spans="1:29" ht="15.75" x14ac:dyDescent="0.25">
      <c r="A661" s="11">
        <f t="shared" si="39"/>
        <v>2059</v>
      </c>
      <c r="B661" s="17">
        <f t="shared" ref="B661:S661" si="61">AVERAGE(B577:B588)</f>
        <v>27.129225000000002</v>
      </c>
      <c r="C661" s="17">
        <f t="shared" si="61"/>
        <v>27.135500000000004</v>
      </c>
      <c r="D661" s="17">
        <f t="shared" si="61"/>
        <v>27.344733333333334</v>
      </c>
      <c r="E661" s="17">
        <f t="shared" si="61"/>
        <v>27.376833333333334</v>
      </c>
      <c r="F661" s="17">
        <f t="shared" si="61"/>
        <v>27.141199999999998</v>
      </c>
      <c r="G661" s="17">
        <f t="shared" si="61"/>
        <v>27.157900000000001</v>
      </c>
      <c r="H661" s="17">
        <f t="shared" si="61"/>
        <v>27.365625000000005</v>
      </c>
      <c r="I661" s="17">
        <f t="shared" si="61"/>
        <v>27.237933333333334</v>
      </c>
      <c r="J661" s="17">
        <f t="shared" si="61"/>
        <v>27.133799999999997</v>
      </c>
      <c r="K661" s="52">
        <f t="shared" si="61"/>
        <v>27.231908333333337</v>
      </c>
      <c r="L661" s="17">
        <f t="shared" si="61"/>
        <v>27.952625000000001</v>
      </c>
      <c r="M661" s="17">
        <f t="shared" si="61"/>
        <v>26.896758333333334</v>
      </c>
      <c r="N661" s="17">
        <f t="shared" si="61"/>
        <v>26.913324999999997</v>
      </c>
      <c r="O661" s="17">
        <f t="shared" si="61"/>
        <v>27.126524999999997</v>
      </c>
      <c r="P661" s="17">
        <f t="shared" si="61"/>
        <v>26.999283333333327</v>
      </c>
      <c r="Q661" s="17">
        <f t="shared" si="61"/>
        <v>27.721225000000004</v>
      </c>
      <c r="R661" s="17">
        <f t="shared" si="61"/>
        <v>28.377525000000006</v>
      </c>
      <c r="S661" s="17">
        <f t="shared" si="61"/>
        <v>26.296741666666673</v>
      </c>
      <c r="T661" s="51">
        <f>SUM(T577:T588)</f>
        <v>357.33618100000001</v>
      </c>
      <c r="U661" s="51">
        <f>SUM(U577:U588)</f>
        <v>142.03263249999998</v>
      </c>
      <c r="V661" s="51">
        <f>SUM(V577:V588)</f>
        <v>50.187500000000007</v>
      </c>
      <c r="W661" s="51">
        <f>SUM(W577:W588)</f>
        <v>4.0622309999999988</v>
      </c>
      <c r="X661" s="51">
        <f>SUM(X577:X588)</f>
        <v>14.222225463999999</v>
      </c>
      <c r="Y661" s="51"/>
      <c r="Z661" s="17"/>
      <c r="AA661" s="17"/>
      <c r="AB661" s="48">
        <f>AVERAGE(AB577:AB588)</f>
        <v>27.195008296256429</v>
      </c>
      <c r="AC661" s="45">
        <f>AVERAGE(AC577:AC588)</f>
        <v>26.989852817745803</v>
      </c>
    </row>
    <row r="662" spans="1:29" ht="15.75" x14ac:dyDescent="0.25">
      <c r="A662" s="11">
        <f t="shared" si="39"/>
        <v>2060</v>
      </c>
      <c r="B662" s="17">
        <f t="shared" ref="B662:S662" si="62">AVERAGE(B589:B600)</f>
        <v>28.024233333333331</v>
      </c>
      <c r="C662" s="17">
        <f t="shared" si="62"/>
        <v>28.030508333333341</v>
      </c>
      <c r="D662" s="17">
        <f t="shared" si="62"/>
        <v>28.23974166666666</v>
      </c>
      <c r="E662" s="17">
        <f t="shared" si="62"/>
        <v>28.271833333333337</v>
      </c>
      <c r="F662" s="17">
        <f t="shared" si="62"/>
        <v>28.036208333333331</v>
      </c>
      <c r="G662" s="17">
        <f t="shared" si="62"/>
        <v>28.052916666666672</v>
      </c>
      <c r="H662" s="17">
        <f t="shared" si="62"/>
        <v>28.260650000000002</v>
      </c>
      <c r="I662" s="17">
        <f t="shared" si="62"/>
        <v>28.135733333333334</v>
      </c>
      <c r="J662" s="17">
        <f t="shared" si="62"/>
        <v>28.028808333333334</v>
      </c>
      <c r="K662" s="52">
        <f t="shared" si="62"/>
        <v>28.129683333333343</v>
      </c>
      <c r="L662" s="17">
        <f t="shared" si="62"/>
        <v>28.847649999999998</v>
      </c>
      <c r="M662" s="17">
        <f t="shared" si="62"/>
        <v>27.783733333333334</v>
      </c>
      <c r="N662" s="17">
        <f t="shared" si="62"/>
        <v>27.800308333333337</v>
      </c>
      <c r="O662" s="17">
        <f t="shared" si="62"/>
        <v>28.013500000000008</v>
      </c>
      <c r="P662" s="17">
        <f t="shared" si="62"/>
        <v>27.888991666666669</v>
      </c>
      <c r="Q662" s="17">
        <f t="shared" si="62"/>
        <v>28.6082</v>
      </c>
      <c r="R662" s="17">
        <f t="shared" si="62"/>
        <v>29.266700000000004</v>
      </c>
      <c r="S662" s="17">
        <f t="shared" si="62"/>
        <v>27.164649999999995</v>
      </c>
      <c r="T662" s="51">
        <f>SUM(T589:T600)</f>
        <v>358.26753550000001</v>
      </c>
      <c r="U662" s="51">
        <f>SUM(U589:U600)</f>
        <v>142.42176299999997</v>
      </c>
      <c r="V662" s="51">
        <f>SUM(V589:V600)</f>
        <v>50.325000000000003</v>
      </c>
      <c r="W662" s="51">
        <f>SUM(W589:W600)</f>
        <v>4.0733603999999994</v>
      </c>
      <c r="X662" s="51">
        <f>SUM(X589:X600)</f>
        <v>14.245965463999999</v>
      </c>
      <c r="Y662" s="51"/>
      <c r="Z662" s="50"/>
      <c r="AA662" s="49"/>
      <c r="AB662" s="48">
        <f>AVERAGE(AB589:AB600)</f>
        <v>28.090245886301343</v>
      </c>
      <c r="AC662" s="45">
        <f>AVERAGE(AC589:AC600)</f>
        <v>27.877220143884895</v>
      </c>
    </row>
    <row r="663" spans="1:29" ht="15.75" x14ac:dyDescent="0.25">
      <c r="A663" s="11">
        <f t="shared" si="39"/>
        <v>2061</v>
      </c>
      <c r="B663" s="17">
        <f t="shared" ref="B663:S663" si="63">AVERAGE(B601:B612)</f>
        <v>28.948741666666667</v>
      </c>
      <c r="C663" s="17">
        <f t="shared" si="63"/>
        <v>28.955008333333328</v>
      </c>
      <c r="D663" s="17">
        <f t="shared" si="63"/>
        <v>29.164233333333339</v>
      </c>
      <c r="E663" s="17">
        <f t="shared" si="63"/>
        <v>29.196341666666669</v>
      </c>
      <c r="F663" s="17">
        <f t="shared" si="63"/>
        <v>28.960708333333333</v>
      </c>
      <c r="G663" s="17">
        <f t="shared" si="63"/>
        <v>28.977424999999997</v>
      </c>
      <c r="H663" s="17">
        <f t="shared" si="63"/>
        <v>29.185150000000004</v>
      </c>
      <c r="I663" s="17">
        <f t="shared" si="63"/>
        <v>29.063108333333336</v>
      </c>
      <c r="J663" s="17">
        <f t="shared" si="63"/>
        <v>28.953308333333336</v>
      </c>
      <c r="K663" s="52">
        <f t="shared" si="63"/>
        <v>29.05705833333333</v>
      </c>
      <c r="L663" s="17">
        <f t="shared" si="63"/>
        <v>29.772150000000007</v>
      </c>
      <c r="M663" s="17">
        <f t="shared" si="63"/>
        <v>28.699916666666667</v>
      </c>
      <c r="N663" s="17">
        <f t="shared" si="63"/>
        <v>28.716466666666665</v>
      </c>
      <c r="O663" s="17">
        <f t="shared" si="63"/>
        <v>28.92968333333333</v>
      </c>
      <c r="P663" s="17">
        <f t="shared" si="63"/>
        <v>28.807974999999999</v>
      </c>
      <c r="Q663" s="17">
        <f t="shared" si="63"/>
        <v>29.524383333333329</v>
      </c>
      <c r="R663" s="17">
        <f t="shared" si="63"/>
        <v>30.185183333333331</v>
      </c>
      <c r="S663" s="17">
        <f t="shared" si="63"/>
        <v>28.061116666666667</v>
      </c>
      <c r="T663" s="51">
        <f>SUM(T601:T612)</f>
        <v>357.33618100000001</v>
      </c>
      <c r="U663" s="51">
        <f>SUM(U601:U612)</f>
        <v>142.03263249999998</v>
      </c>
      <c r="V663" s="51">
        <f>SUM(V601:V612)</f>
        <v>50.187500000000007</v>
      </c>
      <c r="W663" s="51">
        <f>SUM(W601:W612)</f>
        <v>4.0622309999999988</v>
      </c>
      <c r="X663" s="51">
        <f>SUM(X601:X612)</f>
        <v>14.222225463999999</v>
      </c>
      <c r="Y663" s="51"/>
      <c r="Z663" s="50"/>
      <c r="AA663" s="49"/>
      <c r="AB663" s="48">
        <f>AVERAGE(AB601:AB612)</f>
        <v>29.014984586259697</v>
      </c>
      <c r="AC663" s="45">
        <f>AVERAGE(AC601:AC612)</f>
        <v>28.79380347721823</v>
      </c>
    </row>
    <row r="665" spans="1:29" ht="15" x14ac:dyDescent="0.2">
      <c r="S665" s="17"/>
    </row>
    <row r="666" spans="1:29" ht="15" x14ac:dyDescent="0.2">
      <c r="S666" s="17"/>
    </row>
    <row r="667" spans="1:29" ht="15" x14ac:dyDescent="0.2">
      <c r="S667" s="17"/>
    </row>
    <row r="668" spans="1:29" ht="15" x14ac:dyDescent="0.2">
      <c r="S668" s="17"/>
    </row>
    <row r="669" spans="1:29" ht="15" x14ac:dyDescent="0.2">
      <c r="S669" s="17"/>
    </row>
  </sheetData>
  <mergeCells count="3">
    <mergeCell ref="Z9:AA9"/>
    <mergeCell ref="T9:Y9"/>
    <mergeCell ref="T10:Y10"/>
  </mergeCells>
  <pageMargins left="0.5" right="0.25" top="0.5" bottom="0.5" header="0.25" footer="0.25"/>
  <pageSetup paperSize="17" scale="35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locked="0" defaultSize="0" autoLine="0" autoPict="0">
                <anchor moveWithCells="1">
                  <from>
                    <xdr:col>7</xdr:col>
                    <xdr:colOff>333375</xdr:colOff>
                    <xdr:row>7</xdr:row>
                    <xdr:rowOff>85725</xdr:rowOff>
                  </from>
                  <to>
                    <xdr:col>8</xdr:col>
                    <xdr:colOff>600075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locked="0" defaultSize="0" autoLine="0" autoPict="0">
                <anchor moveWithCells="1">
                  <from>
                    <xdr:col>11</xdr:col>
                    <xdr:colOff>47625</xdr:colOff>
                    <xdr:row>7</xdr:row>
                    <xdr:rowOff>180975</xdr:rowOff>
                  </from>
                  <to>
                    <xdr:col>12</xdr:col>
                    <xdr:colOff>323850</xdr:colOff>
                    <xdr:row>9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AD721"/>
  <sheetViews>
    <sheetView zoomScale="75" workbookViewId="0">
      <pane xSplit="1" ySplit="11" topLeftCell="B12" activePane="bottomRight" state="frozen"/>
      <selection activeCell="A7" sqref="A7"/>
      <selection pane="topRight" activeCell="A7" sqref="A7"/>
      <selection pane="bottomLeft" activeCell="A7" sqref="A7"/>
      <selection pane="bottomRight" activeCell="B12" sqref="B12"/>
    </sheetView>
  </sheetViews>
  <sheetFormatPr defaultColWidth="7.109375" defaultRowHeight="12.75" x14ac:dyDescent="0.2"/>
  <cols>
    <col min="1" max="1" width="19.21875" style="33" customWidth="1"/>
    <col min="2" max="2" width="7.88671875" style="33" customWidth="1"/>
    <col min="3" max="14" width="13" style="8" customWidth="1"/>
    <col min="15" max="19" width="20.6640625" style="8" customWidth="1"/>
    <col min="20" max="20" width="15.44140625" style="8" customWidth="1"/>
    <col min="21" max="21" width="7.77734375" style="8" customWidth="1"/>
    <col min="22" max="16384" width="7.109375" style="8"/>
  </cols>
  <sheetData>
    <row r="1" spans="1:30" ht="15.75" x14ac:dyDescent="0.25">
      <c r="A1" s="112" t="s">
        <v>90</v>
      </c>
    </row>
    <row r="2" spans="1:30" ht="15.75" x14ac:dyDescent="0.25">
      <c r="A2" s="112" t="s">
        <v>91</v>
      </c>
    </row>
    <row r="3" spans="1:30" ht="15.75" x14ac:dyDescent="0.25">
      <c r="A3" s="112" t="s">
        <v>92</v>
      </c>
    </row>
    <row r="4" spans="1:30" ht="15.75" x14ac:dyDescent="0.25">
      <c r="A4" s="112" t="s">
        <v>93</v>
      </c>
    </row>
    <row r="5" spans="1:30" ht="15.75" x14ac:dyDescent="0.25">
      <c r="A5" s="112" t="s">
        <v>95</v>
      </c>
    </row>
    <row r="6" spans="1:30" ht="15.75" x14ac:dyDescent="0.25">
      <c r="A6" s="112" t="s">
        <v>100</v>
      </c>
    </row>
    <row r="7" spans="1:30" ht="15.75" x14ac:dyDescent="0.25">
      <c r="A7" s="112"/>
    </row>
    <row r="8" spans="1:30" s="25" customFormat="1" ht="15.75" x14ac:dyDescent="0.25">
      <c r="A8" s="46" t="s">
        <v>27</v>
      </c>
      <c r="B8" s="46"/>
      <c r="C8" s="109"/>
      <c r="O8" s="81"/>
      <c r="P8" s="81"/>
      <c r="Q8" s="81"/>
      <c r="R8" s="81"/>
      <c r="S8" s="81"/>
    </row>
    <row r="9" spans="1:30" ht="15.75" x14ac:dyDescent="0.25">
      <c r="A9" s="42"/>
      <c r="C9" s="121" t="s">
        <v>89</v>
      </c>
      <c r="D9" s="121"/>
      <c r="E9" s="121"/>
      <c r="F9" s="121"/>
      <c r="G9" s="105"/>
      <c r="H9" s="105"/>
      <c r="I9" s="123" t="s">
        <v>88</v>
      </c>
      <c r="J9" s="124"/>
      <c r="K9" s="124"/>
      <c r="L9" s="104"/>
      <c r="M9" s="81"/>
      <c r="N9" s="103"/>
      <c r="O9" s="122"/>
      <c r="P9" s="122"/>
      <c r="Q9" s="122"/>
      <c r="R9" s="102"/>
      <c r="S9" s="102"/>
    </row>
    <row r="10" spans="1:30" ht="97.9" customHeight="1" x14ac:dyDescent="0.25">
      <c r="A10" s="101"/>
      <c r="B10" s="101"/>
      <c r="C10" s="74" t="s">
        <v>77</v>
      </c>
      <c r="D10" s="78" t="s">
        <v>76</v>
      </c>
      <c r="E10" s="74" t="s">
        <v>75</v>
      </c>
      <c r="F10" s="74" t="s">
        <v>74</v>
      </c>
      <c r="G10" s="78" t="s">
        <v>73</v>
      </c>
      <c r="H10" s="78" t="s">
        <v>72</v>
      </c>
      <c r="I10" s="78" t="s">
        <v>71</v>
      </c>
      <c r="J10" s="78" t="s">
        <v>70</v>
      </c>
      <c r="K10" s="78" t="s">
        <v>69</v>
      </c>
      <c r="L10" s="74" t="s">
        <v>87</v>
      </c>
      <c r="M10" s="75" t="s">
        <v>68</v>
      </c>
      <c r="N10" s="36" t="s">
        <v>67</v>
      </c>
      <c r="O10" s="77" t="s">
        <v>86</v>
      </c>
      <c r="P10" s="77" t="s">
        <v>85</v>
      </c>
      <c r="Q10" s="77" t="s">
        <v>84</v>
      </c>
      <c r="R10" s="77" t="s">
        <v>63</v>
      </c>
      <c r="S10" s="100" t="s">
        <v>83</v>
      </c>
      <c r="T10" s="38" t="s">
        <v>82</v>
      </c>
    </row>
    <row r="11" spans="1:30" ht="15.75" x14ac:dyDescent="0.25">
      <c r="A11" s="37" t="s">
        <v>15</v>
      </c>
      <c r="B11" s="37" t="s">
        <v>81</v>
      </c>
      <c r="C11" s="37" t="s">
        <v>80</v>
      </c>
      <c r="D11" s="37" t="s">
        <v>80</v>
      </c>
      <c r="E11" s="37" t="s">
        <v>80</v>
      </c>
      <c r="F11" s="37" t="s">
        <v>80</v>
      </c>
      <c r="G11" s="37" t="s">
        <v>80</v>
      </c>
      <c r="H11" s="37" t="s">
        <v>80</v>
      </c>
      <c r="I11" s="37" t="s">
        <v>80</v>
      </c>
      <c r="J11" s="37" t="s">
        <v>80</v>
      </c>
      <c r="K11" s="37" t="s">
        <v>80</v>
      </c>
      <c r="L11" s="37" t="s">
        <v>80</v>
      </c>
      <c r="M11" s="99" t="s">
        <v>80</v>
      </c>
      <c r="N11" s="37" t="s">
        <v>80</v>
      </c>
      <c r="O11" s="37" t="s">
        <v>80</v>
      </c>
      <c r="P11" s="37" t="s">
        <v>80</v>
      </c>
      <c r="Q11" s="37" t="s">
        <v>80</v>
      </c>
      <c r="R11" s="37" t="s">
        <v>80</v>
      </c>
      <c r="S11" s="37" t="s">
        <v>80</v>
      </c>
      <c r="T11" s="37" t="s">
        <v>80</v>
      </c>
    </row>
    <row r="12" spans="1:30" ht="15" x14ac:dyDescent="0.2">
      <c r="A12" s="16">
        <v>40909</v>
      </c>
      <c r="B12" s="96">
        <v>31</v>
      </c>
      <c r="C12" s="85">
        <v>122.58</v>
      </c>
      <c r="D12" s="85">
        <v>297.94099999999997</v>
      </c>
      <c r="E12" s="92">
        <v>89.177000000000007</v>
      </c>
      <c r="F12" s="85">
        <f>240.302-40</f>
        <v>200.30199999999999</v>
      </c>
      <c r="G12" s="87">
        <v>40</v>
      </c>
      <c r="H12" s="85">
        <v>0</v>
      </c>
      <c r="I12" s="85">
        <v>0</v>
      </c>
      <c r="J12" s="87">
        <v>100</v>
      </c>
      <c r="K12" s="87">
        <v>300</v>
      </c>
      <c r="L12" s="85">
        <f t="shared" ref="L12:L20" si="0">SUM(C12:K12)</f>
        <v>1150</v>
      </c>
      <c r="M12" s="98"/>
      <c r="N12" s="85">
        <v>150</v>
      </c>
      <c r="O12" s="87">
        <v>240</v>
      </c>
      <c r="P12" s="87">
        <v>0</v>
      </c>
      <c r="Q12" s="87">
        <f t="shared" ref="Q12:Q20" si="1">315+40</f>
        <v>355</v>
      </c>
      <c r="R12" s="87">
        <v>100</v>
      </c>
      <c r="S12" s="85">
        <f t="shared" ref="S12:S20" si="2">SUM(O12:R12)</f>
        <v>695</v>
      </c>
      <c r="T12" s="85">
        <v>50</v>
      </c>
      <c r="U12" s="83"/>
      <c r="V12" s="83"/>
      <c r="W12" s="83"/>
      <c r="X12" s="83"/>
      <c r="Y12" s="83"/>
      <c r="Z12" s="83"/>
      <c r="AA12" s="83"/>
      <c r="AB12" s="83"/>
      <c r="AC12" s="83"/>
      <c r="AD12" s="83"/>
    </row>
    <row r="13" spans="1:30" ht="15" x14ac:dyDescent="0.2">
      <c r="A13" s="16">
        <v>40940</v>
      </c>
      <c r="B13" s="96">
        <v>29</v>
      </c>
      <c r="C13" s="85">
        <v>122.58</v>
      </c>
      <c r="D13" s="85">
        <v>297.94099999999997</v>
      </c>
      <c r="E13" s="92">
        <v>89.177000000000007</v>
      </c>
      <c r="F13" s="85">
        <f>240.302-40</f>
        <v>200.30199999999999</v>
      </c>
      <c r="G13" s="87">
        <v>40</v>
      </c>
      <c r="H13" s="85">
        <v>0</v>
      </c>
      <c r="I13" s="85">
        <v>0</v>
      </c>
      <c r="J13" s="87">
        <v>100</v>
      </c>
      <c r="K13" s="87">
        <v>300</v>
      </c>
      <c r="L13" s="85">
        <f t="shared" si="0"/>
        <v>1150</v>
      </c>
      <c r="M13" s="98"/>
      <c r="N13" s="85">
        <v>150</v>
      </c>
      <c r="O13" s="87">
        <v>240</v>
      </c>
      <c r="P13" s="87">
        <v>0</v>
      </c>
      <c r="Q13" s="87">
        <f t="shared" si="1"/>
        <v>355</v>
      </c>
      <c r="R13" s="87">
        <v>100</v>
      </c>
      <c r="S13" s="85">
        <f t="shared" si="2"/>
        <v>695</v>
      </c>
      <c r="T13" s="85">
        <v>50</v>
      </c>
      <c r="U13" s="83"/>
      <c r="V13" s="83"/>
      <c r="W13" s="83"/>
      <c r="X13" s="83"/>
      <c r="Y13" s="83"/>
      <c r="Z13" s="83"/>
      <c r="AA13" s="83"/>
      <c r="AB13" s="83"/>
      <c r="AC13" s="83"/>
      <c r="AD13" s="83"/>
    </row>
    <row r="14" spans="1:30" ht="15" x14ac:dyDescent="0.2">
      <c r="A14" s="16">
        <v>40969</v>
      </c>
      <c r="B14" s="96">
        <v>31</v>
      </c>
      <c r="C14" s="85">
        <v>122.58</v>
      </c>
      <c r="D14" s="85">
        <v>297.94099999999997</v>
      </c>
      <c r="E14" s="92">
        <v>89.177000000000007</v>
      </c>
      <c r="F14" s="85">
        <f>240.302-40</f>
        <v>200.30199999999999</v>
      </c>
      <c r="G14" s="87">
        <v>40</v>
      </c>
      <c r="H14" s="85">
        <v>0</v>
      </c>
      <c r="I14" s="85">
        <v>0</v>
      </c>
      <c r="J14" s="87">
        <v>100</v>
      </c>
      <c r="K14" s="87">
        <v>300</v>
      </c>
      <c r="L14" s="85">
        <f t="shared" si="0"/>
        <v>1150</v>
      </c>
      <c r="M14" s="98"/>
      <c r="N14" s="85">
        <v>150</v>
      </c>
      <c r="O14" s="87">
        <v>240</v>
      </c>
      <c r="P14" s="87">
        <v>0</v>
      </c>
      <c r="Q14" s="87">
        <f t="shared" si="1"/>
        <v>355</v>
      </c>
      <c r="R14" s="87">
        <v>100</v>
      </c>
      <c r="S14" s="85">
        <f t="shared" si="2"/>
        <v>695</v>
      </c>
      <c r="T14" s="85">
        <v>50</v>
      </c>
      <c r="U14" s="83"/>
      <c r="V14" s="83"/>
      <c r="W14" s="83"/>
      <c r="X14" s="83"/>
      <c r="Y14" s="83"/>
      <c r="Z14" s="83"/>
      <c r="AA14" s="83"/>
      <c r="AB14" s="83"/>
      <c r="AC14" s="83"/>
      <c r="AD14" s="83"/>
    </row>
    <row r="15" spans="1:30" ht="15" x14ac:dyDescent="0.2">
      <c r="A15" s="16">
        <v>41000</v>
      </c>
      <c r="B15" s="96">
        <v>30</v>
      </c>
      <c r="C15" s="85">
        <v>141.29300000000001</v>
      </c>
      <c r="D15" s="85">
        <v>267.99299999999999</v>
      </c>
      <c r="E15" s="92">
        <v>115.01600000000001</v>
      </c>
      <c r="F15" s="85">
        <f>314.698-40</f>
        <v>274.69799999999998</v>
      </c>
      <c r="G15" s="87">
        <v>40</v>
      </c>
      <c r="H15" s="85">
        <v>0</v>
      </c>
      <c r="I15" s="85">
        <v>0</v>
      </c>
      <c r="J15" s="87">
        <v>100</v>
      </c>
      <c r="K15" s="87">
        <v>300</v>
      </c>
      <c r="L15" s="85">
        <f t="shared" si="0"/>
        <v>1239</v>
      </c>
      <c r="M15" s="98"/>
      <c r="N15" s="85">
        <v>150</v>
      </c>
      <c r="O15" s="87">
        <v>240</v>
      </c>
      <c r="P15" s="87">
        <v>0</v>
      </c>
      <c r="Q15" s="87">
        <f t="shared" si="1"/>
        <v>355</v>
      </c>
      <c r="R15" s="87">
        <v>100</v>
      </c>
      <c r="S15" s="85">
        <f t="shared" si="2"/>
        <v>695</v>
      </c>
      <c r="T15" s="85">
        <v>50</v>
      </c>
      <c r="U15" s="83"/>
      <c r="V15" s="83"/>
      <c r="W15" s="83"/>
      <c r="X15" s="83"/>
      <c r="Y15" s="83"/>
      <c r="Z15" s="83"/>
      <c r="AA15" s="83"/>
      <c r="AB15" s="83"/>
      <c r="AC15" s="83"/>
      <c r="AD15" s="83"/>
    </row>
    <row r="16" spans="1:30" ht="15" x14ac:dyDescent="0.2">
      <c r="A16" s="16">
        <v>41030</v>
      </c>
      <c r="B16" s="96">
        <v>31</v>
      </c>
      <c r="C16" s="85">
        <v>194.20500000000001</v>
      </c>
      <c r="D16" s="85">
        <v>267.46600000000001</v>
      </c>
      <c r="E16" s="92">
        <v>133.845</v>
      </c>
      <c r="F16" s="85">
        <f>278.484-40</f>
        <v>238.48399999999998</v>
      </c>
      <c r="G16" s="87">
        <v>40</v>
      </c>
      <c r="H16" s="85">
        <v>0</v>
      </c>
      <c r="I16" s="85">
        <v>0</v>
      </c>
      <c r="J16" s="87">
        <v>100</v>
      </c>
      <c r="K16" s="87">
        <v>300</v>
      </c>
      <c r="L16" s="85">
        <f t="shared" si="0"/>
        <v>1274</v>
      </c>
      <c r="M16" s="98"/>
      <c r="N16" s="85">
        <v>125</v>
      </c>
      <c r="O16" s="87">
        <v>240</v>
      </c>
      <c r="P16" s="87">
        <v>0</v>
      </c>
      <c r="Q16" s="87">
        <f t="shared" si="1"/>
        <v>355</v>
      </c>
      <c r="R16" s="87">
        <v>100</v>
      </c>
      <c r="S16" s="85">
        <f t="shared" si="2"/>
        <v>695</v>
      </c>
      <c r="T16" s="85">
        <v>50</v>
      </c>
      <c r="U16" s="83"/>
      <c r="V16" s="83"/>
      <c r="W16" s="83"/>
      <c r="X16" s="83"/>
      <c r="Y16" s="83"/>
      <c r="Z16" s="83"/>
      <c r="AA16" s="83"/>
      <c r="AB16" s="83"/>
      <c r="AC16" s="83"/>
      <c r="AD16" s="83"/>
    </row>
    <row r="17" spans="1:30" ht="15" x14ac:dyDescent="0.2">
      <c r="A17" s="16">
        <v>41061</v>
      </c>
      <c r="B17" s="96">
        <v>30</v>
      </c>
      <c r="C17" s="85">
        <v>194.20500000000001</v>
      </c>
      <c r="D17" s="85">
        <v>267.46600000000001</v>
      </c>
      <c r="E17" s="92">
        <v>133.845</v>
      </c>
      <c r="F17" s="85">
        <f>278.484-40</f>
        <v>238.48399999999998</v>
      </c>
      <c r="G17" s="87">
        <v>40</v>
      </c>
      <c r="H17" s="85">
        <v>0</v>
      </c>
      <c r="I17" s="85">
        <v>0</v>
      </c>
      <c r="J17" s="87">
        <v>100</v>
      </c>
      <c r="K17" s="87">
        <v>300</v>
      </c>
      <c r="L17" s="85">
        <f t="shared" si="0"/>
        <v>1274</v>
      </c>
      <c r="M17" s="98"/>
      <c r="N17" s="85">
        <v>80</v>
      </c>
      <c r="O17" s="87">
        <v>240</v>
      </c>
      <c r="P17" s="87">
        <v>0</v>
      </c>
      <c r="Q17" s="87">
        <f t="shared" si="1"/>
        <v>355</v>
      </c>
      <c r="R17" s="87">
        <v>100</v>
      </c>
      <c r="S17" s="85">
        <f t="shared" si="2"/>
        <v>695</v>
      </c>
      <c r="T17" s="85">
        <v>50</v>
      </c>
      <c r="U17" s="83"/>
      <c r="V17" s="83"/>
      <c r="W17" s="83"/>
      <c r="X17" s="83"/>
      <c r="Y17" s="83"/>
      <c r="Z17" s="83"/>
      <c r="AA17" s="83"/>
      <c r="AB17" s="83"/>
      <c r="AC17" s="83"/>
      <c r="AD17" s="83"/>
    </row>
    <row r="18" spans="1:30" ht="15" x14ac:dyDescent="0.2">
      <c r="A18" s="16">
        <v>41091</v>
      </c>
      <c r="B18" s="96">
        <v>31</v>
      </c>
      <c r="C18" s="85">
        <v>194.20500000000001</v>
      </c>
      <c r="D18" s="85">
        <v>267.46600000000001</v>
      </c>
      <c r="E18" s="92">
        <v>133.845</v>
      </c>
      <c r="F18" s="85">
        <f>278.484-40</f>
        <v>238.48399999999998</v>
      </c>
      <c r="G18" s="87">
        <v>40</v>
      </c>
      <c r="H18" s="85">
        <v>0</v>
      </c>
      <c r="I18" s="85">
        <v>0</v>
      </c>
      <c r="J18" s="87">
        <v>100</v>
      </c>
      <c r="K18" s="87">
        <v>300</v>
      </c>
      <c r="L18" s="85">
        <f t="shared" si="0"/>
        <v>1274</v>
      </c>
      <c r="M18" s="98"/>
      <c r="N18" s="85">
        <v>80</v>
      </c>
      <c r="O18" s="87">
        <v>240</v>
      </c>
      <c r="P18" s="87">
        <v>0</v>
      </c>
      <c r="Q18" s="87">
        <f t="shared" si="1"/>
        <v>355</v>
      </c>
      <c r="R18" s="87">
        <v>100</v>
      </c>
      <c r="S18" s="85">
        <f t="shared" si="2"/>
        <v>695</v>
      </c>
      <c r="T18" s="85">
        <v>0</v>
      </c>
      <c r="U18" s="83"/>
      <c r="V18" s="83"/>
      <c r="W18" s="83"/>
      <c r="X18" s="83"/>
      <c r="Y18" s="83"/>
      <c r="Z18" s="83"/>
      <c r="AA18" s="83"/>
      <c r="AB18" s="83"/>
      <c r="AC18" s="83"/>
      <c r="AD18" s="83"/>
    </row>
    <row r="19" spans="1:30" ht="15" x14ac:dyDescent="0.2">
      <c r="A19" s="16">
        <v>41122</v>
      </c>
      <c r="B19" s="96">
        <v>31</v>
      </c>
      <c r="C19" s="85">
        <v>194.20500000000001</v>
      </c>
      <c r="D19" s="85">
        <v>267.46600000000001</v>
      </c>
      <c r="E19" s="92">
        <v>133.845</v>
      </c>
      <c r="F19" s="85">
        <f>278.484-40</f>
        <v>238.48399999999998</v>
      </c>
      <c r="G19" s="87">
        <v>40</v>
      </c>
      <c r="H19" s="85">
        <v>0</v>
      </c>
      <c r="I19" s="85">
        <v>0</v>
      </c>
      <c r="J19" s="87">
        <v>100</v>
      </c>
      <c r="K19" s="87">
        <v>300</v>
      </c>
      <c r="L19" s="85">
        <f t="shared" si="0"/>
        <v>1274</v>
      </c>
      <c r="M19" s="98"/>
      <c r="N19" s="85">
        <v>80</v>
      </c>
      <c r="O19" s="87">
        <v>240</v>
      </c>
      <c r="P19" s="87">
        <v>0</v>
      </c>
      <c r="Q19" s="87">
        <f t="shared" si="1"/>
        <v>355</v>
      </c>
      <c r="R19" s="87">
        <v>100</v>
      </c>
      <c r="S19" s="85">
        <f t="shared" si="2"/>
        <v>695</v>
      </c>
      <c r="T19" s="85">
        <v>0</v>
      </c>
      <c r="U19" s="83"/>
      <c r="V19" s="83"/>
      <c r="W19" s="83"/>
      <c r="X19" s="83"/>
      <c r="Y19" s="83"/>
      <c r="Z19" s="83"/>
      <c r="AA19" s="83"/>
      <c r="AB19" s="83"/>
      <c r="AC19" s="83"/>
      <c r="AD19" s="83"/>
    </row>
    <row r="20" spans="1:30" ht="15" x14ac:dyDescent="0.2">
      <c r="A20" s="16">
        <v>41153</v>
      </c>
      <c r="B20" s="96">
        <v>30</v>
      </c>
      <c r="C20" s="85">
        <v>194.20500000000001</v>
      </c>
      <c r="D20" s="85">
        <v>267.46600000000001</v>
      </c>
      <c r="E20" s="92">
        <v>133.845</v>
      </c>
      <c r="F20" s="85">
        <f>278.484-40</f>
        <v>238.48399999999998</v>
      </c>
      <c r="G20" s="87">
        <v>40</v>
      </c>
      <c r="H20" s="85">
        <v>0</v>
      </c>
      <c r="I20" s="85">
        <v>0</v>
      </c>
      <c r="J20" s="87">
        <v>100</v>
      </c>
      <c r="K20" s="87">
        <v>300</v>
      </c>
      <c r="L20" s="85">
        <f t="shared" si="0"/>
        <v>1274</v>
      </c>
      <c r="M20" s="98"/>
      <c r="N20" s="85">
        <v>80</v>
      </c>
      <c r="O20" s="87">
        <v>240</v>
      </c>
      <c r="P20" s="87">
        <v>0</v>
      </c>
      <c r="Q20" s="87">
        <f t="shared" si="1"/>
        <v>355</v>
      </c>
      <c r="R20" s="87">
        <v>100</v>
      </c>
      <c r="S20" s="85">
        <f t="shared" si="2"/>
        <v>695</v>
      </c>
      <c r="T20" s="85">
        <v>0</v>
      </c>
      <c r="U20" s="83"/>
      <c r="V20" s="83"/>
      <c r="W20" s="83"/>
      <c r="X20" s="83"/>
      <c r="Y20" s="83"/>
      <c r="Z20" s="83"/>
      <c r="AA20" s="83"/>
      <c r="AB20" s="83"/>
      <c r="AC20" s="83"/>
      <c r="AD20" s="83"/>
    </row>
    <row r="21" spans="1:30" ht="15" x14ac:dyDescent="0.2">
      <c r="A21" s="16">
        <v>41183</v>
      </c>
      <c r="B21" s="96">
        <v>31</v>
      </c>
      <c r="C21" s="85">
        <v>131.881</v>
      </c>
      <c r="D21" s="85">
        <v>277.16699999999997</v>
      </c>
      <c r="E21" s="92">
        <v>79.08</v>
      </c>
      <c r="F21" s="85">
        <v>310.87200000000001</v>
      </c>
      <c r="G21" s="87">
        <v>40</v>
      </c>
      <c r="H21" s="85">
        <v>0</v>
      </c>
      <c r="I21" s="85">
        <v>0</v>
      </c>
      <c r="J21" s="87">
        <v>100</v>
      </c>
      <c r="K21" s="87">
        <v>300</v>
      </c>
      <c r="L21" s="85">
        <v>1239</v>
      </c>
      <c r="M21" s="98"/>
      <c r="N21" s="85">
        <v>125</v>
      </c>
      <c r="O21" s="87">
        <v>240</v>
      </c>
      <c r="P21" s="87">
        <v>0</v>
      </c>
      <c r="Q21" s="87">
        <v>355</v>
      </c>
      <c r="R21" s="87">
        <v>100</v>
      </c>
      <c r="S21" s="85">
        <v>695</v>
      </c>
      <c r="T21" s="85">
        <v>0</v>
      </c>
      <c r="U21" s="83"/>
      <c r="V21" s="83"/>
      <c r="W21" s="83"/>
      <c r="X21" s="83"/>
      <c r="Y21" s="83"/>
      <c r="Z21" s="83"/>
      <c r="AA21" s="83"/>
      <c r="AB21" s="83"/>
      <c r="AC21" s="83"/>
      <c r="AD21" s="83"/>
    </row>
    <row r="22" spans="1:30" ht="15" x14ac:dyDescent="0.2">
      <c r="A22" s="16">
        <v>41214</v>
      </c>
      <c r="B22" s="96">
        <v>30</v>
      </c>
      <c r="C22" s="85">
        <v>122.58</v>
      </c>
      <c r="D22" s="85">
        <v>297.94099999999997</v>
      </c>
      <c r="E22" s="92">
        <v>89.177000000000007</v>
      </c>
      <c r="F22" s="85">
        <v>200.30199999999999</v>
      </c>
      <c r="G22" s="87">
        <v>40</v>
      </c>
      <c r="H22" s="85">
        <v>0</v>
      </c>
      <c r="I22" s="85">
        <v>0</v>
      </c>
      <c r="J22" s="87">
        <v>100</v>
      </c>
      <c r="K22" s="87">
        <v>300</v>
      </c>
      <c r="L22" s="85">
        <v>1150</v>
      </c>
      <c r="M22" s="98"/>
      <c r="N22" s="85">
        <v>150</v>
      </c>
      <c r="O22" s="87">
        <v>240</v>
      </c>
      <c r="P22" s="87">
        <v>0</v>
      </c>
      <c r="Q22" s="87">
        <v>355</v>
      </c>
      <c r="R22" s="87">
        <v>100</v>
      </c>
      <c r="S22" s="85">
        <v>695</v>
      </c>
      <c r="T22" s="85">
        <v>50</v>
      </c>
      <c r="U22" s="83"/>
      <c r="V22" s="83"/>
      <c r="W22" s="83"/>
      <c r="X22" s="83"/>
      <c r="Y22" s="83"/>
      <c r="Z22" s="83"/>
      <c r="AA22" s="83"/>
      <c r="AB22" s="83"/>
      <c r="AC22" s="83"/>
      <c r="AD22" s="83"/>
    </row>
    <row r="23" spans="1:30" ht="15" x14ac:dyDescent="0.2">
      <c r="A23" s="16">
        <v>41244</v>
      </c>
      <c r="B23" s="96">
        <v>31</v>
      </c>
      <c r="C23" s="85">
        <v>122.58</v>
      </c>
      <c r="D23" s="85">
        <v>297.94099999999997</v>
      </c>
      <c r="E23" s="92">
        <v>89.177000000000007</v>
      </c>
      <c r="F23" s="85">
        <v>200.30199999999999</v>
      </c>
      <c r="G23" s="87">
        <v>40</v>
      </c>
      <c r="H23" s="85">
        <v>0</v>
      </c>
      <c r="I23" s="85">
        <v>0</v>
      </c>
      <c r="J23" s="87">
        <v>100</v>
      </c>
      <c r="K23" s="87">
        <v>300</v>
      </c>
      <c r="L23" s="85">
        <v>1150</v>
      </c>
      <c r="M23" s="98"/>
      <c r="N23" s="85">
        <v>150</v>
      </c>
      <c r="O23" s="87">
        <v>240</v>
      </c>
      <c r="P23" s="87">
        <v>0</v>
      </c>
      <c r="Q23" s="87">
        <v>355</v>
      </c>
      <c r="R23" s="87">
        <v>100</v>
      </c>
      <c r="S23" s="85">
        <v>695</v>
      </c>
      <c r="T23" s="85">
        <v>50</v>
      </c>
      <c r="U23" s="83"/>
      <c r="V23" s="83"/>
      <c r="W23" s="83"/>
      <c r="X23" s="83"/>
      <c r="Y23" s="83"/>
      <c r="Z23" s="83"/>
      <c r="AA23" s="83"/>
      <c r="AB23" s="83"/>
      <c r="AC23" s="83"/>
      <c r="AD23" s="83"/>
    </row>
    <row r="24" spans="1:30" ht="15" x14ac:dyDescent="0.2">
      <c r="A24" s="16">
        <v>41275</v>
      </c>
      <c r="B24" s="96">
        <v>31</v>
      </c>
      <c r="C24" s="85">
        <f>122.58</f>
        <v>122.58</v>
      </c>
      <c r="D24" s="85">
        <f>297.941</f>
        <v>297.94099999999997</v>
      </c>
      <c r="E24" s="92">
        <f>89.177</f>
        <v>89.177000000000007</v>
      </c>
      <c r="F24" s="85">
        <f>240.302-40</f>
        <v>200.30199999999999</v>
      </c>
      <c r="G24" s="87">
        <v>40</v>
      </c>
      <c r="H24" s="85">
        <v>0</v>
      </c>
      <c r="I24" s="85">
        <v>0</v>
      </c>
      <c r="J24" s="87">
        <v>100</v>
      </c>
      <c r="K24" s="87">
        <v>300</v>
      </c>
      <c r="L24" s="85">
        <f t="shared" ref="L24:L87" si="3">SUM(C24:K24)</f>
        <v>1150</v>
      </c>
      <c r="M24" s="98"/>
      <c r="N24" s="85">
        <f>125</f>
        <v>125</v>
      </c>
      <c r="O24" s="87">
        <v>240</v>
      </c>
      <c r="P24" s="87">
        <v>0</v>
      </c>
      <c r="Q24" s="87">
        <f t="shared" ref="Q24:Q87" si="4">695-R24-O24-P24</f>
        <v>355</v>
      </c>
      <c r="R24" s="87">
        <f t="shared" ref="R24:R87" si="5">200-J24</f>
        <v>100</v>
      </c>
      <c r="S24" s="85">
        <f t="shared" ref="S24:S87" si="6">SUM(O24:R24)</f>
        <v>695</v>
      </c>
      <c r="T24" s="85">
        <f>50</f>
        <v>50</v>
      </c>
      <c r="U24" s="83"/>
      <c r="V24" s="83"/>
      <c r="W24" s="83"/>
      <c r="X24" s="83"/>
      <c r="Y24" s="83"/>
      <c r="Z24" s="83"/>
      <c r="AA24" s="83"/>
      <c r="AB24" s="83"/>
      <c r="AC24" s="83"/>
      <c r="AD24" s="83"/>
    </row>
    <row r="25" spans="1:30" ht="15" x14ac:dyDescent="0.2">
      <c r="A25" s="16">
        <v>41306</v>
      </c>
      <c r="B25" s="96">
        <v>28</v>
      </c>
      <c r="C25" s="85">
        <f>122.58</f>
        <v>122.58</v>
      </c>
      <c r="D25" s="85">
        <f>297.941</f>
        <v>297.94099999999997</v>
      </c>
      <c r="E25" s="92">
        <f>89.177</f>
        <v>89.177000000000007</v>
      </c>
      <c r="F25" s="85">
        <f>240.302-40</f>
        <v>200.30199999999999</v>
      </c>
      <c r="G25" s="87">
        <v>40</v>
      </c>
      <c r="H25" s="85">
        <v>0</v>
      </c>
      <c r="I25" s="85">
        <v>0</v>
      </c>
      <c r="J25" s="87">
        <v>100</v>
      </c>
      <c r="K25" s="87">
        <v>300</v>
      </c>
      <c r="L25" s="85">
        <f t="shared" si="3"/>
        <v>1150</v>
      </c>
      <c r="M25" s="98"/>
      <c r="N25" s="85">
        <f>125</f>
        <v>125</v>
      </c>
      <c r="O25" s="87">
        <v>240</v>
      </c>
      <c r="P25" s="87">
        <v>0</v>
      </c>
      <c r="Q25" s="87">
        <f t="shared" si="4"/>
        <v>355</v>
      </c>
      <c r="R25" s="87">
        <f t="shared" si="5"/>
        <v>100</v>
      </c>
      <c r="S25" s="85">
        <f t="shared" si="6"/>
        <v>695</v>
      </c>
      <c r="T25" s="85">
        <f>50</f>
        <v>50</v>
      </c>
      <c r="U25" s="83"/>
      <c r="V25" s="83"/>
      <c r="W25" s="83"/>
      <c r="X25" s="83"/>
      <c r="Y25" s="83"/>
      <c r="Z25" s="83"/>
      <c r="AA25" s="83"/>
      <c r="AB25" s="83"/>
      <c r="AC25" s="83"/>
      <c r="AD25" s="83"/>
    </row>
    <row r="26" spans="1:30" ht="15" x14ac:dyDescent="0.2">
      <c r="A26" s="16">
        <v>41334</v>
      </c>
      <c r="B26" s="96">
        <v>31</v>
      </c>
      <c r="C26" s="85">
        <f>122.58</f>
        <v>122.58</v>
      </c>
      <c r="D26" s="85">
        <f>297.941</f>
        <v>297.94099999999997</v>
      </c>
      <c r="E26" s="92">
        <f>89.177</f>
        <v>89.177000000000007</v>
      </c>
      <c r="F26" s="85">
        <f>240.302-40</f>
        <v>200.30199999999999</v>
      </c>
      <c r="G26" s="87">
        <v>40</v>
      </c>
      <c r="H26" s="85">
        <v>0</v>
      </c>
      <c r="I26" s="85">
        <v>0</v>
      </c>
      <c r="J26" s="87">
        <v>100</v>
      </c>
      <c r="K26" s="87">
        <v>300</v>
      </c>
      <c r="L26" s="85">
        <f t="shared" si="3"/>
        <v>1150</v>
      </c>
      <c r="M26" s="98"/>
      <c r="N26" s="85">
        <f>125</f>
        <v>125</v>
      </c>
      <c r="O26" s="87">
        <v>240</v>
      </c>
      <c r="P26" s="87">
        <v>0</v>
      </c>
      <c r="Q26" s="87">
        <f t="shared" si="4"/>
        <v>355</v>
      </c>
      <c r="R26" s="87">
        <f t="shared" si="5"/>
        <v>100</v>
      </c>
      <c r="S26" s="85">
        <f t="shared" si="6"/>
        <v>695</v>
      </c>
      <c r="T26" s="85">
        <f>50</f>
        <v>50</v>
      </c>
      <c r="U26" s="83"/>
      <c r="V26" s="83"/>
      <c r="W26" s="83"/>
      <c r="X26" s="83"/>
      <c r="Y26" s="83"/>
      <c r="Z26" s="83"/>
      <c r="AA26" s="83"/>
      <c r="AB26" s="83"/>
      <c r="AC26" s="83"/>
      <c r="AD26" s="83"/>
    </row>
    <row r="27" spans="1:30" ht="15" x14ac:dyDescent="0.2">
      <c r="A27" s="16">
        <v>41365</v>
      </c>
      <c r="B27" s="96">
        <v>30</v>
      </c>
      <c r="C27" s="85">
        <f>141.293</f>
        <v>141.29300000000001</v>
      </c>
      <c r="D27" s="85">
        <f>267.993</f>
        <v>267.99299999999999</v>
      </c>
      <c r="E27" s="92">
        <f>115.016</f>
        <v>115.01600000000001</v>
      </c>
      <c r="F27" s="85">
        <f>314.698-40-25</f>
        <v>249.69799999999998</v>
      </c>
      <c r="G27" s="87">
        <v>40</v>
      </c>
      <c r="H27" s="85">
        <v>25</v>
      </c>
      <c r="I27" s="85">
        <v>0</v>
      </c>
      <c r="J27" s="87">
        <v>100</v>
      </c>
      <c r="K27" s="87">
        <v>300</v>
      </c>
      <c r="L27" s="85">
        <f t="shared" si="3"/>
        <v>1239</v>
      </c>
      <c r="M27" s="98"/>
      <c r="N27" s="85">
        <f>125</f>
        <v>125</v>
      </c>
      <c r="O27" s="87">
        <v>240</v>
      </c>
      <c r="P27" s="87">
        <f t="shared" ref="P27:P33" si="7">145-H27</f>
        <v>120</v>
      </c>
      <c r="Q27" s="87">
        <f t="shared" si="4"/>
        <v>235</v>
      </c>
      <c r="R27" s="87">
        <f t="shared" si="5"/>
        <v>100</v>
      </c>
      <c r="S27" s="85">
        <f t="shared" si="6"/>
        <v>695</v>
      </c>
      <c r="T27" s="85">
        <f>50</f>
        <v>50</v>
      </c>
      <c r="U27" s="83"/>
      <c r="V27" s="83"/>
      <c r="W27" s="83"/>
      <c r="X27" s="83"/>
      <c r="Y27" s="83"/>
      <c r="Z27" s="83"/>
      <c r="AA27" s="83"/>
      <c r="AB27" s="83"/>
      <c r="AC27" s="83"/>
      <c r="AD27" s="83"/>
    </row>
    <row r="28" spans="1:30" ht="15" x14ac:dyDescent="0.2">
      <c r="A28" s="16">
        <v>41395</v>
      </c>
      <c r="B28" s="96">
        <v>31</v>
      </c>
      <c r="C28" s="85">
        <f>194.205</f>
        <v>194.20500000000001</v>
      </c>
      <c r="D28" s="85">
        <f>267.466</f>
        <v>267.46600000000001</v>
      </c>
      <c r="E28" s="92">
        <f>133.845</f>
        <v>133.845</v>
      </c>
      <c r="F28" s="85">
        <f>278.484-40-25</f>
        <v>213.48399999999998</v>
      </c>
      <c r="G28" s="87">
        <v>40</v>
      </c>
      <c r="H28" s="85">
        <v>25</v>
      </c>
      <c r="I28" s="98">
        <v>30</v>
      </c>
      <c r="J28" s="87">
        <v>100</v>
      </c>
      <c r="K28" s="87">
        <v>300</v>
      </c>
      <c r="L28" s="85">
        <f t="shared" si="3"/>
        <v>1304</v>
      </c>
      <c r="M28" s="98"/>
      <c r="N28" s="85">
        <f>100</f>
        <v>100</v>
      </c>
      <c r="O28" s="87">
        <v>240</v>
      </c>
      <c r="P28" s="87">
        <f t="shared" si="7"/>
        <v>120</v>
      </c>
      <c r="Q28" s="87">
        <f t="shared" si="4"/>
        <v>235</v>
      </c>
      <c r="R28" s="87">
        <f t="shared" si="5"/>
        <v>100</v>
      </c>
      <c r="S28" s="85">
        <f t="shared" si="6"/>
        <v>695</v>
      </c>
      <c r="T28" s="85">
        <f>50</f>
        <v>50</v>
      </c>
      <c r="U28" s="83"/>
      <c r="V28" s="83"/>
      <c r="W28" s="83"/>
      <c r="X28" s="83"/>
      <c r="Y28" s="83"/>
      <c r="Z28" s="83"/>
      <c r="AA28" s="83"/>
      <c r="AB28" s="83"/>
      <c r="AC28" s="83"/>
      <c r="AD28" s="83"/>
    </row>
    <row r="29" spans="1:30" ht="15" x14ac:dyDescent="0.2">
      <c r="A29" s="16">
        <v>41426</v>
      </c>
      <c r="B29" s="96">
        <v>30</v>
      </c>
      <c r="C29" s="85">
        <f>194.205</f>
        <v>194.20500000000001</v>
      </c>
      <c r="D29" s="85">
        <f>267.466</f>
        <v>267.46600000000001</v>
      </c>
      <c r="E29" s="92">
        <f>133.845</f>
        <v>133.845</v>
      </c>
      <c r="F29" s="85">
        <f>278.484-40-25</f>
        <v>213.48399999999998</v>
      </c>
      <c r="G29" s="87">
        <v>40</v>
      </c>
      <c r="H29" s="85">
        <v>25</v>
      </c>
      <c r="I29" s="98">
        <v>30</v>
      </c>
      <c r="J29" s="87">
        <v>100</v>
      </c>
      <c r="K29" s="87">
        <v>300</v>
      </c>
      <c r="L29" s="85">
        <f t="shared" si="3"/>
        <v>1304</v>
      </c>
      <c r="M29" s="98"/>
      <c r="N29" s="85">
        <f>55</f>
        <v>55</v>
      </c>
      <c r="O29" s="87">
        <v>240</v>
      </c>
      <c r="P29" s="87">
        <f t="shared" si="7"/>
        <v>120</v>
      </c>
      <c r="Q29" s="87">
        <f t="shared" si="4"/>
        <v>235</v>
      </c>
      <c r="R29" s="87">
        <f t="shared" si="5"/>
        <v>100</v>
      </c>
      <c r="S29" s="85">
        <f t="shared" si="6"/>
        <v>695</v>
      </c>
      <c r="T29" s="85">
        <f>50</f>
        <v>50</v>
      </c>
      <c r="U29" s="83"/>
      <c r="V29" s="83"/>
      <c r="W29" s="83"/>
      <c r="X29" s="83"/>
      <c r="Y29" s="83"/>
      <c r="Z29" s="83"/>
      <c r="AA29" s="83"/>
      <c r="AB29" s="83"/>
      <c r="AC29" s="83"/>
      <c r="AD29" s="83"/>
    </row>
    <row r="30" spans="1:30" ht="15" x14ac:dyDescent="0.2">
      <c r="A30" s="16">
        <v>41456</v>
      </c>
      <c r="B30" s="96">
        <v>31</v>
      </c>
      <c r="C30" s="85">
        <f>194.205</f>
        <v>194.20500000000001</v>
      </c>
      <c r="D30" s="85">
        <f>267.466</f>
        <v>267.46600000000001</v>
      </c>
      <c r="E30" s="92">
        <f>133.845</f>
        <v>133.845</v>
      </c>
      <c r="F30" s="85">
        <f>278.484-40-25</f>
        <v>213.48399999999998</v>
      </c>
      <c r="G30" s="87">
        <v>40</v>
      </c>
      <c r="H30" s="85">
        <v>25</v>
      </c>
      <c r="I30" s="98">
        <v>30</v>
      </c>
      <c r="J30" s="87">
        <v>100</v>
      </c>
      <c r="K30" s="87">
        <v>300</v>
      </c>
      <c r="L30" s="85">
        <f t="shared" si="3"/>
        <v>1304</v>
      </c>
      <c r="M30" s="98"/>
      <c r="N30" s="85">
        <f>55</f>
        <v>55</v>
      </c>
      <c r="O30" s="87">
        <v>240</v>
      </c>
      <c r="P30" s="87">
        <f t="shared" si="7"/>
        <v>120</v>
      </c>
      <c r="Q30" s="87">
        <f t="shared" si="4"/>
        <v>235</v>
      </c>
      <c r="R30" s="87">
        <f t="shared" si="5"/>
        <v>100</v>
      </c>
      <c r="S30" s="85">
        <f t="shared" si="6"/>
        <v>695</v>
      </c>
      <c r="T30" s="85">
        <f>0</f>
        <v>0</v>
      </c>
      <c r="U30" s="83"/>
      <c r="V30" s="83"/>
      <c r="W30" s="83"/>
      <c r="X30" s="83"/>
      <c r="Y30" s="83"/>
      <c r="Z30" s="83"/>
      <c r="AA30" s="83"/>
      <c r="AB30" s="83"/>
      <c r="AC30" s="83"/>
      <c r="AD30" s="83"/>
    </row>
    <row r="31" spans="1:30" ht="15" x14ac:dyDescent="0.2">
      <c r="A31" s="16">
        <v>41487</v>
      </c>
      <c r="B31" s="96">
        <v>31</v>
      </c>
      <c r="C31" s="85">
        <f>194.205</f>
        <v>194.20500000000001</v>
      </c>
      <c r="D31" s="85">
        <f>267.466</f>
        <v>267.46600000000001</v>
      </c>
      <c r="E31" s="92">
        <f>133.845</f>
        <v>133.845</v>
      </c>
      <c r="F31" s="85">
        <f>278.484-40-25</f>
        <v>213.48399999999998</v>
      </c>
      <c r="G31" s="87">
        <v>40</v>
      </c>
      <c r="H31" s="85">
        <v>25</v>
      </c>
      <c r="I31" s="98">
        <v>30</v>
      </c>
      <c r="J31" s="87">
        <v>100</v>
      </c>
      <c r="K31" s="87">
        <v>300</v>
      </c>
      <c r="L31" s="85">
        <f t="shared" si="3"/>
        <v>1304</v>
      </c>
      <c r="M31" s="98"/>
      <c r="N31" s="85">
        <f>55</f>
        <v>55</v>
      </c>
      <c r="O31" s="87">
        <v>240</v>
      </c>
      <c r="P31" s="87">
        <f t="shared" si="7"/>
        <v>120</v>
      </c>
      <c r="Q31" s="87">
        <f t="shared" si="4"/>
        <v>235</v>
      </c>
      <c r="R31" s="87">
        <f t="shared" si="5"/>
        <v>100</v>
      </c>
      <c r="S31" s="85">
        <f t="shared" si="6"/>
        <v>695</v>
      </c>
      <c r="T31" s="85">
        <f>0</f>
        <v>0</v>
      </c>
      <c r="U31" s="83"/>
      <c r="V31" s="83"/>
      <c r="W31" s="83"/>
      <c r="X31" s="83"/>
      <c r="Y31" s="83"/>
      <c r="Z31" s="83"/>
      <c r="AA31" s="83"/>
      <c r="AB31" s="83"/>
      <c r="AC31" s="83"/>
      <c r="AD31" s="83"/>
    </row>
    <row r="32" spans="1:30" ht="15" x14ac:dyDescent="0.2">
      <c r="A32" s="16">
        <v>41518</v>
      </c>
      <c r="B32" s="96">
        <v>30</v>
      </c>
      <c r="C32" s="85">
        <f>194.205</f>
        <v>194.20500000000001</v>
      </c>
      <c r="D32" s="85">
        <f>267.466</f>
        <v>267.46600000000001</v>
      </c>
      <c r="E32" s="92">
        <f>133.845</f>
        <v>133.845</v>
      </c>
      <c r="F32" s="85">
        <f>278.484-40-25</f>
        <v>213.48399999999998</v>
      </c>
      <c r="G32" s="87">
        <v>40</v>
      </c>
      <c r="H32" s="85">
        <v>25</v>
      </c>
      <c r="I32" s="98">
        <v>30</v>
      </c>
      <c r="J32" s="87">
        <v>100</v>
      </c>
      <c r="K32" s="87">
        <v>300</v>
      </c>
      <c r="L32" s="85">
        <f t="shared" si="3"/>
        <v>1304</v>
      </c>
      <c r="M32" s="98"/>
      <c r="N32" s="85">
        <f>55</f>
        <v>55</v>
      </c>
      <c r="O32" s="87">
        <v>240</v>
      </c>
      <c r="P32" s="87">
        <f t="shared" si="7"/>
        <v>120</v>
      </c>
      <c r="Q32" s="87">
        <f t="shared" si="4"/>
        <v>235</v>
      </c>
      <c r="R32" s="87">
        <f t="shared" si="5"/>
        <v>100</v>
      </c>
      <c r="S32" s="85">
        <f t="shared" si="6"/>
        <v>695</v>
      </c>
      <c r="T32" s="85">
        <f>0</f>
        <v>0</v>
      </c>
      <c r="U32" s="83"/>
      <c r="V32" s="83"/>
      <c r="W32" s="83"/>
      <c r="X32" s="83"/>
      <c r="Y32" s="83"/>
      <c r="Z32" s="83"/>
      <c r="AA32" s="83"/>
      <c r="AB32" s="83"/>
      <c r="AC32" s="83"/>
      <c r="AD32" s="83"/>
    </row>
    <row r="33" spans="1:30" ht="15" x14ac:dyDescent="0.2">
      <c r="A33" s="16">
        <v>41548</v>
      </c>
      <c r="B33" s="96">
        <v>31</v>
      </c>
      <c r="C33" s="85">
        <f>131.881</f>
        <v>131.881</v>
      </c>
      <c r="D33" s="85">
        <f>277.167</f>
        <v>277.16699999999997</v>
      </c>
      <c r="E33" s="92">
        <f>79.08</f>
        <v>79.08</v>
      </c>
      <c r="F33" s="85">
        <f>350.872-40-25</f>
        <v>285.87200000000001</v>
      </c>
      <c r="G33" s="87">
        <v>40</v>
      </c>
      <c r="H33" s="85">
        <v>25</v>
      </c>
      <c r="I33" s="85">
        <v>0</v>
      </c>
      <c r="J33" s="87">
        <v>100</v>
      </c>
      <c r="K33" s="87">
        <v>300</v>
      </c>
      <c r="L33" s="85">
        <f t="shared" si="3"/>
        <v>1239</v>
      </c>
      <c r="M33" s="98"/>
      <c r="N33" s="85">
        <f>100</f>
        <v>100</v>
      </c>
      <c r="O33" s="87">
        <v>240</v>
      </c>
      <c r="P33" s="87">
        <f t="shared" si="7"/>
        <v>120</v>
      </c>
      <c r="Q33" s="87">
        <f t="shared" si="4"/>
        <v>235</v>
      </c>
      <c r="R33" s="87">
        <f t="shared" si="5"/>
        <v>100</v>
      </c>
      <c r="S33" s="85">
        <f t="shared" si="6"/>
        <v>695</v>
      </c>
      <c r="T33" s="85">
        <f>0</f>
        <v>0</v>
      </c>
      <c r="U33" s="83"/>
      <c r="V33" s="83"/>
      <c r="W33" s="83"/>
      <c r="X33" s="83"/>
      <c r="Y33" s="83"/>
      <c r="Z33" s="83"/>
      <c r="AA33" s="83"/>
      <c r="AB33" s="83"/>
      <c r="AC33" s="83"/>
      <c r="AD33" s="83"/>
    </row>
    <row r="34" spans="1:30" ht="15" x14ac:dyDescent="0.2">
      <c r="A34" s="16">
        <v>41579</v>
      </c>
      <c r="B34" s="96">
        <v>30</v>
      </c>
      <c r="C34" s="85">
        <f>122.58</f>
        <v>122.58</v>
      </c>
      <c r="D34" s="85">
        <f>297.941</f>
        <v>297.94099999999997</v>
      </c>
      <c r="E34" s="92">
        <f>89.177</f>
        <v>89.177000000000007</v>
      </c>
      <c r="F34" s="85">
        <f>240.302-40</f>
        <v>200.30199999999999</v>
      </c>
      <c r="G34" s="87">
        <v>40</v>
      </c>
      <c r="H34" s="85">
        <v>0</v>
      </c>
      <c r="I34" s="85">
        <v>0</v>
      </c>
      <c r="J34" s="87">
        <v>100</v>
      </c>
      <c r="K34" s="87">
        <v>300</v>
      </c>
      <c r="L34" s="85">
        <f t="shared" si="3"/>
        <v>1150</v>
      </c>
      <c r="M34" s="98"/>
      <c r="N34" s="85">
        <f>125</f>
        <v>125</v>
      </c>
      <c r="O34" s="87">
        <v>240</v>
      </c>
      <c r="P34" s="87">
        <v>0</v>
      </c>
      <c r="Q34" s="87">
        <f t="shared" si="4"/>
        <v>355</v>
      </c>
      <c r="R34" s="87">
        <f t="shared" si="5"/>
        <v>100</v>
      </c>
      <c r="S34" s="85">
        <f t="shared" si="6"/>
        <v>695</v>
      </c>
      <c r="T34" s="85">
        <f>50</f>
        <v>50</v>
      </c>
      <c r="U34" s="83"/>
      <c r="V34" s="83"/>
      <c r="W34" s="83"/>
      <c r="X34" s="83"/>
      <c r="Y34" s="83"/>
      <c r="Z34" s="83"/>
      <c r="AA34" s="83"/>
      <c r="AB34" s="83"/>
      <c r="AC34" s="83"/>
      <c r="AD34" s="83"/>
    </row>
    <row r="35" spans="1:30" ht="15" x14ac:dyDescent="0.2">
      <c r="A35" s="16">
        <v>41609</v>
      </c>
      <c r="B35" s="96">
        <v>31</v>
      </c>
      <c r="C35" s="85">
        <f>122.58</f>
        <v>122.58</v>
      </c>
      <c r="D35" s="85">
        <f>297.941</f>
        <v>297.94099999999997</v>
      </c>
      <c r="E35" s="92">
        <f>89.177</f>
        <v>89.177000000000007</v>
      </c>
      <c r="F35" s="85">
        <f>240.302-40</f>
        <v>200.30199999999999</v>
      </c>
      <c r="G35" s="87">
        <v>40</v>
      </c>
      <c r="H35" s="85">
        <v>0</v>
      </c>
      <c r="I35" s="85">
        <v>0</v>
      </c>
      <c r="J35" s="87">
        <v>100</v>
      </c>
      <c r="K35" s="87">
        <v>300</v>
      </c>
      <c r="L35" s="85">
        <f t="shared" si="3"/>
        <v>1150</v>
      </c>
      <c r="M35" s="98"/>
      <c r="N35" s="85">
        <f>125</f>
        <v>125</v>
      </c>
      <c r="O35" s="87">
        <v>240</v>
      </c>
      <c r="P35" s="87">
        <v>0</v>
      </c>
      <c r="Q35" s="87">
        <f t="shared" si="4"/>
        <v>355</v>
      </c>
      <c r="R35" s="87">
        <f t="shared" si="5"/>
        <v>100</v>
      </c>
      <c r="S35" s="85">
        <f t="shared" si="6"/>
        <v>695</v>
      </c>
      <c r="T35" s="85">
        <f>50</f>
        <v>50</v>
      </c>
      <c r="U35" s="83"/>
      <c r="V35" s="83"/>
      <c r="W35" s="83"/>
      <c r="X35" s="83"/>
      <c r="Y35" s="83"/>
      <c r="Z35" s="83"/>
      <c r="AA35" s="83"/>
      <c r="AB35" s="83"/>
      <c r="AC35" s="83"/>
      <c r="AD35" s="83"/>
    </row>
    <row r="36" spans="1:30" ht="15.75" x14ac:dyDescent="0.25">
      <c r="A36" s="16">
        <v>41640</v>
      </c>
      <c r="B36" s="96">
        <v>31</v>
      </c>
      <c r="C36" s="85">
        <f>122.58</f>
        <v>122.58</v>
      </c>
      <c r="D36" s="85">
        <f>297.941</f>
        <v>297.94099999999997</v>
      </c>
      <c r="E36" s="92">
        <f>89.177</f>
        <v>89.177000000000007</v>
      </c>
      <c r="F36" s="85">
        <f>240.302-40</f>
        <v>200.30199999999999</v>
      </c>
      <c r="G36" s="87">
        <v>40</v>
      </c>
      <c r="H36" s="85">
        <v>0</v>
      </c>
      <c r="I36" s="85">
        <v>0</v>
      </c>
      <c r="J36" s="87">
        <v>100</v>
      </c>
      <c r="K36" s="87">
        <v>300</v>
      </c>
      <c r="L36" s="85">
        <f t="shared" si="3"/>
        <v>1150</v>
      </c>
      <c r="M36" s="97"/>
      <c r="N36" s="85">
        <f>100</f>
        <v>100</v>
      </c>
      <c r="O36" s="87">
        <v>240</v>
      </c>
      <c r="P36" s="87">
        <v>0</v>
      </c>
      <c r="Q36" s="87">
        <f t="shared" si="4"/>
        <v>355</v>
      </c>
      <c r="R36" s="87">
        <f t="shared" si="5"/>
        <v>100</v>
      </c>
      <c r="S36" s="85">
        <f t="shared" si="6"/>
        <v>695</v>
      </c>
      <c r="T36" s="85">
        <f>50</f>
        <v>50</v>
      </c>
      <c r="U36" s="83"/>
      <c r="V36" s="83"/>
      <c r="W36" s="83"/>
      <c r="X36" s="83"/>
      <c r="Y36" s="83"/>
      <c r="Z36" s="83"/>
      <c r="AA36" s="83"/>
      <c r="AB36" s="83"/>
      <c r="AC36" s="83"/>
      <c r="AD36" s="83"/>
    </row>
    <row r="37" spans="1:30" ht="15.75" x14ac:dyDescent="0.25">
      <c r="A37" s="16">
        <v>41671</v>
      </c>
      <c r="B37" s="96">
        <v>28</v>
      </c>
      <c r="C37" s="85">
        <f>122.58</f>
        <v>122.58</v>
      </c>
      <c r="D37" s="85">
        <f>297.941</f>
        <v>297.94099999999997</v>
      </c>
      <c r="E37" s="92">
        <f>89.177</f>
        <v>89.177000000000007</v>
      </c>
      <c r="F37" s="85">
        <f>240.302-40</f>
        <v>200.30199999999999</v>
      </c>
      <c r="G37" s="87">
        <v>40</v>
      </c>
      <c r="H37" s="85">
        <v>0</v>
      </c>
      <c r="I37" s="85">
        <v>0</v>
      </c>
      <c r="J37" s="87">
        <v>100</v>
      </c>
      <c r="K37" s="87">
        <v>300</v>
      </c>
      <c r="L37" s="85">
        <f t="shared" si="3"/>
        <v>1150</v>
      </c>
      <c r="M37" s="97"/>
      <c r="N37" s="85">
        <f>100</f>
        <v>100</v>
      </c>
      <c r="O37" s="87">
        <v>240</v>
      </c>
      <c r="P37" s="87">
        <v>0</v>
      </c>
      <c r="Q37" s="87">
        <f t="shared" si="4"/>
        <v>355</v>
      </c>
      <c r="R37" s="87">
        <f t="shared" si="5"/>
        <v>100</v>
      </c>
      <c r="S37" s="85">
        <f t="shared" si="6"/>
        <v>695</v>
      </c>
      <c r="T37" s="85">
        <f>50</f>
        <v>50</v>
      </c>
      <c r="U37" s="83"/>
      <c r="V37" s="83"/>
      <c r="W37" s="83"/>
      <c r="X37" s="83"/>
      <c r="Y37" s="83"/>
      <c r="Z37" s="83"/>
      <c r="AA37" s="83"/>
      <c r="AB37" s="83"/>
      <c r="AC37" s="83"/>
      <c r="AD37" s="83"/>
    </row>
    <row r="38" spans="1:30" ht="15.75" x14ac:dyDescent="0.25">
      <c r="A38" s="16">
        <v>41699</v>
      </c>
      <c r="B38" s="96">
        <v>31</v>
      </c>
      <c r="C38" s="85">
        <f>122.58</f>
        <v>122.58</v>
      </c>
      <c r="D38" s="85">
        <f>297.941</f>
        <v>297.94099999999997</v>
      </c>
      <c r="E38" s="92">
        <f>89.177</f>
        <v>89.177000000000007</v>
      </c>
      <c r="F38" s="85">
        <f>240.302-40</f>
        <v>200.30199999999999</v>
      </c>
      <c r="G38" s="87">
        <v>40</v>
      </c>
      <c r="H38" s="85">
        <v>0</v>
      </c>
      <c r="I38" s="85">
        <v>0</v>
      </c>
      <c r="J38" s="87">
        <v>100</v>
      </c>
      <c r="K38" s="87">
        <v>300</v>
      </c>
      <c r="L38" s="85">
        <f t="shared" si="3"/>
        <v>1150</v>
      </c>
      <c r="M38" s="97"/>
      <c r="N38" s="85">
        <f>100</f>
        <v>100</v>
      </c>
      <c r="O38" s="87">
        <v>240</v>
      </c>
      <c r="P38" s="87">
        <v>0</v>
      </c>
      <c r="Q38" s="87">
        <f t="shared" si="4"/>
        <v>355</v>
      </c>
      <c r="R38" s="87">
        <f t="shared" si="5"/>
        <v>100</v>
      </c>
      <c r="S38" s="85">
        <f t="shared" si="6"/>
        <v>695</v>
      </c>
      <c r="T38" s="85">
        <f>50</f>
        <v>50</v>
      </c>
      <c r="U38" s="83"/>
      <c r="V38" s="83"/>
      <c r="W38" s="83"/>
      <c r="X38" s="83"/>
      <c r="Y38" s="83"/>
      <c r="Z38" s="83"/>
      <c r="AA38" s="83"/>
      <c r="AB38" s="83"/>
      <c r="AC38" s="83"/>
      <c r="AD38" s="83"/>
    </row>
    <row r="39" spans="1:30" ht="15.75" x14ac:dyDescent="0.25">
      <c r="A39" s="16">
        <v>41730</v>
      </c>
      <c r="B39" s="96">
        <v>30</v>
      </c>
      <c r="C39" s="85">
        <f>141.293</f>
        <v>141.29300000000001</v>
      </c>
      <c r="D39" s="85">
        <f>267.993</f>
        <v>267.99299999999999</v>
      </c>
      <c r="E39" s="92">
        <f>115.016</f>
        <v>115.01600000000001</v>
      </c>
      <c r="F39" s="85">
        <f>314.698-40-25</f>
        <v>249.69799999999998</v>
      </c>
      <c r="G39" s="87">
        <v>40</v>
      </c>
      <c r="H39" s="85">
        <v>25</v>
      </c>
      <c r="I39" s="85">
        <v>0</v>
      </c>
      <c r="J39" s="87">
        <v>100</v>
      </c>
      <c r="K39" s="87">
        <v>300</v>
      </c>
      <c r="L39" s="85">
        <f t="shared" si="3"/>
        <v>1239</v>
      </c>
      <c r="M39" s="97"/>
      <c r="N39" s="85">
        <f>100</f>
        <v>100</v>
      </c>
      <c r="O39" s="87">
        <v>240</v>
      </c>
      <c r="P39" s="87">
        <f t="shared" ref="P39:P45" si="8">145-H39</f>
        <v>120</v>
      </c>
      <c r="Q39" s="87">
        <f t="shared" si="4"/>
        <v>235</v>
      </c>
      <c r="R39" s="87">
        <f t="shared" si="5"/>
        <v>100</v>
      </c>
      <c r="S39" s="85">
        <f t="shared" si="6"/>
        <v>695</v>
      </c>
      <c r="T39" s="85">
        <f>50</f>
        <v>50</v>
      </c>
      <c r="U39" s="83"/>
      <c r="V39" s="83"/>
      <c r="W39" s="83"/>
      <c r="X39" s="83"/>
      <c r="Y39" s="83"/>
      <c r="Z39" s="83"/>
      <c r="AA39" s="83"/>
      <c r="AB39" s="83"/>
      <c r="AC39" s="83"/>
      <c r="AD39" s="83"/>
    </row>
    <row r="40" spans="1:30" ht="15.75" x14ac:dyDescent="0.25">
      <c r="A40" s="16">
        <v>41760</v>
      </c>
      <c r="B40" s="96">
        <v>31</v>
      </c>
      <c r="C40" s="85">
        <f>194.205</f>
        <v>194.20500000000001</v>
      </c>
      <c r="D40" s="85">
        <f>267.466</f>
        <v>267.46600000000001</v>
      </c>
      <c r="E40" s="92">
        <f>133.845</f>
        <v>133.845</v>
      </c>
      <c r="F40" s="85">
        <f>278.484-40-25</f>
        <v>213.48399999999998</v>
      </c>
      <c r="G40" s="87">
        <v>40</v>
      </c>
      <c r="H40" s="85">
        <v>25</v>
      </c>
      <c r="I40" s="98">
        <v>50</v>
      </c>
      <c r="J40" s="87">
        <v>100</v>
      </c>
      <c r="K40" s="87">
        <v>300</v>
      </c>
      <c r="L40" s="85">
        <f t="shared" si="3"/>
        <v>1324</v>
      </c>
      <c r="M40" s="97"/>
      <c r="N40" s="85">
        <f>75</f>
        <v>75</v>
      </c>
      <c r="O40" s="87">
        <v>240</v>
      </c>
      <c r="P40" s="87">
        <f t="shared" si="8"/>
        <v>120</v>
      </c>
      <c r="Q40" s="87">
        <f t="shared" si="4"/>
        <v>235</v>
      </c>
      <c r="R40" s="87">
        <f t="shared" si="5"/>
        <v>100</v>
      </c>
      <c r="S40" s="85">
        <f t="shared" si="6"/>
        <v>695</v>
      </c>
      <c r="T40" s="85">
        <f>50</f>
        <v>50</v>
      </c>
      <c r="U40" s="83"/>
      <c r="V40" s="83"/>
      <c r="W40" s="83"/>
      <c r="X40" s="83"/>
      <c r="Y40" s="83"/>
      <c r="Z40" s="83"/>
      <c r="AA40" s="83"/>
      <c r="AB40" s="83"/>
      <c r="AC40" s="83"/>
      <c r="AD40" s="83"/>
    </row>
    <row r="41" spans="1:30" ht="15.75" x14ac:dyDescent="0.25">
      <c r="A41" s="16">
        <v>41791</v>
      </c>
      <c r="B41" s="96">
        <v>30</v>
      </c>
      <c r="C41" s="85">
        <f>194.205</f>
        <v>194.20500000000001</v>
      </c>
      <c r="D41" s="85">
        <f>267.466</f>
        <v>267.46600000000001</v>
      </c>
      <c r="E41" s="92">
        <f>133.845</f>
        <v>133.845</v>
      </c>
      <c r="F41" s="85">
        <f>278.484-40-25</f>
        <v>213.48399999999998</v>
      </c>
      <c r="G41" s="87">
        <v>40</v>
      </c>
      <c r="H41" s="85">
        <v>25</v>
      </c>
      <c r="I41" s="98">
        <v>50</v>
      </c>
      <c r="J41" s="87">
        <v>100</v>
      </c>
      <c r="K41" s="87">
        <v>300</v>
      </c>
      <c r="L41" s="85">
        <f t="shared" si="3"/>
        <v>1324</v>
      </c>
      <c r="M41" s="97"/>
      <c r="N41" s="85">
        <f>30</f>
        <v>30</v>
      </c>
      <c r="O41" s="87">
        <v>240</v>
      </c>
      <c r="P41" s="87">
        <f t="shared" si="8"/>
        <v>120</v>
      </c>
      <c r="Q41" s="87">
        <f t="shared" si="4"/>
        <v>235</v>
      </c>
      <c r="R41" s="87">
        <f t="shared" si="5"/>
        <v>100</v>
      </c>
      <c r="S41" s="85">
        <f t="shared" si="6"/>
        <v>695</v>
      </c>
      <c r="T41" s="85">
        <f>50</f>
        <v>50</v>
      </c>
      <c r="U41" s="83"/>
      <c r="V41" s="83"/>
      <c r="W41" s="83"/>
      <c r="X41" s="83"/>
      <c r="Y41" s="83"/>
      <c r="Z41" s="83"/>
      <c r="AA41" s="83"/>
      <c r="AB41" s="83"/>
      <c r="AC41" s="83"/>
      <c r="AD41" s="83"/>
    </row>
    <row r="42" spans="1:30" ht="15.75" x14ac:dyDescent="0.25">
      <c r="A42" s="16">
        <v>41821</v>
      </c>
      <c r="B42" s="96">
        <v>31</v>
      </c>
      <c r="C42" s="85">
        <f>194.205</f>
        <v>194.20500000000001</v>
      </c>
      <c r="D42" s="85">
        <f>267.466</f>
        <v>267.46600000000001</v>
      </c>
      <c r="E42" s="92">
        <f>133.845</f>
        <v>133.845</v>
      </c>
      <c r="F42" s="85">
        <f>278.484-40-25</f>
        <v>213.48399999999998</v>
      </c>
      <c r="G42" s="87">
        <v>40</v>
      </c>
      <c r="H42" s="85">
        <v>25</v>
      </c>
      <c r="I42" s="98">
        <v>50</v>
      </c>
      <c r="J42" s="87">
        <v>100</v>
      </c>
      <c r="K42" s="87">
        <v>300</v>
      </c>
      <c r="L42" s="85">
        <f t="shared" si="3"/>
        <v>1324</v>
      </c>
      <c r="M42" s="97"/>
      <c r="N42" s="85">
        <f>30</f>
        <v>30</v>
      </c>
      <c r="O42" s="87">
        <v>240</v>
      </c>
      <c r="P42" s="87">
        <f t="shared" si="8"/>
        <v>120</v>
      </c>
      <c r="Q42" s="87">
        <f t="shared" si="4"/>
        <v>235</v>
      </c>
      <c r="R42" s="87">
        <f t="shared" si="5"/>
        <v>100</v>
      </c>
      <c r="S42" s="85">
        <f t="shared" si="6"/>
        <v>695</v>
      </c>
      <c r="T42" s="85">
        <f>0</f>
        <v>0</v>
      </c>
      <c r="U42" s="83"/>
      <c r="V42" s="83"/>
      <c r="W42" s="83"/>
      <c r="X42" s="83"/>
      <c r="Y42" s="83"/>
      <c r="Z42" s="83"/>
      <c r="AA42" s="83"/>
      <c r="AB42" s="83"/>
      <c r="AC42" s="83"/>
      <c r="AD42" s="83"/>
    </row>
    <row r="43" spans="1:30" ht="15.75" x14ac:dyDescent="0.25">
      <c r="A43" s="16">
        <v>41852</v>
      </c>
      <c r="B43" s="96">
        <v>31</v>
      </c>
      <c r="C43" s="85">
        <f>194.205</f>
        <v>194.20500000000001</v>
      </c>
      <c r="D43" s="85">
        <f>267.466</f>
        <v>267.46600000000001</v>
      </c>
      <c r="E43" s="92">
        <f>133.845</f>
        <v>133.845</v>
      </c>
      <c r="F43" s="85">
        <f>278.484-40-25</f>
        <v>213.48399999999998</v>
      </c>
      <c r="G43" s="87">
        <v>40</v>
      </c>
      <c r="H43" s="85">
        <v>25</v>
      </c>
      <c r="I43" s="98">
        <v>50</v>
      </c>
      <c r="J43" s="87">
        <v>100</v>
      </c>
      <c r="K43" s="87">
        <v>300</v>
      </c>
      <c r="L43" s="85">
        <f t="shared" si="3"/>
        <v>1324</v>
      </c>
      <c r="M43" s="97"/>
      <c r="N43" s="85">
        <f>30</f>
        <v>30</v>
      </c>
      <c r="O43" s="87">
        <v>240</v>
      </c>
      <c r="P43" s="87">
        <f t="shared" si="8"/>
        <v>120</v>
      </c>
      <c r="Q43" s="87">
        <f t="shared" si="4"/>
        <v>235</v>
      </c>
      <c r="R43" s="87">
        <f t="shared" si="5"/>
        <v>100</v>
      </c>
      <c r="S43" s="85">
        <f t="shared" si="6"/>
        <v>695</v>
      </c>
      <c r="T43" s="85">
        <f>0</f>
        <v>0</v>
      </c>
      <c r="U43" s="83"/>
      <c r="V43" s="83"/>
      <c r="W43" s="83"/>
      <c r="X43" s="83"/>
      <c r="Y43" s="83"/>
      <c r="Z43" s="83"/>
      <c r="AA43" s="83"/>
      <c r="AB43" s="83"/>
      <c r="AC43" s="83"/>
      <c r="AD43" s="83"/>
    </row>
    <row r="44" spans="1:30" ht="15.75" x14ac:dyDescent="0.25">
      <c r="A44" s="16">
        <v>41883</v>
      </c>
      <c r="B44" s="96">
        <v>30</v>
      </c>
      <c r="C44" s="85">
        <f>194.205</f>
        <v>194.20500000000001</v>
      </c>
      <c r="D44" s="85">
        <f>267.466</f>
        <v>267.46600000000001</v>
      </c>
      <c r="E44" s="92">
        <f>133.845</f>
        <v>133.845</v>
      </c>
      <c r="F44" s="85">
        <f>278.484-40-25</f>
        <v>213.48399999999998</v>
      </c>
      <c r="G44" s="87">
        <v>40</v>
      </c>
      <c r="H44" s="85">
        <v>25</v>
      </c>
      <c r="I44" s="98">
        <v>50</v>
      </c>
      <c r="J44" s="87">
        <v>100</v>
      </c>
      <c r="K44" s="87">
        <v>300</v>
      </c>
      <c r="L44" s="85">
        <f t="shared" si="3"/>
        <v>1324</v>
      </c>
      <c r="M44" s="97"/>
      <c r="N44" s="85">
        <f>30</f>
        <v>30</v>
      </c>
      <c r="O44" s="87">
        <v>240</v>
      </c>
      <c r="P44" s="87">
        <f t="shared" si="8"/>
        <v>120</v>
      </c>
      <c r="Q44" s="87">
        <f t="shared" si="4"/>
        <v>235</v>
      </c>
      <c r="R44" s="87">
        <f t="shared" si="5"/>
        <v>100</v>
      </c>
      <c r="S44" s="85">
        <f t="shared" si="6"/>
        <v>695</v>
      </c>
      <c r="T44" s="85">
        <f>0</f>
        <v>0</v>
      </c>
      <c r="U44" s="83"/>
      <c r="V44" s="83"/>
      <c r="W44" s="83"/>
      <c r="X44" s="83"/>
      <c r="Y44" s="83"/>
      <c r="Z44" s="83"/>
      <c r="AA44" s="83"/>
      <c r="AB44" s="83"/>
      <c r="AC44" s="83"/>
      <c r="AD44" s="83"/>
    </row>
    <row r="45" spans="1:30" ht="15.75" x14ac:dyDescent="0.25">
      <c r="A45" s="16">
        <v>41913</v>
      </c>
      <c r="B45" s="96">
        <v>31</v>
      </c>
      <c r="C45" s="85">
        <f>131.881</f>
        <v>131.881</v>
      </c>
      <c r="D45" s="85">
        <f>277.167</f>
        <v>277.16699999999997</v>
      </c>
      <c r="E45" s="92">
        <f>79.08</f>
        <v>79.08</v>
      </c>
      <c r="F45" s="85">
        <f>350.872-40-25</f>
        <v>285.87200000000001</v>
      </c>
      <c r="G45" s="87">
        <v>40</v>
      </c>
      <c r="H45" s="85">
        <v>25</v>
      </c>
      <c r="I45" s="85">
        <v>0</v>
      </c>
      <c r="J45" s="87">
        <v>100</v>
      </c>
      <c r="K45" s="87">
        <v>300</v>
      </c>
      <c r="L45" s="85">
        <f t="shared" si="3"/>
        <v>1239</v>
      </c>
      <c r="M45" s="97"/>
      <c r="N45" s="85">
        <f>75</f>
        <v>75</v>
      </c>
      <c r="O45" s="87">
        <v>240</v>
      </c>
      <c r="P45" s="87">
        <f t="shared" si="8"/>
        <v>120</v>
      </c>
      <c r="Q45" s="87">
        <f t="shared" si="4"/>
        <v>235</v>
      </c>
      <c r="R45" s="87">
        <f t="shared" si="5"/>
        <v>100</v>
      </c>
      <c r="S45" s="85">
        <f t="shared" si="6"/>
        <v>695</v>
      </c>
      <c r="T45" s="85">
        <f>0</f>
        <v>0</v>
      </c>
      <c r="U45" s="83"/>
      <c r="V45" s="83"/>
      <c r="W45" s="83"/>
      <c r="X45" s="83"/>
      <c r="Y45" s="83"/>
      <c r="Z45" s="83"/>
      <c r="AA45" s="83"/>
      <c r="AB45" s="83"/>
      <c r="AC45" s="83"/>
      <c r="AD45" s="83"/>
    </row>
    <row r="46" spans="1:30" ht="15.75" x14ac:dyDescent="0.25">
      <c r="A46" s="16">
        <v>41944</v>
      </c>
      <c r="B46" s="96">
        <v>30</v>
      </c>
      <c r="C46" s="85">
        <f>122.58</f>
        <v>122.58</v>
      </c>
      <c r="D46" s="85">
        <f>297.941</f>
        <v>297.94099999999997</v>
      </c>
      <c r="E46" s="92">
        <f>89.177</f>
        <v>89.177000000000007</v>
      </c>
      <c r="F46" s="85">
        <f>240.302-40</f>
        <v>200.30199999999999</v>
      </c>
      <c r="G46" s="87">
        <v>40</v>
      </c>
      <c r="H46" s="85">
        <v>0</v>
      </c>
      <c r="I46" s="85">
        <v>0</v>
      </c>
      <c r="J46" s="87">
        <v>100</v>
      </c>
      <c r="K46" s="87">
        <v>300</v>
      </c>
      <c r="L46" s="85">
        <f t="shared" si="3"/>
        <v>1150</v>
      </c>
      <c r="M46" s="97"/>
      <c r="N46" s="85">
        <f>100</f>
        <v>100</v>
      </c>
      <c r="O46" s="87">
        <v>240</v>
      </c>
      <c r="P46" s="87">
        <v>0</v>
      </c>
      <c r="Q46" s="87">
        <f t="shared" si="4"/>
        <v>355</v>
      </c>
      <c r="R46" s="87">
        <f t="shared" si="5"/>
        <v>100</v>
      </c>
      <c r="S46" s="85">
        <f t="shared" si="6"/>
        <v>695</v>
      </c>
      <c r="T46" s="85">
        <f>50</f>
        <v>50</v>
      </c>
      <c r="U46" s="83"/>
      <c r="V46" s="83"/>
      <c r="W46" s="83"/>
      <c r="X46" s="83"/>
      <c r="Y46" s="83"/>
      <c r="Z46" s="83"/>
      <c r="AA46" s="83"/>
      <c r="AB46" s="83"/>
      <c r="AC46" s="83"/>
      <c r="AD46" s="83"/>
    </row>
    <row r="47" spans="1:30" ht="15.75" x14ac:dyDescent="0.25">
      <c r="A47" s="16">
        <v>41974</v>
      </c>
      <c r="B47" s="96">
        <v>31</v>
      </c>
      <c r="C47" s="85">
        <f>122.58</f>
        <v>122.58</v>
      </c>
      <c r="D47" s="85">
        <f>297.941</f>
        <v>297.94099999999997</v>
      </c>
      <c r="E47" s="92">
        <f>89.177</f>
        <v>89.177000000000007</v>
      </c>
      <c r="F47" s="85">
        <f>240.302-40</f>
        <v>200.30199999999999</v>
      </c>
      <c r="G47" s="87">
        <v>40</v>
      </c>
      <c r="H47" s="85">
        <v>0</v>
      </c>
      <c r="I47" s="85">
        <v>0</v>
      </c>
      <c r="J47" s="87">
        <v>100</v>
      </c>
      <c r="K47" s="87">
        <v>300</v>
      </c>
      <c r="L47" s="85">
        <f t="shared" si="3"/>
        <v>1150</v>
      </c>
      <c r="M47" s="97"/>
      <c r="N47" s="85">
        <f>100</f>
        <v>100</v>
      </c>
      <c r="O47" s="87">
        <v>240</v>
      </c>
      <c r="P47" s="87">
        <v>0</v>
      </c>
      <c r="Q47" s="87">
        <f t="shared" si="4"/>
        <v>355</v>
      </c>
      <c r="R47" s="87">
        <f t="shared" si="5"/>
        <v>100</v>
      </c>
      <c r="S47" s="85">
        <f t="shared" si="6"/>
        <v>695</v>
      </c>
      <c r="T47" s="85">
        <f>50</f>
        <v>50</v>
      </c>
      <c r="U47" s="83"/>
      <c r="V47" s="83"/>
      <c r="W47" s="83"/>
      <c r="X47" s="83"/>
      <c r="Y47" s="83"/>
      <c r="Z47" s="83"/>
      <c r="AA47" s="83"/>
      <c r="AB47" s="83"/>
      <c r="AC47" s="83"/>
      <c r="AD47" s="83"/>
    </row>
    <row r="48" spans="1:30" ht="15.75" x14ac:dyDescent="0.25">
      <c r="A48" s="16">
        <v>42005</v>
      </c>
      <c r="B48" s="96">
        <v>31</v>
      </c>
      <c r="C48" s="85">
        <f>122.58</f>
        <v>122.58</v>
      </c>
      <c r="D48" s="85">
        <f>297.941</f>
        <v>297.94099999999997</v>
      </c>
      <c r="E48" s="92">
        <f>89.177</f>
        <v>89.177000000000007</v>
      </c>
      <c r="F48" s="85">
        <f>240.302-40</f>
        <v>200.30199999999999</v>
      </c>
      <c r="G48" s="87">
        <v>40</v>
      </c>
      <c r="H48" s="85">
        <v>0</v>
      </c>
      <c r="I48" s="85">
        <v>0</v>
      </c>
      <c r="J48" s="87">
        <v>100</v>
      </c>
      <c r="K48" s="87">
        <v>300</v>
      </c>
      <c r="L48" s="85">
        <f t="shared" si="3"/>
        <v>1150</v>
      </c>
      <c r="M48" s="97"/>
      <c r="N48" s="85">
        <f>100</f>
        <v>100</v>
      </c>
      <c r="O48" s="87">
        <v>240</v>
      </c>
      <c r="P48" s="87">
        <v>0</v>
      </c>
      <c r="Q48" s="87">
        <f t="shared" si="4"/>
        <v>355</v>
      </c>
      <c r="R48" s="87">
        <f t="shared" si="5"/>
        <v>100</v>
      </c>
      <c r="S48" s="85">
        <f t="shared" si="6"/>
        <v>695</v>
      </c>
      <c r="T48" s="85">
        <f>50</f>
        <v>50</v>
      </c>
      <c r="U48" s="83"/>
      <c r="V48" s="83"/>
      <c r="W48" s="83"/>
      <c r="X48" s="83"/>
      <c r="Y48" s="83"/>
      <c r="Z48" s="83"/>
      <c r="AA48" s="83"/>
      <c r="AB48" s="83"/>
      <c r="AC48" s="83"/>
      <c r="AD48" s="83"/>
    </row>
    <row r="49" spans="1:30" ht="15.75" x14ac:dyDescent="0.25">
      <c r="A49" s="16">
        <v>42036</v>
      </c>
      <c r="B49" s="96">
        <v>28</v>
      </c>
      <c r="C49" s="85">
        <f>122.58</f>
        <v>122.58</v>
      </c>
      <c r="D49" s="85">
        <f>297.941</f>
        <v>297.94099999999997</v>
      </c>
      <c r="E49" s="92">
        <f>89.177</f>
        <v>89.177000000000007</v>
      </c>
      <c r="F49" s="85">
        <f>240.302-40</f>
        <v>200.30199999999999</v>
      </c>
      <c r="G49" s="87">
        <v>40</v>
      </c>
      <c r="H49" s="85">
        <v>0</v>
      </c>
      <c r="I49" s="85">
        <v>0</v>
      </c>
      <c r="J49" s="87">
        <v>100</v>
      </c>
      <c r="K49" s="87">
        <v>300</v>
      </c>
      <c r="L49" s="85">
        <f t="shared" si="3"/>
        <v>1150</v>
      </c>
      <c r="M49" s="97"/>
      <c r="N49" s="85">
        <f>100</f>
        <v>100</v>
      </c>
      <c r="O49" s="87">
        <v>240</v>
      </c>
      <c r="P49" s="87">
        <v>0</v>
      </c>
      <c r="Q49" s="87">
        <f t="shared" si="4"/>
        <v>355</v>
      </c>
      <c r="R49" s="87">
        <f t="shared" si="5"/>
        <v>100</v>
      </c>
      <c r="S49" s="85">
        <f t="shared" si="6"/>
        <v>695</v>
      </c>
      <c r="T49" s="85">
        <f>50</f>
        <v>50</v>
      </c>
      <c r="U49" s="83"/>
      <c r="V49" s="83"/>
      <c r="W49" s="83"/>
      <c r="X49" s="83"/>
      <c r="Y49" s="83"/>
      <c r="Z49" s="83"/>
      <c r="AA49" s="83"/>
      <c r="AB49" s="83"/>
      <c r="AC49" s="83"/>
      <c r="AD49" s="83"/>
    </row>
    <row r="50" spans="1:30" ht="15.75" x14ac:dyDescent="0.25">
      <c r="A50" s="16">
        <v>42064</v>
      </c>
      <c r="B50" s="96">
        <v>31</v>
      </c>
      <c r="C50" s="85">
        <f>122.58</f>
        <v>122.58</v>
      </c>
      <c r="D50" s="85">
        <f>297.941</f>
        <v>297.94099999999997</v>
      </c>
      <c r="E50" s="92">
        <f>89.177</f>
        <v>89.177000000000007</v>
      </c>
      <c r="F50" s="85">
        <f>240.302-40</f>
        <v>200.30199999999999</v>
      </c>
      <c r="G50" s="87">
        <v>40</v>
      </c>
      <c r="H50" s="85">
        <v>0</v>
      </c>
      <c r="I50" s="85">
        <v>0</v>
      </c>
      <c r="J50" s="87">
        <v>100</v>
      </c>
      <c r="K50" s="87">
        <v>300</v>
      </c>
      <c r="L50" s="85">
        <f t="shared" si="3"/>
        <v>1150</v>
      </c>
      <c r="M50" s="97"/>
      <c r="N50" s="85">
        <f>100</f>
        <v>100</v>
      </c>
      <c r="O50" s="87">
        <v>240</v>
      </c>
      <c r="P50" s="87">
        <v>0</v>
      </c>
      <c r="Q50" s="87">
        <f t="shared" si="4"/>
        <v>355</v>
      </c>
      <c r="R50" s="87">
        <f t="shared" si="5"/>
        <v>100</v>
      </c>
      <c r="S50" s="85">
        <f t="shared" si="6"/>
        <v>695</v>
      </c>
      <c r="T50" s="85">
        <f>50</f>
        <v>50</v>
      </c>
      <c r="U50" s="83"/>
      <c r="V50" s="83"/>
      <c r="W50" s="83"/>
      <c r="X50" s="83"/>
      <c r="Y50" s="83"/>
      <c r="Z50" s="83"/>
      <c r="AA50" s="83"/>
      <c r="AB50" s="83"/>
      <c r="AC50" s="83"/>
      <c r="AD50" s="83"/>
    </row>
    <row r="51" spans="1:30" ht="15.75" x14ac:dyDescent="0.25">
      <c r="A51" s="16">
        <v>42095</v>
      </c>
      <c r="B51" s="96">
        <v>30</v>
      </c>
      <c r="C51" s="85">
        <f>141.293</f>
        <v>141.29300000000001</v>
      </c>
      <c r="D51" s="85">
        <f>267.993</f>
        <v>267.99299999999999</v>
      </c>
      <c r="E51" s="92">
        <f>115.016</f>
        <v>115.01600000000001</v>
      </c>
      <c r="F51" s="85">
        <f>314.698-40-25-60</f>
        <v>189.69799999999998</v>
      </c>
      <c r="G51" s="87">
        <v>40</v>
      </c>
      <c r="H51" s="85">
        <f t="shared" ref="H51:H57" si="9">25+60</f>
        <v>85</v>
      </c>
      <c r="I51" s="85">
        <v>0</v>
      </c>
      <c r="J51" s="87">
        <v>100</v>
      </c>
      <c r="K51" s="87">
        <v>300</v>
      </c>
      <c r="L51" s="85">
        <f t="shared" si="3"/>
        <v>1239</v>
      </c>
      <c r="M51" s="97"/>
      <c r="N51" s="85">
        <f>100</f>
        <v>100</v>
      </c>
      <c r="O51" s="87">
        <v>240</v>
      </c>
      <c r="P51" s="87">
        <f t="shared" ref="P51:P57" si="10">120+40</f>
        <v>160</v>
      </c>
      <c r="Q51" s="87">
        <f t="shared" si="4"/>
        <v>195</v>
      </c>
      <c r="R51" s="87">
        <f t="shared" si="5"/>
        <v>100</v>
      </c>
      <c r="S51" s="85">
        <f t="shared" si="6"/>
        <v>695</v>
      </c>
      <c r="T51" s="85">
        <f>50</f>
        <v>50</v>
      </c>
      <c r="U51" s="83"/>
      <c r="V51" s="83"/>
      <c r="W51" s="83"/>
      <c r="X51" s="83"/>
      <c r="Y51" s="83"/>
      <c r="Z51" s="83"/>
      <c r="AA51" s="83"/>
      <c r="AB51" s="83"/>
      <c r="AC51" s="83"/>
      <c r="AD51" s="83"/>
    </row>
    <row r="52" spans="1:30" ht="15.75" x14ac:dyDescent="0.25">
      <c r="A52" s="16">
        <v>42125</v>
      </c>
      <c r="B52" s="96">
        <v>31</v>
      </c>
      <c r="C52" s="85">
        <f>194.205</f>
        <v>194.20500000000001</v>
      </c>
      <c r="D52" s="85">
        <f>267.466</f>
        <v>267.46600000000001</v>
      </c>
      <c r="E52" s="92">
        <f>133.845</f>
        <v>133.845</v>
      </c>
      <c r="F52" s="85">
        <f>278.484-40-25-60</f>
        <v>153.48399999999998</v>
      </c>
      <c r="G52" s="87">
        <v>40</v>
      </c>
      <c r="H52" s="85">
        <f t="shared" si="9"/>
        <v>85</v>
      </c>
      <c r="I52" s="98">
        <v>50</v>
      </c>
      <c r="J52" s="87">
        <v>100</v>
      </c>
      <c r="K52" s="87">
        <v>300</v>
      </c>
      <c r="L52" s="85">
        <f t="shared" si="3"/>
        <v>1324</v>
      </c>
      <c r="M52" s="97"/>
      <c r="N52" s="85">
        <f>75</f>
        <v>75</v>
      </c>
      <c r="O52" s="87">
        <v>240</v>
      </c>
      <c r="P52" s="87">
        <f t="shared" si="10"/>
        <v>160</v>
      </c>
      <c r="Q52" s="87">
        <f t="shared" si="4"/>
        <v>195</v>
      </c>
      <c r="R52" s="87">
        <f t="shared" si="5"/>
        <v>100</v>
      </c>
      <c r="S52" s="85">
        <f t="shared" si="6"/>
        <v>695</v>
      </c>
      <c r="T52" s="85">
        <f>50</f>
        <v>50</v>
      </c>
      <c r="U52" s="83"/>
      <c r="V52" s="83"/>
      <c r="W52" s="83"/>
      <c r="X52" s="83"/>
      <c r="Y52" s="83"/>
      <c r="Z52" s="83"/>
      <c r="AA52" s="83"/>
      <c r="AB52" s="83"/>
      <c r="AC52" s="83"/>
      <c r="AD52" s="83"/>
    </row>
    <row r="53" spans="1:30" ht="15.75" x14ac:dyDescent="0.25">
      <c r="A53" s="16">
        <v>42156</v>
      </c>
      <c r="B53" s="96">
        <v>30</v>
      </c>
      <c r="C53" s="85">
        <f>194.205</f>
        <v>194.20500000000001</v>
      </c>
      <c r="D53" s="85">
        <f>267.466</f>
        <v>267.46600000000001</v>
      </c>
      <c r="E53" s="92">
        <f>133.845</f>
        <v>133.845</v>
      </c>
      <c r="F53" s="85">
        <f>278.484-40-25-60</f>
        <v>153.48399999999998</v>
      </c>
      <c r="G53" s="87">
        <v>40</v>
      </c>
      <c r="H53" s="85">
        <f t="shared" si="9"/>
        <v>85</v>
      </c>
      <c r="I53" s="98">
        <v>50</v>
      </c>
      <c r="J53" s="87">
        <v>100</v>
      </c>
      <c r="K53" s="87">
        <v>300</v>
      </c>
      <c r="L53" s="85">
        <f t="shared" si="3"/>
        <v>1324</v>
      </c>
      <c r="M53" s="97"/>
      <c r="N53" s="85">
        <f>30</f>
        <v>30</v>
      </c>
      <c r="O53" s="87">
        <v>240</v>
      </c>
      <c r="P53" s="87">
        <f t="shared" si="10"/>
        <v>160</v>
      </c>
      <c r="Q53" s="87">
        <f t="shared" si="4"/>
        <v>195</v>
      </c>
      <c r="R53" s="87">
        <f t="shared" si="5"/>
        <v>100</v>
      </c>
      <c r="S53" s="85">
        <f t="shared" si="6"/>
        <v>695</v>
      </c>
      <c r="T53" s="85">
        <f>50</f>
        <v>50</v>
      </c>
      <c r="U53" s="83"/>
      <c r="V53" s="83"/>
      <c r="W53" s="83"/>
      <c r="X53" s="83"/>
      <c r="Y53" s="83"/>
      <c r="Z53" s="83"/>
      <c r="AA53" s="83"/>
      <c r="AB53" s="83"/>
      <c r="AC53" s="83"/>
      <c r="AD53" s="83"/>
    </row>
    <row r="54" spans="1:30" ht="15.75" x14ac:dyDescent="0.25">
      <c r="A54" s="16">
        <v>42186</v>
      </c>
      <c r="B54" s="96">
        <v>31</v>
      </c>
      <c r="C54" s="85">
        <f>194.205</f>
        <v>194.20500000000001</v>
      </c>
      <c r="D54" s="85">
        <f>267.466</f>
        <v>267.46600000000001</v>
      </c>
      <c r="E54" s="92">
        <f>133.845</f>
        <v>133.845</v>
      </c>
      <c r="F54" s="85">
        <f>278.484-40-25-60</f>
        <v>153.48399999999998</v>
      </c>
      <c r="G54" s="87">
        <v>40</v>
      </c>
      <c r="H54" s="85">
        <f t="shared" si="9"/>
        <v>85</v>
      </c>
      <c r="I54" s="98">
        <v>50</v>
      </c>
      <c r="J54" s="87">
        <v>100</v>
      </c>
      <c r="K54" s="87">
        <v>300</v>
      </c>
      <c r="L54" s="85">
        <f t="shared" si="3"/>
        <v>1324</v>
      </c>
      <c r="M54" s="97"/>
      <c r="N54" s="85">
        <f>30</f>
        <v>30</v>
      </c>
      <c r="O54" s="87">
        <v>240</v>
      </c>
      <c r="P54" s="87">
        <f t="shared" si="10"/>
        <v>160</v>
      </c>
      <c r="Q54" s="87">
        <f t="shared" si="4"/>
        <v>195</v>
      </c>
      <c r="R54" s="87">
        <f t="shared" si="5"/>
        <v>100</v>
      </c>
      <c r="S54" s="85">
        <f t="shared" si="6"/>
        <v>695</v>
      </c>
      <c r="T54" s="85">
        <f>0</f>
        <v>0</v>
      </c>
      <c r="U54" s="83"/>
      <c r="V54" s="83"/>
      <c r="W54" s="83"/>
      <c r="X54" s="83"/>
      <c r="Y54" s="83"/>
      <c r="Z54" s="83"/>
      <c r="AA54" s="83"/>
      <c r="AB54" s="83"/>
      <c r="AC54" s="83"/>
      <c r="AD54" s="83"/>
    </row>
    <row r="55" spans="1:30" ht="15.75" x14ac:dyDescent="0.25">
      <c r="A55" s="16">
        <v>42217</v>
      </c>
      <c r="B55" s="96">
        <v>31</v>
      </c>
      <c r="C55" s="85">
        <f>194.205</f>
        <v>194.20500000000001</v>
      </c>
      <c r="D55" s="85">
        <f>267.466</f>
        <v>267.46600000000001</v>
      </c>
      <c r="E55" s="92">
        <f>133.845</f>
        <v>133.845</v>
      </c>
      <c r="F55" s="85">
        <f>278.484-40-25-60</f>
        <v>153.48399999999998</v>
      </c>
      <c r="G55" s="87">
        <v>40</v>
      </c>
      <c r="H55" s="85">
        <f t="shared" si="9"/>
        <v>85</v>
      </c>
      <c r="I55" s="98">
        <v>50</v>
      </c>
      <c r="J55" s="87">
        <v>100</v>
      </c>
      <c r="K55" s="87">
        <v>300</v>
      </c>
      <c r="L55" s="85">
        <f t="shared" si="3"/>
        <v>1324</v>
      </c>
      <c r="M55" s="97"/>
      <c r="N55" s="85">
        <f>30</f>
        <v>30</v>
      </c>
      <c r="O55" s="87">
        <v>240</v>
      </c>
      <c r="P55" s="87">
        <f t="shared" si="10"/>
        <v>160</v>
      </c>
      <c r="Q55" s="87">
        <f t="shared" si="4"/>
        <v>195</v>
      </c>
      <c r="R55" s="87">
        <f t="shared" si="5"/>
        <v>100</v>
      </c>
      <c r="S55" s="85">
        <f t="shared" si="6"/>
        <v>695</v>
      </c>
      <c r="T55" s="85">
        <f>0</f>
        <v>0</v>
      </c>
      <c r="U55" s="83"/>
      <c r="V55" s="83"/>
      <c r="W55" s="83"/>
      <c r="X55" s="83"/>
      <c r="Y55" s="83"/>
      <c r="Z55" s="83"/>
      <c r="AA55" s="83"/>
      <c r="AB55" s="83"/>
      <c r="AC55" s="83"/>
      <c r="AD55" s="83"/>
    </row>
    <row r="56" spans="1:30" ht="15.75" x14ac:dyDescent="0.25">
      <c r="A56" s="16">
        <v>42248</v>
      </c>
      <c r="B56" s="96">
        <v>30</v>
      </c>
      <c r="C56" s="85">
        <f>194.205</f>
        <v>194.20500000000001</v>
      </c>
      <c r="D56" s="85">
        <f>267.466</f>
        <v>267.46600000000001</v>
      </c>
      <c r="E56" s="92">
        <f>133.845</f>
        <v>133.845</v>
      </c>
      <c r="F56" s="85">
        <f>278.484-40-25-60</f>
        <v>153.48399999999998</v>
      </c>
      <c r="G56" s="87">
        <v>40</v>
      </c>
      <c r="H56" s="85">
        <f t="shared" si="9"/>
        <v>85</v>
      </c>
      <c r="I56" s="98">
        <v>50</v>
      </c>
      <c r="J56" s="87">
        <v>100</v>
      </c>
      <c r="K56" s="87">
        <v>300</v>
      </c>
      <c r="L56" s="85">
        <f t="shared" si="3"/>
        <v>1324</v>
      </c>
      <c r="M56" s="97"/>
      <c r="N56" s="85">
        <f>30</f>
        <v>30</v>
      </c>
      <c r="O56" s="87">
        <v>240</v>
      </c>
      <c r="P56" s="87">
        <f t="shared" si="10"/>
        <v>160</v>
      </c>
      <c r="Q56" s="87">
        <f t="shared" si="4"/>
        <v>195</v>
      </c>
      <c r="R56" s="87">
        <f t="shared" si="5"/>
        <v>100</v>
      </c>
      <c r="S56" s="85">
        <f t="shared" si="6"/>
        <v>695</v>
      </c>
      <c r="T56" s="85">
        <f>0</f>
        <v>0</v>
      </c>
      <c r="U56" s="83"/>
      <c r="V56" s="83"/>
      <c r="W56" s="83"/>
      <c r="X56" s="83"/>
      <c r="Y56" s="83"/>
      <c r="Z56" s="83"/>
      <c r="AA56" s="83"/>
      <c r="AB56" s="83"/>
      <c r="AC56" s="83"/>
      <c r="AD56" s="83"/>
    </row>
    <row r="57" spans="1:30" ht="15.75" x14ac:dyDescent="0.25">
      <c r="A57" s="16">
        <v>42278</v>
      </c>
      <c r="B57" s="96">
        <v>31</v>
      </c>
      <c r="C57" s="85">
        <f>131.881</f>
        <v>131.881</v>
      </c>
      <c r="D57" s="85">
        <f>277.167</f>
        <v>277.16699999999997</v>
      </c>
      <c r="E57" s="92">
        <f>79.08</f>
        <v>79.08</v>
      </c>
      <c r="F57" s="85">
        <f>350.872-40-25-60</f>
        <v>225.87200000000001</v>
      </c>
      <c r="G57" s="87">
        <v>40</v>
      </c>
      <c r="H57" s="85">
        <f t="shared" si="9"/>
        <v>85</v>
      </c>
      <c r="I57" s="85">
        <v>0</v>
      </c>
      <c r="J57" s="87">
        <v>100</v>
      </c>
      <c r="K57" s="87">
        <v>300</v>
      </c>
      <c r="L57" s="85">
        <f t="shared" si="3"/>
        <v>1239</v>
      </c>
      <c r="M57" s="97"/>
      <c r="N57" s="85">
        <f>75</f>
        <v>75</v>
      </c>
      <c r="O57" s="87">
        <v>240</v>
      </c>
      <c r="P57" s="87">
        <f t="shared" si="10"/>
        <v>160</v>
      </c>
      <c r="Q57" s="87">
        <f t="shared" si="4"/>
        <v>195</v>
      </c>
      <c r="R57" s="87">
        <f t="shared" si="5"/>
        <v>100</v>
      </c>
      <c r="S57" s="85">
        <f t="shared" si="6"/>
        <v>695</v>
      </c>
      <c r="T57" s="85">
        <f>0</f>
        <v>0</v>
      </c>
      <c r="U57" s="83"/>
      <c r="V57" s="83"/>
      <c r="W57" s="83"/>
      <c r="X57" s="83"/>
      <c r="Y57" s="83"/>
      <c r="Z57" s="83"/>
      <c r="AA57" s="83"/>
      <c r="AB57" s="83"/>
      <c r="AC57" s="83"/>
      <c r="AD57" s="83"/>
    </row>
    <row r="58" spans="1:30" ht="15.75" x14ac:dyDescent="0.25">
      <c r="A58" s="16">
        <v>42309</v>
      </c>
      <c r="B58" s="96">
        <v>30</v>
      </c>
      <c r="C58" s="85">
        <f>122.58</f>
        <v>122.58</v>
      </c>
      <c r="D58" s="85">
        <f>297.941</f>
        <v>297.94099999999997</v>
      </c>
      <c r="E58" s="92">
        <f>89.177</f>
        <v>89.177000000000007</v>
      </c>
      <c r="F58" s="85">
        <f>240.302-40-60</f>
        <v>140.30199999999999</v>
      </c>
      <c r="G58" s="87">
        <v>40</v>
      </c>
      <c r="H58" s="85">
        <v>60</v>
      </c>
      <c r="I58" s="85">
        <v>0</v>
      </c>
      <c r="J58" s="87">
        <v>100</v>
      </c>
      <c r="K58" s="87">
        <v>300</v>
      </c>
      <c r="L58" s="85">
        <f t="shared" si="3"/>
        <v>1150</v>
      </c>
      <c r="M58" s="97"/>
      <c r="N58" s="85">
        <f>100</f>
        <v>100</v>
      </c>
      <c r="O58" s="87">
        <v>240</v>
      </c>
      <c r="P58" s="87">
        <v>40</v>
      </c>
      <c r="Q58" s="87">
        <f t="shared" si="4"/>
        <v>315</v>
      </c>
      <c r="R58" s="87">
        <f t="shared" si="5"/>
        <v>100</v>
      </c>
      <c r="S58" s="85">
        <f t="shared" si="6"/>
        <v>695</v>
      </c>
      <c r="T58" s="85">
        <f>50</f>
        <v>50</v>
      </c>
      <c r="U58" s="83"/>
      <c r="V58" s="83"/>
      <c r="W58" s="83"/>
      <c r="X58" s="83"/>
      <c r="Y58" s="83"/>
      <c r="Z58" s="83"/>
      <c r="AA58" s="83"/>
      <c r="AB58" s="83"/>
      <c r="AC58" s="83"/>
      <c r="AD58" s="83"/>
    </row>
    <row r="59" spans="1:30" ht="15.75" x14ac:dyDescent="0.25">
      <c r="A59" s="16">
        <v>42339</v>
      </c>
      <c r="B59" s="96">
        <v>31</v>
      </c>
      <c r="C59" s="85">
        <f>122.58</f>
        <v>122.58</v>
      </c>
      <c r="D59" s="85">
        <f>297.941</f>
        <v>297.94099999999997</v>
      </c>
      <c r="E59" s="92">
        <f>89.177</f>
        <v>89.177000000000007</v>
      </c>
      <c r="F59" s="85">
        <f>240.302-40-60</f>
        <v>140.30199999999999</v>
      </c>
      <c r="G59" s="87">
        <v>40</v>
      </c>
      <c r="H59" s="85">
        <v>60</v>
      </c>
      <c r="I59" s="85">
        <v>0</v>
      </c>
      <c r="J59" s="87">
        <v>100</v>
      </c>
      <c r="K59" s="87">
        <v>300</v>
      </c>
      <c r="L59" s="85">
        <f t="shared" si="3"/>
        <v>1150</v>
      </c>
      <c r="M59" s="97"/>
      <c r="N59" s="85">
        <f>100</f>
        <v>100</v>
      </c>
      <c r="O59" s="87">
        <v>240</v>
      </c>
      <c r="P59" s="87">
        <v>40</v>
      </c>
      <c r="Q59" s="87">
        <f t="shared" si="4"/>
        <v>315</v>
      </c>
      <c r="R59" s="87">
        <f t="shared" si="5"/>
        <v>100</v>
      </c>
      <c r="S59" s="85">
        <f t="shared" si="6"/>
        <v>695</v>
      </c>
      <c r="T59" s="85">
        <f>50</f>
        <v>50</v>
      </c>
      <c r="U59" s="83"/>
      <c r="V59" s="83"/>
      <c r="W59" s="83"/>
      <c r="X59" s="83"/>
      <c r="Y59" s="83"/>
      <c r="Z59" s="83"/>
      <c r="AA59" s="83"/>
      <c r="AB59" s="83"/>
      <c r="AC59" s="83"/>
      <c r="AD59" s="83"/>
    </row>
    <row r="60" spans="1:30" ht="15.75" x14ac:dyDescent="0.25">
      <c r="A60" s="16">
        <v>42370</v>
      </c>
      <c r="B60" s="96">
        <v>31</v>
      </c>
      <c r="C60" s="85">
        <f>122.58</f>
        <v>122.58</v>
      </c>
      <c r="D60" s="85">
        <f>297.941</f>
        <v>297.94099999999997</v>
      </c>
      <c r="E60" s="92">
        <f>89.177</f>
        <v>89.177000000000007</v>
      </c>
      <c r="F60" s="85">
        <f>240.302-40-60</f>
        <v>140.30199999999999</v>
      </c>
      <c r="G60" s="87">
        <v>40</v>
      </c>
      <c r="H60" s="85">
        <v>60</v>
      </c>
      <c r="I60" s="85">
        <v>0</v>
      </c>
      <c r="J60" s="87">
        <v>100</v>
      </c>
      <c r="K60" s="87">
        <v>300</v>
      </c>
      <c r="L60" s="85">
        <f t="shared" si="3"/>
        <v>1150</v>
      </c>
      <c r="M60" s="97"/>
      <c r="N60" s="85">
        <f>100</f>
        <v>100</v>
      </c>
      <c r="O60" s="87">
        <v>240</v>
      </c>
      <c r="P60" s="87">
        <v>40</v>
      </c>
      <c r="Q60" s="87">
        <f t="shared" si="4"/>
        <v>315</v>
      </c>
      <c r="R60" s="87">
        <f t="shared" si="5"/>
        <v>100</v>
      </c>
      <c r="S60" s="85">
        <f t="shared" si="6"/>
        <v>695</v>
      </c>
      <c r="T60" s="85">
        <f>50</f>
        <v>50</v>
      </c>
      <c r="U60" s="83"/>
      <c r="V60" s="83"/>
      <c r="W60" s="83"/>
      <c r="X60" s="83"/>
      <c r="Y60" s="83"/>
      <c r="Z60" s="83"/>
      <c r="AA60" s="83"/>
      <c r="AB60" s="83"/>
      <c r="AC60" s="83"/>
      <c r="AD60" s="83"/>
    </row>
    <row r="61" spans="1:30" ht="15.75" x14ac:dyDescent="0.25">
      <c r="A61" s="16">
        <v>42401</v>
      </c>
      <c r="B61" s="96">
        <v>29</v>
      </c>
      <c r="C61" s="85">
        <f>122.58</f>
        <v>122.58</v>
      </c>
      <c r="D61" s="85">
        <f>297.941</f>
        <v>297.94099999999997</v>
      </c>
      <c r="E61" s="92">
        <f>89.177</f>
        <v>89.177000000000007</v>
      </c>
      <c r="F61" s="85">
        <f>240.302-40-60</f>
        <v>140.30199999999999</v>
      </c>
      <c r="G61" s="87">
        <v>40</v>
      </c>
      <c r="H61" s="85">
        <v>60</v>
      </c>
      <c r="I61" s="85">
        <v>0</v>
      </c>
      <c r="J61" s="87">
        <v>100</v>
      </c>
      <c r="K61" s="87">
        <v>300</v>
      </c>
      <c r="L61" s="85">
        <f t="shared" si="3"/>
        <v>1150</v>
      </c>
      <c r="M61" s="97"/>
      <c r="N61" s="85">
        <f>100</f>
        <v>100</v>
      </c>
      <c r="O61" s="87">
        <v>240</v>
      </c>
      <c r="P61" s="87">
        <v>40</v>
      </c>
      <c r="Q61" s="87">
        <f t="shared" si="4"/>
        <v>315</v>
      </c>
      <c r="R61" s="87">
        <f t="shared" si="5"/>
        <v>100</v>
      </c>
      <c r="S61" s="85">
        <f t="shared" si="6"/>
        <v>695</v>
      </c>
      <c r="T61" s="85">
        <f>50</f>
        <v>50</v>
      </c>
      <c r="U61" s="83"/>
      <c r="V61" s="83"/>
      <c r="W61" s="83"/>
      <c r="X61" s="83"/>
      <c r="Y61" s="83"/>
      <c r="Z61" s="83"/>
      <c r="AA61" s="83"/>
      <c r="AB61" s="83"/>
      <c r="AC61" s="83"/>
      <c r="AD61" s="83"/>
    </row>
    <row r="62" spans="1:30" ht="15.75" x14ac:dyDescent="0.25">
      <c r="A62" s="16">
        <v>42430</v>
      </c>
      <c r="B62" s="96">
        <v>31</v>
      </c>
      <c r="C62" s="85">
        <f>122.58</f>
        <v>122.58</v>
      </c>
      <c r="D62" s="85">
        <f>297.941</f>
        <v>297.94099999999997</v>
      </c>
      <c r="E62" s="92">
        <f>89.177</f>
        <v>89.177000000000007</v>
      </c>
      <c r="F62" s="85">
        <f>240.302-40-60</f>
        <v>140.30199999999999</v>
      </c>
      <c r="G62" s="87">
        <v>40</v>
      </c>
      <c r="H62" s="85">
        <v>60</v>
      </c>
      <c r="I62" s="85">
        <v>0</v>
      </c>
      <c r="J62" s="87">
        <v>100</v>
      </c>
      <c r="K62" s="87">
        <v>300</v>
      </c>
      <c r="L62" s="85">
        <f t="shared" si="3"/>
        <v>1150</v>
      </c>
      <c r="M62" s="97"/>
      <c r="N62" s="85">
        <f>100</f>
        <v>100</v>
      </c>
      <c r="O62" s="87">
        <v>240</v>
      </c>
      <c r="P62" s="87">
        <v>40</v>
      </c>
      <c r="Q62" s="87">
        <f t="shared" si="4"/>
        <v>315</v>
      </c>
      <c r="R62" s="87">
        <f t="shared" si="5"/>
        <v>100</v>
      </c>
      <c r="S62" s="85">
        <f t="shared" si="6"/>
        <v>695</v>
      </c>
      <c r="T62" s="85">
        <f>50</f>
        <v>50</v>
      </c>
      <c r="U62" s="83"/>
      <c r="V62" s="83"/>
      <c r="W62" s="83"/>
      <c r="X62" s="83"/>
      <c r="Y62" s="83"/>
      <c r="Z62" s="83"/>
      <c r="AA62" s="83"/>
      <c r="AB62" s="83"/>
      <c r="AC62" s="83"/>
      <c r="AD62" s="83"/>
    </row>
    <row r="63" spans="1:30" ht="15.75" x14ac:dyDescent="0.25">
      <c r="A63" s="16">
        <v>42461</v>
      </c>
      <c r="B63" s="96">
        <v>30</v>
      </c>
      <c r="C63" s="85">
        <f>141.293</f>
        <v>141.29300000000001</v>
      </c>
      <c r="D63" s="85">
        <f>267.993</f>
        <v>267.99299999999999</v>
      </c>
      <c r="E63" s="92">
        <f>115.016</f>
        <v>115.01600000000001</v>
      </c>
      <c r="F63" s="85">
        <f>314.698-40-25-60</f>
        <v>189.69799999999998</v>
      </c>
      <c r="G63" s="87">
        <v>40</v>
      </c>
      <c r="H63" s="85">
        <f t="shared" ref="H63:H69" si="11">25+60</f>
        <v>85</v>
      </c>
      <c r="I63" s="85">
        <v>0</v>
      </c>
      <c r="J63" s="87">
        <v>100</v>
      </c>
      <c r="K63" s="87">
        <v>300</v>
      </c>
      <c r="L63" s="85">
        <f t="shared" si="3"/>
        <v>1239</v>
      </c>
      <c r="M63" s="97"/>
      <c r="N63" s="85">
        <f>100</f>
        <v>100</v>
      </c>
      <c r="O63" s="87">
        <v>240</v>
      </c>
      <c r="P63" s="87">
        <v>160</v>
      </c>
      <c r="Q63" s="87">
        <f t="shared" si="4"/>
        <v>195</v>
      </c>
      <c r="R63" s="87">
        <f t="shared" si="5"/>
        <v>100</v>
      </c>
      <c r="S63" s="85">
        <f t="shared" si="6"/>
        <v>695</v>
      </c>
      <c r="T63" s="85">
        <f>50</f>
        <v>50</v>
      </c>
      <c r="U63" s="83"/>
      <c r="V63" s="83"/>
      <c r="W63" s="83"/>
      <c r="X63" s="83"/>
      <c r="Y63" s="83"/>
      <c r="Z63" s="83"/>
      <c r="AA63" s="83"/>
      <c r="AB63" s="83"/>
      <c r="AC63" s="83"/>
      <c r="AD63" s="83"/>
    </row>
    <row r="64" spans="1:30" ht="15.75" x14ac:dyDescent="0.25">
      <c r="A64" s="16">
        <v>42491</v>
      </c>
      <c r="B64" s="96">
        <v>31</v>
      </c>
      <c r="C64" s="85">
        <f>194.205</f>
        <v>194.20500000000001</v>
      </c>
      <c r="D64" s="85">
        <f>267.466</f>
        <v>267.46600000000001</v>
      </c>
      <c r="E64" s="92">
        <f>133.845</f>
        <v>133.845</v>
      </c>
      <c r="F64" s="85">
        <f>278.484-40-25-60</f>
        <v>153.48399999999998</v>
      </c>
      <c r="G64" s="87">
        <v>40</v>
      </c>
      <c r="H64" s="85">
        <f t="shared" si="11"/>
        <v>85</v>
      </c>
      <c r="I64" s="85">
        <f t="shared" ref="I64:I127" si="12">400-J64-K64</f>
        <v>0</v>
      </c>
      <c r="J64" s="87">
        <v>100</v>
      </c>
      <c r="K64" s="87">
        <v>300</v>
      </c>
      <c r="L64" s="85">
        <f t="shared" si="3"/>
        <v>1274</v>
      </c>
      <c r="M64" s="97"/>
      <c r="N64" s="85">
        <f>75</f>
        <v>75</v>
      </c>
      <c r="O64" s="87">
        <v>240</v>
      </c>
      <c r="P64" s="87">
        <v>160</v>
      </c>
      <c r="Q64" s="87">
        <f t="shared" si="4"/>
        <v>195</v>
      </c>
      <c r="R64" s="87">
        <f t="shared" si="5"/>
        <v>100</v>
      </c>
      <c r="S64" s="85">
        <f t="shared" si="6"/>
        <v>695</v>
      </c>
      <c r="T64" s="85">
        <f>50</f>
        <v>50</v>
      </c>
      <c r="U64" s="83"/>
      <c r="V64" s="83"/>
      <c r="W64" s="83"/>
      <c r="X64" s="83"/>
      <c r="Y64" s="83"/>
      <c r="Z64" s="83"/>
      <c r="AA64" s="83"/>
      <c r="AB64" s="83"/>
      <c r="AC64" s="83"/>
      <c r="AD64" s="83"/>
    </row>
    <row r="65" spans="1:30" ht="15.75" x14ac:dyDescent="0.25">
      <c r="A65" s="16">
        <v>42522</v>
      </c>
      <c r="B65" s="96">
        <v>30</v>
      </c>
      <c r="C65" s="85">
        <f>194.205</f>
        <v>194.20500000000001</v>
      </c>
      <c r="D65" s="85">
        <f>267.466</f>
        <v>267.46600000000001</v>
      </c>
      <c r="E65" s="92">
        <f>133.845</f>
        <v>133.845</v>
      </c>
      <c r="F65" s="85">
        <f>278.484-40-25-60</f>
        <v>153.48399999999998</v>
      </c>
      <c r="G65" s="87">
        <v>40</v>
      </c>
      <c r="H65" s="85">
        <f t="shared" si="11"/>
        <v>85</v>
      </c>
      <c r="I65" s="85">
        <f t="shared" si="12"/>
        <v>0</v>
      </c>
      <c r="J65" s="87">
        <v>100</v>
      </c>
      <c r="K65" s="87">
        <v>300</v>
      </c>
      <c r="L65" s="85">
        <f t="shared" si="3"/>
        <v>1274</v>
      </c>
      <c r="M65" s="97"/>
      <c r="N65" s="85">
        <f>30</f>
        <v>30</v>
      </c>
      <c r="O65" s="87">
        <v>240</v>
      </c>
      <c r="P65" s="87">
        <v>160</v>
      </c>
      <c r="Q65" s="87">
        <f t="shared" si="4"/>
        <v>195</v>
      </c>
      <c r="R65" s="87">
        <f t="shared" si="5"/>
        <v>100</v>
      </c>
      <c r="S65" s="85">
        <f t="shared" si="6"/>
        <v>695</v>
      </c>
      <c r="T65" s="85">
        <f>50</f>
        <v>50</v>
      </c>
      <c r="U65" s="83"/>
      <c r="V65" s="83"/>
      <c r="W65" s="83"/>
      <c r="X65" s="83"/>
      <c r="Y65" s="83"/>
      <c r="Z65" s="83"/>
      <c r="AA65" s="83"/>
      <c r="AB65" s="83"/>
      <c r="AC65" s="83"/>
      <c r="AD65" s="83"/>
    </row>
    <row r="66" spans="1:30" ht="15.75" x14ac:dyDescent="0.25">
      <c r="A66" s="16">
        <v>42552</v>
      </c>
      <c r="B66" s="96">
        <v>31</v>
      </c>
      <c r="C66" s="85">
        <f>194.205</f>
        <v>194.20500000000001</v>
      </c>
      <c r="D66" s="85">
        <f>267.466</f>
        <v>267.46600000000001</v>
      </c>
      <c r="E66" s="92">
        <f>133.845</f>
        <v>133.845</v>
      </c>
      <c r="F66" s="85">
        <f>278.484-40-25-60</f>
        <v>153.48399999999998</v>
      </c>
      <c r="G66" s="87">
        <v>40</v>
      </c>
      <c r="H66" s="85">
        <f t="shared" si="11"/>
        <v>85</v>
      </c>
      <c r="I66" s="85">
        <f t="shared" si="12"/>
        <v>0</v>
      </c>
      <c r="J66" s="87">
        <v>100</v>
      </c>
      <c r="K66" s="87">
        <v>300</v>
      </c>
      <c r="L66" s="85">
        <f t="shared" si="3"/>
        <v>1274</v>
      </c>
      <c r="M66" s="97"/>
      <c r="N66" s="85">
        <f>30</f>
        <v>30</v>
      </c>
      <c r="O66" s="87">
        <v>240</v>
      </c>
      <c r="P66" s="87">
        <v>160</v>
      </c>
      <c r="Q66" s="87">
        <f t="shared" si="4"/>
        <v>195</v>
      </c>
      <c r="R66" s="87">
        <f t="shared" si="5"/>
        <v>100</v>
      </c>
      <c r="S66" s="85">
        <f t="shared" si="6"/>
        <v>695</v>
      </c>
      <c r="T66" s="85">
        <f>0</f>
        <v>0</v>
      </c>
      <c r="U66" s="83"/>
      <c r="V66" s="83"/>
      <c r="W66" s="83"/>
      <c r="X66" s="83"/>
      <c r="Y66" s="83"/>
      <c r="Z66" s="83"/>
      <c r="AA66" s="83"/>
      <c r="AB66" s="83"/>
      <c r="AC66" s="83"/>
      <c r="AD66" s="83"/>
    </row>
    <row r="67" spans="1:30" ht="15.75" x14ac:dyDescent="0.25">
      <c r="A67" s="16">
        <v>42583</v>
      </c>
      <c r="B67" s="96">
        <v>31</v>
      </c>
      <c r="C67" s="85">
        <f>194.205</f>
        <v>194.20500000000001</v>
      </c>
      <c r="D67" s="85">
        <f>267.466</f>
        <v>267.46600000000001</v>
      </c>
      <c r="E67" s="92">
        <f>133.845</f>
        <v>133.845</v>
      </c>
      <c r="F67" s="85">
        <f>278.484-40-25-60</f>
        <v>153.48399999999998</v>
      </c>
      <c r="G67" s="87">
        <v>40</v>
      </c>
      <c r="H67" s="85">
        <f t="shared" si="11"/>
        <v>85</v>
      </c>
      <c r="I67" s="85">
        <f t="shared" si="12"/>
        <v>0</v>
      </c>
      <c r="J67" s="87">
        <v>100</v>
      </c>
      <c r="K67" s="87">
        <v>300</v>
      </c>
      <c r="L67" s="85">
        <f t="shared" si="3"/>
        <v>1274</v>
      </c>
      <c r="M67" s="97"/>
      <c r="N67" s="85">
        <f>30</f>
        <v>30</v>
      </c>
      <c r="O67" s="87">
        <v>240</v>
      </c>
      <c r="P67" s="87">
        <v>160</v>
      </c>
      <c r="Q67" s="87">
        <f t="shared" si="4"/>
        <v>195</v>
      </c>
      <c r="R67" s="87">
        <f t="shared" si="5"/>
        <v>100</v>
      </c>
      <c r="S67" s="85">
        <f t="shared" si="6"/>
        <v>695</v>
      </c>
      <c r="T67" s="85">
        <f>0</f>
        <v>0</v>
      </c>
      <c r="U67" s="83"/>
      <c r="V67" s="83"/>
      <c r="W67" s="83"/>
      <c r="X67" s="83"/>
      <c r="Y67" s="83"/>
      <c r="Z67" s="83"/>
      <c r="AA67" s="83"/>
      <c r="AB67" s="83"/>
      <c r="AC67" s="83"/>
      <c r="AD67" s="83"/>
    </row>
    <row r="68" spans="1:30" ht="15.75" x14ac:dyDescent="0.25">
      <c r="A68" s="16">
        <v>42614</v>
      </c>
      <c r="B68" s="96">
        <v>30</v>
      </c>
      <c r="C68" s="85">
        <f>194.205</f>
        <v>194.20500000000001</v>
      </c>
      <c r="D68" s="85">
        <f>267.466</f>
        <v>267.46600000000001</v>
      </c>
      <c r="E68" s="92">
        <f>133.845</f>
        <v>133.845</v>
      </c>
      <c r="F68" s="85">
        <f>278.484-40-25-60</f>
        <v>153.48399999999998</v>
      </c>
      <c r="G68" s="87">
        <v>40</v>
      </c>
      <c r="H68" s="85">
        <f t="shared" si="11"/>
        <v>85</v>
      </c>
      <c r="I68" s="85">
        <f t="shared" si="12"/>
        <v>0</v>
      </c>
      <c r="J68" s="87">
        <v>100</v>
      </c>
      <c r="K68" s="87">
        <v>300</v>
      </c>
      <c r="L68" s="85">
        <f t="shared" si="3"/>
        <v>1274</v>
      </c>
      <c r="M68" s="97"/>
      <c r="N68" s="85">
        <f>30</f>
        <v>30</v>
      </c>
      <c r="O68" s="87">
        <v>240</v>
      </c>
      <c r="P68" s="87">
        <v>160</v>
      </c>
      <c r="Q68" s="87">
        <f t="shared" si="4"/>
        <v>195</v>
      </c>
      <c r="R68" s="87">
        <f t="shared" si="5"/>
        <v>100</v>
      </c>
      <c r="S68" s="85">
        <f t="shared" si="6"/>
        <v>695</v>
      </c>
      <c r="T68" s="85">
        <f>0</f>
        <v>0</v>
      </c>
      <c r="U68" s="83"/>
      <c r="V68" s="83"/>
      <c r="W68" s="83"/>
      <c r="X68" s="83"/>
      <c r="Y68" s="83"/>
      <c r="Z68" s="83"/>
      <c r="AA68" s="83"/>
      <c r="AB68" s="83"/>
      <c r="AC68" s="83"/>
      <c r="AD68" s="83"/>
    </row>
    <row r="69" spans="1:30" ht="15.75" x14ac:dyDescent="0.25">
      <c r="A69" s="16">
        <v>42644</v>
      </c>
      <c r="B69" s="96">
        <v>31</v>
      </c>
      <c r="C69" s="85">
        <f>131.881</f>
        <v>131.881</v>
      </c>
      <c r="D69" s="85">
        <f>277.167</f>
        <v>277.16699999999997</v>
      </c>
      <c r="E69" s="92">
        <f>79.08</f>
        <v>79.08</v>
      </c>
      <c r="F69" s="85">
        <f>350.872-40-25-60</f>
        <v>225.87200000000001</v>
      </c>
      <c r="G69" s="87">
        <v>40</v>
      </c>
      <c r="H69" s="85">
        <f t="shared" si="11"/>
        <v>85</v>
      </c>
      <c r="I69" s="85">
        <f t="shared" si="12"/>
        <v>0</v>
      </c>
      <c r="J69" s="87">
        <v>100</v>
      </c>
      <c r="K69" s="87">
        <v>300</v>
      </c>
      <c r="L69" s="85">
        <f t="shared" si="3"/>
        <v>1239</v>
      </c>
      <c r="M69" s="97"/>
      <c r="N69" s="85">
        <f>75</f>
        <v>75</v>
      </c>
      <c r="O69" s="87">
        <v>240</v>
      </c>
      <c r="P69" s="87">
        <v>160</v>
      </c>
      <c r="Q69" s="87">
        <f t="shared" si="4"/>
        <v>195</v>
      </c>
      <c r="R69" s="87">
        <f t="shared" si="5"/>
        <v>100</v>
      </c>
      <c r="S69" s="85">
        <f t="shared" si="6"/>
        <v>695</v>
      </c>
      <c r="T69" s="85">
        <f>0</f>
        <v>0</v>
      </c>
      <c r="U69" s="83"/>
      <c r="V69" s="83"/>
      <c r="W69" s="83"/>
      <c r="X69" s="83"/>
      <c r="Y69" s="83"/>
      <c r="Z69" s="83"/>
      <c r="AA69" s="83"/>
      <c r="AB69" s="83"/>
      <c r="AC69" s="83"/>
      <c r="AD69" s="83"/>
    </row>
    <row r="70" spans="1:30" ht="15.75" x14ac:dyDescent="0.25">
      <c r="A70" s="16">
        <v>42675</v>
      </c>
      <c r="B70" s="96">
        <v>30</v>
      </c>
      <c r="C70" s="85">
        <f>122.58</f>
        <v>122.58</v>
      </c>
      <c r="D70" s="85">
        <f>297.941</f>
        <v>297.94099999999997</v>
      </c>
      <c r="E70" s="92">
        <f>89.177</f>
        <v>89.177000000000007</v>
      </c>
      <c r="F70" s="85">
        <f>240.302-40-60</f>
        <v>140.30199999999999</v>
      </c>
      <c r="G70" s="87">
        <v>40</v>
      </c>
      <c r="H70" s="85">
        <v>60</v>
      </c>
      <c r="I70" s="85">
        <f t="shared" si="12"/>
        <v>0</v>
      </c>
      <c r="J70" s="87">
        <v>100</v>
      </c>
      <c r="K70" s="87">
        <v>300</v>
      </c>
      <c r="L70" s="85">
        <f t="shared" si="3"/>
        <v>1150</v>
      </c>
      <c r="M70" s="97"/>
      <c r="N70" s="85">
        <f>100</f>
        <v>100</v>
      </c>
      <c r="O70" s="87">
        <v>240</v>
      </c>
      <c r="P70" s="87">
        <v>40</v>
      </c>
      <c r="Q70" s="87">
        <f t="shared" si="4"/>
        <v>315</v>
      </c>
      <c r="R70" s="87">
        <f t="shared" si="5"/>
        <v>100</v>
      </c>
      <c r="S70" s="85">
        <f t="shared" si="6"/>
        <v>695</v>
      </c>
      <c r="T70" s="85">
        <f>50</f>
        <v>50</v>
      </c>
      <c r="U70" s="83"/>
      <c r="V70" s="83"/>
      <c r="W70" s="83"/>
      <c r="X70" s="83"/>
      <c r="Y70" s="83"/>
      <c r="Z70" s="83"/>
      <c r="AA70" s="83"/>
      <c r="AB70" s="83"/>
      <c r="AC70" s="83"/>
      <c r="AD70" s="83"/>
    </row>
    <row r="71" spans="1:30" ht="15.75" x14ac:dyDescent="0.25">
      <c r="A71" s="16">
        <v>42705</v>
      </c>
      <c r="B71" s="96">
        <v>31</v>
      </c>
      <c r="C71" s="85">
        <f>122.58</f>
        <v>122.58</v>
      </c>
      <c r="D71" s="85">
        <f>297.941</f>
        <v>297.94099999999997</v>
      </c>
      <c r="E71" s="92">
        <f>89.177</f>
        <v>89.177000000000007</v>
      </c>
      <c r="F71" s="85">
        <f>240.302-40-60</f>
        <v>140.30199999999999</v>
      </c>
      <c r="G71" s="87">
        <v>40</v>
      </c>
      <c r="H71" s="85">
        <v>60</v>
      </c>
      <c r="I71" s="85">
        <f t="shared" si="12"/>
        <v>0</v>
      </c>
      <c r="J71" s="87">
        <v>100</v>
      </c>
      <c r="K71" s="87">
        <v>300</v>
      </c>
      <c r="L71" s="85">
        <f t="shared" si="3"/>
        <v>1150</v>
      </c>
      <c r="M71" s="97"/>
      <c r="N71" s="85">
        <f>100</f>
        <v>100</v>
      </c>
      <c r="O71" s="87">
        <v>240</v>
      </c>
      <c r="P71" s="87">
        <v>40</v>
      </c>
      <c r="Q71" s="87">
        <f t="shared" si="4"/>
        <v>315</v>
      </c>
      <c r="R71" s="87">
        <f t="shared" si="5"/>
        <v>100</v>
      </c>
      <c r="S71" s="85">
        <f t="shared" si="6"/>
        <v>695</v>
      </c>
      <c r="T71" s="85">
        <f>50</f>
        <v>50</v>
      </c>
      <c r="U71" s="83"/>
      <c r="V71" s="83"/>
      <c r="W71" s="83"/>
      <c r="X71" s="83"/>
      <c r="Y71" s="83"/>
      <c r="Z71" s="83"/>
      <c r="AA71" s="83"/>
      <c r="AB71" s="83"/>
      <c r="AC71" s="83"/>
      <c r="AD71" s="83"/>
    </row>
    <row r="72" spans="1:30" ht="15.75" x14ac:dyDescent="0.25">
      <c r="A72" s="16">
        <v>42736</v>
      </c>
      <c r="B72" s="96">
        <v>31</v>
      </c>
      <c r="C72" s="85">
        <f>122.58</f>
        <v>122.58</v>
      </c>
      <c r="D72" s="85">
        <f>297.941</f>
        <v>297.94099999999997</v>
      </c>
      <c r="E72" s="92">
        <f>89.177</f>
        <v>89.177000000000007</v>
      </c>
      <c r="F72" s="85">
        <f>240.302-40-60</f>
        <v>140.30199999999999</v>
      </c>
      <c r="G72" s="87">
        <v>40</v>
      </c>
      <c r="H72" s="85">
        <v>60</v>
      </c>
      <c r="I72" s="85">
        <f t="shared" si="12"/>
        <v>0</v>
      </c>
      <c r="J72" s="87">
        <v>100</v>
      </c>
      <c r="K72" s="87">
        <v>300</v>
      </c>
      <c r="L72" s="85">
        <f t="shared" si="3"/>
        <v>1150</v>
      </c>
      <c r="M72" s="97"/>
      <c r="N72" s="85">
        <f>100</f>
        <v>100</v>
      </c>
      <c r="O72" s="87">
        <v>240</v>
      </c>
      <c r="P72" s="87">
        <v>40</v>
      </c>
      <c r="Q72" s="87">
        <f t="shared" si="4"/>
        <v>315</v>
      </c>
      <c r="R72" s="87">
        <f t="shared" si="5"/>
        <v>100</v>
      </c>
      <c r="S72" s="85">
        <f t="shared" si="6"/>
        <v>695</v>
      </c>
      <c r="T72" s="85">
        <f>50</f>
        <v>50</v>
      </c>
      <c r="U72" s="83"/>
      <c r="V72" s="83"/>
      <c r="W72" s="83"/>
      <c r="X72" s="83"/>
      <c r="Y72" s="83"/>
      <c r="Z72" s="83"/>
      <c r="AA72" s="83"/>
      <c r="AB72" s="83"/>
      <c r="AC72" s="83"/>
      <c r="AD72" s="83"/>
    </row>
    <row r="73" spans="1:30" ht="15.75" x14ac:dyDescent="0.25">
      <c r="A73" s="16">
        <v>42767</v>
      </c>
      <c r="B73" s="96">
        <v>28</v>
      </c>
      <c r="C73" s="85">
        <f>122.58</f>
        <v>122.58</v>
      </c>
      <c r="D73" s="85">
        <f>297.941</f>
        <v>297.94099999999997</v>
      </c>
      <c r="E73" s="92">
        <f>89.177</f>
        <v>89.177000000000007</v>
      </c>
      <c r="F73" s="85">
        <f>240.302-40-60</f>
        <v>140.30199999999999</v>
      </c>
      <c r="G73" s="87">
        <v>40</v>
      </c>
      <c r="H73" s="85">
        <v>60</v>
      </c>
      <c r="I73" s="85">
        <f t="shared" si="12"/>
        <v>0</v>
      </c>
      <c r="J73" s="87">
        <v>100</v>
      </c>
      <c r="K73" s="87">
        <v>300</v>
      </c>
      <c r="L73" s="85">
        <f t="shared" si="3"/>
        <v>1150</v>
      </c>
      <c r="M73" s="97"/>
      <c r="N73" s="85">
        <f>100</f>
        <v>100</v>
      </c>
      <c r="O73" s="87">
        <v>240</v>
      </c>
      <c r="P73" s="87">
        <v>40</v>
      </c>
      <c r="Q73" s="87">
        <f t="shared" si="4"/>
        <v>315</v>
      </c>
      <c r="R73" s="87">
        <f t="shared" si="5"/>
        <v>100</v>
      </c>
      <c r="S73" s="85">
        <f t="shared" si="6"/>
        <v>695</v>
      </c>
      <c r="T73" s="85">
        <f>50</f>
        <v>50</v>
      </c>
      <c r="U73" s="83"/>
      <c r="V73" s="83"/>
      <c r="W73" s="83"/>
      <c r="X73" s="83"/>
      <c r="Y73" s="83"/>
      <c r="Z73" s="83"/>
      <c r="AA73" s="83"/>
      <c r="AB73" s="83"/>
      <c r="AC73" s="83"/>
      <c r="AD73" s="83"/>
    </row>
    <row r="74" spans="1:30" ht="15.75" x14ac:dyDescent="0.25">
      <c r="A74" s="16">
        <v>42795</v>
      </c>
      <c r="B74" s="96">
        <v>31</v>
      </c>
      <c r="C74" s="85">
        <f>122.58</f>
        <v>122.58</v>
      </c>
      <c r="D74" s="85">
        <f>297.941</f>
        <v>297.94099999999997</v>
      </c>
      <c r="E74" s="92">
        <f>89.177</f>
        <v>89.177000000000007</v>
      </c>
      <c r="F74" s="85">
        <f>240.302-40-60</f>
        <v>140.30199999999999</v>
      </c>
      <c r="G74" s="87">
        <v>40</v>
      </c>
      <c r="H74" s="85">
        <v>60</v>
      </c>
      <c r="I74" s="85">
        <f t="shared" si="12"/>
        <v>0</v>
      </c>
      <c r="J74" s="87">
        <v>100</v>
      </c>
      <c r="K74" s="87">
        <v>300</v>
      </c>
      <c r="L74" s="85">
        <f t="shared" si="3"/>
        <v>1150</v>
      </c>
      <c r="M74" s="97"/>
      <c r="N74" s="85">
        <f>100</f>
        <v>100</v>
      </c>
      <c r="O74" s="87">
        <v>240</v>
      </c>
      <c r="P74" s="87">
        <v>40</v>
      </c>
      <c r="Q74" s="87">
        <f t="shared" si="4"/>
        <v>315</v>
      </c>
      <c r="R74" s="87">
        <f t="shared" si="5"/>
        <v>100</v>
      </c>
      <c r="S74" s="85">
        <f t="shared" si="6"/>
        <v>695</v>
      </c>
      <c r="T74" s="85">
        <f>50</f>
        <v>50</v>
      </c>
      <c r="U74" s="83"/>
      <c r="V74" s="83"/>
      <c r="W74" s="83"/>
      <c r="X74" s="83"/>
      <c r="Y74" s="83"/>
      <c r="Z74" s="83"/>
      <c r="AA74" s="83"/>
      <c r="AB74" s="83"/>
      <c r="AC74" s="83"/>
      <c r="AD74" s="83"/>
    </row>
    <row r="75" spans="1:30" ht="15.75" x14ac:dyDescent="0.25">
      <c r="A75" s="16">
        <v>42826</v>
      </c>
      <c r="B75" s="96">
        <v>30</v>
      </c>
      <c r="C75" s="85">
        <f>141.293</f>
        <v>141.29300000000001</v>
      </c>
      <c r="D75" s="85">
        <f>267.993</f>
        <v>267.99299999999999</v>
      </c>
      <c r="E75" s="92">
        <f>115.016</f>
        <v>115.01600000000001</v>
      </c>
      <c r="F75" s="85">
        <f>314.698-40-25-60</f>
        <v>189.69799999999998</v>
      </c>
      <c r="G75" s="87">
        <v>40</v>
      </c>
      <c r="H75" s="85">
        <f t="shared" ref="H75:H81" si="13">25+60</f>
        <v>85</v>
      </c>
      <c r="I75" s="85">
        <f t="shared" si="12"/>
        <v>0</v>
      </c>
      <c r="J75" s="87">
        <v>100</v>
      </c>
      <c r="K75" s="87">
        <v>300</v>
      </c>
      <c r="L75" s="85">
        <f t="shared" si="3"/>
        <v>1239</v>
      </c>
      <c r="M75" s="97"/>
      <c r="N75" s="85">
        <f>100</f>
        <v>100</v>
      </c>
      <c r="O75" s="87">
        <v>240</v>
      </c>
      <c r="P75" s="87">
        <v>160</v>
      </c>
      <c r="Q75" s="87">
        <f t="shared" si="4"/>
        <v>195</v>
      </c>
      <c r="R75" s="87">
        <f t="shared" si="5"/>
        <v>100</v>
      </c>
      <c r="S75" s="85">
        <f t="shared" si="6"/>
        <v>695</v>
      </c>
      <c r="T75" s="85">
        <f>50</f>
        <v>50</v>
      </c>
      <c r="U75" s="83"/>
      <c r="V75" s="83"/>
      <c r="W75" s="83"/>
      <c r="X75" s="83"/>
      <c r="Y75" s="83"/>
      <c r="Z75" s="83"/>
      <c r="AA75" s="83"/>
      <c r="AB75" s="83"/>
      <c r="AC75" s="83"/>
      <c r="AD75" s="83"/>
    </row>
    <row r="76" spans="1:30" ht="15.75" x14ac:dyDescent="0.25">
      <c r="A76" s="16">
        <v>42856</v>
      </c>
      <c r="B76" s="96">
        <v>31</v>
      </c>
      <c r="C76" s="85">
        <f>194.205</f>
        <v>194.20500000000001</v>
      </c>
      <c r="D76" s="85">
        <f>267.466</f>
        <v>267.46600000000001</v>
      </c>
      <c r="E76" s="92">
        <f>133.845</f>
        <v>133.845</v>
      </c>
      <c r="F76" s="85">
        <f>278.484-40-25-60</f>
        <v>153.48399999999998</v>
      </c>
      <c r="G76" s="87">
        <v>40</v>
      </c>
      <c r="H76" s="85">
        <f t="shared" si="13"/>
        <v>85</v>
      </c>
      <c r="I76" s="85">
        <f t="shared" si="12"/>
        <v>0</v>
      </c>
      <c r="J76" s="87">
        <v>100</v>
      </c>
      <c r="K76" s="87">
        <v>300</v>
      </c>
      <c r="L76" s="85">
        <f t="shared" si="3"/>
        <v>1274</v>
      </c>
      <c r="M76" s="97"/>
      <c r="N76" s="85">
        <f>75</f>
        <v>75</v>
      </c>
      <c r="O76" s="87">
        <v>240</v>
      </c>
      <c r="P76" s="87">
        <v>160</v>
      </c>
      <c r="Q76" s="87">
        <f t="shared" si="4"/>
        <v>195</v>
      </c>
      <c r="R76" s="87">
        <f t="shared" si="5"/>
        <v>100</v>
      </c>
      <c r="S76" s="85">
        <f t="shared" si="6"/>
        <v>695</v>
      </c>
      <c r="T76" s="85">
        <f>50</f>
        <v>50</v>
      </c>
      <c r="U76" s="83"/>
      <c r="V76" s="83"/>
      <c r="W76" s="83"/>
      <c r="X76" s="83"/>
      <c r="Y76" s="83"/>
      <c r="Z76" s="83"/>
      <c r="AA76" s="83"/>
      <c r="AB76" s="83"/>
      <c r="AC76" s="83"/>
      <c r="AD76" s="83"/>
    </row>
    <row r="77" spans="1:30" ht="15.75" x14ac:dyDescent="0.25">
      <c r="A77" s="16">
        <v>42887</v>
      </c>
      <c r="B77" s="96">
        <v>30</v>
      </c>
      <c r="C77" s="85">
        <f>194.205</f>
        <v>194.20500000000001</v>
      </c>
      <c r="D77" s="85">
        <f>267.466</f>
        <v>267.46600000000001</v>
      </c>
      <c r="E77" s="92">
        <f>133.845</f>
        <v>133.845</v>
      </c>
      <c r="F77" s="85">
        <f>278.484-40-25-60</f>
        <v>153.48399999999998</v>
      </c>
      <c r="G77" s="87">
        <v>40</v>
      </c>
      <c r="H77" s="85">
        <f t="shared" si="13"/>
        <v>85</v>
      </c>
      <c r="I77" s="85">
        <f t="shared" si="12"/>
        <v>0</v>
      </c>
      <c r="J77" s="87">
        <v>100</v>
      </c>
      <c r="K77" s="87">
        <v>300</v>
      </c>
      <c r="L77" s="85">
        <f t="shared" si="3"/>
        <v>1274</v>
      </c>
      <c r="M77" s="97"/>
      <c r="N77" s="85">
        <f>30</f>
        <v>30</v>
      </c>
      <c r="O77" s="87">
        <v>240</v>
      </c>
      <c r="P77" s="87">
        <v>160</v>
      </c>
      <c r="Q77" s="87">
        <f t="shared" si="4"/>
        <v>195</v>
      </c>
      <c r="R77" s="87">
        <f t="shared" si="5"/>
        <v>100</v>
      </c>
      <c r="S77" s="85">
        <f t="shared" si="6"/>
        <v>695</v>
      </c>
      <c r="T77" s="85">
        <f>50</f>
        <v>50</v>
      </c>
      <c r="U77" s="83"/>
      <c r="V77" s="83"/>
      <c r="W77" s="83"/>
      <c r="X77" s="83"/>
      <c r="Y77" s="83"/>
      <c r="Z77" s="83"/>
      <c r="AA77" s="83"/>
      <c r="AB77" s="83"/>
      <c r="AC77" s="83"/>
      <c r="AD77" s="83"/>
    </row>
    <row r="78" spans="1:30" ht="15.75" x14ac:dyDescent="0.25">
      <c r="A78" s="16">
        <v>42917</v>
      </c>
      <c r="B78" s="96">
        <v>31</v>
      </c>
      <c r="C78" s="85">
        <f>194.205</f>
        <v>194.20500000000001</v>
      </c>
      <c r="D78" s="85">
        <f>267.466</f>
        <v>267.46600000000001</v>
      </c>
      <c r="E78" s="92">
        <f>133.845</f>
        <v>133.845</v>
      </c>
      <c r="F78" s="85">
        <f>278.484-40-25-60</f>
        <v>153.48399999999998</v>
      </c>
      <c r="G78" s="87">
        <v>40</v>
      </c>
      <c r="H78" s="85">
        <f t="shared" si="13"/>
        <v>85</v>
      </c>
      <c r="I78" s="85">
        <f t="shared" si="12"/>
        <v>0</v>
      </c>
      <c r="J78" s="87">
        <v>100</v>
      </c>
      <c r="K78" s="87">
        <v>300</v>
      </c>
      <c r="L78" s="85">
        <f t="shared" si="3"/>
        <v>1274</v>
      </c>
      <c r="M78" s="97"/>
      <c r="N78" s="85">
        <f>30</f>
        <v>30</v>
      </c>
      <c r="O78" s="87">
        <v>240</v>
      </c>
      <c r="P78" s="87">
        <v>160</v>
      </c>
      <c r="Q78" s="87">
        <f t="shared" si="4"/>
        <v>195</v>
      </c>
      <c r="R78" s="87">
        <f t="shared" si="5"/>
        <v>100</v>
      </c>
      <c r="S78" s="85">
        <f t="shared" si="6"/>
        <v>695</v>
      </c>
      <c r="T78" s="85">
        <f>0</f>
        <v>0</v>
      </c>
      <c r="U78" s="83"/>
      <c r="V78" s="83"/>
      <c r="W78" s="83"/>
      <c r="X78" s="83"/>
      <c r="Y78" s="83"/>
      <c r="Z78" s="83"/>
      <c r="AA78" s="83"/>
      <c r="AB78" s="83"/>
      <c r="AC78" s="83"/>
      <c r="AD78" s="83"/>
    </row>
    <row r="79" spans="1:30" ht="15.75" x14ac:dyDescent="0.25">
      <c r="A79" s="16">
        <v>42948</v>
      </c>
      <c r="B79" s="96">
        <v>31</v>
      </c>
      <c r="C79" s="85">
        <f>194.205</f>
        <v>194.20500000000001</v>
      </c>
      <c r="D79" s="85">
        <f>267.466</f>
        <v>267.46600000000001</v>
      </c>
      <c r="E79" s="92">
        <f>133.845</f>
        <v>133.845</v>
      </c>
      <c r="F79" s="85">
        <f>278.484-40-25-60</f>
        <v>153.48399999999998</v>
      </c>
      <c r="G79" s="87">
        <v>40</v>
      </c>
      <c r="H79" s="85">
        <f t="shared" si="13"/>
        <v>85</v>
      </c>
      <c r="I79" s="85">
        <f t="shared" si="12"/>
        <v>0</v>
      </c>
      <c r="J79" s="87">
        <v>100</v>
      </c>
      <c r="K79" s="87">
        <v>300</v>
      </c>
      <c r="L79" s="85">
        <f t="shared" si="3"/>
        <v>1274</v>
      </c>
      <c r="M79" s="97"/>
      <c r="N79" s="85">
        <f>30</f>
        <v>30</v>
      </c>
      <c r="O79" s="87">
        <v>240</v>
      </c>
      <c r="P79" s="87">
        <v>160</v>
      </c>
      <c r="Q79" s="87">
        <f t="shared" si="4"/>
        <v>195</v>
      </c>
      <c r="R79" s="87">
        <f t="shared" si="5"/>
        <v>100</v>
      </c>
      <c r="S79" s="85">
        <f t="shared" si="6"/>
        <v>695</v>
      </c>
      <c r="T79" s="85">
        <f>0</f>
        <v>0</v>
      </c>
      <c r="U79" s="83"/>
      <c r="V79" s="83"/>
      <c r="W79" s="83"/>
      <c r="X79" s="83"/>
      <c r="Y79" s="83"/>
      <c r="Z79" s="83"/>
      <c r="AA79" s="83"/>
      <c r="AB79" s="83"/>
      <c r="AC79" s="83"/>
      <c r="AD79" s="83"/>
    </row>
    <row r="80" spans="1:30" ht="15.75" x14ac:dyDescent="0.25">
      <c r="A80" s="16">
        <v>42979</v>
      </c>
      <c r="B80" s="96">
        <v>30</v>
      </c>
      <c r="C80" s="85">
        <f>194.205</f>
        <v>194.20500000000001</v>
      </c>
      <c r="D80" s="85">
        <f>267.466</f>
        <v>267.46600000000001</v>
      </c>
      <c r="E80" s="92">
        <f>133.845</f>
        <v>133.845</v>
      </c>
      <c r="F80" s="85">
        <f>278.484-40-25-60</f>
        <v>153.48399999999998</v>
      </c>
      <c r="G80" s="87">
        <v>40</v>
      </c>
      <c r="H80" s="85">
        <f t="shared" si="13"/>
        <v>85</v>
      </c>
      <c r="I80" s="85">
        <f t="shared" si="12"/>
        <v>0</v>
      </c>
      <c r="J80" s="87">
        <v>100</v>
      </c>
      <c r="K80" s="87">
        <v>300</v>
      </c>
      <c r="L80" s="85">
        <f t="shared" si="3"/>
        <v>1274</v>
      </c>
      <c r="M80" s="97"/>
      <c r="N80" s="85">
        <f>30</f>
        <v>30</v>
      </c>
      <c r="O80" s="87">
        <v>240</v>
      </c>
      <c r="P80" s="87">
        <v>160</v>
      </c>
      <c r="Q80" s="87">
        <f t="shared" si="4"/>
        <v>195</v>
      </c>
      <c r="R80" s="87">
        <f t="shared" si="5"/>
        <v>100</v>
      </c>
      <c r="S80" s="85">
        <f t="shared" si="6"/>
        <v>695</v>
      </c>
      <c r="T80" s="85">
        <f>0</f>
        <v>0</v>
      </c>
      <c r="U80" s="83"/>
      <c r="V80" s="83"/>
      <c r="W80" s="83"/>
      <c r="X80" s="83"/>
      <c r="Y80" s="83"/>
      <c r="Z80" s="83"/>
      <c r="AA80" s="83"/>
      <c r="AB80" s="83"/>
      <c r="AC80" s="83"/>
      <c r="AD80" s="83"/>
    </row>
    <row r="81" spans="1:30" ht="15.75" x14ac:dyDescent="0.25">
      <c r="A81" s="16">
        <v>43009</v>
      </c>
      <c r="B81" s="96">
        <v>31</v>
      </c>
      <c r="C81" s="85">
        <f>131.881</f>
        <v>131.881</v>
      </c>
      <c r="D81" s="85">
        <f>277.167</f>
        <v>277.16699999999997</v>
      </c>
      <c r="E81" s="92">
        <f>79.08</f>
        <v>79.08</v>
      </c>
      <c r="F81" s="85">
        <f>350.872-40-25-60</f>
        <v>225.87200000000001</v>
      </c>
      <c r="G81" s="87">
        <v>40</v>
      </c>
      <c r="H81" s="85">
        <f t="shared" si="13"/>
        <v>85</v>
      </c>
      <c r="I81" s="85">
        <f t="shared" si="12"/>
        <v>0</v>
      </c>
      <c r="J81" s="87">
        <v>100</v>
      </c>
      <c r="K81" s="87">
        <v>300</v>
      </c>
      <c r="L81" s="85">
        <f t="shared" si="3"/>
        <v>1239</v>
      </c>
      <c r="M81" s="97"/>
      <c r="N81" s="85">
        <f>75</f>
        <v>75</v>
      </c>
      <c r="O81" s="87">
        <v>240</v>
      </c>
      <c r="P81" s="87">
        <v>160</v>
      </c>
      <c r="Q81" s="87">
        <f t="shared" si="4"/>
        <v>195</v>
      </c>
      <c r="R81" s="87">
        <f t="shared" si="5"/>
        <v>100</v>
      </c>
      <c r="S81" s="85">
        <f t="shared" si="6"/>
        <v>695</v>
      </c>
      <c r="T81" s="85">
        <f>0</f>
        <v>0</v>
      </c>
      <c r="U81" s="83"/>
      <c r="V81" s="83"/>
      <c r="W81" s="83"/>
      <c r="X81" s="83"/>
      <c r="Y81" s="83"/>
      <c r="Z81" s="83"/>
      <c r="AA81" s="83"/>
      <c r="AB81" s="83"/>
      <c r="AC81" s="83"/>
      <c r="AD81" s="83"/>
    </row>
    <row r="82" spans="1:30" ht="15.75" x14ac:dyDescent="0.25">
      <c r="A82" s="16">
        <v>43040</v>
      </c>
      <c r="B82" s="96">
        <v>30</v>
      </c>
      <c r="C82" s="85">
        <f>122.58</f>
        <v>122.58</v>
      </c>
      <c r="D82" s="85">
        <f>297.941</f>
        <v>297.94099999999997</v>
      </c>
      <c r="E82" s="92">
        <f>89.177</f>
        <v>89.177000000000007</v>
      </c>
      <c r="F82" s="85">
        <f>240.302-40-60</f>
        <v>140.30199999999999</v>
      </c>
      <c r="G82" s="87">
        <v>40</v>
      </c>
      <c r="H82" s="85">
        <v>60</v>
      </c>
      <c r="I82" s="85">
        <f t="shared" si="12"/>
        <v>0</v>
      </c>
      <c r="J82" s="87">
        <v>100</v>
      </c>
      <c r="K82" s="87">
        <v>300</v>
      </c>
      <c r="L82" s="85">
        <f t="shared" si="3"/>
        <v>1150</v>
      </c>
      <c r="M82" s="97"/>
      <c r="N82" s="85">
        <f>100</f>
        <v>100</v>
      </c>
      <c r="O82" s="87">
        <v>240</v>
      </c>
      <c r="P82" s="87">
        <v>40</v>
      </c>
      <c r="Q82" s="87">
        <f t="shared" si="4"/>
        <v>315</v>
      </c>
      <c r="R82" s="87">
        <f t="shared" si="5"/>
        <v>100</v>
      </c>
      <c r="S82" s="85">
        <f t="shared" si="6"/>
        <v>695</v>
      </c>
      <c r="T82" s="85">
        <f>50</f>
        <v>50</v>
      </c>
      <c r="U82" s="83"/>
      <c r="V82" s="83"/>
      <c r="W82" s="83"/>
      <c r="X82" s="83"/>
      <c r="Y82" s="83"/>
      <c r="Z82" s="83"/>
      <c r="AA82" s="83"/>
      <c r="AB82" s="83"/>
      <c r="AC82" s="83"/>
      <c r="AD82" s="83"/>
    </row>
    <row r="83" spans="1:30" ht="15.75" x14ac:dyDescent="0.25">
      <c r="A83" s="16">
        <v>43070</v>
      </c>
      <c r="B83" s="96">
        <v>31</v>
      </c>
      <c r="C83" s="85">
        <f>122.58</f>
        <v>122.58</v>
      </c>
      <c r="D83" s="85">
        <f>297.941</f>
        <v>297.94099999999997</v>
      </c>
      <c r="E83" s="92">
        <f>89.177</f>
        <v>89.177000000000007</v>
      </c>
      <c r="F83" s="85">
        <f>240.302-40-60</f>
        <v>140.30199999999999</v>
      </c>
      <c r="G83" s="87">
        <v>40</v>
      </c>
      <c r="H83" s="85">
        <v>60</v>
      </c>
      <c r="I83" s="85">
        <f t="shared" si="12"/>
        <v>0</v>
      </c>
      <c r="J83" s="87">
        <v>100</v>
      </c>
      <c r="K83" s="87">
        <v>300</v>
      </c>
      <c r="L83" s="85">
        <f t="shared" si="3"/>
        <v>1150</v>
      </c>
      <c r="M83" s="97"/>
      <c r="N83" s="85">
        <f>100</f>
        <v>100</v>
      </c>
      <c r="O83" s="87">
        <v>240</v>
      </c>
      <c r="P83" s="87">
        <v>40</v>
      </c>
      <c r="Q83" s="87">
        <f t="shared" si="4"/>
        <v>315</v>
      </c>
      <c r="R83" s="87">
        <f t="shared" si="5"/>
        <v>100</v>
      </c>
      <c r="S83" s="85">
        <f t="shared" si="6"/>
        <v>695</v>
      </c>
      <c r="T83" s="85">
        <f>50</f>
        <v>50</v>
      </c>
      <c r="U83" s="83"/>
      <c r="V83" s="83"/>
      <c r="W83" s="83"/>
      <c r="X83" s="83"/>
      <c r="Y83" s="83"/>
      <c r="Z83" s="83"/>
      <c r="AA83" s="83"/>
      <c r="AB83" s="83"/>
      <c r="AC83" s="83"/>
      <c r="AD83" s="83"/>
    </row>
    <row r="84" spans="1:30" ht="15.75" x14ac:dyDescent="0.25">
      <c r="A84" s="16">
        <v>43101</v>
      </c>
      <c r="B84" s="96">
        <v>31</v>
      </c>
      <c r="C84" s="85">
        <f>122.58</f>
        <v>122.58</v>
      </c>
      <c r="D84" s="85">
        <f>297.941</f>
        <v>297.94099999999997</v>
      </c>
      <c r="E84" s="92">
        <f>89.177</f>
        <v>89.177000000000007</v>
      </c>
      <c r="F84" s="85">
        <f>240.302-40-60</f>
        <v>140.30199999999999</v>
      </c>
      <c r="G84" s="87">
        <v>40</v>
      </c>
      <c r="H84" s="85">
        <v>60</v>
      </c>
      <c r="I84" s="85">
        <f t="shared" si="12"/>
        <v>0</v>
      </c>
      <c r="J84" s="87">
        <v>100</v>
      </c>
      <c r="K84" s="87">
        <v>300</v>
      </c>
      <c r="L84" s="85">
        <f t="shared" si="3"/>
        <v>1150</v>
      </c>
      <c r="M84" s="97"/>
      <c r="N84" s="85">
        <f>100</f>
        <v>100</v>
      </c>
      <c r="O84" s="87">
        <v>240</v>
      </c>
      <c r="P84" s="87">
        <v>40</v>
      </c>
      <c r="Q84" s="87">
        <f t="shared" si="4"/>
        <v>315</v>
      </c>
      <c r="R84" s="87">
        <f t="shared" si="5"/>
        <v>100</v>
      </c>
      <c r="S84" s="85">
        <f t="shared" si="6"/>
        <v>695</v>
      </c>
      <c r="T84" s="85">
        <f>50</f>
        <v>50</v>
      </c>
      <c r="U84" s="83"/>
      <c r="V84" s="83"/>
      <c r="W84" s="83"/>
      <c r="X84" s="83"/>
      <c r="Y84" s="83"/>
      <c r="Z84" s="83"/>
      <c r="AA84" s="83"/>
      <c r="AB84" s="83"/>
      <c r="AC84" s="83"/>
      <c r="AD84" s="83"/>
    </row>
    <row r="85" spans="1:30" ht="15.75" x14ac:dyDescent="0.25">
      <c r="A85" s="16">
        <v>43132</v>
      </c>
      <c r="B85" s="96">
        <v>28</v>
      </c>
      <c r="C85" s="85">
        <f>122.58</f>
        <v>122.58</v>
      </c>
      <c r="D85" s="85">
        <f>297.941</f>
        <v>297.94099999999997</v>
      </c>
      <c r="E85" s="92">
        <f>89.177</f>
        <v>89.177000000000007</v>
      </c>
      <c r="F85" s="85">
        <f>240.302-40-60</f>
        <v>140.30199999999999</v>
      </c>
      <c r="G85" s="87">
        <v>40</v>
      </c>
      <c r="H85" s="85">
        <v>60</v>
      </c>
      <c r="I85" s="85">
        <f t="shared" si="12"/>
        <v>0</v>
      </c>
      <c r="J85" s="87">
        <v>100</v>
      </c>
      <c r="K85" s="87">
        <v>300</v>
      </c>
      <c r="L85" s="85">
        <f t="shared" si="3"/>
        <v>1150</v>
      </c>
      <c r="M85" s="97"/>
      <c r="N85" s="85">
        <f>100</f>
        <v>100</v>
      </c>
      <c r="O85" s="87">
        <v>240</v>
      </c>
      <c r="P85" s="87">
        <v>40</v>
      </c>
      <c r="Q85" s="87">
        <f t="shared" si="4"/>
        <v>315</v>
      </c>
      <c r="R85" s="87">
        <f t="shared" si="5"/>
        <v>100</v>
      </c>
      <c r="S85" s="85">
        <f t="shared" si="6"/>
        <v>695</v>
      </c>
      <c r="T85" s="85">
        <f>50</f>
        <v>50</v>
      </c>
      <c r="U85" s="83"/>
      <c r="V85" s="83"/>
      <c r="W85" s="83"/>
      <c r="X85" s="83"/>
      <c r="Y85" s="83"/>
      <c r="Z85" s="83"/>
      <c r="AA85" s="83"/>
      <c r="AB85" s="83"/>
      <c r="AC85" s="83"/>
      <c r="AD85" s="83"/>
    </row>
    <row r="86" spans="1:30" ht="15.75" x14ac:dyDescent="0.25">
      <c r="A86" s="16">
        <v>43160</v>
      </c>
      <c r="B86" s="96">
        <v>31</v>
      </c>
      <c r="C86" s="85">
        <f>122.58</f>
        <v>122.58</v>
      </c>
      <c r="D86" s="85">
        <f>297.941</f>
        <v>297.94099999999997</v>
      </c>
      <c r="E86" s="92">
        <f>89.177</f>
        <v>89.177000000000007</v>
      </c>
      <c r="F86" s="85">
        <f>240.302-40-60</f>
        <v>140.30199999999999</v>
      </c>
      <c r="G86" s="87">
        <v>40</v>
      </c>
      <c r="H86" s="85">
        <v>60</v>
      </c>
      <c r="I86" s="85">
        <f t="shared" si="12"/>
        <v>0</v>
      </c>
      <c r="J86" s="87">
        <v>100</v>
      </c>
      <c r="K86" s="87">
        <v>300</v>
      </c>
      <c r="L86" s="85">
        <f t="shared" si="3"/>
        <v>1150</v>
      </c>
      <c r="M86" s="97"/>
      <c r="N86" s="85">
        <f>100</f>
        <v>100</v>
      </c>
      <c r="O86" s="87">
        <v>240</v>
      </c>
      <c r="P86" s="87">
        <v>40</v>
      </c>
      <c r="Q86" s="87">
        <f t="shared" si="4"/>
        <v>315</v>
      </c>
      <c r="R86" s="87">
        <f t="shared" si="5"/>
        <v>100</v>
      </c>
      <c r="S86" s="85">
        <f t="shared" si="6"/>
        <v>695</v>
      </c>
      <c r="T86" s="85">
        <f>50</f>
        <v>50</v>
      </c>
      <c r="U86" s="83"/>
      <c r="V86" s="83"/>
      <c r="W86" s="83"/>
      <c r="X86" s="83"/>
      <c r="Y86" s="83"/>
      <c r="Z86" s="83"/>
      <c r="AA86" s="83"/>
      <c r="AB86" s="83"/>
      <c r="AC86" s="83"/>
      <c r="AD86" s="83"/>
    </row>
    <row r="87" spans="1:30" ht="15.75" x14ac:dyDescent="0.25">
      <c r="A87" s="16">
        <v>43191</v>
      </c>
      <c r="B87" s="96">
        <v>30</v>
      </c>
      <c r="C87" s="85">
        <f>141.293</f>
        <v>141.29300000000001</v>
      </c>
      <c r="D87" s="85">
        <f>267.993</f>
        <v>267.99299999999999</v>
      </c>
      <c r="E87" s="92">
        <f>115.016</f>
        <v>115.01600000000001</v>
      </c>
      <c r="F87" s="85">
        <f>314.698-40-25-60</f>
        <v>189.69799999999998</v>
      </c>
      <c r="G87" s="87">
        <v>40</v>
      </c>
      <c r="H87" s="85">
        <f t="shared" ref="H87:H93" si="14">25+60</f>
        <v>85</v>
      </c>
      <c r="I87" s="85">
        <f t="shared" si="12"/>
        <v>0</v>
      </c>
      <c r="J87" s="87">
        <v>100</v>
      </c>
      <c r="K87" s="87">
        <v>300</v>
      </c>
      <c r="L87" s="85">
        <f t="shared" si="3"/>
        <v>1239</v>
      </c>
      <c r="M87" s="97"/>
      <c r="N87" s="85">
        <f>100</f>
        <v>100</v>
      </c>
      <c r="O87" s="87">
        <v>240</v>
      </c>
      <c r="P87" s="87">
        <v>160</v>
      </c>
      <c r="Q87" s="87">
        <f t="shared" si="4"/>
        <v>195</v>
      </c>
      <c r="R87" s="87">
        <f t="shared" si="5"/>
        <v>100</v>
      </c>
      <c r="S87" s="85">
        <f t="shared" si="6"/>
        <v>695</v>
      </c>
      <c r="T87" s="85">
        <f>50</f>
        <v>50</v>
      </c>
      <c r="U87" s="83"/>
      <c r="V87" s="83"/>
      <c r="W87" s="83"/>
      <c r="X87" s="83"/>
      <c r="Y87" s="83"/>
      <c r="Z87" s="83"/>
      <c r="AA87" s="83"/>
      <c r="AB87" s="83"/>
      <c r="AC87" s="83"/>
      <c r="AD87" s="83"/>
    </row>
    <row r="88" spans="1:30" ht="15.75" x14ac:dyDescent="0.25">
      <c r="A88" s="16">
        <v>43221</v>
      </c>
      <c r="B88" s="96">
        <v>31</v>
      </c>
      <c r="C88" s="85">
        <f>194.205</f>
        <v>194.20500000000001</v>
      </c>
      <c r="D88" s="85">
        <f>267.466</f>
        <v>267.46600000000001</v>
      </c>
      <c r="E88" s="92">
        <f>133.845</f>
        <v>133.845</v>
      </c>
      <c r="F88" s="85">
        <f>278.484-40-25-60</f>
        <v>153.48399999999998</v>
      </c>
      <c r="G88" s="87">
        <v>40</v>
      </c>
      <c r="H88" s="85">
        <f t="shared" si="14"/>
        <v>85</v>
      </c>
      <c r="I88" s="85">
        <f t="shared" si="12"/>
        <v>0</v>
      </c>
      <c r="J88" s="87">
        <v>100</v>
      </c>
      <c r="K88" s="87">
        <v>300</v>
      </c>
      <c r="L88" s="85">
        <f t="shared" ref="L88:L151" si="15">SUM(C88:K88)</f>
        <v>1274</v>
      </c>
      <c r="M88" s="97"/>
      <c r="N88" s="85">
        <f>75</f>
        <v>75</v>
      </c>
      <c r="O88" s="87">
        <v>240</v>
      </c>
      <c r="P88" s="87">
        <v>160</v>
      </c>
      <c r="Q88" s="87">
        <f t="shared" ref="Q88:Q151" si="16">695-R88-O88-P88</f>
        <v>195</v>
      </c>
      <c r="R88" s="87">
        <f t="shared" ref="R88:R151" si="17">200-J88</f>
        <v>100</v>
      </c>
      <c r="S88" s="85">
        <f t="shared" ref="S88:S151" si="18">SUM(O88:R88)</f>
        <v>695</v>
      </c>
      <c r="T88" s="85">
        <f>50</f>
        <v>50</v>
      </c>
      <c r="U88" s="83"/>
      <c r="V88" s="83"/>
      <c r="W88" s="83"/>
      <c r="X88" s="83"/>
      <c r="Y88" s="83"/>
      <c r="Z88" s="83"/>
      <c r="AA88" s="83"/>
      <c r="AB88" s="83"/>
      <c r="AC88" s="83"/>
      <c r="AD88" s="83"/>
    </row>
    <row r="89" spans="1:30" ht="15.75" x14ac:dyDescent="0.25">
      <c r="A89" s="16">
        <v>43252</v>
      </c>
      <c r="B89" s="96">
        <v>30</v>
      </c>
      <c r="C89" s="85">
        <f>194.205</f>
        <v>194.20500000000001</v>
      </c>
      <c r="D89" s="85">
        <f>267.466</f>
        <v>267.46600000000001</v>
      </c>
      <c r="E89" s="92">
        <f>133.845</f>
        <v>133.845</v>
      </c>
      <c r="F89" s="85">
        <f>278.484-40-25-60</f>
        <v>153.48399999999998</v>
      </c>
      <c r="G89" s="87">
        <v>40</v>
      </c>
      <c r="H89" s="85">
        <f t="shared" si="14"/>
        <v>85</v>
      </c>
      <c r="I89" s="85">
        <f t="shared" si="12"/>
        <v>0</v>
      </c>
      <c r="J89" s="87">
        <v>100</v>
      </c>
      <c r="K89" s="87">
        <v>300</v>
      </c>
      <c r="L89" s="85">
        <f t="shared" si="15"/>
        <v>1274</v>
      </c>
      <c r="M89" s="97"/>
      <c r="N89" s="85">
        <f>30</f>
        <v>30</v>
      </c>
      <c r="O89" s="87">
        <v>240</v>
      </c>
      <c r="P89" s="87">
        <v>160</v>
      </c>
      <c r="Q89" s="87">
        <f t="shared" si="16"/>
        <v>195</v>
      </c>
      <c r="R89" s="87">
        <f t="shared" si="17"/>
        <v>100</v>
      </c>
      <c r="S89" s="85">
        <f t="shared" si="18"/>
        <v>695</v>
      </c>
      <c r="T89" s="85">
        <f>50</f>
        <v>50</v>
      </c>
      <c r="U89" s="83"/>
      <c r="V89" s="83"/>
      <c r="W89" s="83"/>
      <c r="X89" s="83"/>
      <c r="Y89" s="83"/>
      <c r="Z89" s="83"/>
      <c r="AA89" s="83"/>
      <c r="AB89" s="83"/>
      <c r="AC89" s="83"/>
      <c r="AD89" s="83"/>
    </row>
    <row r="90" spans="1:30" ht="15.75" x14ac:dyDescent="0.25">
      <c r="A90" s="16">
        <v>43282</v>
      </c>
      <c r="B90" s="96">
        <v>31</v>
      </c>
      <c r="C90" s="85">
        <f>194.205</f>
        <v>194.20500000000001</v>
      </c>
      <c r="D90" s="85">
        <f>267.466</f>
        <v>267.46600000000001</v>
      </c>
      <c r="E90" s="92">
        <f>133.845</f>
        <v>133.845</v>
      </c>
      <c r="F90" s="85">
        <f>278.484-40-25-60</f>
        <v>153.48399999999998</v>
      </c>
      <c r="G90" s="87">
        <v>40</v>
      </c>
      <c r="H90" s="85">
        <f t="shared" si="14"/>
        <v>85</v>
      </c>
      <c r="I90" s="85">
        <f t="shared" si="12"/>
        <v>0</v>
      </c>
      <c r="J90" s="87">
        <v>100</v>
      </c>
      <c r="K90" s="87">
        <v>300</v>
      </c>
      <c r="L90" s="85">
        <f t="shared" si="15"/>
        <v>1274</v>
      </c>
      <c r="M90" s="97"/>
      <c r="N90" s="85">
        <f>30</f>
        <v>30</v>
      </c>
      <c r="O90" s="87">
        <v>240</v>
      </c>
      <c r="P90" s="87">
        <v>160</v>
      </c>
      <c r="Q90" s="87">
        <f t="shared" si="16"/>
        <v>195</v>
      </c>
      <c r="R90" s="87">
        <f t="shared" si="17"/>
        <v>100</v>
      </c>
      <c r="S90" s="85">
        <f t="shared" si="18"/>
        <v>695</v>
      </c>
      <c r="T90" s="85">
        <f>0</f>
        <v>0</v>
      </c>
      <c r="U90" s="83"/>
      <c r="V90" s="83"/>
      <c r="W90" s="83"/>
      <c r="X90" s="83"/>
      <c r="Y90" s="83"/>
      <c r="Z90" s="83"/>
      <c r="AA90" s="83"/>
      <c r="AB90" s="83"/>
      <c r="AC90" s="83"/>
      <c r="AD90" s="83"/>
    </row>
    <row r="91" spans="1:30" ht="15.75" x14ac:dyDescent="0.25">
      <c r="A91" s="16">
        <v>43313</v>
      </c>
      <c r="B91" s="96">
        <v>31</v>
      </c>
      <c r="C91" s="85">
        <f>194.205</f>
        <v>194.20500000000001</v>
      </c>
      <c r="D91" s="85">
        <f>267.466</f>
        <v>267.46600000000001</v>
      </c>
      <c r="E91" s="92">
        <f>133.845</f>
        <v>133.845</v>
      </c>
      <c r="F91" s="85">
        <f>278.484-40-25-60</f>
        <v>153.48399999999998</v>
      </c>
      <c r="G91" s="87">
        <v>40</v>
      </c>
      <c r="H91" s="85">
        <f t="shared" si="14"/>
        <v>85</v>
      </c>
      <c r="I91" s="85">
        <f t="shared" si="12"/>
        <v>0</v>
      </c>
      <c r="J91" s="87">
        <v>100</v>
      </c>
      <c r="K91" s="87">
        <v>300</v>
      </c>
      <c r="L91" s="85">
        <f t="shared" si="15"/>
        <v>1274</v>
      </c>
      <c r="M91" s="97"/>
      <c r="N91" s="85">
        <f>30</f>
        <v>30</v>
      </c>
      <c r="O91" s="87">
        <v>240</v>
      </c>
      <c r="P91" s="87">
        <v>160</v>
      </c>
      <c r="Q91" s="87">
        <f t="shared" si="16"/>
        <v>195</v>
      </c>
      <c r="R91" s="87">
        <f t="shared" si="17"/>
        <v>100</v>
      </c>
      <c r="S91" s="85">
        <f t="shared" si="18"/>
        <v>695</v>
      </c>
      <c r="T91" s="85">
        <f>0</f>
        <v>0</v>
      </c>
      <c r="U91" s="83"/>
      <c r="V91" s="83"/>
      <c r="W91" s="83"/>
      <c r="X91" s="83"/>
      <c r="Y91" s="83"/>
      <c r="Z91" s="83"/>
      <c r="AA91" s="83"/>
      <c r="AB91" s="83"/>
      <c r="AC91" s="83"/>
      <c r="AD91" s="83"/>
    </row>
    <row r="92" spans="1:30" ht="15.75" x14ac:dyDescent="0.25">
      <c r="A92" s="16">
        <v>43344</v>
      </c>
      <c r="B92" s="96">
        <v>30</v>
      </c>
      <c r="C92" s="85">
        <f>194.205</f>
        <v>194.20500000000001</v>
      </c>
      <c r="D92" s="85">
        <f>267.466</f>
        <v>267.46600000000001</v>
      </c>
      <c r="E92" s="92">
        <f>133.845</f>
        <v>133.845</v>
      </c>
      <c r="F92" s="85">
        <f>278.484-40-25-60</f>
        <v>153.48399999999998</v>
      </c>
      <c r="G92" s="87">
        <v>40</v>
      </c>
      <c r="H92" s="85">
        <f t="shared" si="14"/>
        <v>85</v>
      </c>
      <c r="I92" s="85">
        <f t="shared" si="12"/>
        <v>0</v>
      </c>
      <c r="J92" s="87">
        <v>100</v>
      </c>
      <c r="K92" s="87">
        <v>300</v>
      </c>
      <c r="L92" s="85">
        <f t="shared" si="15"/>
        <v>1274</v>
      </c>
      <c r="M92" s="97"/>
      <c r="N92" s="85">
        <f>30</f>
        <v>30</v>
      </c>
      <c r="O92" s="87">
        <v>240</v>
      </c>
      <c r="P92" s="87">
        <v>160</v>
      </c>
      <c r="Q92" s="87">
        <f t="shared" si="16"/>
        <v>195</v>
      </c>
      <c r="R92" s="87">
        <f t="shared" si="17"/>
        <v>100</v>
      </c>
      <c r="S92" s="85">
        <f t="shared" si="18"/>
        <v>695</v>
      </c>
      <c r="T92" s="85">
        <f>0</f>
        <v>0</v>
      </c>
      <c r="U92" s="83"/>
      <c r="V92" s="83"/>
      <c r="W92" s="83"/>
      <c r="X92" s="83"/>
      <c r="Y92" s="83"/>
      <c r="Z92" s="83"/>
      <c r="AA92" s="83"/>
      <c r="AB92" s="83"/>
      <c r="AC92" s="83"/>
      <c r="AD92" s="83"/>
    </row>
    <row r="93" spans="1:30" ht="15.75" x14ac:dyDescent="0.25">
      <c r="A93" s="16">
        <v>43374</v>
      </c>
      <c r="B93" s="96">
        <v>31</v>
      </c>
      <c r="C93" s="85">
        <f>131.881</f>
        <v>131.881</v>
      </c>
      <c r="D93" s="85">
        <f>277.167</f>
        <v>277.16699999999997</v>
      </c>
      <c r="E93" s="92">
        <f>79.08</f>
        <v>79.08</v>
      </c>
      <c r="F93" s="85">
        <f>350.872-40-25-60</f>
        <v>225.87200000000001</v>
      </c>
      <c r="G93" s="87">
        <v>40</v>
      </c>
      <c r="H93" s="85">
        <f t="shared" si="14"/>
        <v>85</v>
      </c>
      <c r="I93" s="85">
        <f t="shared" si="12"/>
        <v>0</v>
      </c>
      <c r="J93" s="87">
        <v>100</v>
      </c>
      <c r="K93" s="87">
        <v>300</v>
      </c>
      <c r="L93" s="85">
        <f t="shared" si="15"/>
        <v>1239</v>
      </c>
      <c r="M93" s="97"/>
      <c r="N93" s="85">
        <f>75</f>
        <v>75</v>
      </c>
      <c r="O93" s="87">
        <v>240</v>
      </c>
      <c r="P93" s="87">
        <v>160</v>
      </c>
      <c r="Q93" s="87">
        <f t="shared" si="16"/>
        <v>195</v>
      </c>
      <c r="R93" s="87">
        <f t="shared" si="17"/>
        <v>100</v>
      </c>
      <c r="S93" s="85">
        <f t="shared" si="18"/>
        <v>695</v>
      </c>
      <c r="T93" s="85">
        <f>0</f>
        <v>0</v>
      </c>
      <c r="U93" s="83"/>
      <c r="V93" s="83"/>
      <c r="W93" s="83"/>
      <c r="X93" s="83"/>
      <c r="Y93" s="83"/>
      <c r="Z93" s="83"/>
      <c r="AA93" s="83"/>
      <c r="AB93" s="83"/>
      <c r="AC93" s="83"/>
      <c r="AD93" s="83"/>
    </row>
    <row r="94" spans="1:30" ht="15.75" x14ac:dyDescent="0.25">
      <c r="A94" s="16">
        <v>43405</v>
      </c>
      <c r="B94" s="96">
        <v>30</v>
      </c>
      <c r="C94" s="85">
        <f>122.58</f>
        <v>122.58</v>
      </c>
      <c r="D94" s="85">
        <f>297.941</f>
        <v>297.94099999999997</v>
      </c>
      <c r="E94" s="92">
        <f>89.177</f>
        <v>89.177000000000007</v>
      </c>
      <c r="F94" s="85">
        <f>240.302-40-60</f>
        <v>140.30199999999999</v>
      </c>
      <c r="G94" s="87">
        <v>40</v>
      </c>
      <c r="H94" s="85">
        <v>60</v>
      </c>
      <c r="I94" s="85">
        <f t="shared" si="12"/>
        <v>0</v>
      </c>
      <c r="J94" s="87">
        <v>100</v>
      </c>
      <c r="K94" s="87">
        <v>300</v>
      </c>
      <c r="L94" s="85">
        <f t="shared" si="15"/>
        <v>1150</v>
      </c>
      <c r="M94" s="97"/>
      <c r="N94" s="85">
        <f>100</f>
        <v>100</v>
      </c>
      <c r="O94" s="87">
        <v>240</v>
      </c>
      <c r="P94" s="87">
        <v>40</v>
      </c>
      <c r="Q94" s="87">
        <f t="shared" si="16"/>
        <v>315</v>
      </c>
      <c r="R94" s="87">
        <f t="shared" si="17"/>
        <v>100</v>
      </c>
      <c r="S94" s="85">
        <f t="shared" si="18"/>
        <v>695</v>
      </c>
      <c r="T94" s="85">
        <f>50</f>
        <v>50</v>
      </c>
      <c r="U94" s="83"/>
      <c r="V94" s="83"/>
      <c r="W94" s="83"/>
      <c r="X94" s="83"/>
      <c r="Y94" s="83"/>
      <c r="Z94" s="83"/>
      <c r="AA94" s="83"/>
      <c r="AB94" s="83"/>
      <c r="AC94" s="83"/>
      <c r="AD94" s="83"/>
    </row>
    <row r="95" spans="1:30" ht="15.75" x14ac:dyDescent="0.25">
      <c r="A95" s="16">
        <v>43435</v>
      </c>
      <c r="B95" s="96">
        <v>31</v>
      </c>
      <c r="C95" s="85">
        <f>122.58</f>
        <v>122.58</v>
      </c>
      <c r="D95" s="85">
        <f>297.941</f>
        <v>297.94099999999997</v>
      </c>
      <c r="E95" s="92">
        <f>89.177</f>
        <v>89.177000000000007</v>
      </c>
      <c r="F95" s="85">
        <f>240.302-40-60</f>
        <v>140.30199999999999</v>
      </c>
      <c r="G95" s="87">
        <v>40</v>
      </c>
      <c r="H95" s="85">
        <v>60</v>
      </c>
      <c r="I95" s="85">
        <f t="shared" si="12"/>
        <v>0</v>
      </c>
      <c r="J95" s="87">
        <v>100</v>
      </c>
      <c r="K95" s="87">
        <v>300</v>
      </c>
      <c r="L95" s="85">
        <f t="shared" si="15"/>
        <v>1150</v>
      </c>
      <c r="M95" s="97"/>
      <c r="N95" s="85">
        <f>100</f>
        <v>100</v>
      </c>
      <c r="O95" s="87">
        <v>240</v>
      </c>
      <c r="P95" s="87">
        <v>40</v>
      </c>
      <c r="Q95" s="87">
        <f t="shared" si="16"/>
        <v>315</v>
      </c>
      <c r="R95" s="87">
        <f t="shared" si="17"/>
        <v>100</v>
      </c>
      <c r="S95" s="85">
        <f t="shared" si="18"/>
        <v>695</v>
      </c>
      <c r="T95" s="85">
        <f>50</f>
        <v>50</v>
      </c>
      <c r="U95" s="83"/>
      <c r="V95" s="83"/>
      <c r="W95" s="83"/>
      <c r="X95" s="83"/>
      <c r="Y95" s="83"/>
      <c r="Z95" s="83"/>
      <c r="AA95" s="83"/>
      <c r="AB95" s="83"/>
      <c r="AC95" s="83"/>
      <c r="AD95" s="83"/>
    </row>
    <row r="96" spans="1:30" ht="15.75" x14ac:dyDescent="0.25">
      <c r="A96" s="16">
        <v>43466</v>
      </c>
      <c r="B96" s="96">
        <v>31</v>
      </c>
      <c r="C96" s="85">
        <f>122.58</f>
        <v>122.58</v>
      </c>
      <c r="D96" s="85">
        <f>297.941</f>
        <v>297.94099999999997</v>
      </c>
      <c r="E96" s="92">
        <f>89.177</f>
        <v>89.177000000000007</v>
      </c>
      <c r="F96" s="85">
        <f>240.302-40-60</f>
        <v>140.30199999999999</v>
      </c>
      <c r="G96" s="87">
        <v>40</v>
      </c>
      <c r="H96" s="85">
        <v>60</v>
      </c>
      <c r="I96" s="85">
        <f t="shared" si="12"/>
        <v>0</v>
      </c>
      <c r="J96" s="87">
        <v>100</v>
      </c>
      <c r="K96" s="87">
        <v>300</v>
      </c>
      <c r="L96" s="85">
        <f t="shared" si="15"/>
        <v>1150</v>
      </c>
      <c r="M96" s="97"/>
      <c r="N96" s="85">
        <f>100</f>
        <v>100</v>
      </c>
      <c r="O96" s="87">
        <v>240</v>
      </c>
      <c r="P96" s="87">
        <v>40</v>
      </c>
      <c r="Q96" s="87">
        <f t="shared" si="16"/>
        <v>315</v>
      </c>
      <c r="R96" s="87">
        <f t="shared" si="17"/>
        <v>100</v>
      </c>
      <c r="S96" s="85">
        <f t="shared" si="18"/>
        <v>695</v>
      </c>
      <c r="T96" s="85">
        <f>50</f>
        <v>50</v>
      </c>
      <c r="U96" s="83"/>
      <c r="V96" s="83"/>
      <c r="W96" s="83"/>
      <c r="X96" s="83"/>
      <c r="Y96" s="83"/>
      <c r="Z96" s="83"/>
      <c r="AA96" s="83"/>
      <c r="AB96" s="83"/>
      <c r="AC96" s="83"/>
      <c r="AD96" s="83"/>
    </row>
    <row r="97" spans="1:30" ht="15.75" x14ac:dyDescent="0.25">
      <c r="A97" s="16">
        <v>43497</v>
      </c>
      <c r="B97" s="96">
        <v>28</v>
      </c>
      <c r="C97" s="85">
        <f>122.58</f>
        <v>122.58</v>
      </c>
      <c r="D97" s="85">
        <f>297.941</f>
        <v>297.94099999999997</v>
      </c>
      <c r="E97" s="92">
        <f>89.177</f>
        <v>89.177000000000007</v>
      </c>
      <c r="F97" s="85">
        <f>240.302-40-60</f>
        <v>140.30199999999999</v>
      </c>
      <c r="G97" s="87">
        <v>40</v>
      </c>
      <c r="H97" s="85">
        <v>60</v>
      </c>
      <c r="I97" s="85">
        <f t="shared" si="12"/>
        <v>0</v>
      </c>
      <c r="J97" s="87">
        <v>100</v>
      </c>
      <c r="K97" s="87">
        <v>300</v>
      </c>
      <c r="L97" s="85">
        <f t="shared" si="15"/>
        <v>1150</v>
      </c>
      <c r="M97" s="97"/>
      <c r="N97" s="85">
        <f>100</f>
        <v>100</v>
      </c>
      <c r="O97" s="87">
        <v>240</v>
      </c>
      <c r="P97" s="87">
        <v>40</v>
      </c>
      <c r="Q97" s="87">
        <f t="shared" si="16"/>
        <v>315</v>
      </c>
      <c r="R97" s="87">
        <f t="shared" si="17"/>
        <v>100</v>
      </c>
      <c r="S97" s="85">
        <f t="shared" si="18"/>
        <v>695</v>
      </c>
      <c r="T97" s="85">
        <f>50</f>
        <v>50</v>
      </c>
      <c r="U97" s="83"/>
      <c r="V97" s="83"/>
      <c r="W97" s="83"/>
      <c r="X97" s="83"/>
      <c r="Y97" s="83"/>
      <c r="Z97" s="83"/>
      <c r="AA97" s="83"/>
      <c r="AB97" s="83"/>
      <c r="AC97" s="83"/>
      <c r="AD97" s="83"/>
    </row>
    <row r="98" spans="1:30" ht="15.75" x14ac:dyDescent="0.25">
      <c r="A98" s="16">
        <v>43525</v>
      </c>
      <c r="B98" s="96">
        <v>31</v>
      </c>
      <c r="C98" s="85">
        <f>122.58</f>
        <v>122.58</v>
      </c>
      <c r="D98" s="85">
        <f>297.941</f>
        <v>297.94099999999997</v>
      </c>
      <c r="E98" s="92">
        <f>89.177</f>
        <v>89.177000000000007</v>
      </c>
      <c r="F98" s="85">
        <f>240.302-40-60</f>
        <v>140.30199999999999</v>
      </c>
      <c r="G98" s="87">
        <v>40</v>
      </c>
      <c r="H98" s="85">
        <v>60</v>
      </c>
      <c r="I98" s="85">
        <f t="shared" si="12"/>
        <v>0</v>
      </c>
      <c r="J98" s="87">
        <v>100</v>
      </c>
      <c r="K98" s="87">
        <v>300</v>
      </c>
      <c r="L98" s="85">
        <f t="shared" si="15"/>
        <v>1150</v>
      </c>
      <c r="M98" s="97"/>
      <c r="N98" s="85">
        <f>100</f>
        <v>100</v>
      </c>
      <c r="O98" s="87">
        <v>240</v>
      </c>
      <c r="P98" s="87">
        <v>40</v>
      </c>
      <c r="Q98" s="87">
        <f t="shared" si="16"/>
        <v>315</v>
      </c>
      <c r="R98" s="87">
        <f t="shared" si="17"/>
        <v>100</v>
      </c>
      <c r="S98" s="85">
        <f t="shared" si="18"/>
        <v>695</v>
      </c>
      <c r="T98" s="85">
        <f>50</f>
        <v>50</v>
      </c>
      <c r="U98" s="83"/>
      <c r="V98" s="83"/>
      <c r="W98" s="83"/>
      <c r="X98" s="83"/>
      <c r="Y98" s="83"/>
      <c r="Z98" s="83"/>
      <c r="AA98" s="83"/>
      <c r="AB98" s="83"/>
      <c r="AC98" s="83"/>
      <c r="AD98" s="83"/>
    </row>
    <row r="99" spans="1:30" ht="15.75" x14ac:dyDescent="0.25">
      <c r="A99" s="16">
        <v>43556</v>
      </c>
      <c r="B99" s="96">
        <v>30</v>
      </c>
      <c r="C99" s="85">
        <f>141.293</f>
        <v>141.29300000000001</v>
      </c>
      <c r="D99" s="85">
        <f>267.993</f>
        <v>267.99299999999999</v>
      </c>
      <c r="E99" s="92">
        <f>115.016</f>
        <v>115.01600000000001</v>
      </c>
      <c r="F99" s="85">
        <f>314.698-40-25-60</f>
        <v>189.69799999999998</v>
      </c>
      <c r="G99" s="87">
        <v>40</v>
      </c>
      <c r="H99" s="85">
        <f t="shared" ref="H99:H105" si="19">25+60</f>
        <v>85</v>
      </c>
      <c r="I99" s="85">
        <f t="shared" si="12"/>
        <v>0</v>
      </c>
      <c r="J99" s="87">
        <v>100</v>
      </c>
      <c r="K99" s="87">
        <v>300</v>
      </c>
      <c r="L99" s="85">
        <f t="shared" si="15"/>
        <v>1239</v>
      </c>
      <c r="M99" s="97"/>
      <c r="N99" s="85">
        <f>100</f>
        <v>100</v>
      </c>
      <c r="O99" s="87">
        <v>240</v>
      </c>
      <c r="P99" s="87">
        <v>160</v>
      </c>
      <c r="Q99" s="87">
        <f t="shared" si="16"/>
        <v>195</v>
      </c>
      <c r="R99" s="87">
        <f t="shared" si="17"/>
        <v>100</v>
      </c>
      <c r="S99" s="85">
        <f t="shared" si="18"/>
        <v>695</v>
      </c>
      <c r="T99" s="85">
        <f>50</f>
        <v>50</v>
      </c>
      <c r="U99" s="83"/>
      <c r="V99" s="83"/>
      <c r="W99" s="83"/>
      <c r="X99" s="83"/>
      <c r="Y99" s="83"/>
      <c r="Z99" s="83"/>
      <c r="AA99" s="83"/>
      <c r="AB99" s="83"/>
      <c r="AC99" s="83"/>
      <c r="AD99" s="83"/>
    </row>
    <row r="100" spans="1:30" ht="15.75" x14ac:dyDescent="0.25">
      <c r="A100" s="16">
        <v>43586</v>
      </c>
      <c r="B100" s="96">
        <v>31</v>
      </c>
      <c r="C100" s="85">
        <f>194.205</f>
        <v>194.20500000000001</v>
      </c>
      <c r="D100" s="85">
        <f>267.466</f>
        <v>267.46600000000001</v>
      </c>
      <c r="E100" s="92">
        <f>133.845</f>
        <v>133.845</v>
      </c>
      <c r="F100" s="85">
        <f>278.484-40-25-60</f>
        <v>153.48399999999998</v>
      </c>
      <c r="G100" s="87">
        <v>40</v>
      </c>
      <c r="H100" s="85">
        <f t="shared" si="19"/>
        <v>85</v>
      </c>
      <c r="I100" s="85">
        <f t="shared" si="12"/>
        <v>0</v>
      </c>
      <c r="J100" s="87">
        <v>100</v>
      </c>
      <c r="K100" s="87">
        <v>300</v>
      </c>
      <c r="L100" s="85">
        <f t="shared" si="15"/>
        <v>1274</v>
      </c>
      <c r="M100" s="97"/>
      <c r="N100" s="85">
        <f>75</f>
        <v>75</v>
      </c>
      <c r="O100" s="87">
        <v>240</v>
      </c>
      <c r="P100" s="87">
        <v>160</v>
      </c>
      <c r="Q100" s="87">
        <f t="shared" si="16"/>
        <v>195</v>
      </c>
      <c r="R100" s="87">
        <f t="shared" si="17"/>
        <v>100</v>
      </c>
      <c r="S100" s="85">
        <f t="shared" si="18"/>
        <v>695</v>
      </c>
      <c r="T100" s="85">
        <f>50</f>
        <v>50</v>
      </c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</row>
    <row r="101" spans="1:30" ht="15.75" x14ac:dyDescent="0.25">
      <c r="A101" s="16">
        <v>43617</v>
      </c>
      <c r="B101" s="96">
        <v>30</v>
      </c>
      <c r="C101" s="85">
        <f>194.205</f>
        <v>194.20500000000001</v>
      </c>
      <c r="D101" s="85">
        <f>267.466</f>
        <v>267.46600000000001</v>
      </c>
      <c r="E101" s="92">
        <f>133.845</f>
        <v>133.845</v>
      </c>
      <c r="F101" s="85">
        <f>278.484-40-25-60</f>
        <v>153.48399999999998</v>
      </c>
      <c r="G101" s="87">
        <v>40</v>
      </c>
      <c r="H101" s="85">
        <f t="shared" si="19"/>
        <v>85</v>
      </c>
      <c r="I101" s="85">
        <f t="shared" si="12"/>
        <v>0</v>
      </c>
      <c r="J101" s="87">
        <v>100</v>
      </c>
      <c r="K101" s="87">
        <v>300</v>
      </c>
      <c r="L101" s="85">
        <f t="shared" si="15"/>
        <v>1274</v>
      </c>
      <c r="M101" s="97"/>
      <c r="N101" s="85">
        <f>30</f>
        <v>30</v>
      </c>
      <c r="O101" s="87">
        <v>240</v>
      </c>
      <c r="P101" s="87">
        <v>160</v>
      </c>
      <c r="Q101" s="87">
        <f t="shared" si="16"/>
        <v>195</v>
      </c>
      <c r="R101" s="87">
        <f t="shared" si="17"/>
        <v>100</v>
      </c>
      <c r="S101" s="85">
        <f t="shared" si="18"/>
        <v>695</v>
      </c>
      <c r="T101" s="85">
        <f>50</f>
        <v>50</v>
      </c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</row>
    <row r="102" spans="1:30" ht="15.75" x14ac:dyDescent="0.25">
      <c r="A102" s="16">
        <v>43647</v>
      </c>
      <c r="B102" s="96">
        <v>31</v>
      </c>
      <c r="C102" s="85">
        <f>194.205</f>
        <v>194.20500000000001</v>
      </c>
      <c r="D102" s="85">
        <f>267.466</f>
        <v>267.46600000000001</v>
      </c>
      <c r="E102" s="92">
        <f>133.845</f>
        <v>133.845</v>
      </c>
      <c r="F102" s="85">
        <f>278.484-40-25-60</f>
        <v>153.48399999999998</v>
      </c>
      <c r="G102" s="87">
        <v>40</v>
      </c>
      <c r="H102" s="85">
        <f t="shared" si="19"/>
        <v>85</v>
      </c>
      <c r="I102" s="85">
        <f t="shared" si="12"/>
        <v>0</v>
      </c>
      <c r="J102" s="87">
        <v>100</v>
      </c>
      <c r="K102" s="87">
        <v>300</v>
      </c>
      <c r="L102" s="85">
        <f t="shared" si="15"/>
        <v>1274</v>
      </c>
      <c r="M102" s="97"/>
      <c r="N102" s="85">
        <f>30</f>
        <v>30</v>
      </c>
      <c r="O102" s="87">
        <v>240</v>
      </c>
      <c r="P102" s="87">
        <v>160</v>
      </c>
      <c r="Q102" s="87">
        <f t="shared" si="16"/>
        <v>195</v>
      </c>
      <c r="R102" s="87">
        <f t="shared" si="17"/>
        <v>100</v>
      </c>
      <c r="S102" s="85">
        <f t="shared" si="18"/>
        <v>695</v>
      </c>
      <c r="T102" s="85">
        <f>0</f>
        <v>0</v>
      </c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</row>
    <row r="103" spans="1:30" ht="15.75" x14ac:dyDescent="0.25">
      <c r="A103" s="16">
        <v>43678</v>
      </c>
      <c r="B103" s="96">
        <v>31</v>
      </c>
      <c r="C103" s="85">
        <f>194.205</f>
        <v>194.20500000000001</v>
      </c>
      <c r="D103" s="85">
        <f>267.466</f>
        <v>267.46600000000001</v>
      </c>
      <c r="E103" s="92">
        <f>133.845</f>
        <v>133.845</v>
      </c>
      <c r="F103" s="85">
        <f>278.484-40-25-60</f>
        <v>153.48399999999998</v>
      </c>
      <c r="G103" s="87">
        <v>40</v>
      </c>
      <c r="H103" s="85">
        <f t="shared" si="19"/>
        <v>85</v>
      </c>
      <c r="I103" s="85">
        <f t="shared" si="12"/>
        <v>0</v>
      </c>
      <c r="J103" s="87">
        <v>100</v>
      </c>
      <c r="K103" s="87">
        <v>300</v>
      </c>
      <c r="L103" s="85">
        <f t="shared" si="15"/>
        <v>1274</v>
      </c>
      <c r="M103" s="97"/>
      <c r="N103" s="85">
        <f>30</f>
        <v>30</v>
      </c>
      <c r="O103" s="87">
        <v>240</v>
      </c>
      <c r="P103" s="87">
        <v>160</v>
      </c>
      <c r="Q103" s="87">
        <f t="shared" si="16"/>
        <v>195</v>
      </c>
      <c r="R103" s="87">
        <f t="shared" si="17"/>
        <v>100</v>
      </c>
      <c r="S103" s="85">
        <f t="shared" si="18"/>
        <v>695</v>
      </c>
      <c r="T103" s="85">
        <f>0</f>
        <v>0</v>
      </c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</row>
    <row r="104" spans="1:30" ht="15.75" x14ac:dyDescent="0.25">
      <c r="A104" s="16">
        <v>43709</v>
      </c>
      <c r="B104" s="96">
        <v>30</v>
      </c>
      <c r="C104" s="85">
        <f>194.205</f>
        <v>194.20500000000001</v>
      </c>
      <c r="D104" s="85">
        <f>267.466</f>
        <v>267.46600000000001</v>
      </c>
      <c r="E104" s="92">
        <f>133.845</f>
        <v>133.845</v>
      </c>
      <c r="F104" s="85">
        <f>278.484-40-25-60</f>
        <v>153.48399999999998</v>
      </c>
      <c r="G104" s="87">
        <v>40</v>
      </c>
      <c r="H104" s="85">
        <f t="shared" si="19"/>
        <v>85</v>
      </c>
      <c r="I104" s="85">
        <f t="shared" si="12"/>
        <v>0</v>
      </c>
      <c r="J104" s="87">
        <v>100</v>
      </c>
      <c r="K104" s="87">
        <v>300</v>
      </c>
      <c r="L104" s="85">
        <f t="shared" si="15"/>
        <v>1274</v>
      </c>
      <c r="M104" s="97"/>
      <c r="N104" s="85">
        <f>30</f>
        <v>30</v>
      </c>
      <c r="O104" s="87">
        <v>240</v>
      </c>
      <c r="P104" s="87">
        <v>160</v>
      </c>
      <c r="Q104" s="87">
        <f t="shared" si="16"/>
        <v>195</v>
      </c>
      <c r="R104" s="87">
        <f t="shared" si="17"/>
        <v>100</v>
      </c>
      <c r="S104" s="85">
        <f t="shared" si="18"/>
        <v>695</v>
      </c>
      <c r="T104" s="85">
        <f>0</f>
        <v>0</v>
      </c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</row>
    <row r="105" spans="1:30" ht="15.75" x14ac:dyDescent="0.25">
      <c r="A105" s="16">
        <v>43739</v>
      </c>
      <c r="B105" s="96">
        <v>31</v>
      </c>
      <c r="C105" s="85">
        <f>131.881</f>
        <v>131.881</v>
      </c>
      <c r="D105" s="85">
        <f>277.167</f>
        <v>277.16699999999997</v>
      </c>
      <c r="E105" s="92">
        <f>79.08</f>
        <v>79.08</v>
      </c>
      <c r="F105" s="85">
        <f>350.872-40-25-60</f>
        <v>225.87200000000001</v>
      </c>
      <c r="G105" s="87">
        <v>40</v>
      </c>
      <c r="H105" s="85">
        <f t="shared" si="19"/>
        <v>85</v>
      </c>
      <c r="I105" s="85">
        <f t="shared" si="12"/>
        <v>0</v>
      </c>
      <c r="J105" s="87">
        <v>100</v>
      </c>
      <c r="K105" s="87">
        <v>300</v>
      </c>
      <c r="L105" s="85">
        <f t="shared" si="15"/>
        <v>1239</v>
      </c>
      <c r="M105" s="97"/>
      <c r="N105" s="85">
        <f>75</f>
        <v>75</v>
      </c>
      <c r="O105" s="87">
        <v>240</v>
      </c>
      <c r="P105" s="87">
        <v>160</v>
      </c>
      <c r="Q105" s="87">
        <f t="shared" si="16"/>
        <v>195</v>
      </c>
      <c r="R105" s="87">
        <f t="shared" si="17"/>
        <v>100</v>
      </c>
      <c r="S105" s="85">
        <f t="shared" si="18"/>
        <v>695</v>
      </c>
      <c r="T105" s="85">
        <f>0</f>
        <v>0</v>
      </c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</row>
    <row r="106" spans="1:30" ht="15.75" x14ac:dyDescent="0.25">
      <c r="A106" s="16">
        <v>43770</v>
      </c>
      <c r="B106" s="96">
        <v>30</v>
      </c>
      <c r="C106" s="85">
        <f>122.58</f>
        <v>122.58</v>
      </c>
      <c r="D106" s="85">
        <f>297.941</f>
        <v>297.94099999999997</v>
      </c>
      <c r="E106" s="92">
        <f>89.177</f>
        <v>89.177000000000007</v>
      </c>
      <c r="F106" s="85">
        <f>240.302-40-60</f>
        <v>140.30199999999999</v>
      </c>
      <c r="G106" s="87">
        <v>40</v>
      </c>
      <c r="H106" s="85">
        <v>60</v>
      </c>
      <c r="I106" s="85">
        <f t="shared" si="12"/>
        <v>0</v>
      </c>
      <c r="J106" s="87">
        <v>100</v>
      </c>
      <c r="K106" s="87">
        <v>300</v>
      </c>
      <c r="L106" s="85">
        <f t="shared" si="15"/>
        <v>1150</v>
      </c>
      <c r="M106" s="97"/>
      <c r="N106" s="85">
        <f>100</f>
        <v>100</v>
      </c>
      <c r="O106" s="87">
        <v>240</v>
      </c>
      <c r="P106" s="87">
        <v>40</v>
      </c>
      <c r="Q106" s="87">
        <f t="shared" si="16"/>
        <v>315</v>
      </c>
      <c r="R106" s="87">
        <f t="shared" si="17"/>
        <v>100</v>
      </c>
      <c r="S106" s="85">
        <f t="shared" si="18"/>
        <v>695</v>
      </c>
      <c r="T106" s="85">
        <f>50</f>
        <v>50</v>
      </c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</row>
    <row r="107" spans="1:30" ht="15.75" x14ac:dyDescent="0.25">
      <c r="A107" s="16">
        <v>43800</v>
      </c>
      <c r="B107" s="96">
        <v>31</v>
      </c>
      <c r="C107" s="85">
        <f>122.58</f>
        <v>122.58</v>
      </c>
      <c r="D107" s="85">
        <f>297.941</f>
        <v>297.94099999999997</v>
      </c>
      <c r="E107" s="92">
        <f>89.177</f>
        <v>89.177000000000007</v>
      </c>
      <c r="F107" s="85">
        <f>240.302-40-60</f>
        <v>140.30199999999999</v>
      </c>
      <c r="G107" s="87">
        <v>40</v>
      </c>
      <c r="H107" s="85">
        <v>60</v>
      </c>
      <c r="I107" s="85">
        <f t="shared" si="12"/>
        <v>0</v>
      </c>
      <c r="J107" s="87">
        <v>100</v>
      </c>
      <c r="K107" s="87">
        <v>300</v>
      </c>
      <c r="L107" s="85">
        <f t="shared" si="15"/>
        <v>1150</v>
      </c>
      <c r="M107" s="97"/>
      <c r="N107" s="85">
        <f>100</f>
        <v>100</v>
      </c>
      <c r="O107" s="87">
        <v>240</v>
      </c>
      <c r="P107" s="87">
        <v>40</v>
      </c>
      <c r="Q107" s="87">
        <f t="shared" si="16"/>
        <v>315</v>
      </c>
      <c r="R107" s="87">
        <f t="shared" si="17"/>
        <v>100</v>
      </c>
      <c r="S107" s="85">
        <f t="shared" si="18"/>
        <v>695</v>
      </c>
      <c r="T107" s="85">
        <f>50</f>
        <v>50</v>
      </c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</row>
    <row r="108" spans="1:30" ht="15.75" x14ac:dyDescent="0.25">
      <c r="A108" s="16">
        <v>43831</v>
      </c>
      <c r="B108" s="96">
        <v>31</v>
      </c>
      <c r="C108" s="85">
        <f>122.58</f>
        <v>122.58</v>
      </c>
      <c r="D108" s="85">
        <f>297.941</f>
        <v>297.94099999999997</v>
      </c>
      <c r="E108" s="92">
        <f>89.177</f>
        <v>89.177000000000007</v>
      </c>
      <c r="F108" s="85">
        <f>240.302-40-60</f>
        <v>140.30199999999999</v>
      </c>
      <c r="G108" s="87">
        <v>40</v>
      </c>
      <c r="H108" s="85">
        <v>60</v>
      </c>
      <c r="I108" s="85">
        <f t="shared" si="12"/>
        <v>0</v>
      </c>
      <c r="J108" s="87">
        <v>100</v>
      </c>
      <c r="K108" s="87">
        <v>300</v>
      </c>
      <c r="L108" s="85">
        <f t="shared" si="15"/>
        <v>1150</v>
      </c>
      <c r="M108" s="97"/>
      <c r="N108" s="85">
        <f>100</f>
        <v>100</v>
      </c>
      <c r="O108" s="87">
        <v>240</v>
      </c>
      <c r="P108" s="87">
        <v>40</v>
      </c>
      <c r="Q108" s="87">
        <f t="shared" si="16"/>
        <v>315</v>
      </c>
      <c r="R108" s="87">
        <f t="shared" si="17"/>
        <v>100</v>
      </c>
      <c r="S108" s="85">
        <f t="shared" si="18"/>
        <v>695</v>
      </c>
      <c r="T108" s="85">
        <f>50</f>
        <v>50</v>
      </c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</row>
    <row r="109" spans="1:30" ht="15.75" x14ac:dyDescent="0.25">
      <c r="A109" s="16">
        <v>43862</v>
      </c>
      <c r="B109" s="96">
        <v>29</v>
      </c>
      <c r="C109" s="85">
        <f>122.58</f>
        <v>122.58</v>
      </c>
      <c r="D109" s="85">
        <f>297.941</f>
        <v>297.94099999999997</v>
      </c>
      <c r="E109" s="92">
        <f>89.177</f>
        <v>89.177000000000007</v>
      </c>
      <c r="F109" s="85">
        <f>240.302-40-60</f>
        <v>140.30199999999999</v>
      </c>
      <c r="G109" s="87">
        <v>40</v>
      </c>
      <c r="H109" s="85">
        <v>60</v>
      </c>
      <c r="I109" s="85">
        <f t="shared" si="12"/>
        <v>0</v>
      </c>
      <c r="J109" s="87">
        <v>100</v>
      </c>
      <c r="K109" s="87">
        <v>300</v>
      </c>
      <c r="L109" s="85">
        <f t="shared" si="15"/>
        <v>1150</v>
      </c>
      <c r="M109" s="97"/>
      <c r="N109" s="85">
        <f>100</f>
        <v>100</v>
      </c>
      <c r="O109" s="87">
        <v>240</v>
      </c>
      <c r="P109" s="87">
        <v>40</v>
      </c>
      <c r="Q109" s="87">
        <f t="shared" si="16"/>
        <v>315</v>
      </c>
      <c r="R109" s="87">
        <f t="shared" si="17"/>
        <v>100</v>
      </c>
      <c r="S109" s="85">
        <f t="shared" si="18"/>
        <v>695</v>
      </c>
      <c r="T109" s="85">
        <f>50</f>
        <v>50</v>
      </c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</row>
    <row r="110" spans="1:30" ht="15.75" x14ac:dyDescent="0.25">
      <c r="A110" s="16">
        <v>43891</v>
      </c>
      <c r="B110" s="96">
        <v>31</v>
      </c>
      <c r="C110" s="85">
        <f>122.58</f>
        <v>122.58</v>
      </c>
      <c r="D110" s="85">
        <f>297.941</f>
        <v>297.94099999999997</v>
      </c>
      <c r="E110" s="92">
        <f>89.177</f>
        <v>89.177000000000007</v>
      </c>
      <c r="F110" s="85">
        <f>240.302-40-60</f>
        <v>140.30199999999999</v>
      </c>
      <c r="G110" s="87">
        <v>40</v>
      </c>
      <c r="H110" s="85">
        <v>60</v>
      </c>
      <c r="I110" s="85">
        <f t="shared" si="12"/>
        <v>0</v>
      </c>
      <c r="J110" s="87">
        <v>100</v>
      </c>
      <c r="K110" s="87">
        <v>300</v>
      </c>
      <c r="L110" s="85">
        <f t="shared" si="15"/>
        <v>1150</v>
      </c>
      <c r="M110" s="97"/>
      <c r="N110" s="85">
        <f>100</f>
        <v>100</v>
      </c>
      <c r="O110" s="87">
        <v>240</v>
      </c>
      <c r="P110" s="87">
        <v>40</v>
      </c>
      <c r="Q110" s="87">
        <f t="shared" si="16"/>
        <v>315</v>
      </c>
      <c r="R110" s="87">
        <f t="shared" si="17"/>
        <v>100</v>
      </c>
      <c r="S110" s="85">
        <f t="shared" si="18"/>
        <v>695</v>
      </c>
      <c r="T110" s="85">
        <f>50</f>
        <v>50</v>
      </c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</row>
    <row r="111" spans="1:30" ht="15.75" x14ac:dyDescent="0.25">
      <c r="A111" s="16">
        <v>43922</v>
      </c>
      <c r="B111" s="96">
        <v>30</v>
      </c>
      <c r="C111" s="85">
        <f>141.293</f>
        <v>141.29300000000001</v>
      </c>
      <c r="D111" s="85">
        <f>267.993</f>
        <v>267.99299999999999</v>
      </c>
      <c r="E111" s="92">
        <f>115.016</f>
        <v>115.01600000000001</v>
      </c>
      <c r="F111" s="85">
        <f>314.698-40-25-60</f>
        <v>189.69799999999998</v>
      </c>
      <c r="G111" s="87">
        <v>40</v>
      </c>
      <c r="H111" s="85">
        <f t="shared" ref="H111:H117" si="20">25+60</f>
        <v>85</v>
      </c>
      <c r="I111" s="85">
        <f t="shared" si="12"/>
        <v>0</v>
      </c>
      <c r="J111" s="87">
        <v>100</v>
      </c>
      <c r="K111" s="87">
        <v>300</v>
      </c>
      <c r="L111" s="85">
        <f t="shared" si="15"/>
        <v>1239</v>
      </c>
      <c r="M111" s="97"/>
      <c r="N111" s="85">
        <f>100</f>
        <v>100</v>
      </c>
      <c r="O111" s="87">
        <v>240</v>
      </c>
      <c r="P111" s="87">
        <v>160</v>
      </c>
      <c r="Q111" s="87">
        <f t="shared" si="16"/>
        <v>195</v>
      </c>
      <c r="R111" s="87">
        <f t="shared" si="17"/>
        <v>100</v>
      </c>
      <c r="S111" s="85">
        <f t="shared" si="18"/>
        <v>695</v>
      </c>
      <c r="T111" s="85">
        <f>50</f>
        <v>50</v>
      </c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</row>
    <row r="112" spans="1:30" ht="15.75" x14ac:dyDescent="0.25">
      <c r="A112" s="16">
        <v>43952</v>
      </c>
      <c r="B112" s="96">
        <v>31</v>
      </c>
      <c r="C112" s="85">
        <f>194.205</f>
        <v>194.20500000000001</v>
      </c>
      <c r="D112" s="85">
        <f>267.466</f>
        <v>267.46600000000001</v>
      </c>
      <c r="E112" s="92">
        <f>133.845</f>
        <v>133.845</v>
      </c>
      <c r="F112" s="85">
        <f>278.484-40-25-60</f>
        <v>153.48399999999998</v>
      </c>
      <c r="G112" s="87">
        <v>40</v>
      </c>
      <c r="H112" s="85">
        <f t="shared" si="20"/>
        <v>85</v>
      </c>
      <c r="I112" s="85">
        <f t="shared" si="12"/>
        <v>0</v>
      </c>
      <c r="J112" s="87">
        <v>100</v>
      </c>
      <c r="K112" s="87">
        <v>300</v>
      </c>
      <c r="L112" s="85">
        <f t="shared" si="15"/>
        <v>1274</v>
      </c>
      <c r="M112" s="97"/>
      <c r="N112" s="85">
        <f>75</f>
        <v>75</v>
      </c>
      <c r="O112" s="87">
        <v>240</v>
      </c>
      <c r="P112" s="87">
        <v>160</v>
      </c>
      <c r="Q112" s="87">
        <f t="shared" si="16"/>
        <v>195</v>
      </c>
      <c r="R112" s="87">
        <f t="shared" si="17"/>
        <v>100</v>
      </c>
      <c r="S112" s="85">
        <f t="shared" si="18"/>
        <v>695</v>
      </c>
      <c r="T112" s="85">
        <f>50</f>
        <v>50</v>
      </c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</row>
    <row r="113" spans="1:30" ht="15.75" x14ac:dyDescent="0.25">
      <c r="A113" s="16">
        <v>43983</v>
      </c>
      <c r="B113" s="96">
        <v>30</v>
      </c>
      <c r="C113" s="85">
        <f>194.205</f>
        <v>194.20500000000001</v>
      </c>
      <c r="D113" s="85">
        <f>267.466</f>
        <v>267.46600000000001</v>
      </c>
      <c r="E113" s="92">
        <f>133.845</f>
        <v>133.845</v>
      </c>
      <c r="F113" s="85">
        <f>278.484-40-25-60</f>
        <v>153.48399999999998</v>
      </c>
      <c r="G113" s="87">
        <v>40</v>
      </c>
      <c r="H113" s="85">
        <f t="shared" si="20"/>
        <v>85</v>
      </c>
      <c r="I113" s="85">
        <f t="shared" si="12"/>
        <v>0</v>
      </c>
      <c r="J113" s="87">
        <v>100</v>
      </c>
      <c r="K113" s="87">
        <v>300</v>
      </c>
      <c r="L113" s="85">
        <f t="shared" si="15"/>
        <v>1274</v>
      </c>
      <c r="M113" s="97"/>
      <c r="N113" s="85">
        <f>30</f>
        <v>30</v>
      </c>
      <c r="O113" s="87">
        <v>240</v>
      </c>
      <c r="P113" s="87">
        <v>160</v>
      </c>
      <c r="Q113" s="87">
        <f t="shared" si="16"/>
        <v>195</v>
      </c>
      <c r="R113" s="87">
        <f t="shared" si="17"/>
        <v>100</v>
      </c>
      <c r="S113" s="85">
        <f t="shared" si="18"/>
        <v>695</v>
      </c>
      <c r="T113" s="85">
        <f>50</f>
        <v>50</v>
      </c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</row>
    <row r="114" spans="1:30" ht="15.75" x14ac:dyDescent="0.25">
      <c r="A114" s="16">
        <v>44013</v>
      </c>
      <c r="B114" s="96">
        <v>31</v>
      </c>
      <c r="C114" s="85">
        <f>194.205</f>
        <v>194.20500000000001</v>
      </c>
      <c r="D114" s="85">
        <f>267.466</f>
        <v>267.46600000000001</v>
      </c>
      <c r="E114" s="92">
        <f>133.845</f>
        <v>133.845</v>
      </c>
      <c r="F114" s="85">
        <f>278.484-40-25-60</f>
        <v>153.48399999999998</v>
      </c>
      <c r="G114" s="87">
        <v>40</v>
      </c>
      <c r="H114" s="85">
        <f t="shared" si="20"/>
        <v>85</v>
      </c>
      <c r="I114" s="85">
        <f t="shared" si="12"/>
        <v>0</v>
      </c>
      <c r="J114" s="87">
        <v>100</v>
      </c>
      <c r="K114" s="87">
        <v>300</v>
      </c>
      <c r="L114" s="85">
        <f t="shared" si="15"/>
        <v>1274</v>
      </c>
      <c r="M114" s="97"/>
      <c r="N114" s="85">
        <f>30</f>
        <v>30</v>
      </c>
      <c r="O114" s="87">
        <v>240</v>
      </c>
      <c r="P114" s="87">
        <v>160</v>
      </c>
      <c r="Q114" s="87">
        <f t="shared" si="16"/>
        <v>195</v>
      </c>
      <c r="R114" s="87">
        <f t="shared" si="17"/>
        <v>100</v>
      </c>
      <c r="S114" s="85">
        <f t="shared" si="18"/>
        <v>695</v>
      </c>
      <c r="T114" s="85">
        <f>0</f>
        <v>0</v>
      </c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</row>
    <row r="115" spans="1:30" ht="15.75" x14ac:dyDescent="0.25">
      <c r="A115" s="16">
        <v>44044</v>
      </c>
      <c r="B115" s="96">
        <v>31</v>
      </c>
      <c r="C115" s="85">
        <f>194.205</f>
        <v>194.20500000000001</v>
      </c>
      <c r="D115" s="85">
        <f>267.466</f>
        <v>267.46600000000001</v>
      </c>
      <c r="E115" s="92">
        <f>133.845</f>
        <v>133.845</v>
      </c>
      <c r="F115" s="85">
        <f>278.484-40-25-60</f>
        <v>153.48399999999998</v>
      </c>
      <c r="G115" s="87">
        <v>40</v>
      </c>
      <c r="H115" s="85">
        <f t="shared" si="20"/>
        <v>85</v>
      </c>
      <c r="I115" s="85">
        <f t="shared" si="12"/>
        <v>0</v>
      </c>
      <c r="J115" s="87">
        <v>100</v>
      </c>
      <c r="K115" s="87">
        <v>300</v>
      </c>
      <c r="L115" s="85">
        <f t="shared" si="15"/>
        <v>1274</v>
      </c>
      <c r="M115" s="97"/>
      <c r="N115" s="85">
        <f>30</f>
        <v>30</v>
      </c>
      <c r="O115" s="87">
        <v>240</v>
      </c>
      <c r="P115" s="87">
        <v>160</v>
      </c>
      <c r="Q115" s="87">
        <f t="shared" si="16"/>
        <v>195</v>
      </c>
      <c r="R115" s="87">
        <f t="shared" si="17"/>
        <v>100</v>
      </c>
      <c r="S115" s="85">
        <f t="shared" si="18"/>
        <v>695</v>
      </c>
      <c r="T115" s="85">
        <f>0</f>
        <v>0</v>
      </c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</row>
    <row r="116" spans="1:30" ht="15.75" x14ac:dyDescent="0.25">
      <c r="A116" s="16">
        <v>44075</v>
      </c>
      <c r="B116" s="96">
        <v>30</v>
      </c>
      <c r="C116" s="85">
        <f>194.205</f>
        <v>194.20500000000001</v>
      </c>
      <c r="D116" s="85">
        <f>267.466</f>
        <v>267.46600000000001</v>
      </c>
      <c r="E116" s="92">
        <f>133.845</f>
        <v>133.845</v>
      </c>
      <c r="F116" s="85">
        <f>278.484-40-25-60</f>
        <v>153.48399999999998</v>
      </c>
      <c r="G116" s="87">
        <v>40</v>
      </c>
      <c r="H116" s="85">
        <f t="shared" si="20"/>
        <v>85</v>
      </c>
      <c r="I116" s="85">
        <f t="shared" si="12"/>
        <v>0</v>
      </c>
      <c r="J116" s="87">
        <v>100</v>
      </c>
      <c r="K116" s="87">
        <v>300</v>
      </c>
      <c r="L116" s="85">
        <f t="shared" si="15"/>
        <v>1274</v>
      </c>
      <c r="M116" s="97"/>
      <c r="N116" s="85">
        <f>30</f>
        <v>30</v>
      </c>
      <c r="O116" s="87">
        <v>240</v>
      </c>
      <c r="P116" s="87">
        <v>160</v>
      </c>
      <c r="Q116" s="87">
        <f t="shared" si="16"/>
        <v>195</v>
      </c>
      <c r="R116" s="87">
        <f t="shared" si="17"/>
        <v>100</v>
      </c>
      <c r="S116" s="85">
        <f t="shared" si="18"/>
        <v>695</v>
      </c>
      <c r="T116" s="85">
        <f>0</f>
        <v>0</v>
      </c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</row>
    <row r="117" spans="1:30" ht="15.75" x14ac:dyDescent="0.25">
      <c r="A117" s="16">
        <v>44105</v>
      </c>
      <c r="B117" s="96">
        <v>31</v>
      </c>
      <c r="C117" s="85">
        <f>131.881</f>
        <v>131.881</v>
      </c>
      <c r="D117" s="85">
        <f>277.167</f>
        <v>277.16699999999997</v>
      </c>
      <c r="E117" s="92">
        <f>79.08</f>
        <v>79.08</v>
      </c>
      <c r="F117" s="85">
        <f>350.872-40-25-60</f>
        <v>225.87200000000001</v>
      </c>
      <c r="G117" s="87">
        <v>40</v>
      </c>
      <c r="H117" s="85">
        <f t="shared" si="20"/>
        <v>85</v>
      </c>
      <c r="I117" s="85">
        <f t="shared" si="12"/>
        <v>0</v>
      </c>
      <c r="J117" s="87">
        <v>100</v>
      </c>
      <c r="K117" s="87">
        <v>300</v>
      </c>
      <c r="L117" s="85">
        <f t="shared" si="15"/>
        <v>1239</v>
      </c>
      <c r="M117" s="97"/>
      <c r="N117" s="85">
        <f>75</f>
        <v>75</v>
      </c>
      <c r="O117" s="87">
        <v>240</v>
      </c>
      <c r="P117" s="87">
        <v>160</v>
      </c>
      <c r="Q117" s="87">
        <f t="shared" si="16"/>
        <v>195</v>
      </c>
      <c r="R117" s="87">
        <f t="shared" si="17"/>
        <v>100</v>
      </c>
      <c r="S117" s="85">
        <f t="shared" si="18"/>
        <v>695</v>
      </c>
      <c r="T117" s="85">
        <f>0</f>
        <v>0</v>
      </c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</row>
    <row r="118" spans="1:30" ht="15.75" x14ac:dyDescent="0.25">
      <c r="A118" s="16">
        <v>44136</v>
      </c>
      <c r="B118" s="96">
        <v>30</v>
      </c>
      <c r="C118" s="85">
        <f>122.58</f>
        <v>122.58</v>
      </c>
      <c r="D118" s="85">
        <f>297.941</f>
        <v>297.94099999999997</v>
      </c>
      <c r="E118" s="92">
        <f>89.177</f>
        <v>89.177000000000007</v>
      </c>
      <c r="F118" s="85">
        <f>240.302-40-60</f>
        <v>140.30199999999999</v>
      </c>
      <c r="G118" s="87">
        <v>40</v>
      </c>
      <c r="H118" s="85">
        <v>60</v>
      </c>
      <c r="I118" s="85">
        <f t="shared" si="12"/>
        <v>0</v>
      </c>
      <c r="J118" s="87">
        <v>100</v>
      </c>
      <c r="K118" s="87">
        <v>300</v>
      </c>
      <c r="L118" s="85">
        <f t="shared" si="15"/>
        <v>1150</v>
      </c>
      <c r="M118" s="97"/>
      <c r="N118" s="85">
        <f>100</f>
        <v>100</v>
      </c>
      <c r="O118" s="87">
        <v>240</v>
      </c>
      <c r="P118" s="87">
        <v>40</v>
      </c>
      <c r="Q118" s="87">
        <f t="shared" si="16"/>
        <v>315</v>
      </c>
      <c r="R118" s="87">
        <f t="shared" si="17"/>
        <v>100</v>
      </c>
      <c r="S118" s="85">
        <f t="shared" si="18"/>
        <v>695</v>
      </c>
      <c r="T118" s="85">
        <f>50</f>
        <v>50</v>
      </c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</row>
    <row r="119" spans="1:30" ht="15.75" x14ac:dyDescent="0.25">
      <c r="A119" s="16">
        <v>44166</v>
      </c>
      <c r="B119" s="96">
        <v>31</v>
      </c>
      <c r="C119" s="85">
        <f>122.58</f>
        <v>122.58</v>
      </c>
      <c r="D119" s="85">
        <f>297.941</f>
        <v>297.94099999999997</v>
      </c>
      <c r="E119" s="92">
        <f>89.177</f>
        <v>89.177000000000007</v>
      </c>
      <c r="F119" s="85">
        <f>240.302-40-60</f>
        <v>140.30199999999999</v>
      </c>
      <c r="G119" s="87">
        <v>40</v>
      </c>
      <c r="H119" s="85">
        <v>60</v>
      </c>
      <c r="I119" s="85">
        <f t="shared" si="12"/>
        <v>0</v>
      </c>
      <c r="J119" s="87">
        <v>100</v>
      </c>
      <c r="K119" s="87">
        <v>300</v>
      </c>
      <c r="L119" s="85">
        <f t="shared" si="15"/>
        <v>1150</v>
      </c>
      <c r="M119" s="97"/>
      <c r="N119" s="85">
        <f>100</f>
        <v>100</v>
      </c>
      <c r="O119" s="87">
        <v>240</v>
      </c>
      <c r="P119" s="87">
        <v>40</v>
      </c>
      <c r="Q119" s="87">
        <f t="shared" si="16"/>
        <v>315</v>
      </c>
      <c r="R119" s="87">
        <f t="shared" si="17"/>
        <v>100</v>
      </c>
      <c r="S119" s="85">
        <f t="shared" si="18"/>
        <v>695</v>
      </c>
      <c r="T119" s="85">
        <f>50</f>
        <v>50</v>
      </c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</row>
    <row r="120" spans="1:30" ht="15.75" x14ac:dyDescent="0.25">
      <c r="A120" s="16">
        <v>44197</v>
      </c>
      <c r="B120" s="96">
        <v>31</v>
      </c>
      <c r="C120" s="85">
        <f>122.58</f>
        <v>122.58</v>
      </c>
      <c r="D120" s="85">
        <f>297.941</f>
        <v>297.94099999999997</v>
      </c>
      <c r="E120" s="92">
        <f>89.177</f>
        <v>89.177000000000007</v>
      </c>
      <c r="F120" s="85">
        <f>240.302-40-60</f>
        <v>140.30199999999999</v>
      </c>
      <c r="G120" s="87">
        <v>40</v>
      </c>
      <c r="H120" s="85">
        <v>60</v>
      </c>
      <c r="I120" s="85">
        <f t="shared" si="12"/>
        <v>0</v>
      </c>
      <c r="J120" s="87">
        <v>100</v>
      </c>
      <c r="K120" s="87">
        <v>300</v>
      </c>
      <c r="L120" s="85">
        <f t="shared" si="15"/>
        <v>1150</v>
      </c>
      <c r="M120" s="97"/>
      <c r="N120" s="85">
        <f>100</f>
        <v>100</v>
      </c>
      <c r="O120" s="87">
        <v>240</v>
      </c>
      <c r="P120" s="87">
        <v>40</v>
      </c>
      <c r="Q120" s="87">
        <f t="shared" si="16"/>
        <v>315</v>
      </c>
      <c r="R120" s="87">
        <f t="shared" si="17"/>
        <v>100</v>
      </c>
      <c r="S120" s="85">
        <f t="shared" si="18"/>
        <v>695</v>
      </c>
      <c r="T120" s="85">
        <f>50</f>
        <v>50</v>
      </c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</row>
    <row r="121" spans="1:30" ht="15.75" x14ac:dyDescent="0.25">
      <c r="A121" s="16">
        <v>44228</v>
      </c>
      <c r="B121" s="96">
        <v>28</v>
      </c>
      <c r="C121" s="85">
        <f>122.58</f>
        <v>122.58</v>
      </c>
      <c r="D121" s="85">
        <f>297.941</f>
        <v>297.94099999999997</v>
      </c>
      <c r="E121" s="92">
        <f>89.177</f>
        <v>89.177000000000007</v>
      </c>
      <c r="F121" s="85">
        <f>240.302-40-60</f>
        <v>140.30199999999999</v>
      </c>
      <c r="G121" s="87">
        <v>40</v>
      </c>
      <c r="H121" s="85">
        <v>60</v>
      </c>
      <c r="I121" s="85">
        <f t="shared" si="12"/>
        <v>0</v>
      </c>
      <c r="J121" s="87">
        <v>100</v>
      </c>
      <c r="K121" s="87">
        <v>300</v>
      </c>
      <c r="L121" s="85">
        <f t="shared" si="15"/>
        <v>1150</v>
      </c>
      <c r="M121" s="97"/>
      <c r="N121" s="85">
        <f>100</f>
        <v>100</v>
      </c>
      <c r="O121" s="87">
        <v>240</v>
      </c>
      <c r="P121" s="87">
        <v>40</v>
      </c>
      <c r="Q121" s="87">
        <f t="shared" si="16"/>
        <v>315</v>
      </c>
      <c r="R121" s="87">
        <f t="shared" si="17"/>
        <v>100</v>
      </c>
      <c r="S121" s="85">
        <f t="shared" si="18"/>
        <v>695</v>
      </c>
      <c r="T121" s="85">
        <f>50</f>
        <v>50</v>
      </c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</row>
    <row r="122" spans="1:30" ht="15.75" x14ac:dyDescent="0.25">
      <c r="A122" s="16">
        <v>44256</v>
      </c>
      <c r="B122" s="96">
        <v>31</v>
      </c>
      <c r="C122" s="85">
        <f>122.58</f>
        <v>122.58</v>
      </c>
      <c r="D122" s="85">
        <f>297.941</f>
        <v>297.94099999999997</v>
      </c>
      <c r="E122" s="92">
        <f>89.177</f>
        <v>89.177000000000007</v>
      </c>
      <c r="F122" s="85">
        <f>240.302-40-60</f>
        <v>140.30199999999999</v>
      </c>
      <c r="G122" s="87">
        <v>40</v>
      </c>
      <c r="H122" s="85">
        <v>60</v>
      </c>
      <c r="I122" s="85">
        <f t="shared" si="12"/>
        <v>0</v>
      </c>
      <c r="J122" s="87">
        <v>100</v>
      </c>
      <c r="K122" s="87">
        <v>300</v>
      </c>
      <c r="L122" s="85">
        <f t="shared" si="15"/>
        <v>1150</v>
      </c>
      <c r="M122" s="97"/>
      <c r="N122" s="85">
        <f>100</f>
        <v>100</v>
      </c>
      <c r="O122" s="87">
        <v>240</v>
      </c>
      <c r="P122" s="87">
        <v>40</v>
      </c>
      <c r="Q122" s="87">
        <f t="shared" si="16"/>
        <v>315</v>
      </c>
      <c r="R122" s="87">
        <f t="shared" si="17"/>
        <v>100</v>
      </c>
      <c r="S122" s="85">
        <f t="shared" si="18"/>
        <v>695</v>
      </c>
      <c r="T122" s="85">
        <f>50</f>
        <v>50</v>
      </c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</row>
    <row r="123" spans="1:30" ht="15.75" x14ac:dyDescent="0.25">
      <c r="A123" s="16">
        <v>44287</v>
      </c>
      <c r="B123" s="96">
        <v>30</v>
      </c>
      <c r="C123" s="85">
        <f>141.293</f>
        <v>141.29300000000001</v>
      </c>
      <c r="D123" s="85">
        <f>267.993</f>
        <v>267.99299999999999</v>
      </c>
      <c r="E123" s="92">
        <f>115.016</f>
        <v>115.01600000000001</v>
      </c>
      <c r="F123" s="85">
        <f>314.698-40-25-60</f>
        <v>189.69799999999998</v>
      </c>
      <c r="G123" s="87">
        <v>40</v>
      </c>
      <c r="H123" s="85">
        <f t="shared" ref="H123:H129" si="21">25+60</f>
        <v>85</v>
      </c>
      <c r="I123" s="85">
        <f t="shared" si="12"/>
        <v>0</v>
      </c>
      <c r="J123" s="87">
        <v>100</v>
      </c>
      <c r="K123" s="87">
        <v>300</v>
      </c>
      <c r="L123" s="85">
        <f t="shared" si="15"/>
        <v>1239</v>
      </c>
      <c r="M123" s="97"/>
      <c r="N123" s="85">
        <f>100</f>
        <v>100</v>
      </c>
      <c r="O123" s="87">
        <v>240</v>
      </c>
      <c r="P123" s="87">
        <v>160</v>
      </c>
      <c r="Q123" s="87">
        <f t="shared" si="16"/>
        <v>195</v>
      </c>
      <c r="R123" s="87">
        <f t="shared" si="17"/>
        <v>100</v>
      </c>
      <c r="S123" s="85">
        <f t="shared" si="18"/>
        <v>695</v>
      </c>
      <c r="T123" s="85">
        <f>50</f>
        <v>50</v>
      </c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</row>
    <row r="124" spans="1:30" ht="15.75" x14ac:dyDescent="0.25">
      <c r="A124" s="16">
        <v>44317</v>
      </c>
      <c r="B124" s="96">
        <v>31</v>
      </c>
      <c r="C124" s="85">
        <f>194.205</f>
        <v>194.20500000000001</v>
      </c>
      <c r="D124" s="85">
        <f>267.466</f>
        <v>267.46600000000001</v>
      </c>
      <c r="E124" s="92">
        <f>133.845</f>
        <v>133.845</v>
      </c>
      <c r="F124" s="85">
        <f>278.484-40-25-60</f>
        <v>153.48399999999998</v>
      </c>
      <c r="G124" s="87">
        <v>40</v>
      </c>
      <c r="H124" s="85">
        <f t="shared" si="21"/>
        <v>85</v>
      </c>
      <c r="I124" s="85">
        <f t="shared" si="12"/>
        <v>0</v>
      </c>
      <c r="J124" s="87">
        <v>100</v>
      </c>
      <c r="K124" s="87">
        <v>300</v>
      </c>
      <c r="L124" s="85">
        <f t="shared" si="15"/>
        <v>1274</v>
      </c>
      <c r="M124" s="97"/>
      <c r="N124" s="85">
        <f>75</f>
        <v>75</v>
      </c>
      <c r="O124" s="87">
        <v>240</v>
      </c>
      <c r="P124" s="87">
        <v>160</v>
      </c>
      <c r="Q124" s="87">
        <f t="shared" si="16"/>
        <v>195</v>
      </c>
      <c r="R124" s="87">
        <f t="shared" si="17"/>
        <v>100</v>
      </c>
      <c r="S124" s="85">
        <f t="shared" si="18"/>
        <v>695</v>
      </c>
      <c r="T124" s="85">
        <f>50</f>
        <v>50</v>
      </c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</row>
    <row r="125" spans="1:30" ht="15.75" x14ac:dyDescent="0.25">
      <c r="A125" s="16">
        <v>44348</v>
      </c>
      <c r="B125" s="96">
        <v>30</v>
      </c>
      <c r="C125" s="85">
        <f>194.205</f>
        <v>194.20500000000001</v>
      </c>
      <c r="D125" s="85">
        <f>267.466</f>
        <v>267.46600000000001</v>
      </c>
      <c r="E125" s="92">
        <f>133.845</f>
        <v>133.845</v>
      </c>
      <c r="F125" s="85">
        <f>278.484-40-25-60</f>
        <v>153.48399999999998</v>
      </c>
      <c r="G125" s="87">
        <v>40</v>
      </c>
      <c r="H125" s="85">
        <f t="shared" si="21"/>
        <v>85</v>
      </c>
      <c r="I125" s="85">
        <f t="shared" si="12"/>
        <v>0</v>
      </c>
      <c r="J125" s="87">
        <v>100</v>
      </c>
      <c r="K125" s="87">
        <v>300</v>
      </c>
      <c r="L125" s="85">
        <f t="shared" si="15"/>
        <v>1274</v>
      </c>
      <c r="M125" s="97"/>
      <c r="N125" s="85">
        <f>30</f>
        <v>30</v>
      </c>
      <c r="O125" s="87">
        <v>240</v>
      </c>
      <c r="P125" s="87">
        <v>160</v>
      </c>
      <c r="Q125" s="87">
        <f t="shared" si="16"/>
        <v>195</v>
      </c>
      <c r="R125" s="87">
        <f t="shared" si="17"/>
        <v>100</v>
      </c>
      <c r="S125" s="85">
        <f t="shared" si="18"/>
        <v>695</v>
      </c>
      <c r="T125" s="85">
        <f>50</f>
        <v>50</v>
      </c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</row>
    <row r="126" spans="1:30" ht="15.75" x14ac:dyDescent="0.25">
      <c r="A126" s="16">
        <v>44378</v>
      </c>
      <c r="B126" s="96">
        <v>31</v>
      </c>
      <c r="C126" s="85">
        <f>194.205</f>
        <v>194.20500000000001</v>
      </c>
      <c r="D126" s="85">
        <f>267.466</f>
        <v>267.46600000000001</v>
      </c>
      <c r="E126" s="92">
        <f>133.845</f>
        <v>133.845</v>
      </c>
      <c r="F126" s="85">
        <f>278.484-40-25-60</f>
        <v>153.48399999999998</v>
      </c>
      <c r="G126" s="87">
        <v>40</v>
      </c>
      <c r="H126" s="85">
        <f t="shared" si="21"/>
        <v>85</v>
      </c>
      <c r="I126" s="85">
        <f t="shared" si="12"/>
        <v>0</v>
      </c>
      <c r="J126" s="87">
        <v>100</v>
      </c>
      <c r="K126" s="87">
        <v>300</v>
      </c>
      <c r="L126" s="85">
        <f t="shared" si="15"/>
        <v>1274</v>
      </c>
      <c r="M126" s="97"/>
      <c r="N126" s="85">
        <f>30</f>
        <v>30</v>
      </c>
      <c r="O126" s="87">
        <v>240</v>
      </c>
      <c r="P126" s="87">
        <v>160</v>
      </c>
      <c r="Q126" s="87">
        <f t="shared" si="16"/>
        <v>195</v>
      </c>
      <c r="R126" s="87">
        <f t="shared" si="17"/>
        <v>100</v>
      </c>
      <c r="S126" s="85">
        <f t="shared" si="18"/>
        <v>695</v>
      </c>
      <c r="T126" s="85">
        <f>0</f>
        <v>0</v>
      </c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</row>
    <row r="127" spans="1:30" ht="15.75" x14ac:dyDescent="0.25">
      <c r="A127" s="16">
        <v>44409</v>
      </c>
      <c r="B127" s="96">
        <v>31</v>
      </c>
      <c r="C127" s="85">
        <f>194.205</f>
        <v>194.20500000000001</v>
      </c>
      <c r="D127" s="85">
        <f>267.466</f>
        <v>267.46600000000001</v>
      </c>
      <c r="E127" s="92">
        <f>133.845</f>
        <v>133.845</v>
      </c>
      <c r="F127" s="85">
        <f>278.484-40-25-60</f>
        <v>153.48399999999998</v>
      </c>
      <c r="G127" s="87">
        <v>40</v>
      </c>
      <c r="H127" s="85">
        <f t="shared" si="21"/>
        <v>85</v>
      </c>
      <c r="I127" s="85">
        <f t="shared" si="12"/>
        <v>0</v>
      </c>
      <c r="J127" s="87">
        <v>100</v>
      </c>
      <c r="K127" s="87">
        <v>300</v>
      </c>
      <c r="L127" s="85">
        <f t="shared" si="15"/>
        <v>1274</v>
      </c>
      <c r="M127" s="97"/>
      <c r="N127" s="85">
        <f>30</f>
        <v>30</v>
      </c>
      <c r="O127" s="87">
        <v>240</v>
      </c>
      <c r="P127" s="87">
        <v>160</v>
      </c>
      <c r="Q127" s="87">
        <f t="shared" si="16"/>
        <v>195</v>
      </c>
      <c r="R127" s="87">
        <f t="shared" si="17"/>
        <v>100</v>
      </c>
      <c r="S127" s="85">
        <f t="shared" si="18"/>
        <v>695</v>
      </c>
      <c r="T127" s="85">
        <f>0</f>
        <v>0</v>
      </c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</row>
    <row r="128" spans="1:30" ht="15.75" x14ac:dyDescent="0.25">
      <c r="A128" s="16">
        <v>44440</v>
      </c>
      <c r="B128" s="96">
        <v>30</v>
      </c>
      <c r="C128" s="85">
        <f>194.205</f>
        <v>194.20500000000001</v>
      </c>
      <c r="D128" s="85">
        <f>267.466</f>
        <v>267.46600000000001</v>
      </c>
      <c r="E128" s="92">
        <f>133.845</f>
        <v>133.845</v>
      </c>
      <c r="F128" s="85">
        <f>278.484-40-25-60</f>
        <v>153.48399999999998</v>
      </c>
      <c r="G128" s="87">
        <v>40</v>
      </c>
      <c r="H128" s="85">
        <f t="shared" si="21"/>
        <v>85</v>
      </c>
      <c r="I128" s="85">
        <f t="shared" ref="I128:I191" si="22">400-J128-K128</f>
        <v>0</v>
      </c>
      <c r="J128" s="87">
        <v>100</v>
      </c>
      <c r="K128" s="87">
        <v>300</v>
      </c>
      <c r="L128" s="85">
        <f t="shared" si="15"/>
        <v>1274</v>
      </c>
      <c r="M128" s="97"/>
      <c r="N128" s="85">
        <f>30</f>
        <v>30</v>
      </c>
      <c r="O128" s="87">
        <v>240</v>
      </c>
      <c r="P128" s="87">
        <v>160</v>
      </c>
      <c r="Q128" s="87">
        <f t="shared" si="16"/>
        <v>195</v>
      </c>
      <c r="R128" s="87">
        <f t="shared" si="17"/>
        <v>100</v>
      </c>
      <c r="S128" s="85">
        <f t="shared" si="18"/>
        <v>695</v>
      </c>
      <c r="T128" s="85">
        <f>0</f>
        <v>0</v>
      </c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</row>
    <row r="129" spans="1:30" ht="15.75" x14ac:dyDescent="0.25">
      <c r="A129" s="16">
        <v>44470</v>
      </c>
      <c r="B129" s="96">
        <v>31</v>
      </c>
      <c r="C129" s="85">
        <f>131.881</f>
        <v>131.881</v>
      </c>
      <c r="D129" s="85">
        <f>277.167</f>
        <v>277.16699999999997</v>
      </c>
      <c r="E129" s="92">
        <f>79.08</f>
        <v>79.08</v>
      </c>
      <c r="F129" s="85">
        <f>350.872-40-25-60</f>
        <v>225.87200000000001</v>
      </c>
      <c r="G129" s="87">
        <v>40</v>
      </c>
      <c r="H129" s="85">
        <f t="shared" si="21"/>
        <v>85</v>
      </c>
      <c r="I129" s="85">
        <f t="shared" si="22"/>
        <v>0</v>
      </c>
      <c r="J129" s="87">
        <v>100</v>
      </c>
      <c r="K129" s="87">
        <v>300</v>
      </c>
      <c r="L129" s="85">
        <f t="shared" si="15"/>
        <v>1239</v>
      </c>
      <c r="M129" s="97"/>
      <c r="N129" s="85">
        <f>75</f>
        <v>75</v>
      </c>
      <c r="O129" s="87">
        <v>240</v>
      </c>
      <c r="P129" s="87">
        <v>160</v>
      </c>
      <c r="Q129" s="87">
        <f t="shared" si="16"/>
        <v>195</v>
      </c>
      <c r="R129" s="87">
        <f t="shared" si="17"/>
        <v>100</v>
      </c>
      <c r="S129" s="85">
        <f t="shared" si="18"/>
        <v>695</v>
      </c>
      <c r="T129" s="85">
        <f>0</f>
        <v>0</v>
      </c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</row>
    <row r="130" spans="1:30" ht="15.75" x14ac:dyDescent="0.25">
      <c r="A130" s="16">
        <v>44501</v>
      </c>
      <c r="B130" s="96">
        <v>30</v>
      </c>
      <c r="C130" s="85">
        <f>122.58</f>
        <v>122.58</v>
      </c>
      <c r="D130" s="85">
        <f>297.941</f>
        <v>297.94099999999997</v>
      </c>
      <c r="E130" s="92">
        <f>89.177</f>
        <v>89.177000000000007</v>
      </c>
      <c r="F130" s="85">
        <f>240.302-40-60</f>
        <v>140.30199999999999</v>
      </c>
      <c r="G130" s="87">
        <v>40</v>
      </c>
      <c r="H130" s="85">
        <v>60</v>
      </c>
      <c r="I130" s="85">
        <f t="shared" si="22"/>
        <v>0</v>
      </c>
      <c r="J130" s="87">
        <v>100</v>
      </c>
      <c r="K130" s="87">
        <v>300</v>
      </c>
      <c r="L130" s="85">
        <f t="shared" si="15"/>
        <v>1150</v>
      </c>
      <c r="M130" s="97"/>
      <c r="N130" s="85">
        <f>100</f>
        <v>100</v>
      </c>
      <c r="O130" s="87">
        <v>240</v>
      </c>
      <c r="P130" s="87">
        <v>40</v>
      </c>
      <c r="Q130" s="87">
        <f t="shared" si="16"/>
        <v>315</v>
      </c>
      <c r="R130" s="87">
        <f t="shared" si="17"/>
        <v>100</v>
      </c>
      <c r="S130" s="85">
        <f t="shared" si="18"/>
        <v>695</v>
      </c>
      <c r="T130" s="85">
        <f>50</f>
        <v>50</v>
      </c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</row>
    <row r="131" spans="1:30" ht="15.75" x14ac:dyDescent="0.25">
      <c r="A131" s="16">
        <v>44531</v>
      </c>
      <c r="B131" s="96">
        <v>31</v>
      </c>
      <c r="C131" s="85">
        <f>122.58</f>
        <v>122.58</v>
      </c>
      <c r="D131" s="85">
        <f>297.941</f>
        <v>297.94099999999997</v>
      </c>
      <c r="E131" s="92">
        <f>89.177</f>
        <v>89.177000000000007</v>
      </c>
      <c r="F131" s="85">
        <f>240.302-40-60</f>
        <v>140.30199999999999</v>
      </c>
      <c r="G131" s="87">
        <v>40</v>
      </c>
      <c r="H131" s="85">
        <v>60</v>
      </c>
      <c r="I131" s="85">
        <f t="shared" si="22"/>
        <v>0</v>
      </c>
      <c r="J131" s="87">
        <v>100</v>
      </c>
      <c r="K131" s="87">
        <v>300</v>
      </c>
      <c r="L131" s="85">
        <f t="shared" si="15"/>
        <v>1150</v>
      </c>
      <c r="M131" s="97"/>
      <c r="N131" s="85">
        <f>100</f>
        <v>100</v>
      </c>
      <c r="O131" s="87">
        <v>240</v>
      </c>
      <c r="P131" s="87">
        <v>40</v>
      </c>
      <c r="Q131" s="87">
        <f t="shared" si="16"/>
        <v>315</v>
      </c>
      <c r="R131" s="87">
        <f t="shared" si="17"/>
        <v>100</v>
      </c>
      <c r="S131" s="85">
        <f t="shared" si="18"/>
        <v>695</v>
      </c>
      <c r="T131" s="85">
        <f>50</f>
        <v>50</v>
      </c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</row>
    <row r="132" spans="1:30" ht="15.75" x14ac:dyDescent="0.25">
      <c r="A132" s="16">
        <v>44562</v>
      </c>
      <c r="B132" s="96">
        <v>31</v>
      </c>
      <c r="C132" s="85">
        <f>122.58</f>
        <v>122.58</v>
      </c>
      <c r="D132" s="85">
        <f>297.941</f>
        <v>297.94099999999997</v>
      </c>
      <c r="E132" s="92">
        <f>89.177</f>
        <v>89.177000000000007</v>
      </c>
      <c r="F132" s="85">
        <f>240.302-40-60</f>
        <v>140.30199999999999</v>
      </c>
      <c r="G132" s="87">
        <v>40</v>
      </c>
      <c r="H132" s="85">
        <v>60</v>
      </c>
      <c r="I132" s="85">
        <f t="shared" si="22"/>
        <v>0</v>
      </c>
      <c r="J132" s="87">
        <v>100</v>
      </c>
      <c r="K132" s="87">
        <v>300</v>
      </c>
      <c r="L132" s="85">
        <f t="shared" si="15"/>
        <v>1150</v>
      </c>
      <c r="M132" s="97"/>
      <c r="N132" s="85">
        <f>100</f>
        <v>100</v>
      </c>
      <c r="O132" s="87">
        <v>240</v>
      </c>
      <c r="P132" s="87">
        <v>40</v>
      </c>
      <c r="Q132" s="87">
        <f t="shared" si="16"/>
        <v>315</v>
      </c>
      <c r="R132" s="87">
        <f t="shared" si="17"/>
        <v>100</v>
      </c>
      <c r="S132" s="85">
        <f t="shared" si="18"/>
        <v>695</v>
      </c>
      <c r="T132" s="85">
        <f>50</f>
        <v>50</v>
      </c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</row>
    <row r="133" spans="1:30" ht="15.75" x14ac:dyDescent="0.25">
      <c r="A133" s="16">
        <v>44593</v>
      </c>
      <c r="B133" s="96">
        <v>28</v>
      </c>
      <c r="C133" s="85">
        <f>122.58</f>
        <v>122.58</v>
      </c>
      <c r="D133" s="85">
        <f>297.941</f>
        <v>297.94099999999997</v>
      </c>
      <c r="E133" s="92">
        <f>89.177</f>
        <v>89.177000000000007</v>
      </c>
      <c r="F133" s="85">
        <f>240.302-40-60</f>
        <v>140.30199999999999</v>
      </c>
      <c r="G133" s="87">
        <v>40</v>
      </c>
      <c r="H133" s="85">
        <v>60</v>
      </c>
      <c r="I133" s="85">
        <f t="shared" si="22"/>
        <v>0</v>
      </c>
      <c r="J133" s="87">
        <v>100</v>
      </c>
      <c r="K133" s="87">
        <v>300</v>
      </c>
      <c r="L133" s="85">
        <f t="shared" si="15"/>
        <v>1150</v>
      </c>
      <c r="M133" s="97"/>
      <c r="N133" s="85">
        <f>100</f>
        <v>100</v>
      </c>
      <c r="O133" s="87">
        <v>240</v>
      </c>
      <c r="P133" s="87">
        <v>40</v>
      </c>
      <c r="Q133" s="87">
        <f t="shared" si="16"/>
        <v>315</v>
      </c>
      <c r="R133" s="87">
        <f t="shared" si="17"/>
        <v>100</v>
      </c>
      <c r="S133" s="85">
        <f t="shared" si="18"/>
        <v>695</v>
      </c>
      <c r="T133" s="85">
        <f>50</f>
        <v>50</v>
      </c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</row>
    <row r="134" spans="1:30" ht="15.75" x14ac:dyDescent="0.25">
      <c r="A134" s="16">
        <v>44621</v>
      </c>
      <c r="B134" s="96">
        <v>31</v>
      </c>
      <c r="C134" s="85">
        <f>122.58</f>
        <v>122.58</v>
      </c>
      <c r="D134" s="85">
        <f>297.941</f>
        <v>297.94099999999997</v>
      </c>
      <c r="E134" s="92">
        <f>89.177</f>
        <v>89.177000000000007</v>
      </c>
      <c r="F134" s="85">
        <f>240.302-40-60</f>
        <v>140.30199999999999</v>
      </c>
      <c r="G134" s="87">
        <v>40</v>
      </c>
      <c r="H134" s="85">
        <v>60</v>
      </c>
      <c r="I134" s="85">
        <f t="shared" si="22"/>
        <v>0</v>
      </c>
      <c r="J134" s="87">
        <v>100</v>
      </c>
      <c r="K134" s="87">
        <v>300</v>
      </c>
      <c r="L134" s="85">
        <f t="shared" si="15"/>
        <v>1150</v>
      </c>
      <c r="M134" s="97"/>
      <c r="N134" s="85">
        <f>100</f>
        <v>100</v>
      </c>
      <c r="O134" s="87">
        <v>240</v>
      </c>
      <c r="P134" s="87">
        <v>40</v>
      </c>
      <c r="Q134" s="87">
        <f t="shared" si="16"/>
        <v>315</v>
      </c>
      <c r="R134" s="87">
        <f t="shared" si="17"/>
        <v>100</v>
      </c>
      <c r="S134" s="85">
        <f t="shared" si="18"/>
        <v>695</v>
      </c>
      <c r="T134" s="85">
        <f>50</f>
        <v>50</v>
      </c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</row>
    <row r="135" spans="1:30" ht="15.75" x14ac:dyDescent="0.25">
      <c r="A135" s="16">
        <v>44652</v>
      </c>
      <c r="B135" s="96">
        <v>30</v>
      </c>
      <c r="C135" s="85">
        <f>141.293</f>
        <v>141.29300000000001</v>
      </c>
      <c r="D135" s="85">
        <f>267.993</f>
        <v>267.99299999999999</v>
      </c>
      <c r="E135" s="92">
        <f>115.016</f>
        <v>115.01600000000001</v>
      </c>
      <c r="F135" s="85">
        <f>314.698-40-25-60</f>
        <v>189.69799999999998</v>
      </c>
      <c r="G135" s="87">
        <v>40</v>
      </c>
      <c r="H135" s="85">
        <f t="shared" ref="H135:H141" si="23">25+60</f>
        <v>85</v>
      </c>
      <c r="I135" s="85">
        <f t="shared" si="22"/>
        <v>0</v>
      </c>
      <c r="J135" s="87">
        <v>100</v>
      </c>
      <c r="K135" s="87">
        <v>300</v>
      </c>
      <c r="L135" s="85">
        <f t="shared" si="15"/>
        <v>1239</v>
      </c>
      <c r="M135" s="97"/>
      <c r="N135" s="85">
        <f>100</f>
        <v>100</v>
      </c>
      <c r="O135" s="87">
        <v>240</v>
      </c>
      <c r="P135" s="87">
        <v>160</v>
      </c>
      <c r="Q135" s="87">
        <f t="shared" si="16"/>
        <v>195</v>
      </c>
      <c r="R135" s="87">
        <f t="shared" si="17"/>
        <v>100</v>
      </c>
      <c r="S135" s="85">
        <f t="shared" si="18"/>
        <v>695</v>
      </c>
      <c r="T135" s="85">
        <f>50</f>
        <v>50</v>
      </c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</row>
    <row r="136" spans="1:30" ht="15.75" x14ac:dyDescent="0.25">
      <c r="A136" s="16">
        <v>44682</v>
      </c>
      <c r="B136" s="96">
        <v>31</v>
      </c>
      <c r="C136" s="85">
        <f>194.205</f>
        <v>194.20500000000001</v>
      </c>
      <c r="D136" s="85">
        <f>267.466</f>
        <v>267.46600000000001</v>
      </c>
      <c r="E136" s="92">
        <f>133.845</f>
        <v>133.845</v>
      </c>
      <c r="F136" s="85">
        <f>278.484-40-25-60</f>
        <v>153.48399999999998</v>
      </c>
      <c r="G136" s="87">
        <v>40</v>
      </c>
      <c r="H136" s="85">
        <f t="shared" si="23"/>
        <v>85</v>
      </c>
      <c r="I136" s="85">
        <f t="shared" si="22"/>
        <v>0</v>
      </c>
      <c r="J136" s="87">
        <v>100</v>
      </c>
      <c r="K136" s="87">
        <v>300</v>
      </c>
      <c r="L136" s="85">
        <f t="shared" si="15"/>
        <v>1274</v>
      </c>
      <c r="M136" s="97"/>
      <c r="N136" s="85">
        <f>75</f>
        <v>75</v>
      </c>
      <c r="O136" s="87">
        <v>240</v>
      </c>
      <c r="P136" s="87">
        <v>160</v>
      </c>
      <c r="Q136" s="87">
        <f t="shared" si="16"/>
        <v>195</v>
      </c>
      <c r="R136" s="87">
        <f t="shared" si="17"/>
        <v>100</v>
      </c>
      <c r="S136" s="85">
        <f t="shared" si="18"/>
        <v>695</v>
      </c>
      <c r="T136" s="85">
        <f>50</f>
        <v>50</v>
      </c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</row>
    <row r="137" spans="1:30" ht="15.75" x14ac:dyDescent="0.25">
      <c r="A137" s="16">
        <v>44713</v>
      </c>
      <c r="B137" s="96">
        <v>30</v>
      </c>
      <c r="C137" s="85">
        <f>194.205</f>
        <v>194.20500000000001</v>
      </c>
      <c r="D137" s="85">
        <f>267.466</f>
        <v>267.46600000000001</v>
      </c>
      <c r="E137" s="92">
        <f>133.845</f>
        <v>133.845</v>
      </c>
      <c r="F137" s="85">
        <f>278.484-40-25-60</f>
        <v>153.48399999999998</v>
      </c>
      <c r="G137" s="87">
        <v>40</v>
      </c>
      <c r="H137" s="85">
        <f t="shared" si="23"/>
        <v>85</v>
      </c>
      <c r="I137" s="85">
        <f t="shared" si="22"/>
        <v>0</v>
      </c>
      <c r="J137" s="87">
        <v>100</v>
      </c>
      <c r="K137" s="87">
        <v>300</v>
      </c>
      <c r="L137" s="85">
        <f t="shared" si="15"/>
        <v>1274</v>
      </c>
      <c r="M137" s="97"/>
      <c r="N137" s="85">
        <f>30</f>
        <v>30</v>
      </c>
      <c r="O137" s="87">
        <v>240</v>
      </c>
      <c r="P137" s="87">
        <v>160</v>
      </c>
      <c r="Q137" s="87">
        <f t="shared" si="16"/>
        <v>195</v>
      </c>
      <c r="R137" s="87">
        <f t="shared" si="17"/>
        <v>100</v>
      </c>
      <c r="S137" s="85">
        <f t="shared" si="18"/>
        <v>695</v>
      </c>
      <c r="T137" s="85">
        <f>50</f>
        <v>50</v>
      </c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</row>
    <row r="138" spans="1:30" ht="15.75" x14ac:dyDescent="0.25">
      <c r="A138" s="16">
        <v>44743</v>
      </c>
      <c r="B138" s="96">
        <v>31</v>
      </c>
      <c r="C138" s="85">
        <f>194.205</f>
        <v>194.20500000000001</v>
      </c>
      <c r="D138" s="85">
        <f>267.466</f>
        <v>267.46600000000001</v>
      </c>
      <c r="E138" s="92">
        <f>133.845</f>
        <v>133.845</v>
      </c>
      <c r="F138" s="85">
        <f>278.484-40-25-60</f>
        <v>153.48399999999998</v>
      </c>
      <c r="G138" s="87">
        <v>40</v>
      </c>
      <c r="H138" s="85">
        <f t="shared" si="23"/>
        <v>85</v>
      </c>
      <c r="I138" s="85">
        <f t="shared" si="22"/>
        <v>0</v>
      </c>
      <c r="J138" s="87">
        <v>100</v>
      </c>
      <c r="K138" s="87">
        <v>300</v>
      </c>
      <c r="L138" s="85">
        <f t="shared" si="15"/>
        <v>1274</v>
      </c>
      <c r="M138" s="97"/>
      <c r="N138" s="85">
        <f>30</f>
        <v>30</v>
      </c>
      <c r="O138" s="87">
        <v>240</v>
      </c>
      <c r="P138" s="87">
        <v>160</v>
      </c>
      <c r="Q138" s="87">
        <f t="shared" si="16"/>
        <v>195</v>
      </c>
      <c r="R138" s="87">
        <f t="shared" si="17"/>
        <v>100</v>
      </c>
      <c r="S138" s="85">
        <f t="shared" si="18"/>
        <v>695</v>
      </c>
      <c r="T138" s="85">
        <f>0</f>
        <v>0</v>
      </c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</row>
    <row r="139" spans="1:30" ht="15.75" x14ac:dyDescent="0.25">
      <c r="A139" s="16">
        <v>44774</v>
      </c>
      <c r="B139" s="96">
        <v>31</v>
      </c>
      <c r="C139" s="85">
        <f>194.205</f>
        <v>194.20500000000001</v>
      </c>
      <c r="D139" s="85">
        <f>267.466</f>
        <v>267.46600000000001</v>
      </c>
      <c r="E139" s="92">
        <f>133.845</f>
        <v>133.845</v>
      </c>
      <c r="F139" s="85">
        <f>278.484-40-25-60</f>
        <v>153.48399999999998</v>
      </c>
      <c r="G139" s="87">
        <v>40</v>
      </c>
      <c r="H139" s="85">
        <f t="shared" si="23"/>
        <v>85</v>
      </c>
      <c r="I139" s="85">
        <f t="shared" si="22"/>
        <v>0</v>
      </c>
      <c r="J139" s="87">
        <v>100</v>
      </c>
      <c r="K139" s="87">
        <v>300</v>
      </c>
      <c r="L139" s="85">
        <f t="shared" si="15"/>
        <v>1274</v>
      </c>
      <c r="M139" s="97"/>
      <c r="N139" s="85">
        <f>30</f>
        <v>30</v>
      </c>
      <c r="O139" s="87">
        <v>240</v>
      </c>
      <c r="P139" s="87">
        <v>160</v>
      </c>
      <c r="Q139" s="87">
        <f t="shared" si="16"/>
        <v>195</v>
      </c>
      <c r="R139" s="87">
        <f t="shared" si="17"/>
        <v>100</v>
      </c>
      <c r="S139" s="85">
        <f t="shared" si="18"/>
        <v>695</v>
      </c>
      <c r="T139" s="85">
        <f>0</f>
        <v>0</v>
      </c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</row>
    <row r="140" spans="1:30" ht="15.75" x14ac:dyDescent="0.25">
      <c r="A140" s="16">
        <v>44805</v>
      </c>
      <c r="B140" s="96">
        <v>30</v>
      </c>
      <c r="C140" s="85">
        <f>194.205</f>
        <v>194.20500000000001</v>
      </c>
      <c r="D140" s="85">
        <f>267.466</f>
        <v>267.46600000000001</v>
      </c>
      <c r="E140" s="92">
        <f>133.845</f>
        <v>133.845</v>
      </c>
      <c r="F140" s="85">
        <f>278.484-40-25-60</f>
        <v>153.48399999999998</v>
      </c>
      <c r="G140" s="87">
        <v>40</v>
      </c>
      <c r="H140" s="85">
        <f t="shared" si="23"/>
        <v>85</v>
      </c>
      <c r="I140" s="85">
        <f t="shared" si="22"/>
        <v>0</v>
      </c>
      <c r="J140" s="87">
        <v>100</v>
      </c>
      <c r="K140" s="87">
        <v>300</v>
      </c>
      <c r="L140" s="85">
        <f t="shared" si="15"/>
        <v>1274</v>
      </c>
      <c r="M140" s="97"/>
      <c r="N140" s="85">
        <f>30</f>
        <v>30</v>
      </c>
      <c r="O140" s="87">
        <v>240</v>
      </c>
      <c r="P140" s="87">
        <v>160</v>
      </c>
      <c r="Q140" s="87">
        <f t="shared" si="16"/>
        <v>195</v>
      </c>
      <c r="R140" s="87">
        <f t="shared" si="17"/>
        <v>100</v>
      </c>
      <c r="S140" s="85">
        <f t="shared" si="18"/>
        <v>695</v>
      </c>
      <c r="T140" s="85">
        <f>0</f>
        <v>0</v>
      </c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</row>
    <row r="141" spans="1:30" ht="15.75" x14ac:dyDescent="0.25">
      <c r="A141" s="16">
        <v>44835</v>
      </c>
      <c r="B141" s="96">
        <v>31</v>
      </c>
      <c r="C141" s="85">
        <f>131.881</f>
        <v>131.881</v>
      </c>
      <c r="D141" s="85">
        <f>277.167</f>
        <v>277.16699999999997</v>
      </c>
      <c r="E141" s="92">
        <f>79.08</f>
        <v>79.08</v>
      </c>
      <c r="F141" s="85">
        <f>350.872-40-25-60</f>
        <v>225.87200000000001</v>
      </c>
      <c r="G141" s="87">
        <v>40</v>
      </c>
      <c r="H141" s="85">
        <f t="shared" si="23"/>
        <v>85</v>
      </c>
      <c r="I141" s="85">
        <f t="shared" si="22"/>
        <v>0</v>
      </c>
      <c r="J141" s="87">
        <v>100</v>
      </c>
      <c r="K141" s="87">
        <v>300</v>
      </c>
      <c r="L141" s="85">
        <f t="shared" si="15"/>
        <v>1239</v>
      </c>
      <c r="M141" s="97"/>
      <c r="N141" s="85">
        <f>75</f>
        <v>75</v>
      </c>
      <c r="O141" s="87">
        <v>240</v>
      </c>
      <c r="P141" s="87">
        <v>160</v>
      </c>
      <c r="Q141" s="87">
        <f t="shared" si="16"/>
        <v>195</v>
      </c>
      <c r="R141" s="87">
        <f t="shared" si="17"/>
        <v>100</v>
      </c>
      <c r="S141" s="85">
        <f t="shared" si="18"/>
        <v>695</v>
      </c>
      <c r="T141" s="85">
        <f>0</f>
        <v>0</v>
      </c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</row>
    <row r="142" spans="1:30" ht="15.75" x14ac:dyDescent="0.25">
      <c r="A142" s="16">
        <v>44866</v>
      </c>
      <c r="B142" s="96">
        <v>30</v>
      </c>
      <c r="C142" s="85">
        <f>122.58</f>
        <v>122.58</v>
      </c>
      <c r="D142" s="85">
        <f>297.941</f>
        <v>297.94099999999997</v>
      </c>
      <c r="E142" s="92">
        <f>89.177</f>
        <v>89.177000000000007</v>
      </c>
      <c r="F142" s="85">
        <f>240.302-40-60</f>
        <v>140.30199999999999</v>
      </c>
      <c r="G142" s="87">
        <v>40</v>
      </c>
      <c r="H142" s="85">
        <v>60</v>
      </c>
      <c r="I142" s="85">
        <f t="shared" si="22"/>
        <v>0</v>
      </c>
      <c r="J142" s="87">
        <v>100</v>
      </c>
      <c r="K142" s="87">
        <v>300</v>
      </c>
      <c r="L142" s="85">
        <f t="shared" si="15"/>
        <v>1150</v>
      </c>
      <c r="M142" s="97"/>
      <c r="N142" s="85">
        <f>100</f>
        <v>100</v>
      </c>
      <c r="O142" s="87">
        <v>240</v>
      </c>
      <c r="P142" s="87">
        <v>40</v>
      </c>
      <c r="Q142" s="87">
        <f t="shared" si="16"/>
        <v>315</v>
      </c>
      <c r="R142" s="87">
        <f t="shared" si="17"/>
        <v>100</v>
      </c>
      <c r="S142" s="85">
        <f t="shared" si="18"/>
        <v>695</v>
      </c>
      <c r="T142" s="85">
        <f>50</f>
        <v>50</v>
      </c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</row>
    <row r="143" spans="1:30" ht="15.75" x14ac:dyDescent="0.25">
      <c r="A143" s="16">
        <v>44896</v>
      </c>
      <c r="B143" s="96">
        <v>31</v>
      </c>
      <c r="C143" s="85">
        <f>122.58</f>
        <v>122.58</v>
      </c>
      <c r="D143" s="85">
        <f>297.941</f>
        <v>297.94099999999997</v>
      </c>
      <c r="E143" s="92">
        <f>89.177</f>
        <v>89.177000000000007</v>
      </c>
      <c r="F143" s="85">
        <f>240.302-40-60</f>
        <v>140.30199999999999</v>
      </c>
      <c r="G143" s="87">
        <v>40</v>
      </c>
      <c r="H143" s="85">
        <v>60</v>
      </c>
      <c r="I143" s="85">
        <f t="shared" si="22"/>
        <v>0</v>
      </c>
      <c r="J143" s="87">
        <v>100</v>
      </c>
      <c r="K143" s="87">
        <v>300</v>
      </c>
      <c r="L143" s="85">
        <f t="shared" si="15"/>
        <v>1150</v>
      </c>
      <c r="M143" s="97"/>
      <c r="N143" s="85">
        <f>100</f>
        <v>100</v>
      </c>
      <c r="O143" s="87">
        <v>240</v>
      </c>
      <c r="P143" s="87">
        <v>40</v>
      </c>
      <c r="Q143" s="87">
        <f t="shared" si="16"/>
        <v>315</v>
      </c>
      <c r="R143" s="87">
        <f t="shared" si="17"/>
        <v>100</v>
      </c>
      <c r="S143" s="85">
        <f t="shared" si="18"/>
        <v>695</v>
      </c>
      <c r="T143" s="85">
        <f>50</f>
        <v>50</v>
      </c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</row>
    <row r="144" spans="1:30" ht="15.75" x14ac:dyDescent="0.25">
      <c r="A144" s="16">
        <v>44927</v>
      </c>
      <c r="B144" s="96">
        <v>31</v>
      </c>
      <c r="C144" s="85">
        <f>122.58</f>
        <v>122.58</v>
      </c>
      <c r="D144" s="85">
        <f>297.941</f>
        <v>297.94099999999997</v>
      </c>
      <c r="E144" s="92">
        <f>89.177</f>
        <v>89.177000000000007</v>
      </c>
      <c r="F144" s="85">
        <f>240.302-40-60</f>
        <v>140.30199999999999</v>
      </c>
      <c r="G144" s="87">
        <v>40</v>
      </c>
      <c r="H144" s="85">
        <v>60</v>
      </c>
      <c r="I144" s="85">
        <f t="shared" si="22"/>
        <v>0</v>
      </c>
      <c r="J144" s="87">
        <v>100</v>
      </c>
      <c r="K144" s="87">
        <v>300</v>
      </c>
      <c r="L144" s="85">
        <f t="shared" si="15"/>
        <v>1150</v>
      </c>
      <c r="M144" s="97"/>
      <c r="N144" s="85">
        <f>100</f>
        <v>100</v>
      </c>
      <c r="O144" s="87">
        <v>240</v>
      </c>
      <c r="P144" s="87">
        <v>40</v>
      </c>
      <c r="Q144" s="87">
        <f t="shared" si="16"/>
        <v>315</v>
      </c>
      <c r="R144" s="87">
        <f t="shared" si="17"/>
        <v>100</v>
      </c>
      <c r="S144" s="85">
        <f t="shared" si="18"/>
        <v>695</v>
      </c>
      <c r="T144" s="85">
        <f>50</f>
        <v>50</v>
      </c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</row>
    <row r="145" spans="1:30" ht="15.75" x14ac:dyDescent="0.25">
      <c r="A145" s="16">
        <v>44958</v>
      </c>
      <c r="B145" s="96">
        <v>28</v>
      </c>
      <c r="C145" s="85">
        <f>122.58</f>
        <v>122.58</v>
      </c>
      <c r="D145" s="85">
        <f>297.941</f>
        <v>297.94099999999997</v>
      </c>
      <c r="E145" s="92">
        <f>89.177</f>
        <v>89.177000000000007</v>
      </c>
      <c r="F145" s="85">
        <f>240.302-40-60</f>
        <v>140.30199999999999</v>
      </c>
      <c r="G145" s="87">
        <v>40</v>
      </c>
      <c r="H145" s="85">
        <v>60</v>
      </c>
      <c r="I145" s="85">
        <f t="shared" si="22"/>
        <v>0</v>
      </c>
      <c r="J145" s="87">
        <v>100</v>
      </c>
      <c r="K145" s="87">
        <v>300</v>
      </c>
      <c r="L145" s="85">
        <f t="shared" si="15"/>
        <v>1150</v>
      </c>
      <c r="M145" s="97"/>
      <c r="N145" s="85">
        <f>100</f>
        <v>100</v>
      </c>
      <c r="O145" s="87">
        <v>240</v>
      </c>
      <c r="P145" s="87">
        <v>40</v>
      </c>
      <c r="Q145" s="87">
        <f t="shared" si="16"/>
        <v>315</v>
      </c>
      <c r="R145" s="87">
        <f t="shared" si="17"/>
        <v>100</v>
      </c>
      <c r="S145" s="85">
        <f t="shared" si="18"/>
        <v>695</v>
      </c>
      <c r="T145" s="85">
        <f>50</f>
        <v>50</v>
      </c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</row>
    <row r="146" spans="1:30" ht="15.75" x14ac:dyDescent="0.25">
      <c r="A146" s="16">
        <v>44986</v>
      </c>
      <c r="B146" s="96">
        <v>31</v>
      </c>
      <c r="C146" s="85">
        <f>122.58</f>
        <v>122.58</v>
      </c>
      <c r="D146" s="85">
        <f>297.941</f>
        <v>297.94099999999997</v>
      </c>
      <c r="E146" s="92">
        <f>89.177</f>
        <v>89.177000000000007</v>
      </c>
      <c r="F146" s="85">
        <f>240.302-40-60</f>
        <v>140.30199999999999</v>
      </c>
      <c r="G146" s="87">
        <v>40</v>
      </c>
      <c r="H146" s="85">
        <v>60</v>
      </c>
      <c r="I146" s="85">
        <f t="shared" si="22"/>
        <v>0</v>
      </c>
      <c r="J146" s="87">
        <v>100</v>
      </c>
      <c r="K146" s="87">
        <v>300</v>
      </c>
      <c r="L146" s="85">
        <f t="shared" si="15"/>
        <v>1150</v>
      </c>
      <c r="M146" s="97"/>
      <c r="N146" s="85">
        <f>100</f>
        <v>100</v>
      </c>
      <c r="O146" s="87">
        <v>240</v>
      </c>
      <c r="P146" s="87">
        <v>40</v>
      </c>
      <c r="Q146" s="87">
        <f t="shared" si="16"/>
        <v>315</v>
      </c>
      <c r="R146" s="87">
        <f t="shared" si="17"/>
        <v>100</v>
      </c>
      <c r="S146" s="85">
        <f t="shared" si="18"/>
        <v>695</v>
      </c>
      <c r="T146" s="85">
        <f>50</f>
        <v>50</v>
      </c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</row>
    <row r="147" spans="1:30" ht="15.75" x14ac:dyDescent="0.25">
      <c r="A147" s="16">
        <v>45017</v>
      </c>
      <c r="B147" s="96">
        <v>30</v>
      </c>
      <c r="C147" s="85">
        <f>141.293</f>
        <v>141.29300000000001</v>
      </c>
      <c r="D147" s="85">
        <f>267.993</f>
        <v>267.99299999999999</v>
      </c>
      <c r="E147" s="92">
        <f>115.016</f>
        <v>115.01600000000001</v>
      </c>
      <c r="F147" s="85">
        <f>314.698-40-25-60</f>
        <v>189.69799999999998</v>
      </c>
      <c r="G147" s="87">
        <v>40</v>
      </c>
      <c r="H147" s="85">
        <f t="shared" ref="H147:H153" si="24">25+60</f>
        <v>85</v>
      </c>
      <c r="I147" s="85">
        <f t="shared" si="22"/>
        <v>0</v>
      </c>
      <c r="J147" s="87">
        <v>100</v>
      </c>
      <c r="K147" s="87">
        <v>300</v>
      </c>
      <c r="L147" s="85">
        <f t="shared" si="15"/>
        <v>1239</v>
      </c>
      <c r="M147" s="97"/>
      <c r="N147" s="85">
        <f>100</f>
        <v>100</v>
      </c>
      <c r="O147" s="87">
        <v>240</v>
      </c>
      <c r="P147" s="87">
        <v>160</v>
      </c>
      <c r="Q147" s="87">
        <f t="shared" si="16"/>
        <v>195</v>
      </c>
      <c r="R147" s="87">
        <f t="shared" si="17"/>
        <v>100</v>
      </c>
      <c r="S147" s="85">
        <f t="shared" si="18"/>
        <v>695</v>
      </c>
      <c r="T147" s="85">
        <f>50</f>
        <v>50</v>
      </c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</row>
    <row r="148" spans="1:30" ht="15.75" x14ac:dyDescent="0.25">
      <c r="A148" s="16">
        <v>45047</v>
      </c>
      <c r="B148" s="96">
        <v>31</v>
      </c>
      <c r="C148" s="85">
        <f>194.205</f>
        <v>194.20500000000001</v>
      </c>
      <c r="D148" s="85">
        <f>267.466</f>
        <v>267.46600000000001</v>
      </c>
      <c r="E148" s="92">
        <f>133.845</f>
        <v>133.845</v>
      </c>
      <c r="F148" s="85">
        <f>278.484-40-25-60</f>
        <v>153.48399999999998</v>
      </c>
      <c r="G148" s="87">
        <v>40</v>
      </c>
      <c r="H148" s="85">
        <f t="shared" si="24"/>
        <v>85</v>
      </c>
      <c r="I148" s="85">
        <f t="shared" si="22"/>
        <v>0</v>
      </c>
      <c r="J148" s="87">
        <v>100</v>
      </c>
      <c r="K148" s="87">
        <v>300</v>
      </c>
      <c r="L148" s="85">
        <f t="shared" si="15"/>
        <v>1274</v>
      </c>
      <c r="M148" s="97"/>
      <c r="N148" s="85">
        <f>75</f>
        <v>75</v>
      </c>
      <c r="O148" s="87">
        <v>240</v>
      </c>
      <c r="P148" s="87">
        <v>160</v>
      </c>
      <c r="Q148" s="87">
        <f t="shared" si="16"/>
        <v>195</v>
      </c>
      <c r="R148" s="87">
        <f t="shared" si="17"/>
        <v>100</v>
      </c>
      <c r="S148" s="85">
        <f t="shared" si="18"/>
        <v>695</v>
      </c>
      <c r="T148" s="85">
        <f>50</f>
        <v>50</v>
      </c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</row>
    <row r="149" spans="1:30" ht="15.75" x14ac:dyDescent="0.25">
      <c r="A149" s="16">
        <v>45078</v>
      </c>
      <c r="B149" s="96">
        <v>30</v>
      </c>
      <c r="C149" s="85">
        <f>194.205</f>
        <v>194.20500000000001</v>
      </c>
      <c r="D149" s="85">
        <f>267.466</f>
        <v>267.46600000000001</v>
      </c>
      <c r="E149" s="92">
        <f>133.845</f>
        <v>133.845</v>
      </c>
      <c r="F149" s="85">
        <f>278.484-40-25-60</f>
        <v>153.48399999999998</v>
      </c>
      <c r="G149" s="87">
        <v>40</v>
      </c>
      <c r="H149" s="85">
        <f t="shared" si="24"/>
        <v>85</v>
      </c>
      <c r="I149" s="85">
        <f t="shared" si="22"/>
        <v>0</v>
      </c>
      <c r="J149" s="87">
        <v>100</v>
      </c>
      <c r="K149" s="87">
        <v>300</v>
      </c>
      <c r="L149" s="85">
        <f t="shared" si="15"/>
        <v>1274</v>
      </c>
      <c r="M149" s="97"/>
      <c r="N149" s="85">
        <f>30</f>
        <v>30</v>
      </c>
      <c r="O149" s="87">
        <v>240</v>
      </c>
      <c r="P149" s="87">
        <v>160</v>
      </c>
      <c r="Q149" s="87">
        <f t="shared" si="16"/>
        <v>195</v>
      </c>
      <c r="R149" s="87">
        <f t="shared" si="17"/>
        <v>100</v>
      </c>
      <c r="S149" s="85">
        <f t="shared" si="18"/>
        <v>695</v>
      </c>
      <c r="T149" s="85">
        <f>50</f>
        <v>50</v>
      </c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</row>
    <row r="150" spans="1:30" ht="15.75" x14ac:dyDescent="0.25">
      <c r="A150" s="16">
        <v>45108</v>
      </c>
      <c r="B150" s="96">
        <v>31</v>
      </c>
      <c r="C150" s="85">
        <f>194.205</f>
        <v>194.20500000000001</v>
      </c>
      <c r="D150" s="85">
        <f>267.466</f>
        <v>267.46600000000001</v>
      </c>
      <c r="E150" s="92">
        <f>133.845</f>
        <v>133.845</v>
      </c>
      <c r="F150" s="85">
        <f>278.484-40-25-60</f>
        <v>153.48399999999998</v>
      </c>
      <c r="G150" s="87">
        <v>40</v>
      </c>
      <c r="H150" s="85">
        <f t="shared" si="24"/>
        <v>85</v>
      </c>
      <c r="I150" s="85">
        <f t="shared" si="22"/>
        <v>0</v>
      </c>
      <c r="J150" s="87">
        <v>100</v>
      </c>
      <c r="K150" s="87">
        <v>300</v>
      </c>
      <c r="L150" s="85">
        <f t="shared" si="15"/>
        <v>1274</v>
      </c>
      <c r="M150" s="97"/>
      <c r="N150" s="85">
        <f>30</f>
        <v>30</v>
      </c>
      <c r="O150" s="87">
        <v>240</v>
      </c>
      <c r="P150" s="87">
        <v>160</v>
      </c>
      <c r="Q150" s="87">
        <f t="shared" si="16"/>
        <v>195</v>
      </c>
      <c r="R150" s="87">
        <f t="shared" si="17"/>
        <v>100</v>
      </c>
      <c r="S150" s="85">
        <f t="shared" si="18"/>
        <v>695</v>
      </c>
      <c r="T150" s="85">
        <f>0</f>
        <v>0</v>
      </c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</row>
    <row r="151" spans="1:30" ht="15.75" x14ac:dyDescent="0.25">
      <c r="A151" s="16">
        <v>45139</v>
      </c>
      <c r="B151" s="96">
        <v>31</v>
      </c>
      <c r="C151" s="85">
        <f>194.205</f>
        <v>194.20500000000001</v>
      </c>
      <c r="D151" s="85">
        <f>267.466</f>
        <v>267.46600000000001</v>
      </c>
      <c r="E151" s="92">
        <f>133.845</f>
        <v>133.845</v>
      </c>
      <c r="F151" s="85">
        <f>278.484-40-25-60</f>
        <v>153.48399999999998</v>
      </c>
      <c r="G151" s="87">
        <v>40</v>
      </c>
      <c r="H151" s="85">
        <f t="shared" si="24"/>
        <v>85</v>
      </c>
      <c r="I151" s="85">
        <f t="shared" si="22"/>
        <v>0</v>
      </c>
      <c r="J151" s="87">
        <v>100</v>
      </c>
      <c r="K151" s="87">
        <v>300</v>
      </c>
      <c r="L151" s="85">
        <f t="shared" si="15"/>
        <v>1274</v>
      </c>
      <c r="M151" s="97"/>
      <c r="N151" s="85">
        <f>30</f>
        <v>30</v>
      </c>
      <c r="O151" s="87">
        <v>240</v>
      </c>
      <c r="P151" s="87">
        <v>160</v>
      </c>
      <c r="Q151" s="87">
        <f t="shared" si="16"/>
        <v>195</v>
      </c>
      <c r="R151" s="87">
        <f t="shared" si="17"/>
        <v>100</v>
      </c>
      <c r="S151" s="85">
        <f t="shared" si="18"/>
        <v>695</v>
      </c>
      <c r="T151" s="85">
        <f>0</f>
        <v>0</v>
      </c>
      <c r="U151" s="83"/>
      <c r="V151" s="83"/>
      <c r="W151" s="83"/>
      <c r="X151" s="83"/>
      <c r="Y151" s="83"/>
      <c r="Z151" s="83"/>
      <c r="AA151" s="83"/>
      <c r="AB151" s="83"/>
      <c r="AC151" s="83"/>
      <c r="AD151" s="83"/>
    </row>
    <row r="152" spans="1:30" ht="15.75" x14ac:dyDescent="0.25">
      <c r="A152" s="16">
        <v>45170</v>
      </c>
      <c r="B152" s="96">
        <v>30</v>
      </c>
      <c r="C152" s="85">
        <f>194.205</f>
        <v>194.20500000000001</v>
      </c>
      <c r="D152" s="85">
        <f>267.466</f>
        <v>267.46600000000001</v>
      </c>
      <c r="E152" s="92">
        <f>133.845</f>
        <v>133.845</v>
      </c>
      <c r="F152" s="85">
        <f>278.484-40-25-60</f>
        <v>153.48399999999998</v>
      </c>
      <c r="G152" s="87">
        <v>40</v>
      </c>
      <c r="H152" s="85">
        <f t="shared" si="24"/>
        <v>85</v>
      </c>
      <c r="I152" s="85">
        <f t="shared" si="22"/>
        <v>0</v>
      </c>
      <c r="J152" s="87">
        <v>100</v>
      </c>
      <c r="K152" s="87">
        <v>300</v>
      </c>
      <c r="L152" s="85">
        <f t="shared" ref="L152:L215" si="25">SUM(C152:K152)</f>
        <v>1274</v>
      </c>
      <c r="M152" s="97"/>
      <c r="N152" s="85">
        <f>30</f>
        <v>30</v>
      </c>
      <c r="O152" s="87">
        <v>240</v>
      </c>
      <c r="P152" s="87">
        <v>160</v>
      </c>
      <c r="Q152" s="87">
        <f t="shared" ref="Q152:Q215" si="26">695-R152-O152-P152</f>
        <v>195</v>
      </c>
      <c r="R152" s="87">
        <f t="shared" ref="R152:R215" si="27">200-J152</f>
        <v>100</v>
      </c>
      <c r="S152" s="85">
        <f t="shared" ref="S152:S215" si="28">SUM(O152:R152)</f>
        <v>695</v>
      </c>
      <c r="T152" s="85">
        <f>0</f>
        <v>0</v>
      </c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</row>
    <row r="153" spans="1:30" ht="15.75" x14ac:dyDescent="0.25">
      <c r="A153" s="16">
        <v>45200</v>
      </c>
      <c r="B153" s="96">
        <v>31</v>
      </c>
      <c r="C153" s="85">
        <f>131.881</f>
        <v>131.881</v>
      </c>
      <c r="D153" s="85">
        <f>277.167</f>
        <v>277.16699999999997</v>
      </c>
      <c r="E153" s="92">
        <f>79.08</f>
        <v>79.08</v>
      </c>
      <c r="F153" s="85">
        <f>350.872-40-25-60</f>
        <v>225.87200000000001</v>
      </c>
      <c r="G153" s="87">
        <v>40</v>
      </c>
      <c r="H153" s="85">
        <f t="shared" si="24"/>
        <v>85</v>
      </c>
      <c r="I153" s="85">
        <f t="shared" si="22"/>
        <v>0</v>
      </c>
      <c r="J153" s="87">
        <v>100</v>
      </c>
      <c r="K153" s="87">
        <v>300</v>
      </c>
      <c r="L153" s="85">
        <f t="shared" si="25"/>
        <v>1239</v>
      </c>
      <c r="M153" s="97"/>
      <c r="N153" s="85">
        <f>75</f>
        <v>75</v>
      </c>
      <c r="O153" s="87">
        <v>240</v>
      </c>
      <c r="P153" s="87">
        <v>160</v>
      </c>
      <c r="Q153" s="87">
        <f t="shared" si="26"/>
        <v>195</v>
      </c>
      <c r="R153" s="87">
        <f t="shared" si="27"/>
        <v>100</v>
      </c>
      <c r="S153" s="85">
        <f t="shared" si="28"/>
        <v>695</v>
      </c>
      <c r="T153" s="85">
        <f>0</f>
        <v>0</v>
      </c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</row>
    <row r="154" spans="1:30" ht="15.75" x14ac:dyDescent="0.25">
      <c r="A154" s="16">
        <v>45231</v>
      </c>
      <c r="B154" s="96">
        <v>30</v>
      </c>
      <c r="C154" s="85">
        <f>122.58</f>
        <v>122.58</v>
      </c>
      <c r="D154" s="85">
        <f>297.941</f>
        <v>297.94099999999997</v>
      </c>
      <c r="E154" s="92">
        <f>89.177</f>
        <v>89.177000000000007</v>
      </c>
      <c r="F154" s="85">
        <f>240.302-40-60</f>
        <v>140.30199999999999</v>
      </c>
      <c r="G154" s="87">
        <v>40</v>
      </c>
      <c r="H154" s="85">
        <v>60</v>
      </c>
      <c r="I154" s="85">
        <f t="shared" si="22"/>
        <v>0</v>
      </c>
      <c r="J154" s="87">
        <v>100</v>
      </c>
      <c r="K154" s="87">
        <v>300</v>
      </c>
      <c r="L154" s="85">
        <f t="shared" si="25"/>
        <v>1150</v>
      </c>
      <c r="M154" s="97"/>
      <c r="N154" s="85">
        <f>100</f>
        <v>100</v>
      </c>
      <c r="O154" s="87">
        <v>240</v>
      </c>
      <c r="P154" s="87">
        <v>40</v>
      </c>
      <c r="Q154" s="87">
        <f t="shared" si="26"/>
        <v>315</v>
      </c>
      <c r="R154" s="87">
        <f t="shared" si="27"/>
        <v>100</v>
      </c>
      <c r="S154" s="85">
        <f t="shared" si="28"/>
        <v>695</v>
      </c>
      <c r="T154" s="85">
        <f>50</f>
        <v>50</v>
      </c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</row>
    <row r="155" spans="1:30" ht="15.75" x14ac:dyDescent="0.25">
      <c r="A155" s="16">
        <v>45261</v>
      </c>
      <c r="B155" s="96">
        <v>31</v>
      </c>
      <c r="C155" s="85">
        <f>122.58</f>
        <v>122.58</v>
      </c>
      <c r="D155" s="85">
        <f>297.941</f>
        <v>297.94099999999997</v>
      </c>
      <c r="E155" s="92">
        <f>89.177</f>
        <v>89.177000000000007</v>
      </c>
      <c r="F155" s="85">
        <f>240.302-40-60</f>
        <v>140.30199999999999</v>
      </c>
      <c r="G155" s="87">
        <v>40</v>
      </c>
      <c r="H155" s="85">
        <v>60</v>
      </c>
      <c r="I155" s="85">
        <f t="shared" si="22"/>
        <v>0</v>
      </c>
      <c r="J155" s="87">
        <v>100</v>
      </c>
      <c r="K155" s="87">
        <v>300</v>
      </c>
      <c r="L155" s="85">
        <f t="shared" si="25"/>
        <v>1150</v>
      </c>
      <c r="M155" s="97"/>
      <c r="N155" s="85">
        <f>100</f>
        <v>100</v>
      </c>
      <c r="O155" s="87">
        <v>240</v>
      </c>
      <c r="P155" s="87">
        <v>40</v>
      </c>
      <c r="Q155" s="87">
        <f t="shared" si="26"/>
        <v>315</v>
      </c>
      <c r="R155" s="87">
        <f t="shared" si="27"/>
        <v>100</v>
      </c>
      <c r="S155" s="85">
        <f t="shared" si="28"/>
        <v>695</v>
      </c>
      <c r="T155" s="85">
        <f>50</f>
        <v>50</v>
      </c>
      <c r="U155" s="83"/>
      <c r="V155" s="83"/>
      <c r="W155" s="83"/>
      <c r="X155" s="83"/>
      <c r="Y155" s="83"/>
      <c r="Z155" s="83"/>
      <c r="AA155" s="83"/>
      <c r="AB155" s="83"/>
      <c r="AC155" s="83"/>
      <c r="AD155" s="83"/>
    </row>
    <row r="156" spans="1:30" ht="15.75" x14ac:dyDescent="0.25">
      <c r="A156" s="16">
        <v>45292</v>
      </c>
      <c r="B156" s="96">
        <v>31</v>
      </c>
      <c r="C156" s="85">
        <f>122.58</f>
        <v>122.58</v>
      </c>
      <c r="D156" s="85">
        <f>297.941</f>
        <v>297.94099999999997</v>
      </c>
      <c r="E156" s="92">
        <f>89.177</f>
        <v>89.177000000000007</v>
      </c>
      <c r="F156" s="85">
        <f>240.302-40-60</f>
        <v>140.30199999999999</v>
      </c>
      <c r="G156" s="87">
        <v>40</v>
      </c>
      <c r="H156" s="85">
        <v>60</v>
      </c>
      <c r="I156" s="85">
        <f t="shared" si="22"/>
        <v>0</v>
      </c>
      <c r="J156" s="87">
        <v>100</v>
      </c>
      <c r="K156" s="87">
        <v>300</v>
      </c>
      <c r="L156" s="85">
        <f t="shared" si="25"/>
        <v>1150</v>
      </c>
      <c r="M156" s="97"/>
      <c r="N156" s="85">
        <f>100</f>
        <v>100</v>
      </c>
      <c r="O156" s="87">
        <v>240</v>
      </c>
      <c r="P156" s="87">
        <v>40</v>
      </c>
      <c r="Q156" s="87">
        <f t="shared" si="26"/>
        <v>315</v>
      </c>
      <c r="R156" s="87">
        <f t="shared" si="27"/>
        <v>100</v>
      </c>
      <c r="S156" s="85">
        <f t="shared" si="28"/>
        <v>695</v>
      </c>
      <c r="T156" s="85">
        <f>50</f>
        <v>50</v>
      </c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</row>
    <row r="157" spans="1:30" ht="15.75" x14ac:dyDescent="0.25">
      <c r="A157" s="16">
        <v>45323</v>
      </c>
      <c r="B157" s="96">
        <v>29</v>
      </c>
      <c r="C157" s="85">
        <f>122.58</f>
        <v>122.58</v>
      </c>
      <c r="D157" s="85">
        <f>297.941</f>
        <v>297.94099999999997</v>
      </c>
      <c r="E157" s="92">
        <f>89.177</f>
        <v>89.177000000000007</v>
      </c>
      <c r="F157" s="85">
        <f>240.302-40-60</f>
        <v>140.30199999999999</v>
      </c>
      <c r="G157" s="87">
        <v>40</v>
      </c>
      <c r="H157" s="85">
        <v>60</v>
      </c>
      <c r="I157" s="85">
        <f t="shared" si="22"/>
        <v>0</v>
      </c>
      <c r="J157" s="87">
        <v>100</v>
      </c>
      <c r="K157" s="87">
        <v>300</v>
      </c>
      <c r="L157" s="85">
        <f t="shared" si="25"/>
        <v>1150</v>
      </c>
      <c r="M157" s="97"/>
      <c r="N157" s="85">
        <f>100</f>
        <v>100</v>
      </c>
      <c r="O157" s="87">
        <v>240</v>
      </c>
      <c r="P157" s="87">
        <v>40</v>
      </c>
      <c r="Q157" s="87">
        <f t="shared" si="26"/>
        <v>315</v>
      </c>
      <c r="R157" s="87">
        <f t="shared" si="27"/>
        <v>100</v>
      </c>
      <c r="S157" s="85">
        <f t="shared" si="28"/>
        <v>695</v>
      </c>
      <c r="T157" s="85">
        <f>50</f>
        <v>50</v>
      </c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</row>
    <row r="158" spans="1:30" ht="15.75" x14ac:dyDescent="0.25">
      <c r="A158" s="16">
        <v>45352</v>
      </c>
      <c r="B158" s="96">
        <v>31</v>
      </c>
      <c r="C158" s="85">
        <f>122.58</f>
        <v>122.58</v>
      </c>
      <c r="D158" s="85">
        <f>297.941</f>
        <v>297.94099999999997</v>
      </c>
      <c r="E158" s="92">
        <f>89.177</f>
        <v>89.177000000000007</v>
      </c>
      <c r="F158" s="85">
        <f>240.302-40-60</f>
        <v>140.30199999999999</v>
      </c>
      <c r="G158" s="87">
        <v>40</v>
      </c>
      <c r="H158" s="85">
        <v>60</v>
      </c>
      <c r="I158" s="85">
        <f t="shared" si="22"/>
        <v>0</v>
      </c>
      <c r="J158" s="87">
        <v>100</v>
      </c>
      <c r="K158" s="87">
        <v>300</v>
      </c>
      <c r="L158" s="85">
        <f t="shared" si="25"/>
        <v>1150</v>
      </c>
      <c r="M158" s="97"/>
      <c r="N158" s="85">
        <f>100</f>
        <v>100</v>
      </c>
      <c r="O158" s="87">
        <v>240</v>
      </c>
      <c r="P158" s="87">
        <v>40</v>
      </c>
      <c r="Q158" s="87">
        <f t="shared" si="26"/>
        <v>315</v>
      </c>
      <c r="R158" s="87">
        <f t="shared" si="27"/>
        <v>100</v>
      </c>
      <c r="S158" s="85">
        <f t="shared" si="28"/>
        <v>695</v>
      </c>
      <c r="T158" s="85">
        <f>50</f>
        <v>50</v>
      </c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</row>
    <row r="159" spans="1:30" ht="15.75" x14ac:dyDescent="0.25">
      <c r="A159" s="16">
        <v>45383</v>
      </c>
      <c r="B159" s="96">
        <v>30</v>
      </c>
      <c r="C159" s="85">
        <f>141.293</f>
        <v>141.29300000000001</v>
      </c>
      <c r="D159" s="85">
        <f>267.993</f>
        <v>267.99299999999999</v>
      </c>
      <c r="E159" s="92">
        <f>115.016</f>
        <v>115.01600000000001</v>
      </c>
      <c r="F159" s="85">
        <f>314.698-40-25-60</f>
        <v>189.69799999999998</v>
      </c>
      <c r="G159" s="87">
        <v>40</v>
      </c>
      <c r="H159" s="85">
        <f t="shared" ref="H159:H165" si="29">25+60</f>
        <v>85</v>
      </c>
      <c r="I159" s="85">
        <f t="shared" si="22"/>
        <v>0</v>
      </c>
      <c r="J159" s="87">
        <v>100</v>
      </c>
      <c r="K159" s="87">
        <v>300</v>
      </c>
      <c r="L159" s="85">
        <f t="shared" si="25"/>
        <v>1239</v>
      </c>
      <c r="M159" s="97"/>
      <c r="N159" s="85">
        <f>100</f>
        <v>100</v>
      </c>
      <c r="O159" s="87">
        <v>240</v>
      </c>
      <c r="P159" s="87">
        <v>160</v>
      </c>
      <c r="Q159" s="87">
        <f t="shared" si="26"/>
        <v>195</v>
      </c>
      <c r="R159" s="87">
        <f t="shared" si="27"/>
        <v>100</v>
      </c>
      <c r="S159" s="85">
        <f t="shared" si="28"/>
        <v>695</v>
      </c>
      <c r="T159" s="85">
        <f>50</f>
        <v>50</v>
      </c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</row>
    <row r="160" spans="1:30" ht="15.75" x14ac:dyDescent="0.25">
      <c r="A160" s="16">
        <v>45413</v>
      </c>
      <c r="B160" s="96">
        <v>31</v>
      </c>
      <c r="C160" s="85">
        <f>194.205</f>
        <v>194.20500000000001</v>
      </c>
      <c r="D160" s="85">
        <f>267.466</f>
        <v>267.46600000000001</v>
      </c>
      <c r="E160" s="92">
        <f>133.845</f>
        <v>133.845</v>
      </c>
      <c r="F160" s="85">
        <f>278.484-40-25-60</f>
        <v>153.48399999999998</v>
      </c>
      <c r="G160" s="87">
        <v>40</v>
      </c>
      <c r="H160" s="85">
        <f t="shared" si="29"/>
        <v>85</v>
      </c>
      <c r="I160" s="85">
        <f t="shared" si="22"/>
        <v>0</v>
      </c>
      <c r="J160" s="87">
        <v>100</v>
      </c>
      <c r="K160" s="87">
        <v>300</v>
      </c>
      <c r="L160" s="85">
        <f t="shared" si="25"/>
        <v>1274</v>
      </c>
      <c r="M160" s="97"/>
      <c r="N160" s="85">
        <f>75</f>
        <v>75</v>
      </c>
      <c r="O160" s="87">
        <v>240</v>
      </c>
      <c r="P160" s="87">
        <v>160</v>
      </c>
      <c r="Q160" s="87">
        <f t="shared" si="26"/>
        <v>195</v>
      </c>
      <c r="R160" s="87">
        <f t="shared" si="27"/>
        <v>100</v>
      </c>
      <c r="S160" s="85">
        <f t="shared" si="28"/>
        <v>695</v>
      </c>
      <c r="T160" s="85">
        <f>50</f>
        <v>50</v>
      </c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</row>
    <row r="161" spans="1:30" ht="15.75" x14ac:dyDescent="0.25">
      <c r="A161" s="16">
        <v>45444</v>
      </c>
      <c r="B161" s="96">
        <v>30</v>
      </c>
      <c r="C161" s="85">
        <f>194.205</f>
        <v>194.20500000000001</v>
      </c>
      <c r="D161" s="85">
        <f>267.466</f>
        <v>267.46600000000001</v>
      </c>
      <c r="E161" s="92">
        <f>133.845</f>
        <v>133.845</v>
      </c>
      <c r="F161" s="85">
        <f>278.484-40-25-60</f>
        <v>153.48399999999998</v>
      </c>
      <c r="G161" s="87">
        <v>40</v>
      </c>
      <c r="H161" s="85">
        <f t="shared" si="29"/>
        <v>85</v>
      </c>
      <c r="I161" s="85">
        <f t="shared" si="22"/>
        <v>0</v>
      </c>
      <c r="J161" s="87">
        <v>100</v>
      </c>
      <c r="K161" s="87">
        <v>300</v>
      </c>
      <c r="L161" s="85">
        <f t="shared" si="25"/>
        <v>1274</v>
      </c>
      <c r="M161" s="97"/>
      <c r="N161" s="85">
        <f>30</f>
        <v>30</v>
      </c>
      <c r="O161" s="87">
        <v>240</v>
      </c>
      <c r="P161" s="87">
        <v>160</v>
      </c>
      <c r="Q161" s="87">
        <f t="shared" si="26"/>
        <v>195</v>
      </c>
      <c r="R161" s="87">
        <f t="shared" si="27"/>
        <v>100</v>
      </c>
      <c r="S161" s="85">
        <f t="shared" si="28"/>
        <v>695</v>
      </c>
      <c r="T161" s="85">
        <f>50</f>
        <v>50</v>
      </c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</row>
    <row r="162" spans="1:30" ht="15.75" x14ac:dyDescent="0.25">
      <c r="A162" s="16">
        <v>45474</v>
      </c>
      <c r="B162" s="96">
        <v>31</v>
      </c>
      <c r="C162" s="85">
        <f>194.205</f>
        <v>194.20500000000001</v>
      </c>
      <c r="D162" s="85">
        <f>267.466</f>
        <v>267.46600000000001</v>
      </c>
      <c r="E162" s="92">
        <f>133.845</f>
        <v>133.845</v>
      </c>
      <c r="F162" s="85">
        <f>278.484-40-25-60</f>
        <v>153.48399999999998</v>
      </c>
      <c r="G162" s="87">
        <v>40</v>
      </c>
      <c r="H162" s="85">
        <f t="shared" si="29"/>
        <v>85</v>
      </c>
      <c r="I162" s="85">
        <f t="shared" si="22"/>
        <v>0</v>
      </c>
      <c r="J162" s="87">
        <v>100</v>
      </c>
      <c r="K162" s="87">
        <v>300</v>
      </c>
      <c r="L162" s="85">
        <f t="shared" si="25"/>
        <v>1274</v>
      </c>
      <c r="M162" s="97"/>
      <c r="N162" s="85">
        <f>30</f>
        <v>30</v>
      </c>
      <c r="O162" s="87">
        <v>240</v>
      </c>
      <c r="P162" s="87">
        <v>160</v>
      </c>
      <c r="Q162" s="87">
        <f t="shared" si="26"/>
        <v>195</v>
      </c>
      <c r="R162" s="87">
        <f t="shared" si="27"/>
        <v>100</v>
      </c>
      <c r="S162" s="85">
        <f t="shared" si="28"/>
        <v>695</v>
      </c>
      <c r="T162" s="85">
        <f>0</f>
        <v>0</v>
      </c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</row>
    <row r="163" spans="1:30" ht="15.75" x14ac:dyDescent="0.25">
      <c r="A163" s="16">
        <v>45505</v>
      </c>
      <c r="B163" s="96">
        <v>31</v>
      </c>
      <c r="C163" s="85">
        <f>194.205</f>
        <v>194.20500000000001</v>
      </c>
      <c r="D163" s="85">
        <f>267.466</f>
        <v>267.46600000000001</v>
      </c>
      <c r="E163" s="92">
        <f>133.845</f>
        <v>133.845</v>
      </c>
      <c r="F163" s="85">
        <f>278.484-40-25-60</f>
        <v>153.48399999999998</v>
      </c>
      <c r="G163" s="87">
        <v>40</v>
      </c>
      <c r="H163" s="85">
        <f t="shared" si="29"/>
        <v>85</v>
      </c>
      <c r="I163" s="85">
        <f t="shared" si="22"/>
        <v>0</v>
      </c>
      <c r="J163" s="87">
        <v>100</v>
      </c>
      <c r="K163" s="87">
        <v>300</v>
      </c>
      <c r="L163" s="85">
        <f t="shared" si="25"/>
        <v>1274</v>
      </c>
      <c r="M163" s="97"/>
      <c r="N163" s="85">
        <f>30</f>
        <v>30</v>
      </c>
      <c r="O163" s="87">
        <v>240</v>
      </c>
      <c r="P163" s="87">
        <v>160</v>
      </c>
      <c r="Q163" s="87">
        <f t="shared" si="26"/>
        <v>195</v>
      </c>
      <c r="R163" s="87">
        <f t="shared" si="27"/>
        <v>100</v>
      </c>
      <c r="S163" s="85">
        <f t="shared" si="28"/>
        <v>695</v>
      </c>
      <c r="T163" s="85">
        <f>0</f>
        <v>0</v>
      </c>
      <c r="U163" s="83"/>
      <c r="V163" s="83"/>
      <c r="W163" s="83"/>
      <c r="X163" s="83"/>
      <c r="Y163" s="83"/>
      <c r="Z163" s="83"/>
      <c r="AA163" s="83"/>
      <c r="AB163" s="83"/>
      <c r="AC163" s="83"/>
      <c r="AD163" s="83"/>
    </row>
    <row r="164" spans="1:30" ht="15.75" x14ac:dyDescent="0.25">
      <c r="A164" s="16">
        <v>45536</v>
      </c>
      <c r="B164" s="96">
        <v>30</v>
      </c>
      <c r="C164" s="85">
        <f>194.205</f>
        <v>194.20500000000001</v>
      </c>
      <c r="D164" s="85">
        <f>267.466</f>
        <v>267.46600000000001</v>
      </c>
      <c r="E164" s="92">
        <f>133.845</f>
        <v>133.845</v>
      </c>
      <c r="F164" s="85">
        <f>278.484-40-25-60</f>
        <v>153.48399999999998</v>
      </c>
      <c r="G164" s="87">
        <v>40</v>
      </c>
      <c r="H164" s="85">
        <f t="shared" si="29"/>
        <v>85</v>
      </c>
      <c r="I164" s="85">
        <f t="shared" si="22"/>
        <v>0</v>
      </c>
      <c r="J164" s="87">
        <v>100</v>
      </c>
      <c r="K164" s="87">
        <v>300</v>
      </c>
      <c r="L164" s="85">
        <f t="shared" si="25"/>
        <v>1274</v>
      </c>
      <c r="M164" s="97"/>
      <c r="N164" s="85">
        <f>30</f>
        <v>30</v>
      </c>
      <c r="O164" s="87">
        <v>240</v>
      </c>
      <c r="P164" s="87">
        <v>160</v>
      </c>
      <c r="Q164" s="87">
        <f t="shared" si="26"/>
        <v>195</v>
      </c>
      <c r="R164" s="87">
        <f t="shared" si="27"/>
        <v>100</v>
      </c>
      <c r="S164" s="85">
        <f t="shared" si="28"/>
        <v>695</v>
      </c>
      <c r="T164" s="85">
        <f>0</f>
        <v>0</v>
      </c>
      <c r="U164" s="83"/>
      <c r="V164" s="83"/>
      <c r="W164" s="83"/>
      <c r="X164" s="83"/>
      <c r="Y164" s="83"/>
      <c r="Z164" s="83"/>
      <c r="AA164" s="83"/>
      <c r="AB164" s="83"/>
      <c r="AC164" s="83"/>
      <c r="AD164" s="83"/>
    </row>
    <row r="165" spans="1:30" ht="15.75" x14ac:dyDescent="0.25">
      <c r="A165" s="16">
        <v>45566</v>
      </c>
      <c r="B165" s="96">
        <v>31</v>
      </c>
      <c r="C165" s="85">
        <f>131.881</f>
        <v>131.881</v>
      </c>
      <c r="D165" s="85">
        <f>277.167</f>
        <v>277.16699999999997</v>
      </c>
      <c r="E165" s="92">
        <f>79.08</f>
        <v>79.08</v>
      </c>
      <c r="F165" s="85">
        <f>350.872-40-25-60</f>
        <v>225.87200000000001</v>
      </c>
      <c r="G165" s="87">
        <v>40</v>
      </c>
      <c r="H165" s="85">
        <f t="shared" si="29"/>
        <v>85</v>
      </c>
      <c r="I165" s="85">
        <f t="shared" si="22"/>
        <v>0</v>
      </c>
      <c r="J165" s="87">
        <v>100</v>
      </c>
      <c r="K165" s="87">
        <v>300</v>
      </c>
      <c r="L165" s="85">
        <f t="shared" si="25"/>
        <v>1239</v>
      </c>
      <c r="M165" s="97"/>
      <c r="N165" s="85">
        <f>75</f>
        <v>75</v>
      </c>
      <c r="O165" s="87">
        <v>240</v>
      </c>
      <c r="P165" s="87">
        <v>160</v>
      </c>
      <c r="Q165" s="87">
        <f t="shared" si="26"/>
        <v>195</v>
      </c>
      <c r="R165" s="87">
        <f t="shared" si="27"/>
        <v>100</v>
      </c>
      <c r="S165" s="85">
        <f t="shared" si="28"/>
        <v>695</v>
      </c>
      <c r="T165" s="85">
        <f>0</f>
        <v>0</v>
      </c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</row>
    <row r="166" spans="1:30" ht="15.75" x14ac:dyDescent="0.25">
      <c r="A166" s="16">
        <v>45597</v>
      </c>
      <c r="B166" s="96">
        <v>30</v>
      </c>
      <c r="C166" s="85">
        <f>122.58</f>
        <v>122.58</v>
      </c>
      <c r="D166" s="85">
        <f>297.941</f>
        <v>297.94099999999997</v>
      </c>
      <c r="E166" s="92">
        <f>89.177</f>
        <v>89.177000000000007</v>
      </c>
      <c r="F166" s="85">
        <f>240.302-40-60</f>
        <v>140.30199999999999</v>
      </c>
      <c r="G166" s="87">
        <v>40</v>
      </c>
      <c r="H166" s="85">
        <v>60</v>
      </c>
      <c r="I166" s="85">
        <f t="shared" si="22"/>
        <v>0</v>
      </c>
      <c r="J166" s="87">
        <v>100</v>
      </c>
      <c r="K166" s="87">
        <v>300</v>
      </c>
      <c r="L166" s="85">
        <f t="shared" si="25"/>
        <v>1150</v>
      </c>
      <c r="M166" s="97"/>
      <c r="N166" s="85">
        <f>100</f>
        <v>100</v>
      </c>
      <c r="O166" s="87">
        <v>240</v>
      </c>
      <c r="P166" s="87">
        <v>40</v>
      </c>
      <c r="Q166" s="87">
        <f t="shared" si="26"/>
        <v>315</v>
      </c>
      <c r="R166" s="87">
        <f t="shared" si="27"/>
        <v>100</v>
      </c>
      <c r="S166" s="85">
        <f t="shared" si="28"/>
        <v>695</v>
      </c>
      <c r="T166" s="85">
        <f>50</f>
        <v>50</v>
      </c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</row>
    <row r="167" spans="1:30" ht="15.75" x14ac:dyDescent="0.25">
      <c r="A167" s="16">
        <v>45627</v>
      </c>
      <c r="B167" s="96">
        <v>31</v>
      </c>
      <c r="C167" s="85">
        <f>122.58</f>
        <v>122.58</v>
      </c>
      <c r="D167" s="85">
        <f>297.941</f>
        <v>297.94099999999997</v>
      </c>
      <c r="E167" s="92">
        <f>89.177</f>
        <v>89.177000000000007</v>
      </c>
      <c r="F167" s="85">
        <f>240.302-40-60</f>
        <v>140.30199999999999</v>
      </c>
      <c r="G167" s="87">
        <v>40</v>
      </c>
      <c r="H167" s="85">
        <v>60</v>
      </c>
      <c r="I167" s="85">
        <f t="shared" si="22"/>
        <v>0</v>
      </c>
      <c r="J167" s="87">
        <v>100</v>
      </c>
      <c r="K167" s="87">
        <v>300</v>
      </c>
      <c r="L167" s="85">
        <f t="shared" si="25"/>
        <v>1150</v>
      </c>
      <c r="M167" s="97"/>
      <c r="N167" s="85">
        <f>100</f>
        <v>100</v>
      </c>
      <c r="O167" s="87">
        <v>240</v>
      </c>
      <c r="P167" s="87">
        <v>40</v>
      </c>
      <c r="Q167" s="87">
        <f t="shared" si="26"/>
        <v>315</v>
      </c>
      <c r="R167" s="87">
        <f t="shared" si="27"/>
        <v>100</v>
      </c>
      <c r="S167" s="85">
        <f t="shared" si="28"/>
        <v>695</v>
      </c>
      <c r="T167" s="85">
        <f>50</f>
        <v>50</v>
      </c>
      <c r="U167" s="83"/>
      <c r="V167" s="83"/>
      <c r="W167" s="83"/>
      <c r="X167" s="83"/>
      <c r="Y167" s="83"/>
      <c r="Z167" s="83"/>
      <c r="AA167" s="83"/>
      <c r="AB167" s="83"/>
      <c r="AC167" s="83"/>
      <c r="AD167" s="83"/>
    </row>
    <row r="168" spans="1:30" ht="15.75" x14ac:dyDescent="0.25">
      <c r="A168" s="16">
        <v>45658</v>
      </c>
      <c r="B168" s="96">
        <v>31</v>
      </c>
      <c r="C168" s="85">
        <f>122.58</f>
        <v>122.58</v>
      </c>
      <c r="D168" s="85">
        <f>297.941</f>
        <v>297.94099999999997</v>
      </c>
      <c r="E168" s="92">
        <f>89.177</f>
        <v>89.177000000000007</v>
      </c>
      <c r="F168" s="85">
        <f>240.302-40-60</f>
        <v>140.30199999999999</v>
      </c>
      <c r="G168" s="87">
        <v>40</v>
      </c>
      <c r="H168" s="85">
        <v>60</v>
      </c>
      <c r="I168" s="85">
        <f t="shared" si="22"/>
        <v>0</v>
      </c>
      <c r="J168" s="87">
        <v>100</v>
      </c>
      <c r="K168" s="87">
        <v>300</v>
      </c>
      <c r="L168" s="85">
        <f t="shared" si="25"/>
        <v>1150</v>
      </c>
      <c r="M168" s="97"/>
      <c r="N168" s="85">
        <f>100</f>
        <v>100</v>
      </c>
      <c r="O168" s="87">
        <v>240</v>
      </c>
      <c r="P168" s="87">
        <v>40</v>
      </c>
      <c r="Q168" s="87">
        <f t="shared" si="26"/>
        <v>315</v>
      </c>
      <c r="R168" s="87">
        <f t="shared" si="27"/>
        <v>100</v>
      </c>
      <c r="S168" s="85">
        <f t="shared" si="28"/>
        <v>695</v>
      </c>
      <c r="T168" s="85">
        <f>50</f>
        <v>50</v>
      </c>
      <c r="U168" s="83"/>
      <c r="V168" s="83"/>
      <c r="W168" s="83"/>
      <c r="X168" s="83"/>
      <c r="Y168" s="83"/>
      <c r="Z168" s="83"/>
      <c r="AA168" s="83"/>
      <c r="AB168" s="83"/>
      <c r="AC168" s="83"/>
      <c r="AD168" s="83"/>
    </row>
    <row r="169" spans="1:30" ht="15.75" x14ac:dyDescent="0.25">
      <c r="A169" s="16">
        <v>45689</v>
      </c>
      <c r="B169" s="96">
        <v>28</v>
      </c>
      <c r="C169" s="85">
        <f>122.58</f>
        <v>122.58</v>
      </c>
      <c r="D169" s="85">
        <f>297.941</f>
        <v>297.94099999999997</v>
      </c>
      <c r="E169" s="92">
        <f>89.177</f>
        <v>89.177000000000007</v>
      </c>
      <c r="F169" s="85">
        <f>240.302-40-60</f>
        <v>140.30199999999999</v>
      </c>
      <c r="G169" s="87">
        <v>40</v>
      </c>
      <c r="H169" s="85">
        <v>60</v>
      </c>
      <c r="I169" s="85">
        <f t="shared" si="22"/>
        <v>0</v>
      </c>
      <c r="J169" s="87">
        <v>100</v>
      </c>
      <c r="K169" s="87">
        <v>300</v>
      </c>
      <c r="L169" s="85">
        <f t="shared" si="25"/>
        <v>1150</v>
      </c>
      <c r="M169" s="97"/>
      <c r="N169" s="85">
        <f>100</f>
        <v>100</v>
      </c>
      <c r="O169" s="87">
        <v>240</v>
      </c>
      <c r="P169" s="87">
        <v>40</v>
      </c>
      <c r="Q169" s="87">
        <f t="shared" si="26"/>
        <v>315</v>
      </c>
      <c r="R169" s="87">
        <f t="shared" si="27"/>
        <v>100</v>
      </c>
      <c r="S169" s="85">
        <f t="shared" si="28"/>
        <v>695</v>
      </c>
      <c r="T169" s="85">
        <f>50</f>
        <v>50</v>
      </c>
      <c r="U169" s="83"/>
      <c r="V169" s="83"/>
      <c r="W169" s="83"/>
      <c r="X169" s="83"/>
      <c r="Y169" s="83"/>
      <c r="Z169" s="83"/>
      <c r="AA169" s="83"/>
      <c r="AB169" s="83"/>
      <c r="AC169" s="83"/>
      <c r="AD169" s="83"/>
    </row>
    <row r="170" spans="1:30" ht="15.75" x14ac:dyDescent="0.25">
      <c r="A170" s="16">
        <v>45717</v>
      </c>
      <c r="B170" s="96">
        <v>31</v>
      </c>
      <c r="C170" s="85">
        <f>122.58</f>
        <v>122.58</v>
      </c>
      <c r="D170" s="85">
        <f>297.941</f>
        <v>297.94099999999997</v>
      </c>
      <c r="E170" s="92">
        <f>89.177</f>
        <v>89.177000000000007</v>
      </c>
      <c r="F170" s="85">
        <f>240.302-40-60</f>
        <v>140.30199999999999</v>
      </c>
      <c r="G170" s="87">
        <v>40</v>
      </c>
      <c r="H170" s="85">
        <v>60</v>
      </c>
      <c r="I170" s="85">
        <f t="shared" si="22"/>
        <v>0</v>
      </c>
      <c r="J170" s="87">
        <v>100</v>
      </c>
      <c r="K170" s="87">
        <v>300</v>
      </c>
      <c r="L170" s="85">
        <f t="shared" si="25"/>
        <v>1150</v>
      </c>
      <c r="M170" s="97"/>
      <c r="N170" s="85">
        <f>100</f>
        <v>100</v>
      </c>
      <c r="O170" s="87">
        <v>240</v>
      </c>
      <c r="P170" s="87">
        <v>40</v>
      </c>
      <c r="Q170" s="87">
        <f t="shared" si="26"/>
        <v>315</v>
      </c>
      <c r="R170" s="87">
        <f t="shared" si="27"/>
        <v>100</v>
      </c>
      <c r="S170" s="85">
        <f t="shared" si="28"/>
        <v>695</v>
      </c>
      <c r="T170" s="85">
        <f>50</f>
        <v>50</v>
      </c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</row>
    <row r="171" spans="1:30" ht="15.75" x14ac:dyDescent="0.25">
      <c r="A171" s="16">
        <v>45748</v>
      </c>
      <c r="B171" s="96">
        <v>30</v>
      </c>
      <c r="C171" s="85">
        <f>141.293</f>
        <v>141.29300000000001</v>
      </c>
      <c r="D171" s="85">
        <f>267.993</f>
        <v>267.99299999999999</v>
      </c>
      <c r="E171" s="92">
        <f>115.016</f>
        <v>115.01600000000001</v>
      </c>
      <c r="F171" s="85">
        <f>314.698-40-25-60</f>
        <v>189.69799999999998</v>
      </c>
      <c r="G171" s="87">
        <v>40</v>
      </c>
      <c r="H171" s="85">
        <f t="shared" ref="H171:H177" si="30">25+60</f>
        <v>85</v>
      </c>
      <c r="I171" s="85">
        <f t="shared" si="22"/>
        <v>0</v>
      </c>
      <c r="J171" s="87">
        <v>100</v>
      </c>
      <c r="K171" s="87">
        <v>300</v>
      </c>
      <c r="L171" s="85">
        <f t="shared" si="25"/>
        <v>1239</v>
      </c>
      <c r="M171" s="97"/>
      <c r="N171" s="85">
        <f>100</f>
        <v>100</v>
      </c>
      <c r="O171" s="87">
        <v>240</v>
      </c>
      <c r="P171" s="87">
        <v>160</v>
      </c>
      <c r="Q171" s="87">
        <f t="shared" si="26"/>
        <v>195</v>
      </c>
      <c r="R171" s="87">
        <f t="shared" si="27"/>
        <v>100</v>
      </c>
      <c r="S171" s="85">
        <f t="shared" si="28"/>
        <v>695</v>
      </c>
      <c r="T171" s="85">
        <f>50</f>
        <v>50</v>
      </c>
      <c r="U171" s="83"/>
      <c r="V171" s="83"/>
      <c r="W171" s="83"/>
      <c r="X171" s="83"/>
      <c r="Y171" s="83"/>
      <c r="Z171" s="83"/>
      <c r="AA171" s="83"/>
      <c r="AB171" s="83"/>
      <c r="AC171" s="83"/>
      <c r="AD171" s="83"/>
    </row>
    <row r="172" spans="1:30" ht="15.75" x14ac:dyDescent="0.25">
      <c r="A172" s="16">
        <v>45778</v>
      </c>
      <c r="B172" s="96">
        <v>31</v>
      </c>
      <c r="C172" s="85">
        <f>194.205</f>
        <v>194.20500000000001</v>
      </c>
      <c r="D172" s="85">
        <f>267.466</f>
        <v>267.46600000000001</v>
      </c>
      <c r="E172" s="92">
        <f>133.845</f>
        <v>133.845</v>
      </c>
      <c r="F172" s="85">
        <f>278.484-40-25-60</f>
        <v>153.48399999999998</v>
      </c>
      <c r="G172" s="87">
        <v>40</v>
      </c>
      <c r="H172" s="85">
        <f t="shared" si="30"/>
        <v>85</v>
      </c>
      <c r="I172" s="85">
        <f t="shared" si="22"/>
        <v>0</v>
      </c>
      <c r="J172" s="87">
        <v>100</v>
      </c>
      <c r="K172" s="87">
        <v>300</v>
      </c>
      <c r="L172" s="85">
        <f t="shared" si="25"/>
        <v>1274</v>
      </c>
      <c r="M172" s="97"/>
      <c r="N172" s="85">
        <f>75</f>
        <v>75</v>
      </c>
      <c r="O172" s="87">
        <v>240</v>
      </c>
      <c r="P172" s="87">
        <v>160</v>
      </c>
      <c r="Q172" s="87">
        <f t="shared" si="26"/>
        <v>195</v>
      </c>
      <c r="R172" s="87">
        <f t="shared" si="27"/>
        <v>100</v>
      </c>
      <c r="S172" s="85">
        <f t="shared" si="28"/>
        <v>695</v>
      </c>
      <c r="T172" s="85">
        <f>50</f>
        <v>50</v>
      </c>
      <c r="U172" s="83"/>
      <c r="V172" s="83"/>
      <c r="W172" s="83"/>
      <c r="X172" s="83"/>
      <c r="Y172" s="83"/>
      <c r="Z172" s="83"/>
      <c r="AA172" s="83"/>
      <c r="AB172" s="83"/>
      <c r="AC172" s="83"/>
      <c r="AD172" s="83"/>
    </row>
    <row r="173" spans="1:30" ht="15.75" x14ac:dyDescent="0.25">
      <c r="A173" s="16">
        <v>45809</v>
      </c>
      <c r="B173" s="96">
        <v>30</v>
      </c>
      <c r="C173" s="85">
        <f>194.205</f>
        <v>194.20500000000001</v>
      </c>
      <c r="D173" s="85">
        <f>267.466</f>
        <v>267.46600000000001</v>
      </c>
      <c r="E173" s="92">
        <f>133.845</f>
        <v>133.845</v>
      </c>
      <c r="F173" s="85">
        <f>278.484-40-25-60</f>
        <v>153.48399999999998</v>
      </c>
      <c r="G173" s="87">
        <v>40</v>
      </c>
      <c r="H173" s="85">
        <f t="shared" si="30"/>
        <v>85</v>
      </c>
      <c r="I173" s="85">
        <f t="shared" si="22"/>
        <v>0</v>
      </c>
      <c r="J173" s="87">
        <v>100</v>
      </c>
      <c r="K173" s="87">
        <v>300</v>
      </c>
      <c r="L173" s="85">
        <f t="shared" si="25"/>
        <v>1274</v>
      </c>
      <c r="M173" s="97"/>
      <c r="N173" s="85">
        <f>30</f>
        <v>30</v>
      </c>
      <c r="O173" s="87">
        <v>240</v>
      </c>
      <c r="P173" s="87">
        <v>160</v>
      </c>
      <c r="Q173" s="87">
        <f t="shared" si="26"/>
        <v>195</v>
      </c>
      <c r="R173" s="87">
        <f t="shared" si="27"/>
        <v>100</v>
      </c>
      <c r="S173" s="85">
        <f t="shared" si="28"/>
        <v>695</v>
      </c>
      <c r="T173" s="85">
        <f>50</f>
        <v>50</v>
      </c>
      <c r="U173" s="83"/>
      <c r="V173" s="83"/>
      <c r="W173" s="83"/>
      <c r="X173" s="83"/>
      <c r="Y173" s="83"/>
      <c r="Z173" s="83"/>
      <c r="AA173" s="83"/>
      <c r="AB173" s="83"/>
      <c r="AC173" s="83"/>
      <c r="AD173" s="83"/>
    </row>
    <row r="174" spans="1:30" ht="15.75" x14ac:dyDescent="0.25">
      <c r="A174" s="16">
        <v>45839</v>
      </c>
      <c r="B174" s="96">
        <v>31</v>
      </c>
      <c r="C174" s="85">
        <f>194.205</f>
        <v>194.20500000000001</v>
      </c>
      <c r="D174" s="85">
        <f>267.466</f>
        <v>267.46600000000001</v>
      </c>
      <c r="E174" s="92">
        <f>133.845</f>
        <v>133.845</v>
      </c>
      <c r="F174" s="85">
        <f>278.484-40-25-60</f>
        <v>153.48399999999998</v>
      </c>
      <c r="G174" s="87">
        <v>40</v>
      </c>
      <c r="H174" s="85">
        <f t="shared" si="30"/>
        <v>85</v>
      </c>
      <c r="I174" s="85">
        <f t="shared" si="22"/>
        <v>0</v>
      </c>
      <c r="J174" s="87">
        <v>100</v>
      </c>
      <c r="K174" s="87">
        <v>300</v>
      </c>
      <c r="L174" s="85">
        <f t="shared" si="25"/>
        <v>1274</v>
      </c>
      <c r="M174" s="97"/>
      <c r="N174" s="85">
        <f>30</f>
        <v>30</v>
      </c>
      <c r="O174" s="87">
        <v>240</v>
      </c>
      <c r="P174" s="87">
        <v>160</v>
      </c>
      <c r="Q174" s="87">
        <f t="shared" si="26"/>
        <v>195</v>
      </c>
      <c r="R174" s="87">
        <f t="shared" si="27"/>
        <v>100</v>
      </c>
      <c r="S174" s="85">
        <f t="shared" si="28"/>
        <v>695</v>
      </c>
      <c r="T174" s="85">
        <f>0</f>
        <v>0</v>
      </c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</row>
    <row r="175" spans="1:30" ht="15.75" x14ac:dyDescent="0.25">
      <c r="A175" s="16">
        <v>45870</v>
      </c>
      <c r="B175" s="96">
        <v>31</v>
      </c>
      <c r="C175" s="85">
        <f>194.205</f>
        <v>194.20500000000001</v>
      </c>
      <c r="D175" s="85">
        <f>267.466</f>
        <v>267.46600000000001</v>
      </c>
      <c r="E175" s="92">
        <f>133.845</f>
        <v>133.845</v>
      </c>
      <c r="F175" s="85">
        <f>278.484-40-25-60</f>
        <v>153.48399999999998</v>
      </c>
      <c r="G175" s="87">
        <v>40</v>
      </c>
      <c r="H175" s="85">
        <f t="shared" si="30"/>
        <v>85</v>
      </c>
      <c r="I175" s="85">
        <f t="shared" si="22"/>
        <v>0</v>
      </c>
      <c r="J175" s="87">
        <v>100</v>
      </c>
      <c r="K175" s="87">
        <v>300</v>
      </c>
      <c r="L175" s="85">
        <f t="shared" si="25"/>
        <v>1274</v>
      </c>
      <c r="M175" s="97"/>
      <c r="N175" s="85">
        <f>30</f>
        <v>30</v>
      </c>
      <c r="O175" s="87">
        <v>240</v>
      </c>
      <c r="P175" s="87">
        <v>160</v>
      </c>
      <c r="Q175" s="87">
        <f t="shared" si="26"/>
        <v>195</v>
      </c>
      <c r="R175" s="87">
        <f t="shared" si="27"/>
        <v>100</v>
      </c>
      <c r="S175" s="85">
        <f t="shared" si="28"/>
        <v>695</v>
      </c>
      <c r="T175" s="85">
        <f>0</f>
        <v>0</v>
      </c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</row>
    <row r="176" spans="1:30" ht="15.75" x14ac:dyDescent="0.25">
      <c r="A176" s="16">
        <v>45901</v>
      </c>
      <c r="B176" s="96">
        <v>30</v>
      </c>
      <c r="C176" s="85">
        <f>194.205</f>
        <v>194.20500000000001</v>
      </c>
      <c r="D176" s="85">
        <f>267.466</f>
        <v>267.46600000000001</v>
      </c>
      <c r="E176" s="92">
        <f>133.845</f>
        <v>133.845</v>
      </c>
      <c r="F176" s="85">
        <f>278.484-40-25-60</f>
        <v>153.48399999999998</v>
      </c>
      <c r="G176" s="87">
        <v>40</v>
      </c>
      <c r="H176" s="85">
        <f t="shared" si="30"/>
        <v>85</v>
      </c>
      <c r="I176" s="85">
        <f t="shared" si="22"/>
        <v>0</v>
      </c>
      <c r="J176" s="87">
        <v>100</v>
      </c>
      <c r="K176" s="87">
        <v>300</v>
      </c>
      <c r="L176" s="85">
        <f t="shared" si="25"/>
        <v>1274</v>
      </c>
      <c r="M176" s="97"/>
      <c r="N176" s="85">
        <f>30</f>
        <v>30</v>
      </c>
      <c r="O176" s="87">
        <v>240</v>
      </c>
      <c r="P176" s="87">
        <v>160</v>
      </c>
      <c r="Q176" s="87">
        <f t="shared" si="26"/>
        <v>195</v>
      </c>
      <c r="R176" s="87">
        <f t="shared" si="27"/>
        <v>100</v>
      </c>
      <c r="S176" s="85">
        <f t="shared" si="28"/>
        <v>695</v>
      </c>
      <c r="T176" s="85">
        <f>0</f>
        <v>0</v>
      </c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</row>
    <row r="177" spans="1:30" ht="15.75" x14ac:dyDescent="0.25">
      <c r="A177" s="16">
        <v>45931</v>
      </c>
      <c r="B177" s="96">
        <v>31</v>
      </c>
      <c r="C177" s="85">
        <f>131.881</f>
        <v>131.881</v>
      </c>
      <c r="D177" s="85">
        <f>277.167</f>
        <v>277.16699999999997</v>
      </c>
      <c r="E177" s="92">
        <f>79.08</f>
        <v>79.08</v>
      </c>
      <c r="F177" s="85">
        <f>350.872-40-25-60</f>
        <v>225.87200000000001</v>
      </c>
      <c r="G177" s="87">
        <v>40</v>
      </c>
      <c r="H177" s="85">
        <f t="shared" si="30"/>
        <v>85</v>
      </c>
      <c r="I177" s="85">
        <f t="shared" si="22"/>
        <v>0</v>
      </c>
      <c r="J177" s="87">
        <v>100</v>
      </c>
      <c r="K177" s="87">
        <v>300</v>
      </c>
      <c r="L177" s="85">
        <f t="shared" si="25"/>
        <v>1239</v>
      </c>
      <c r="M177" s="97"/>
      <c r="N177" s="85">
        <f>75</f>
        <v>75</v>
      </c>
      <c r="O177" s="87">
        <v>240</v>
      </c>
      <c r="P177" s="87">
        <v>160</v>
      </c>
      <c r="Q177" s="87">
        <f t="shared" si="26"/>
        <v>195</v>
      </c>
      <c r="R177" s="87">
        <f t="shared" si="27"/>
        <v>100</v>
      </c>
      <c r="S177" s="85">
        <f t="shared" si="28"/>
        <v>695</v>
      </c>
      <c r="T177" s="85">
        <f>0</f>
        <v>0</v>
      </c>
      <c r="U177" s="83"/>
      <c r="V177" s="83"/>
      <c r="W177" s="83"/>
      <c r="X177" s="83"/>
      <c r="Y177" s="83"/>
      <c r="Z177" s="83"/>
      <c r="AA177" s="83"/>
      <c r="AB177" s="83"/>
      <c r="AC177" s="83"/>
      <c r="AD177" s="83"/>
    </row>
    <row r="178" spans="1:30" ht="15.75" x14ac:dyDescent="0.25">
      <c r="A178" s="16">
        <v>45962</v>
      </c>
      <c r="B178" s="96">
        <v>30</v>
      </c>
      <c r="C178" s="85">
        <f>122.58</f>
        <v>122.58</v>
      </c>
      <c r="D178" s="85">
        <f>297.941</f>
        <v>297.94099999999997</v>
      </c>
      <c r="E178" s="92">
        <f>89.177</f>
        <v>89.177000000000007</v>
      </c>
      <c r="F178" s="85">
        <f>240.302-40-60</f>
        <v>140.30199999999999</v>
      </c>
      <c r="G178" s="87">
        <v>40</v>
      </c>
      <c r="H178" s="85">
        <v>60</v>
      </c>
      <c r="I178" s="85">
        <f t="shared" si="22"/>
        <v>0</v>
      </c>
      <c r="J178" s="87">
        <v>100</v>
      </c>
      <c r="K178" s="87">
        <v>300</v>
      </c>
      <c r="L178" s="85">
        <f t="shared" si="25"/>
        <v>1150</v>
      </c>
      <c r="M178" s="97"/>
      <c r="N178" s="85">
        <f>100</f>
        <v>100</v>
      </c>
      <c r="O178" s="87">
        <v>240</v>
      </c>
      <c r="P178" s="87">
        <v>40</v>
      </c>
      <c r="Q178" s="87">
        <f t="shared" si="26"/>
        <v>315</v>
      </c>
      <c r="R178" s="87">
        <f t="shared" si="27"/>
        <v>100</v>
      </c>
      <c r="S178" s="85">
        <f t="shared" si="28"/>
        <v>695</v>
      </c>
      <c r="T178" s="85">
        <f>50</f>
        <v>50</v>
      </c>
      <c r="U178" s="83"/>
      <c r="V178" s="83"/>
      <c r="W178" s="83"/>
      <c r="X178" s="83"/>
      <c r="Y178" s="83"/>
      <c r="Z178" s="83"/>
      <c r="AA178" s="83"/>
      <c r="AB178" s="83"/>
      <c r="AC178" s="83"/>
      <c r="AD178" s="83"/>
    </row>
    <row r="179" spans="1:30" ht="15.75" x14ac:dyDescent="0.25">
      <c r="A179" s="16">
        <v>45992</v>
      </c>
      <c r="B179" s="96">
        <v>31</v>
      </c>
      <c r="C179" s="85">
        <f>122.58</f>
        <v>122.58</v>
      </c>
      <c r="D179" s="85">
        <f>297.941</f>
        <v>297.94099999999997</v>
      </c>
      <c r="E179" s="92">
        <f>89.177</f>
        <v>89.177000000000007</v>
      </c>
      <c r="F179" s="85">
        <f>240.302-40-60</f>
        <v>140.30199999999999</v>
      </c>
      <c r="G179" s="87">
        <v>40</v>
      </c>
      <c r="H179" s="85">
        <v>60</v>
      </c>
      <c r="I179" s="85">
        <f t="shared" si="22"/>
        <v>0</v>
      </c>
      <c r="J179" s="87">
        <v>100</v>
      </c>
      <c r="K179" s="87">
        <v>300</v>
      </c>
      <c r="L179" s="85">
        <f t="shared" si="25"/>
        <v>1150</v>
      </c>
      <c r="M179" s="97"/>
      <c r="N179" s="85">
        <f>100</f>
        <v>100</v>
      </c>
      <c r="O179" s="87">
        <v>240</v>
      </c>
      <c r="P179" s="87">
        <v>40</v>
      </c>
      <c r="Q179" s="87">
        <f t="shared" si="26"/>
        <v>315</v>
      </c>
      <c r="R179" s="87">
        <f t="shared" si="27"/>
        <v>100</v>
      </c>
      <c r="S179" s="85">
        <f t="shared" si="28"/>
        <v>695</v>
      </c>
      <c r="T179" s="85">
        <f>50</f>
        <v>50</v>
      </c>
      <c r="U179" s="83"/>
      <c r="V179" s="83"/>
      <c r="W179" s="83"/>
      <c r="X179" s="83"/>
      <c r="Y179" s="83"/>
      <c r="Z179" s="83"/>
      <c r="AA179" s="83"/>
      <c r="AB179" s="83"/>
      <c r="AC179" s="83"/>
      <c r="AD179" s="83"/>
    </row>
    <row r="180" spans="1:30" ht="15.75" x14ac:dyDescent="0.25">
      <c r="A180" s="16">
        <v>46023</v>
      </c>
      <c r="B180" s="96">
        <v>31</v>
      </c>
      <c r="C180" s="85">
        <f>122.58</f>
        <v>122.58</v>
      </c>
      <c r="D180" s="85">
        <f>297.941</f>
        <v>297.94099999999997</v>
      </c>
      <c r="E180" s="92">
        <f>89.177</f>
        <v>89.177000000000007</v>
      </c>
      <c r="F180" s="85">
        <f>240.302-40-60</f>
        <v>140.30199999999999</v>
      </c>
      <c r="G180" s="87">
        <v>40</v>
      </c>
      <c r="H180" s="85">
        <v>60</v>
      </c>
      <c r="I180" s="85">
        <f t="shared" si="22"/>
        <v>0</v>
      </c>
      <c r="J180" s="87">
        <v>100</v>
      </c>
      <c r="K180" s="87">
        <v>300</v>
      </c>
      <c r="L180" s="85">
        <f t="shared" si="25"/>
        <v>1150</v>
      </c>
      <c r="M180" s="97"/>
      <c r="N180" s="85">
        <f>100</f>
        <v>100</v>
      </c>
      <c r="O180" s="87">
        <v>240</v>
      </c>
      <c r="P180" s="87">
        <v>40</v>
      </c>
      <c r="Q180" s="87">
        <f t="shared" si="26"/>
        <v>315</v>
      </c>
      <c r="R180" s="87">
        <f t="shared" si="27"/>
        <v>100</v>
      </c>
      <c r="S180" s="85">
        <f t="shared" si="28"/>
        <v>695</v>
      </c>
      <c r="T180" s="85">
        <f>50</f>
        <v>50</v>
      </c>
      <c r="U180" s="83"/>
      <c r="V180" s="83"/>
      <c r="W180" s="83"/>
      <c r="X180" s="83"/>
      <c r="Y180" s="83"/>
      <c r="Z180" s="83"/>
      <c r="AA180" s="83"/>
      <c r="AB180" s="83"/>
      <c r="AC180" s="83"/>
      <c r="AD180" s="83"/>
    </row>
    <row r="181" spans="1:30" ht="15.75" x14ac:dyDescent="0.25">
      <c r="A181" s="16">
        <v>46054</v>
      </c>
      <c r="B181" s="96">
        <v>28</v>
      </c>
      <c r="C181" s="85">
        <f>122.58</f>
        <v>122.58</v>
      </c>
      <c r="D181" s="85">
        <f>297.941</f>
        <v>297.94099999999997</v>
      </c>
      <c r="E181" s="92">
        <f>89.177</f>
        <v>89.177000000000007</v>
      </c>
      <c r="F181" s="85">
        <f>240.302-40-60</f>
        <v>140.30199999999999</v>
      </c>
      <c r="G181" s="87">
        <v>40</v>
      </c>
      <c r="H181" s="85">
        <v>60</v>
      </c>
      <c r="I181" s="85">
        <f t="shared" si="22"/>
        <v>0</v>
      </c>
      <c r="J181" s="87">
        <v>100</v>
      </c>
      <c r="K181" s="87">
        <v>300</v>
      </c>
      <c r="L181" s="85">
        <f t="shared" si="25"/>
        <v>1150</v>
      </c>
      <c r="M181" s="97"/>
      <c r="N181" s="85">
        <f>100</f>
        <v>100</v>
      </c>
      <c r="O181" s="87">
        <v>240</v>
      </c>
      <c r="P181" s="87">
        <v>40</v>
      </c>
      <c r="Q181" s="87">
        <f t="shared" si="26"/>
        <v>315</v>
      </c>
      <c r="R181" s="87">
        <f t="shared" si="27"/>
        <v>100</v>
      </c>
      <c r="S181" s="85">
        <f t="shared" si="28"/>
        <v>695</v>
      </c>
      <c r="T181" s="85">
        <f>50</f>
        <v>50</v>
      </c>
      <c r="U181" s="83"/>
      <c r="V181" s="83"/>
      <c r="W181" s="83"/>
      <c r="X181" s="83"/>
      <c r="Y181" s="83"/>
      <c r="Z181" s="83"/>
      <c r="AA181" s="83"/>
      <c r="AB181" s="83"/>
      <c r="AC181" s="83"/>
      <c r="AD181" s="83"/>
    </row>
    <row r="182" spans="1:30" ht="15.75" x14ac:dyDescent="0.25">
      <c r="A182" s="16">
        <v>46082</v>
      </c>
      <c r="B182" s="96">
        <v>31</v>
      </c>
      <c r="C182" s="85">
        <f>122.58</f>
        <v>122.58</v>
      </c>
      <c r="D182" s="85">
        <f>297.941</f>
        <v>297.94099999999997</v>
      </c>
      <c r="E182" s="92">
        <f>89.177</f>
        <v>89.177000000000007</v>
      </c>
      <c r="F182" s="85">
        <f>240.302-40-60</f>
        <v>140.30199999999999</v>
      </c>
      <c r="G182" s="87">
        <v>40</v>
      </c>
      <c r="H182" s="85">
        <v>60</v>
      </c>
      <c r="I182" s="85">
        <f t="shared" si="22"/>
        <v>0</v>
      </c>
      <c r="J182" s="87">
        <v>100</v>
      </c>
      <c r="K182" s="87">
        <v>300</v>
      </c>
      <c r="L182" s="85">
        <f t="shared" si="25"/>
        <v>1150</v>
      </c>
      <c r="M182" s="97"/>
      <c r="N182" s="85">
        <f>100</f>
        <v>100</v>
      </c>
      <c r="O182" s="87">
        <v>240</v>
      </c>
      <c r="P182" s="87">
        <v>40</v>
      </c>
      <c r="Q182" s="87">
        <f t="shared" si="26"/>
        <v>315</v>
      </c>
      <c r="R182" s="87">
        <f t="shared" si="27"/>
        <v>100</v>
      </c>
      <c r="S182" s="85">
        <f t="shared" si="28"/>
        <v>695</v>
      </c>
      <c r="T182" s="85">
        <f>50</f>
        <v>50</v>
      </c>
      <c r="U182" s="83"/>
      <c r="V182" s="83"/>
      <c r="W182" s="83"/>
      <c r="X182" s="83"/>
      <c r="Y182" s="83"/>
      <c r="Z182" s="83"/>
      <c r="AA182" s="83"/>
      <c r="AB182" s="83"/>
      <c r="AC182" s="83"/>
      <c r="AD182" s="83"/>
    </row>
    <row r="183" spans="1:30" ht="15.75" x14ac:dyDescent="0.25">
      <c r="A183" s="16">
        <v>46113</v>
      </c>
      <c r="B183" s="96">
        <v>30</v>
      </c>
      <c r="C183" s="85">
        <f>141.293</f>
        <v>141.29300000000001</v>
      </c>
      <c r="D183" s="85">
        <f>267.993</f>
        <v>267.99299999999999</v>
      </c>
      <c r="E183" s="92">
        <f>115.016</f>
        <v>115.01600000000001</v>
      </c>
      <c r="F183" s="85">
        <f>314.698-40-25-60</f>
        <v>189.69799999999998</v>
      </c>
      <c r="G183" s="87">
        <v>40</v>
      </c>
      <c r="H183" s="85">
        <f t="shared" ref="H183:H189" si="31">25+60</f>
        <v>85</v>
      </c>
      <c r="I183" s="85">
        <f t="shared" si="22"/>
        <v>0</v>
      </c>
      <c r="J183" s="87">
        <v>100</v>
      </c>
      <c r="K183" s="87">
        <v>300</v>
      </c>
      <c r="L183" s="85">
        <f t="shared" si="25"/>
        <v>1239</v>
      </c>
      <c r="M183" s="97"/>
      <c r="N183" s="85">
        <f>100</f>
        <v>100</v>
      </c>
      <c r="O183" s="87">
        <v>240</v>
      </c>
      <c r="P183" s="87">
        <v>160</v>
      </c>
      <c r="Q183" s="87">
        <f t="shared" si="26"/>
        <v>195</v>
      </c>
      <c r="R183" s="87">
        <f t="shared" si="27"/>
        <v>100</v>
      </c>
      <c r="S183" s="85">
        <f t="shared" si="28"/>
        <v>695</v>
      </c>
      <c r="T183" s="85">
        <f>50</f>
        <v>50</v>
      </c>
      <c r="U183" s="83"/>
      <c r="V183" s="83"/>
      <c r="W183" s="83"/>
      <c r="X183" s="83"/>
      <c r="Y183" s="83"/>
      <c r="Z183" s="83"/>
      <c r="AA183" s="83"/>
      <c r="AB183" s="83"/>
      <c r="AC183" s="83"/>
      <c r="AD183" s="83"/>
    </row>
    <row r="184" spans="1:30" ht="15.75" x14ac:dyDescent="0.25">
      <c r="A184" s="16">
        <v>46143</v>
      </c>
      <c r="B184" s="96">
        <v>31</v>
      </c>
      <c r="C184" s="85">
        <f>194.205</f>
        <v>194.20500000000001</v>
      </c>
      <c r="D184" s="85">
        <f>267.466</f>
        <v>267.46600000000001</v>
      </c>
      <c r="E184" s="92">
        <f>133.845</f>
        <v>133.845</v>
      </c>
      <c r="F184" s="85">
        <f>278.484-40-25-60</f>
        <v>153.48399999999998</v>
      </c>
      <c r="G184" s="87">
        <v>40</v>
      </c>
      <c r="H184" s="85">
        <f t="shared" si="31"/>
        <v>85</v>
      </c>
      <c r="I184" s="85">
        <f t="shared" si="22"/>
        <v>0</v>
      </c>
      <c r="J184" s="87">
        <v>100</v>
      </c>
      <c r="K184" s="87">
        <v>300</v>
      </c>
      <c r="L184" s="85">
        <f t="shared" si="25"/>
        <v>1274</v>
      </c>
      <c r="M184" s="97"/>
      <c r="N184" s="85">
        <f>75</f>
        <v>75</v>
      </c>
      <c r="O184" s="87">
        <v>240</v>
      </c>
      <c r="P184" s="87">
        <v>160</v>
      </c>
      <c r="Q184" s="87">
        <f t="shared" si="26"/>
        <v>195</v>
      </c>
      <c r="R184" s="87">
        <f t="shared" si="27"/>
        <v>100</v>
      </c>
      <c r="S184" s="85">
        <f t="shared" si="28"/>
        <v>695</v>
      </c>
      <c r="T184" s="85">
        <f>50</f>
        <v>50</v>
      </c>
      <c r="U184" s="83"/>
      <c r="V184" s="83"/>
      <c r="W184" s="83"/>
      <c r="X184" s="83"/>
      <c r="Y184" s="83"/>
      <c r="Z184" s="83"/>
      <c r="AA184" s="83"/>
      <c r="AB184" s="83"/>
      <c r="AC184" s="83"/>
      <c r="AD184" s="83"/>
    </row>
    <row r="185" spans="1:30" ht="15.75" x14ac:dyDescent="0.25">
      <c r="A185" s="16">
        <v>46174</v>
      </c>
      <c r="B185" s="96">
        <v>30</v>
      </c>
      <c r="C185" s="85">
        <f>194.205</f>
        <v>194.20500000000001</v>
      </c>
      <c r="D185" s="85">
        <f>267.466</f>
        <v>267.46600000000001</v>
      </c>
      <c r="E185" s="92">
        <f>133.845</f>
        <v>133.845</v>
      </c>
      <c r="F185" s="85">
        <f>278.484-40-25-60</f>
        <v>153.48399999999998</v>
      </c>
      <c r="G185" s="87">
        <v>40</v>
      </c>
      <c r="H185" s="85">
        <f t="shared" si="31"/>
        <v>85</v>
      </c>
      <c r="I185" s="85">
        <f t="shared" si="22"/>
        <v>0</v>
      </c>
      <c r="J185" s="87">
        <v>100</v>
      </c>
      <c r="K185" s="87">
        <v>300</v>
      </c>
      <c r="L185" s="85">
        <f t="shared" si="25"/>
        <v>1274</v>
      </c>
      <c r="M185" s="97"/>
      <c r="N185" s="85">
        <f>30</f>
        <v>30</v>
      </c>
      <c r="O185" s="87">
        <v>240</v>
      </c>
      <c r="P185" s="87">
        <v>160</v>
      </c>
      <c r="Q185" s="87">
        <f t="shared" si="26"/>
        <v>195</v>
      </c>
      <c r="R185" s="87">
        <f t="shared" si="27"/>
        <v>100</v>
      </c>
      <c r="S185" s="85">
        <f t="shared" si="28"/>
        <v>695</v>
      </c>
      <c r="T185" s="85">
        <f>50</f>
        <v>50</v>
      </c>
      <c r="U185" s="83"/>
      <c r="V185" s="83"/>
      <c r="W185" s="83"/>
      <c r="X185" s="83"/>
      <c r="Y185" s="83"/>
      <c r="Z185" s="83"/>
      <c r="AA185" s="83"/>
      <c r="AB185" s="83"/>
      <c r="AC185" s="83"/>
      <c r="AD185" s="83"/>
    </row>
    <row r="186" spans="1:30" ht="15.75" x14ac:dyDescent="0.25">
      <c r="A186" s="16">
        <v>46204</v>
      </c>
      <c r="B186" s="96">
        <v>31</v>
      </c>
      <c r="C186" s="85">
        <f>194.205</f>
        <v>194.20500000000001</v>
      </c>
      <c r="D186" s="85">
        <f>267.466</f>
        <v>267.46600000000001</v>
      </c>
      <c r="E186" s="92">
        <f>133.845</f>
        <v>133.845</v>
      </c>
      <c r="F186" s="85">
        <f>278.484-40-25-60</f>
        <v>153.48399999999998</v>
      </c>
      <c r="G186" s="87">
        <v>40</v>
      </c>
      <c r="H186" s="85">
        <f t="shared" si="31"/>
        <v>85</v>
      </c>
      <c r="I186" s="85">
        <f t="shared" si="22"/>
        <v>0</v>
      </c>
      <c r="J186" s="87">
        <v>100</v>
      </c>
      <c r="K186" s="87">
        <v>300</v>
      </c>
      <c r="L186" s="85">
        <f t="shared" si="25"/>
        <v>1274</v>
      </c>
      <c r="M186" s="97"/>
      <c r="N186" s="85">
        <f>30</f>
        <v>30</v>
      </c>
      <c r="O186" s="87">
        <v>240</v>
      </c>
      <c r="P186" s="87">
        <v>160</v>
      </c>
      <c r="Q186" s="87">
        <f t="shared" si="26"/>
        <v>195</v>
      </c>
      <c r="R186" s="87">
        <f t="shared" si="27"/>
        <v>100</v>
      </c>
      <c r="S186" s="85">
        <f t="shared" si="28"/>
        <v>695</v>
      </c>
      <c r="T186" s="85">
        <f>0</f>
        <v>0</v>
      </c>
      <c r="U186" s="83"/>
      <c r="V186" s="83"/>
      <c r="W186" s="83"/>
      <c r="X186" s="83"/>
      <c r="Y186" s="83"/>
      <c r="Z186" s="83"/>
      <c r="AA186" s="83"/>
      <c r="AB186" s="83"/>
      <c r="AC186" s="83"/>
      <c r="AD186" s="83"/>
    </row>
    <row r="187" spans="1:30" ht="15.75" x14ac:dyDescent="0.25">
      <c r="A187" s="16">
        <v>46235</v>
      </c>
      <c r="B187" s="96">
        <v>31</v>
      </c>
      <c r="C187" s="85">
        <f>194.205</f>
        <v>194.20500000000001</v>
      </c>
      <c r="D187" s="85">
        <f>267.466</f>
        <v>267.46600000000001</v>
      </c>
      <c r="E187" s="92">
        <f>133.845</f>
        <v>133.845</v>
      </c>
      <c r="F187" s="85">
        <f>278.484-40-25-60</f>
        <v>153.48399999999998</v>
      </c>
      <c r="G187" s="87">
        <v>40</v>
      </c>
      <c r="H187" s="85">
        <f t="shared" si="31"/>
        <v>85</v>
      </c>
      <c r="I187" s="85">
        <f t="shared" si="22"/>
        <v>0</v>
      </c>
      <c r="J187" s="87">
        <v>100</v>
      </c>
      <c r="K187" s="87">
        <v>300</v>
      </c>
      <c r="L187" s="85">
        <f t="shared" si="25"/>
        <v>1274</v>
      </c>
      <c r="M187" s="97"/>
      <c r="N187" s="85">
        <f>30</f>
        <v>30</v>
      </c>
      <c r="O187" s="87">
        <v>240</v>
      </c>
      <c r="P187" s="87">
        <v>160</v>
      </c>
      <c r="Q187" s="87">
        <f t="shared" si="26"/>
        <v>195</v>
      </c>
      <c r="R187" s="87">
        <f t="shared" si="27"/>
        <v>100</v>
      </c>
      <c r="S187" s="85">
        <f t="shared" si="28"/>
        <v>695</v>
      </c>
      <c r="T187" s="85">
        <f>0</f>
        <v>0</v>
      </c>
      <c r="U187" s="83"/>
      <c r="V187" s="83"/>
      <c r="W187" s="83"/>
      <c r="X187" s="83"/>
      <c r="Y187" s="83"/>
      <c r="Z187" s="83"/>
      <c r="AA187" s="83"/>
      <c r="AB187" s="83"/>
      <c r="AC187" s="83"/>
      <c r="AD187" s="83"/>
    </row>
    <row r="188" spans="1:30" ht="15.75" x14ac:dyDescent="0.25">
      <c r="A188" s="16">
        <v>46266</v>
      </c>
      <c r="B188" s="96">
        <v>30</v>
      </c>
      <c r="C188" s="85">
        <f>194.205</f>
        <v>194.20500000000001</v>
      </c>
      <c r="D188" s="85">
        <f>267.466</f>
        <v>267.46600000000001</v>
      </c>
      <c r="E188" s="92">
        <f>133.845</f>
        <v>133.845</v>
      </c>
      <c r="F188" s="85">
        <f>278.484-40-25-60</f>
        <v>153.48399999999998</v>
      </c>
      <c r="G188" s="87">
        <v>40</v>
      </c>
      <c r="H188" s="85">
        <f t="shared" si="31"/>
        <v>85</v>
      </c>
      <c r="I188" s="85">
        <f t="shared" si="22"/>
        <v>0</v>
      </c>
      <c r="J188" s="87">
        <v>100</v>
      </c>
      <c r="K188" s="87">
        <v>300</v>
      </c>
      <c r="L188" s="85">
        <f t="shared" si="25"/>
        <v>1274</v>
      </c>
      <c r="M188" s="97"/>
      <c r="N188" s="85">
        <f>30</f>
        <v>30</v>
      </c>
      <c r="O188" s="87">
        <v>240</v>
      </c>
      <c r="P188" s="87">
        <v>160</v>
      </c>
      <c r="Q188" s="87">
        <f t="shared" si="26"/>
        <v>195</v>
      </c>
      <c r="R188" s="87">
        <f t="shared" si="27"/>
        <v>100</v>
      </c>
      <c r="S188" s="85">
        <f t="shared" si="28"/>
        <v>695</v>
      </c>
      <c r="T188" s="85">
        <f>0</f>
        <v>0</v>
      </c>
      <c r="U188" s="83"/>
      <c r="V188" s="83"/>
      <c r="W188" s="83"/>
      <c r="X188" s="83"/>
      <c r="Y188" s="83"/>
      <c r="Z188" s="83"/>
      <c r="AA188" s="83"/>
      <c r="AB188" s="83"/>
      <c r="AC188" s="83"/>
      <c r="AD188" s="83"/>
    </row>
    <row r="189" spans="1:30" ht="15.75" x14ac:dyDescent="0.25">
      <c r="A189" s="16">
        <v>46296</v>
      </c>
      <c r="B189" s="96">
        <v>31</v>
      </c>
      <c r="C189" s="85">
        <f>131.881</f>
        <v>131.881</v>
      </c>
      <c r="D189" s="85">
        <f>277.167</f>
        <v>277.16699999999997</v>
      </c>
      <c r="E189" s="92">
        <f>79.08</f>
        <v>79.08</v>
      </c>
      <c r="F189" s="85">
        <f>350.872-40-25-60</f>
        <v>225.87200000000001</v>
      </c>
      <c r="G189" s="87">
        <v>40</v>
      </c>
      <c r="H189" s="85">
        <f t="shared" si="31"/>
        <v>85</v>
      </c>
      <c r="I189" s="85">
        <f t="shared" si="22"/>
        <v>0</v>
      </c>
      <c r="J189" s="87">
        <v>100</v>
      </c>
      <c r="K189" s="87">
        <v>300</v>
      </c>
      <c r="L189" s="85">
        <f t="shared" si="25"/>
        <v>1239</v>
      </c>
      <c r="M189" s="97"/>
      <c r="N189" s="85">
        <f>75</f>
        <v>75</v>
      </c>
      <c r="O189" s="87">
        <v>240</v>
      </c>
      <c r="P189" s="87">
        <v>160</v>
      </c>
      <c r="Q189" s="87">
        <f t="shared" si="26"/>
        <v>195</v>
      </c>
      <c r="R189" s="87">
        <f t="shared" si="27"/>
        <v>100</v>
      </c>
      <c r="S189" s="85">
        <f t="shared" si="28"/>
        <v>695</v>
      </c>
      <c r="T189" s="85">
        <f>0</f>
        <v>0</v>
      </c>
      <c r="U189" s="83"/>
      <c r="V189" s="83"/>
      <c r="W189" s="83"/>
      <c r="X189" s="83"/>
      <c r="Y189" s="83"/>
      <c r="Z189" s="83"/>
      <c r="AA189" s="83"/>
      <c r="AB189" s="83"/>
      <c r="AC189" s="83"/>
      <c r="AD189" s="83"/>
    </row>
    <row r="190" spans="1:30" ht="15.75" x14ac:dyDescent="0.25">
      <c r="A190" s="16">
        <v>46327</v>
      </c>
      <c r="B190" s="96">
        <v>30</v>
      </c>
      <c r="C190" s="85">
        <f>122.58</f>
        <v>122.58</v>
      </c>
      <c r="D190" s="85">
        <f>297.941</f>
        <v>297.94099999999997</v>
      </c>
      <c r="E190" s="92">
        <f>89.177</f>
        <v>89.177000000000007</v>
      </c>
      <c r="F190" s="85">
        <f>240.302-40-60</f>
        <v>140.30199999999999</v>
      </c>
      <c r="G190" s="87">
        <v>40</v>
      </c>
      <c r="H190" s="85">
        <v>60</v>
      </c>
      <c r="I190" s="85">
        <f t="shared" si="22"/>
        <v>0</v>
      </c>
      <c r="J190" s="87">
        <v>100</v>
      </c>
      <c r="K190" s="87">
        <v>300</v>
      </c>
      <c r="L190" s="85">
        <f t="shared" si="25"/>
        <v>1150</v>
      </c>
      <c r="M190" s="97"/>
      <c r="N190" s="85">
        <f>100</f>
        <v>100</v>
      </c>
      <c r="O190" s="87">
        <v>240</v>
      </c>
      <c r="P190" s="87">
        <v>40</v>
      </c>
      <c r="Q190" s="87">
        <f t="shared" si="26"/>
        <v>315</v>
      </c>
      <c r="R190" s="87">
        <f t="shared" si="27"/>
        <v>100</v>
      </c>
      <c r="S190" s="85">
        <f t="shared" si="28"/>
        <v>695</v>
      </c>
      <c r="T190" s="85">
        <f>50</f>
        <v>50</v>
      </c>
      <c r="U190" s="83"/>
      <c r="V190" s="83"/>
      <c r="W190" s="83"/>
      <c r="X190" s="83"/>
      <c r="Y190" s="83"/>
      <c r="Z190" s="83"/>
      <c r="AA190" s="83"/>
      <c r="AB190" s="83"/>
      <c r="AC190" s="83"/>
      <c r="AD190" s="83"/>
    </row>
    <row r="191" spans="1:30" ht="15.75" x14ac:dyDescent="0.25">
      <c r="A191" s="16">
        <v>46357</v>
      </c>
      <c r="B191" s="96">
        <v>31</v>
      </c>
      <c r="C191" s="85">
        <f>122.58</f>
        <v>122.58</v>
      </c>
      <c r="D191" s="85">
        <f>297.941</f>
        <v>297.94099999999997</v>
      </c>
      <c r="E191" s="92">
        <f>89.177</f>
        <v>89.177000000000007</v>
      </c>
      <c r="F191" s="85">
        <f>240.302-40-60</f>
        <v>140.30199999999999</v>
      </c>
      <c r="G191" s="87">
        <v>40</v>
      </c>
      <c r="H191" s="85">
        <v>60</v>
      </c>
      <c r="I191" s="85">
        <f t="shared" si="22"/>
        <v>0</v>
      </c>
      <c r="J191" s="87">
        <v>100</v>
      </c>
      <c r="K191" s="87">
        <v>300</v>
      </c>
      <c r="L191" s="85">
        <f t="shared" si="25"/>
        <v>1150</v>
      </c>
      <c r="M191" s="97"/>
      <c r="N191" s="85">
        <f>100</f>
        <v>100</v>
      </c>
      <c r="O191" s="87">
        <v>240</v>
      </c>
      <c r="P191" s="87">
        <v>40</v>
      </c>
      <c r="Q191" s="87">
        <f t="shared" si="26"/>
        <v>315</v>
      </c>
      <c r="R191" s="87">
        <f t="shared" si="27"/>
        <v>100</v>
      </c>
      <c r="S191" s="85">
        <f t="shared" si="28"/>
        <v>695</v>
      </c>
      <c r="T191" s="85">
        <f>50</f>
        <v>50</v>
      </c>
      <c r="U191" s="83"/>
      <c r="V191" s="83"/>
      <c r="W191" s="83"/>
      <c r="X191" s="83"/>
      <c r="Y191" s="83"/>
      <c r="Z191" s="83"/>
      <c r="AA191" s="83"/>
      <c r="AB191" s="83"/>
      <c r="AC191" s="83"/>
      <c r="AD191" s="83"/>
    </row>
    <row r="192" spans="1:30" ht="15.75" x14ac:dyDescent="0.25">
      <c r="A192" s="16">
        <v>46388</v>
      </c>
      <c r="B192" s="96">
        <v>31</v>
      </c>
      <c r="C192" s="85">
        <f>122.58</f>
        <v>122.58</v>
      </c>
      <c r="D192" s="85">
        <f>297.941</f>
        <v>297.94099999999997</v>
      </c>
      <c r="E192" s="92">
        <f>89.177</f>
        <v>89.177000000000007</v>
      </c>
      <c r="F192" s="85">
        <f>240.302-40-60</f>
        <v>140.30199999999999</v>
      </c>
      <c r="G192" s="87">
        <v>40</v>
      </c>
      <c r="H192" s="85">
        <v>60</v>
      </c>
      <c r="I192" s="85">
        <f t="shared" ref="I192:I255" si="32">400-J192-K192</f>
        <v>0</v>
      </c>
      <c r="J192" s="87">
        <v>100</v>
      </c>
      <c r="K192" s="87">
        <v>300</v>
      </c>
      <c r="L192" s="85">
        <f t="shared" si="25"/>
        <v>1150</v>
      </c>
      <c r="M192" s="86"/>
      <c r="N192" s="85">
        <f>100</f>
        <v>100</v>
      </c>
      <c r="O192" s="87">
        <v>240</v>
      </c>
      <c r="P192" s="87">
        <v>40</v>
      </c>
      <c r="Q192" s="87">
        <f t="shared" si="26"/>
        <v>315</v>
      </c>
      <c r="R192" s="87">
        <f t="shared" si="27"/>
        <v>100</v>
      </c>
      <c r="S192" s="85">
        <f t="shared" si="28"/>
        <v>695</v>
      </c>
      <c r="T192" s="85">
        <f>50</f>
        <v>50</v>
      </c>
      <c r="U192" s="83"/>
      <c r="V192" s="83"/>
      <c r="W192" s="83"/>
      <c r="X192" s="83"/>
      <c r="Y192" s="83"/>
      <c r="Z192" s="83"/>
      <c r="AA192" s="83"/>
      <c r="AB192" s="83"/>
      <c r="AC192" s="83"/>
      <c r="AD192" s="83"/>
    </row>
    <row r="193" spans="1:30" ht="15.75" x14ac:dyDescent="0.25">
      <c r="A193" s="16">
        <v>46419</v>
      </c>
      <c r="B193" s="96">
        <v>28</v>
      </c>
      <c r="C193" s="85">
        <f>122.58</f>
        <v>122.58</v>
      </c>
      <c r="D193" s="85">
        <f>297.941</f>
        <v>297.94099999999997</v>
      </c>
      <c r="E193" s="92">
        <f>89.177</f>
        <v>89.177000000000007</v>
      </c>
      <c r="F193" s="85">
        <f>240.302-40-60</f>
        <v>140.30199999999999</v>
      </c>
      <c r="G193" s="87">
        <v>40</v>
      </c>
      <c r="H193" s="85">
        <v>60</v>
      </c>
      <c r="I193" s="85">
        <f t="shared" si="32"/>
        <v>0</v>
      </c>
      <c r="J193" s="87">
        <v>100</v>
      </c>
      <c r="K193" s="87">
        <v>300</v>
      </c>
      <c r="L193" s="85">
        <f t="shared" si="25"/>
        <v>1150</v>
      </c>
      <c r="M193" s="86"/>
      <c r="N193" s="85">
        <f>100</f>
        <v>100</v>
      </c>
      <c r="O193" s="87">
        <v>240</v>
      </c>
      <c r="P193" s="87">
        <v>40</v>
      </c>
      <c r="Q193" s="87">
        <f t="shared" si="26"/>
        <v>315</v>
      </c>
      <c r="R193" s="87">
        <f t="shared" si="27"/>
        <v>100</v>
      </c>
      <c r="S193" s="85">
        <f t="shared" si="28"/>
        <v>695</v>
      </c>
      <c r="T193" s="85">
        <f>50</f>
        <v>50</v>
      </c>
      <c r="U193" s="83"/>
      <c r="V193" s="83"/>
      <c r="W193" s="83"/>
      <c r="X193" s="83"/>
      <c r="Y193" s="83"/>
      <c r="Z193" s="83"/>
      <c r="AA193" s="83"/>
      <c r="AB193" s="83"/>
      <c r="AC193" s="83"/>
      <c r="AD193" s="83"/>
    </row>
    <row r="194" spans="1:30" ht="15.75" x14ac:dyDescent="0.25">
      <c r="A194" s="16">
        <v>46447</v>
      </c>
      <c r="B194" s="96">
        <v>31</v>
      </c>
      <c r="C194" s="85">
        <f>122.58</f>
        <v>122.58</v>
      </c>
      <c r="D194" s="85">
        <f>297.941</f>
        <v>297.94099999999997</v>
      </c>
      <c r="E194" s="92">
        <f>89.177</f>
        <v>89.177000000000007</v>
      </c>
      <c r="F194" s="85">
        <f>240.302-40-60</f>
        <v>140.30199999999999</v>
      </c>
      <c r="G194" s="87">
        <v>40</v>
      </c>
      <c r="H194" s="85">
        <v>60</v>
      </c>
      <c r="I194" s="85">
        <f t="shared" si="32"/>
        <v>0</v>
      </c>
      <c r="J194" s="87">
        <v>100</v>
      </c>
      <c r="K194" s="87">
        <v>300</v>
      </c>
      <c r="L194" s="85">
        <f t="shared" si="25"/>
        <v>1150</v>
      </c>
      <c r="M194" s="86"/>
      <c r="N194" s="85">
        <f>100</f>
        <v>100</v>
      </c>
      <c r="O194" s="87">
        <v>240</v>
      </c>
      <c r="P194" s="87">
        <v>40</v>
      </c>
      <c r="Q194" s="87">
        <f t="shared" si="26"/>
        <v>315</v>
      </c>
      <c r="R194" s="87">
        <f t="shared" si="27"/>
        <v>100</v>
      </c>
      <c r="S194" s="85">
        <f t="shared" si="28"/>
        <v>695</v>
      </c>
      <c r="T194" s="85">
        <f>50</f>
        <v>50</v>
      </c>
      <c r="U194" s="83"/>
      <c r="V194" s="83"/>
      <c r="W194" s="83"/>
      <c r="X194" s="83"/>
      <c r="Y194" s="83"/>
      <c r="Z194" s="83"/>
      <c r="AA194" s="83"/>
      <c r="AB194" s="83"/>
      <c r="AC194" s="83"/>
      <c r="AD194" s="83"/>
    </row>
    <row r="195" spans="1:30" ht="15.75" x14ac:dyDescent="0.25">
      <c r="A195" s="16">
        <v>46478</v>
      </c>
      <c r="B195" s="96">
        <v>30</v>
      </c>
      <c r="C195" s="85">
        <f>141.293</f>
        <v>141.29300000000001</v>
      </c>
      <c r="D195" s="85">
        <f>267.993</f>
        <v>267.99299999999999</v>
      </c>
      <c r="E195" s="92">
        <f>115.016</f>
        <v>115.01600000000001</v>
      </c>
      <c r="F195" s="85">
        <f>314.698-40-25-60</f>
        <v>189.69799999999998</v>
      </c>
      <c r="G195" s="87">
        <v>40</v>
      </c>
      <c r="H195" s="85">
        <f t="shared" ref="H195:H201" si="33">25+60</f>
        <v>85</v>
      </c>
      <c r="I195" s="85">
        <f t="shared" si="32"/>
        <v>0</v>
      </c>
      <c r="J195" s="87">
        <v>100</v>
      </c>
      <c r="K195" s="87">
        <v>300</v>
      </c>
      <c r="L195" s="85">
        <f t="shared" si="25"/>
        <v>1239</v>
      </c>
      <c r="M195" s="86"/>
      <c r="N195" s="85">
        <f>100</f>
        <v>100</v>
      </c>
      <c r="O195" s="87">
        <v>240</v>
      </c>
      <c r="P195" s="87">
        <v>160</v>
      </c>
      <c r="Q195" s="87">
        <f t="shared" si="26"/>
        <v>195</v>
      </c>
      <c r="R195" s="87">
        <f t="shared" si="27"/>
        <v>100</v>
      </c>
      <c r="S195" s="85">
        <f t="shared" si="28"/>
        <v>695</v>
      </c>
      <c r="T195" s="85">
        <f>50</f>
        <v>50</v>
      </c>
      <c r="U195" s="83"/>
      <c r="V195" s="83"/>
      <c r="W195" s="83"/>
      <c r="X195" s="83"/>
      <c r="Y195" s="83"/>
      <c r="Z195" s="83"/>
      <c r="AA195" s="83"/>
      <c r="AB195" s="83"/>
      <c r="AC195" s="83"/>
      <c r="AD195" s="83"/>
    </row>
    <row r="196" spans="1:30" ht="15.75" x14ac:dyDescent="0.25">
      <c r="A196" s="16">
        <v>46508</v>
      </c>
      <c r="B196" s="96">
        <v>31</v>
      </c>
      <c r="C196" s="85">
        <f>194.205</f>
        <v>194.20500000000001</v>
      </c>
      <c r="D196" s="85">
        <f>267.466</f>
        <v>267.46600000000001</v>
      </c>
      <c r="E196" s="92">
        <f>133.845</f>
        <v>133.845</v>
      </c>
      <c r="F196" s="85">
        <f>278.484-40-25-60</f>
        <v>153.48399999999998</v>
      </c>
      <c r="G196" s="87">
        <v>40</v>
      </c>
      <c r="H196" s="85">
        <f t="shared" si="33"/>
        <v>85</v>
      </c>
      <c r="I196" s="85">
        <f t="shared" si="32"/>
        <v>0</v>
      </c>
      <c r="J196" s="87">
        <v>100</v>
      </c>
      <c r="K196" s="87">
        <v>300</v>
      </c>
      <c r="L196" s="85">
        <f t="shared" si="25"/>
        <v>1274</v>
      </c>
      <c r="M196" s="86"/>
      <c r="N196" s="85">
        <f>75</f>
        <v>75</v>
      </c>
      <c r="O196" s="87">
        <v>240</v>
      </c>
      <c r="P196" s="87">
        <v>160</v>
      </c>
      <c r="Q196" s="87">
        <f t="shared" si="26"/>
        <v>195</v>
      </c>
      <c r="R196" s="87">
        <f t="shared" si="27"/>
        <v>100</v>
      </c>
      <c r="S196" s="85">
        <f t="shared" si="28"/>
        <v>695</v>
      </c>
      <c r="T196" s="85">
        <f>50</f>
        <v>50</v>
      </c>
      <c r="U196" s="83"/>
      <c r="V196" s="83"/>
      <c r="W196" s="83"/>
      <c r="X196" s="83"/>
      <c r="Y196" s="83"/>
      <c r="Z196" s="83"/>
      <c r="AA196" s="83"/>
      <c r="AB196" s="83"/>
      <c r="AC196" s="83"/>
      <c r="AD196" s="83"/>
    </row>
    <row r="197" spans="1:30" ht="15.75" x14ac:dyDescent="0.25">
      <c r="A197" s="16">
        <v>46539</v>
      </c>
      <c r="B197" s="96">
        <v>30</v>
      </c>
      <c r="C197" s="85">
        <f>194.205</f>
        <v>194.20500000000001</v>
      </c>
      <c r="D197" s="85">
        <f>267.466</f>
        <v>267.46600000000001</v>
      </c>
      <c r="E197" s="92">
        <f>133.845</f>
        <v>133.845</v>
      </c>
      <c r="F197" s="85">
        <f>278.484-40-25-60</f>
        <v>153.48399999999998</v>
      </c>
      <c r="G197" s="87">
        <v>40</v>
      </c>
      <c r="H197" s="85">
        <f t="shared" si="33"/>
        <v>85</v>
      </c>
      <c r="I197" s="85">
        <f t="shared" si="32"/>
        <v>0</v>
      </c>
      <c r="J197" s="87">
        <v>100</v>
      </c>
      <c r="K197" s="87">
        <v>300</v>
      </c>
      <c r="L197" s="85">
        <f t="shared" si="25"/>
        <v>1274</v>
      </c>
      <c r="M197" s="86"/>
      <c r="N197" s="85">
        <f>30</f>
        <v>30</v>
      </c>
      <c r="O197" s="87">
        <v>240</v>
      </c>
      <c r="P197" s="87">
        <v>160</v>
      </c>
      <c r="Q197" s="87">
        <f t="shared" si="26"/>
        <v>195</v>
      </c>
      <c r="R197" s="87">
        <f t="shared" si="27"/>
        <v>100</v>
      </c>
      <c r="S197" s="85">
        <f t="shared" si="28"/>
        <v>695</v>
      </c>
      <c r="T197" s="85">
        <f>50</f>
        <v>50</v>
      </c>
      <c r="U197" s="83"/>
      <c r="V197" s="83"/>
      <c r="W197" s="83"/>
      <c r="X197" s="83"/>
      <c r="Y197" s="83"/>
      <c r="Z197" s="83"/>
      <c r="AA197" s="83"/>
      <c r="AB197" s="83"/>
      <c r="AC197" s="83"/>
      <c r="AD197" s="83"/>
    </row>
    <row r="198" spans="1:30" ht="15.75" x14ac:dyDescent="0.25">
      <c r="A198" s="16">
        <v>46569</v>
      </c>
      <c r="B198" s="96">
        <v>31</v>
      </c>
      <c r="C198" s="85">
        <f>194.205</f>
        <v>194.20500000000001</v>
      </c>
      <c r="D198" s="85">
        <f>267.466</f>
        <v>267.46600000000001</v>
      </c>
      <c r="E198" s="92">
        <f>133.845</f>
        <v>133.845</v>
      </c>
      <c r="F198" s="85">
        <f>278.484-40-25-60</f>
        <v>153.48399999999998</v>
      </c>
      <c r="G198" s="87">
        <v>40</v>
      </c>
      <c r="H198" s="85">
        <f t="shared" si="33"/>
        <v>85</v>
      </c>
      <c r="I198" s="85">
        <f t="shared" si="32"/>
        <v>0</v>
      </c>
      <c r="J198" s="87">
        <v>100</v>
      </c>
      <c r="K198" s="87">
        <v>300</v>
      </c>
      <c r="L198" s="85">
        <f t="shared" si="25"/>
        <v>1274</v>
      </c>
      <c r="M198" s="86"/>
      <c r="N198" s="85">
        <f>30</f>
        <v>30</v>
      </c>
      <c r="O198" s="87">
        <v>240</v>
      </c>
      <c r="P198" s="87">
        <v>160</v>
      </c>
      <c r="Q198" s="87">
        <f t="shared" si="26"/>
        <v>195</v>
      </c>
      <c r="R198" s="87">
        <f t="shared" si="27"/>
        <v>100</v>
      </c>
      <c r="S198" s="85">
        <f t="shared" si="28"/>
        <v>695</v>
      </c>
      <c r="T198" s="85">
        <f>0</f>
        <v>0</v>
      </c>
      <c r="U198" s="83"/>
      <c r="V198" s="83"/>
      <c r="W198" s="83"/>
      <c r="X198" s="83"/>
      <c r="Y198" s="83"/>
      <c r="Z198" s="83"/>
      <c r="AA198" s="83"/>
      <c r="AB198" s="83"/>
      <c r="AC198" s="83"/>
      <c r="AD198" s="83"/>
    </row>
    <row r="199" spans="1:30" ht="15.75" x14ac:dyDescent="0.25">
      <c r="A199" s="16">
        <v>46600</v>
      </c>
      <c r="B199" s="96">
        <v>31</v>
      </c>
      <c r="C199" s="85">
        <f>194.205</f>
        <v>194.20500000000001</v>
      </c>
      <c r="D199" s="85">
        <f>267.466</f>
        <v>267.46600000000001</v>
      </c>
      <c r="E199" s="92">
        <f>133.845</f>
        <v>133.845</v>
      </c>
      <c r="F199" s="85">
        <f>278.484-40-25-60</f>
        <v>153.48399999999998</v>
      </c>
      <c r="G199" s="87">
        <v>40</v>
      </c>
      <c r="H199" s="85">
        <f t="shared" si="33"/>
        <v>85</v>
      </c>
      <c r="I199" s="85">
        <f t="shared" si="32"/>
        <v>0</v>
      </c>
      <c r="J199" s="87">
        <v>100</v>
      </c>
      <c r="K199" s="87">
        <v>300</v>
      </c>
      <c r="L199" s="85">
        <f t="shared" si="25"/>
        <v>1274</v>
      </c>
      <c r="M199" s="86"/>
      <c r="N199" s="85">
        <f>30</f>
        <v>30</v>
      </c>
      <c r="O199" s="87">
        <v>240</v>
      </c>
      <c r="P199" s="87">
        <v>160</v>
      </c>
      <c r="Q199" s="87">
        <f t="shared" si="26"/>
        <v>195</v>
      </c>
      <c r="R199" s="87">
        <f t="shared" si="27"/>
        <v>100</v>
      </c>
      <c r="S199" s="85">
        <f t="shared" si="28"/>
        <v>695</v>
      </c>
      <c r="T199" s="85">
        <f>0</f>
        <v>0</v>
      </c>
      <c r="U199" s="83"/>
      <c r="V199" s="83"/>
      <c r="W199" s="83"/>
      <c r="X199" s="83"/>
      <c r="Y199" s="83"/>
      <c r="Z199" s="83"/>
      <c r="AA199" s="83"/>
      <c r="AB199" s="83"/>
      <c r="AC199" s="83"/>
      <c r="AD199" s="83"/>
    </row>
    <row r="200" spans="1:30" ht="15.75" x14ac:dyDescent="0.25">
      <c r="A200" s="16">
        <v>46631</v>
      </c>
      <c r="B200" s="96">
        <v>30</v>
      </c>
      <c r="C200" s="85">
        <f>194.205</f>
        <v>194.20500000000001</v>
      </c>
      <c r="D200" s="85">
        <f>267.466</f>
        <v>267.46600000000001</v>
      </c>
      <c r="E200" s="92">
        <f>133.845</f>
        <v>133.845</v>
      </c>
      <c r="F200" s="85">
        <f>278.484-40-25-60</f>
        <v>153.48399999999998</v>
      </c>
      <c r="G200" s="87">
        <v>40</v>
      </c>
      <c r="H200" s="85">
        <f t="shared" si="33"/>
        <v>85</v>
      </c>
      <c r="I200" s="85">
        <f t="shared" si="32"/>
        <v>0</v>
      </c>
      <c r="J200" s="87">
        <v>100</v>
      </c>
      <c r="K200" s="87">
        <v>300</v>
      </c>
      <c r="L200" s="85">
        <f t="shared" si="25"/>
        <v>1274</v>
      </c>
      <c r="M200" s="86"/>
      <c r="N200" s="85">
        <f>30</f>
        <v>30</v>
      </c>
      <c r="O200" s="87">
        <v>240</v>
      </c>
      <c r="P200" s="87">
        <v>160</v>
      </c>
      <c r="Q200" s="87">
        <f t="shared" si="26"/>
        <v>195</v>
      </c>
      <c r="R200" s="87">
        <f t="shared" si="27"/>
        <v>100</v>
      </c>
      <c r="S200" s="85">
        <f t="shared" si="28"/>
        <v>695</v>
      </c>
      <c r="T200" s="85">
        <f>0</f>
        <v>0</v>
      </c>
      <c r="U200" s="83"/>
      <c r="V200" s="83"/>
      <c r="W200" s="83"/>
      <c r="X200" s="83"/>
      <c r="Y200" s="83"/>
      <c r="Z200" s="83"/>
      <c r="AA200" s="83"/>
      <c r="AB200" s="83"/>
      <c r="AC200" s="83"/>
      <c r="AD200" s="83"/>
    </row>
    <row r="201" spans="1:30" ht="15.75" x14ac:dyDescent="0.25">
      <c r="A201" s="16">
        <v>46661</v>
      </c>
      <c r="B201" s="96">
        <v>31</v>
      </c>
      <c r="C201" s="85">
        <f>131.881</f>
        <v>131.881</v>
      </c>
      <c r="D201" s="85">
        <f>277.167</f>
        <v>277.16699999999997</v>
      </c>
      <c r="E201" s="92">
        <f>79.08</f>
        <v>79.08</v>
      </c>
      <c r="F201" s="85">
        <f>350.872-40-25-60</f>
        <v>225.87200000000001</v>
      </c>
      <c r="G201" s="87">
        <v>40</v>
      </c>
      <c r="H201" s="85">
        <f t="shared" si="33"/>
        <v>85</v>
      </c>
      <c r="I201" s="85">
        <f t="shared" si="32"/>
        <v>0</v>
      </c>
      <c r="J201" s="87">
        <v>100</v>
      </c>
      <c r="K201" s="87">
        <v>300</v>
      </c>
      <c r="L201" s="85">
        <f t="shared" si="25"/>
        <v>1239</v>
      </c>
      <c r="M201" s="86"/>
      <c r="N201" s="85">
        <f>75</f>
        <v>75</v>
      </c>
      <c r="O201" s="87">
        <v>240</v>
      </c>
      <c r="P201" s="87">
        <v>160</v>
      </c>
      <c r="Q201" s="87">
        <f t="shared" si="26"/>
        <v>195</v>
      </c>
      <c r="R201" s="87">
        <f t="shared" si="27"/>
        <v>100</v>
      </c>
      <c r="S201" s="85">
        <f t="shared" si="28"/>
        <v>695</v>
      </c>
      <c r="T201" s="85">
        <f>0</f>
        <v>0</v>
      </c>
      <c r="U201" s="83"/>
      <c r="V201" s="83"/>
      <c r="W201" s="83"/>
      <c r="X201" s="83"/>
      <c r="Y201" s="83"/>
      <c r="Z201" s="83"/>
      <c r="AA201" s="83"/>
      <c r="AB201" s="83"/>
      <c r="AC201" s="83"/>
      <c r="AD201" s="83"/>
    </row>
    <row r="202" spans="1:30" ht="15.75" x14ac:dyDescent="0.25">
      <c r="A202" s="16">
        <v>46692</v>
      </c>
      <c r="B202" s="96">
        <v>30</v>
      </c>
      <c r="C202" s="85">
        <f>122.58</f>
        <v>122.58</v>
      </c>
      <c r="D202" s="85">
        <f>297.941</f>
        <v>297.94099999999997</v>
      </c>
      <c r="E202" s="92">
        <f>89.177</f>
        <v>89.177000000000007</v>
      </c>
      <c r="F202" s="85">
        <f>240.302-40-60</f>
        <v>140.30199999999999</v>
      </c>
      <c r="G202" s="87">
        <v>40</v>
      </c>
      <c r="H202" s="85">
        <v>60</v>
      </c>
      <c r="I202" s="85">
        <f t="shared" si="32"/>
        <v>0</v>
      </c>
      <c r="J202" s="87">
        <v>100</v>
      </c>
      <c r="K202" s="87">
        <v>300</v>
      </c>
      <c r="L202" s="85">
        <f t="shared" si="25"/>
        <v>1150</v>
      </c>
      <c r="M202" s="86"/>
      <c r="N202" s="85">
        <f>100</f>
        <v>100</v>
      </c>
      <c r="O202" s="87">
        <v>240</v>
      </c>
      <c r="P202" s="87">
        <v>40</v>
      </c>
      <c r="Q202" s="87">
        <f t="shared" si="26"/>
        <v>315</v>
      </c>
      <c r="R202" s="87">
        <f t="shared" si="27"/>
        <v>100</v>
      </c>
      <c r="S202" s="85">
        <f t="shared" si="28"/>
        <v>695</v>
      </c>
      <c r="T202" s="85">
        <f>50</f>
        <v>50</v>
      </c>
      <c r="U202" s="83"/>
      <c r="V202" s="83"/>
      <c r="W202" s="83"/>
      <c r="X202" s="83"/>
      <c r="Y202" s="83"/>
      <c r="Z202" s="83"/>
      <c r="AA202" s="83"/>
      <c r="AB202" s="83"/>
      <c r="AC202" s="83"/>
      <c r="AD202" s="83"/>
    </row>
    <row r="203" spans="1:30" ht="15.75" x14ac:dyDescent="0.25">
      <c r="A203" s="16">
        <v>46722</v>
      </c>
      <c r="B203" s="96">
        <v>31</v>
      </c>
      <c r="C203" s="85">
        <f>122.58</f>
        <v>122.58</v>
      </c>
      <c r="D203" s="85">
        <f>297.941</f>
        <v>297.94099999999997</v>
      </c>
      <c r="E203" s="92">
        <f>89.177</f>
        <v>89.177000000000007</v>
      </c>
      <c r="F203" s="85">
        <f>240.302-40-60</f>
        <v>140.30199999999999</v>
      </c>
      <c r="G203" s="87">
        <v>40</v>
      </c>
      <c r="H203" s="85">
        <v>60</v>
      </c>
      <c r="I203" s="85">
        <f t="shared" si="32"/>
        <v>0</v>
      </c>
      <c r="J203" s="87">
        <v>100</v>
      </c>
      <c r="K203" s="87">
        <v>300</v>
      </c>
      <c r="L203" s="85">
        <f t="shared" si="25"/>
        <v>1150</v>
      </c>
      <c r="M203" s="86"/>
      <c r="N203" s="85">
        <f>100</f>
        <v>100</v>
      </c>
      <c r="O203" s="87">
        <v>240</v>
      </c>
      <c r="P203" s="87">
        <v>40</v>
      </c>
      <c r="Q203" s="87">
        <f t="shared" si="26"/>
        <v>315</v>
      </c>
      <c r="R203" s="87">
        <f t="shared" si="27"/>
        <v>100</v>
      </c>
      <c r="S203" s="85">
        <f t="shared" si="28"/>
        <v>695</v>
      </c>
      <c r="T203" s="85">
        <f>50</f>
        <v>50</v>
      </c>
      <c r="U203" s="83"/>
      <c r="V203" s="83"/>
      <c r="W203" s="83"/>
      <c r="X203" s="83"/>
      <c r="Y203" s="83"/>
      <c r="Z203" s="83"/>
      <c r="AA203" s="83"/>
      <c r="AB203" s="83"/>
      <c r="AC203" s="83"/>
      <c r="AD203" s="83"/>
    </row>
    <row r="204" spans="1:30" ht="15.75" x14ac:dyDescent="0.25">
      <c r="A204" s="16">
        <v>46753</v>
      </c>
      <c r="B204" s="96">
        <v>31</v>
      </c>
      <c r="C204" s="85">
        <f>122.58</f>
        <v>122.58</v>
      </c>
      <c r="D204" s="85">
        <f>297.941</f>
        <v>297.94099999999997</v>
      </c>
      <c r="E204" s="92">
        <f>89.177</f>
        <v>89.177000000000007</v>
      </c>
      <c r="F204" s="85">
        <f>240.302-40-60</f>
        <v>140.30199999999999</v>
      </c>
      <c r="G204" s="87">
        <v>40</v>
      </c>
      <c r="H204" s="85">
        <v>60</v>
      </c>
      <c r="I204" s="85">
        <f t="shared" si="32"/>
        <v>0</v>
      </c>
      <c r="J204" s="87">
        <v>100</v>
      </c>
      <c r="K204" s="87">
        <v>300</v>
      </c>
      <c r="L204" s="85">
        <f t="shared" si="25"/>
        <v>1150</v>
      </c>
      <c r="M204" s="86"/>
      <c r="N204" s="85">
        <f>100</f>
        <v>100</v>
      </c>
      <c r="O204" s="87">
        <v>240</v>
      </c>
      <c r="P204" s="87">
        <v>40</v>
      </c>
      <c r="Q204" s="87">
        <f t="shared" si="26"/>
        <v>315</v>
      </c>
      <c r="R204" s="87">
        <f t="shared" si="27"/>
        <v>100</v>
      </c>
      <c r="S204" s="85">
        <f t="shared" si="28"/>
        <v>695</v>
      </c>
      <c r="T204" s="85">
        <f>50</f>
        <v>50</v>
      </c>
      <c r="U204" s="83"/>
      <c r="V204" s="83"/>
      <c r="W204" s="83"/>
      <c r="X204" s="83"/>
      <c r="Y204" s="83"/>
      <c r="Z204" s="83"/>
      <c r="AA204" s="83"/>
      <c r="AB204" s="83"/>
      <c r="AC204" s="83"/>
      <c r="AD204" s="83"/>
    </row>
    <row r="205" spans="1:30" ht="15.75" x14ac:dyDescent="0.25">
      <c r="A205" s="16">
        <v>46784</v>
      </c>
      <c r="B205" s="96">
        <v>29</v>
      </c>
      <c r="C205" s="85">
        <f>122.58</f>
        <v>122.58</v>
      </c>
      <c r="D205" s="85">
        <f>297.941</f>
        <v>297.94099999999997</v>
      </c>
      <c r="E205" s="92">
        <f>89.177</f>
        <v>89.177000000000007</v>
      </c>
      <c r="F205" s="85">
        <f>240.302-40-60</f>
        <v>140.30199999999999</v>
      </c>
      <c r="G205" s="87">
        <v>40</v>
      </c>
      <c r="H205" s="85">
        <v>60</v>
      </c>
      <c r="I205" s="85">
        <f t="shared" si="32"/>
        <v>0</v>
      </c>
      <c r="J205" s="87">
        <v>100</v>
      </c>
      <c r="K205" s="87">
        <v>300</v>
      </c>
      <c r="L205" s="85">
        <f t="shared" si="25"/>
        <v>1150</v>
      </c>
      <c r="M205" s="86"/>
      <c r="N205" s="85">
        <f>100</f>
        <v>100</v>
      </c>
      <c r="O205" s="87">
        <v>240</v>
      </c>
      <c r="P205" s="87">
        <v>40</v>
      </c>
      <c r="Q205" s="87">
        <f t="shared" si="26"/>
        <v>315</v>
      </c>
      <c r="R205" s="87">
        <f t="shared" si="27"/>
        <v>100</v>
      </c>
      <c r="S205" s="85">
        <f t="shared" si="28"/>
        <v>695</v>
      </c>
      <c r="T205" s="85">
        <f>50</f>
        <v>50</v>
      </c>
      <c r="U205" s="83"/>
      <c r="V205" s="83"/>
      <c r="W205" s="83"/>
      <c r="X205" s="83"/>
      <c r="Y205" s="83"/>
      <c r="Z205" s="83"/>
      <c r="AA205" s="83"/>
      <c r="AB205" s="83"/>
      <c r="AC205" s="83"/>
      <c r="AD205" s="83"/>
    </row>
    <row r="206" spans="1:30" ht="15.75" x14ac:dyDescent="0.25">
      <c r="A206" s="16">
        <v>46813</v>
      </c>
      <c r="B206" s="96">
        <v>31</v>
      </c>
      <c r="C206" s="85">
        <f>122.58</f>
        <v>122.58</v>
      </c>
      <c r="D206" s="85">
        <f>297.941</f>
        <v>297.94099999999997</v>
      </c>
      <c r="E206" s="92">
        <f>89.177</f>
        <v>89.177000000000007</v>
      </c>
      <c r="F206" s="85">
        <f>240.302-40-60</f>
        <v>140.30199999999999</v>
      </c>
      <c r="G206" s="87">
        <v>40</v>
      </c>
      <c r="H206" s="85">
        <v>60</v>
      </c>
      <c r="I206" s="85">
        <f t="shared" si="32"/>
        <v>0</v>
      </c>
      <c r="J206" s="87">
        <v>100</v>
      </c>
      <c r="K206" s="87">
        <v>300</v>
      </c>
      <c r="L206" s="85">
        <f t="shared" si="25"/>
        <v>1150</v>
      </c>
      <c r="M206" s="86"/>
      <c r="N206" s="85">
        <f>100</f>
        <v>100</v>
      </c>
      <c r="O206" s="87">
        <v>240</v>
      </c>
      <c r="P206" s="87">
        <v>40</v>
      </c>
      <c r="Q206" s="87">
        <f t="shared" si="26"/>
        <v>315</v>
      </c>
      <c r="R206" s="87">
        <f t="shared" si="27"/>
        <v>100</v>
      </c>
      <c r="S206" s="85">
        <f t="shared" si="28"/>
        <v>695</v>
      </c>
      <c r="T206" s="85">
        <f>50</f>
        <v>50</v>
      </c>
      <c r="U206" s="83"/>
      <c r="V206" s="83"/>
      <c r="W206" s="83"/>
      <c r="X206" s="83"/>
      <c r="Y206" s="83"/>
      <c r="Z206" s="83"/>
      <c r="AA206" s="83"/>
      <c r="AB206" s="83"/>
      <c r="AC206" s="83"/>
      <c r="AD206" s="83"/>
    </row>
    <row r="207" spans="1:30" ht="15.75" x14ac:dyDescent="0.25">
      <c r="A207" s="16">
        <v>46844</v>
      </c>
      <c r="B207" s="96">
        <v>30</v>
      </c>
      <c r="C207" s="85">
        <f>141.293</f>
        <v>141.29300000000001</v>
      </c>
      <c r="D207" s="85">
        <f>267.993</f>
        <v>267.99299999999999</v>
      </c>
      <c r="E207" s="92">
        <f>115.016</f>
        <v>115.01600000000001</v>
      </c>
      <c r="F207" s="85">
        <f>314.698-40-25-60</f>
        <v>189.69799999999998</v>
      </c>
      <c r="G207" s="87">
        <v>40</v>
      </c>
      <c r="H207" s="85">
        <f t="shared" ref="H207:H213" si="34">25+60</f>
        <v>85</v>
      </c>
      <c r="I207" s="85">
        <f t="shared" si="32"/>
        <v>0</v>
      </c>
      <c r="J207" s="87">
        <v>100</v>
      </c>
      <c r="K207" s="87">
        <v>300</v>
      </c>
      <c r="L207" s="85">
        <f t="shared" si="25"/>
        <v>1239</v>
      </c>
      <c r="M207" s="86"/>
      <c r="N207" s="85">
        <f>100</f>
        <v>100</v>
      </c>
      <c r="O207" s="87">
        <v>240</v>
      </c>
      <c r="P207" s="87">
        <v>160</v>
      </c>
      <c r="Q207" s="87">
        <f t="shared" si="26"/>
        <v>195</v>
      </c>
      <c r="R207" s="87">
        <f t="shared" si="27"/>
        <v>100</v>
      </c>
      <c r="S207" s="85">
        <f t="shared" si="28"/>
        <v>695</v>
      </c>
      <c r="T207" s="85">
        <f>50</f>
        <v>50</v>
      </c>
      <c r="U207" s="83"/>
      <c r="V207" s="83"/>
      <c r="W207" s="83"/>
      <c r="X207" s="83"/>
      <c r="Y207" s="83"/>
      <c r="Z207" s="83"/>
      <c r="AA207" s="83"/>
      <c r="AB207" s="83"/>
      <c r="AC207" s="83"/>
      <c r="AD207" s="83"/>
    </row>
    <row r="208" spans="1:30" ht="15.75" x14ac:dyDescent="0.25">
      <c r="A208" s="16">
        <v>46874</v>
      </c>
      <c r="B208" s="96">
        <v>31</v>
      </c>
      <c r="C208" s="85">
        <f>194.205</f>
        <v>194.20500000000001</v>
      </c>
      <c r="D208" s="85">
        <f>267.466</f>
        <v>267.46600000000001</v>
      </c>
      <c r="E208" s="92">
        <f>133.845</f>
        <v>133.845</v>
      </c>
      <c r="F208" s="85">
        <f>278.484-40-25-60</f>
        <v>153.48399999999998</v>
      </c>
      <c r="G208" s="87">
        <v>40</v>
      </c>
      <c r="H208" s="85">
        <f t="shared" si="34"/>
        <v>85</v>
      </c>
      <c r="I208" s="85">
        <f t="shared" si="32"/>
        <v>0</v>
      </c>
      <c r="J208" s="87">
        <v>100</v>
      </c>
      <c r="K208" s="87">
        <v>300</v>
      </c>
      <c r="L208" s="85">
        <f t="shared" si="25"/>
        <v>1274</v>
      </c>
      <c r="M208" s="86"/>
      <c r="N208" s="85">
        <f>75</f>
        <v>75</v>
      </c>
      <c r="O208" s="87">
        <v>240</v>
      </c>
      <c r="P208" s="87">
        <v>160</v>
      </c>
      <c r="Q208" s="87">
        <f t="shared" si="26"/>
        <v>195</v>
      </c>
      <c r="R208" s="87">
        <f t="shared" si="27"/>
        <v>100</v>
      </c>
      <c r="S208" s="85">
        <f t="shared" si="28"/>
        <v>695</v>
      </c>
      <c r="T208" s="85">
        <f>50</f>
        <v>50</v>
      </c>
      <c r="U208" s="83"/>
      <c r="V208" s="83"/>
      <c r="W208" s="83"/>
      <c r="X208" s="83"/>
      <c r="Y208" s="83"/>
      <c r="Z208" s="83"/>
      <c r="AA208" s="83"/>
      <c r="AB208" s="83"/>
      <c r="AC208" s="83"/>
      <c r="AD208" s="83"/>
    </row>
    <row r="209" spans="1:30" ht="15.75" x14ac:dyDescent="0.25">
      <c r="A209" s="16">
        <v>46905</v>
      </c>
      <c r="B209" s="96">
        <v>30</v>
      </c>
      <c r="C209" s="85">
        <f>194.205</f>
        <v>194.20500000000001</v>
      </c>
      <c r="D209" s="85">
        <f>267.466</f>
        <v>267.46600000000001</v>
      </c>
      <c r="E209" s="92">
        <f>133.845</f>
        <v>133.845</v>
      </c>
      <c r="F209" s="85">
        <f>278.484-40-25-60</f>
        <v>153.48399999999998</v>
      </c>
      <c r="G209" s="87">
        <v>40</v>
      </c>
      <c r="H209" s="85">
        <f t="shared" si="34"/>
        <v>85</v>
      </c>
      <c r="I209" s="85">
        <f t="shared" si="32"/>
        <v>0</v>
      </c>
      <c r="J209" s="87">
        <v>100</v>
      </c>
      <c r="K209" s="87">
        <v>300</v>
      </c>
      <c r="L209" s="85">
        <f t="shared" si="25"/>
        <v>1274</v>
      </c>
      <c r="M209" s="86"/>
      <c r="N209" s="85">
        <f>30</f>
        <v>30</v>
      </c>
      <c r="O209" s="87">
        <v>240</v>
      </c>
      <c r="P209" s="87">
        <v>160</v>
      </c>
      <c r="Q209" s="87">
        <f t="shared" si="26"/>
        <v>195</v>
      </c>
      <c r="R209" s="87">
        <f t="shared" si="27"/>
        <v>100</v>
      </c>
      <c r="S209" s="85">
        <f t="shared" si="28"/>
        <v>695</v>
      </c>
      <c r="T209" s="85">
        <f>50</f>
        <v>50</v>
      </c>
      <c r="U209" s="83"/>
      <c r="V209" s="83"/>
      <c r="W209" s="83"/>
      <c r="X209" s="83"/>
      <c r="Y209" s="83"/>
      <c r="Z209" s="83"/>
      <c r="AA209" s="83"/>
      <c r="AB209" s="83"/>
      <c r="AC209" s="83"/>
      <c r="AD209" s="83"/>
    </row>
    <row r="210" spans="1:30" ht="15.75" x14ac:dyDescent="0.25">
      <c r="A210" s="16">
        <v>46935</v>
      </c>
      <c r="B210" s="96">
        <v>31</v>
      </c>
      <c r="C210" s="85">
        <f>194.205</f>
        <v>194.20500000000001</v>
      </c>
      <c r="D210" s="85">
        <f>267.466</f>
        <v>267.46600000000001</v>
      </c>
      <c r="E210" s="92">
        <f>133.845</f>
        <v>133.845</v>
      </c>
      <c r="F210" s="85">
        <f>278.484-40-25-60</f>
        <v>153.48399999999998</v>
      </c>
      <c r="G210" s="87">
        <v>40</v>
      </c>
      <c r="H210" s="85">
        <f t="shared" si="34"/>
        <v>85</v>
      </c>
      <c r="I210" s="85">
        <f t="shared" si="32"/>
        <v>0</v>
      </c>
      <c r="J210" s="87">
        <v>100</v>
      </c>
      <c r="K210" s="87">
        <v>300</v>
      </c>
      <c r="L210" s="85">
        <f t="shared" si="25"/>
        <v>1274</v>
      </c>
      <c r="M210" s="86"/>
      <c r="N210" s="85">
        <f>30</f>
        <v>30</v>
      </c>
      <c r="O210" s="87">
        <v>240</v>
      </c>
      <c r="P210" s="87">
        <v>160</v>
      </c>
      <c r="Q210" s="87">
        <f t="shared" si="26"/>
        <v>195</v>
      </c>
      <c r="R210" s="87">
        <f t="shared" si="27"/>
        <v>100</v>
      </c>
      <c r="S210" s="85">
        <f t="shared" si="28"/>
        <v>695</v>
      </c>
      <c r="T210" s="85">
        <f>0</f>
        <v>0</v>
      </c>
      <c r="U210" s="83"/>
      <c r="V210" s="83"/>
      <c r="W210" s="83"/>
      <c r="X210" s="83"/>
      <c r="Y210" s="83"/>
      <c r="Z210" s="83"/>
      <c r="AA210" s="83"/>
      <c r="AB210" s="83"/>
      <c r="AC210" s="83"/>
      <c r="AD210" s="83"/>
    </row>
    <row r="211" spans="1:30" ht="15.75" x14ac:dyDescent="0.25">
      <c r="A211" s="16">
        <v>46966</v>
      </c>
      <c r="B211" s="96">
        <v>31</v>
      </c>
      <c r="C211" s="85">
        <f>194.205</f>
        <v>194.20500000000001</v>
      </c>
      <c r="D211" s="85">
        <f>267.466</f>
        <v>267.46600000000001</v>
      </c>
      <c r="E211" s="92">
        <f>133.845</f>
        <v>133.845</v>
      </c>
      <c r="F211" s="85">
        <f>278.484-40-25-60</f>
        <v>153.48399999999998</v>
      </c>
      <c r="G211" s="87">
        <v>40</v>
      </c>
      <c r="H211" s="85">
        <f t="shared" si="34"/>
        <v>85</v>
      </c>
      <c r="I211" s="85">
        <f t="shared" si="32"/>
        <v>0</v>
      </c>
      <c r="J211" s="87">
        <v>100</v>
      </c>
      <c r="K211" s="87">
        <v>300</v>
      </c>
      <c r="L211" s="85">
        <f t="shared" si="25"/>
        <v>1274</v>
      </c>
      <c r="M211" s="86"/>
      <c r="N211" s="85">
        <f>30</f>
        <v>30</v>
      </c>
      <c r="O211" s="87">
        <v>240</v>
      </c>
      <c r="P211" s="87">
        <v>160</v>
      </c>
      <c r="Q211" s="87">
        <f t="shared" si="26"/>
        <v>195</v>
      </c>
      <c r="R211" s="87">
        <f t="shared" si="27"/>
        <v>100</v>
      </c>
      <c r="S211" s="85">
        <f t="shared" si="28"/>
        <v>695</v>
      </c>
      <c r="T211" s="85">
        <f>0</f>
        <v>0</v>
      </c>
      <c r="U211" s="83"/>
      <c r="V211" s="83"/>
      <c r="W211" s="83"/>
      <c r="X211" s="83"/>
      <c r="Y211" s="83"/>
      <c r="Z211" s="83"/>
      <c r="AA211" s="83"/>
      <c r="AB211" s="83"/>
      <c r="AC211" s="83"/>
      <c r="AD211" s="83"/>
    </row>
    <row r="212" spans="1:30" ht="15.75" x14ac:dyDescent="0.25">
      <c r="A212" s="16">
        <v>46997</v>
      </c>
      <c r="B212" s="96">
        <v>30</v>
      </c>
      <c r="C212" s="85">
        <f>194.205</f>
        <v>194.20500000000001</v>
      </c>
      <c r="D212" s="85">
        <f>267.466</f>
        <v>267.46600000000001</v>
      </c>
      <c r="E212" s="92">
        <f>133.845</f>
        <v>133.845</v>
      </c>
      <c r="F212" s="85">
        <f>278.484-40-25-60</f>
        <v>153.48399999999998</v>
      </c>
      <c r="G212" s="87">
        <v>40</v>
      </c>
      <c r="H212" s="85">
        <f t="shared" si="34"/>
        <v>85</v>
      </c>
      <c r="I212" s="85">
        <f t="shared" si="32"/>
        <v>0</v>
      </c>
      <c r="J212" s="87">
        <v>100</v>
      </c>
      <c r="K212" s="87">
        <v>300</v>
      </c>
      <c r="L212" s="85">
        <f t="shared" si="25"/>
        <v>1274</v>
      </c>
      <c r="M212" s="86"/>
      <c r="N212" s="85">
        <f>30</f>
        <v>30</v>
      </c>
      <c r="O212" s="87">
        <v>240</v>
      </c>
      <c r="P212" s="87">
        <v>160</v>
      </c>
      <c r="Q212" s="87">
        <f t="shared" si="26"/>
        <v>195</v>
      </c>
      <c r="R212" s="87">
        <f t="shared" si="27"/>
        <v>100</v>
      </c>
      <c r="S212" s="85">
        <f t="shared" si="28"/>
        <v>695</v>
      </c>
      <c r="T212" s="85">
        <f>0</f>
        <v>0</v>
      </c>
      <c r="U212" s="83"/>
      <c r="V212" s="83"/>
      <c r="W212" s="83"/>
      <c r="X212" s="83"/>
      <c r="Y212" s="83"/>
      <c r="Z212" s="83"/>
      <c r="AA212" s="83"/>
      <c r="AB212" s="83"/>
      <c r="AC212" s="83"/>
      <c r="AD212" s="83"/>
    </row>
    <row r="213" spans="1:30" ht="15.75" x14ac:dyDescent="0.25">
      <c r="A213" s="16">
        <v>47027</v>
      </c>
      <c r="B213" s="96">
        <v>31</v>
      </c>
      <c r="C213" s="85">
        <f>131.881</f>
        <v>131.881</v>
      </c>
      <c r="D213" s="85">
        <f>277.167</f>
        <v>277.16699999999997</v>
      </c>
      <c r="E213" s="92">
        <f>79.08</f>
        <v>79.08</v>
      </c>
      <c r="F213" s="85">
        <f>350.872-40-25-60</f>
        <v>225.87200000000001</v>
      </c>
      <c r="G213" s="87">
        <v>40</v>
      </c>
      <c r="H213" s="85">
        <f t="shared" si="34"/>
        <v>85</v>
      </c>
      <c r="I213" s="85">
        <f t="shared" si="32"/>
        <v>0</v>
      </c>
      <c r="J213" s="87">
        <v>100</v>
      </c>
      <c r="K213" s="87">
        <v>300</v>
      </c>
      <c r="L213" s="85">
        <f t="shared" si="25"/>
        <v>1239</v>
      </c>
      <c r="M213" s="86"/>
      <c r="N213" s="85">
        <f>75</f>
        <v>75</v>
      </c>
      <c r="O213" s="87">
        <v>240</v>
      </c>
      <c r="P213" s="87">
        <v>160</v>
      </c>
      <c r="Q213" s="87">
        <f t="shared" si="26"/>
        <v>195</v>
      </c>
      <c r="R213" s="87">
        <f t="shared" si="27"/>
        <v>100</v>
      </c>
      <c r="S213" s="85">
        <f t="shared" si="28"/>
        <v>695</v>
      </c>
      <c r="T213" s="85">
        <f>0</f>
        <v>0</v>
      </c>
      <c r="U213" s="83"/>
      <c r="V213" s="83"/>
      <c r="W213" s="83"/>
      <c r="X213" s="83"/>
      <c r="Y213" s="83"/>
      <c r="Z213" s="83"/>
      <c r="AA213" s="83"/>
      <c r="AB213" s="83"/>
      <c r="AC213" s="83"/>
      <c r="AD213" s="83"/>
    </row>
    <row r="214" spans="1:30" ht="15.75" x14ac:dyDescent="0.25">
      <c r="A214" s="16">
        <v>47058</v>
      </c>
      <c r="B214" s="96">
        <v>30</v>
      </c>
      <c r="C214" s="85">
        <f>122.58</f>
        <v>122.58</v>
      </c>
      <c r="D214" s="85">
        <f>297.941</f>
        <v>297.94099999999997</v>
      </c>
      <c r="E214" s="92">
        <f>89.177</f>
        <v>89.177000000000007</v>
      </c>
      <c r="F214" s="85">
        <f>240.302-40-60</f>
        <v>140.30199999999999</v>
      </c>
      <c r="G214" s="87">
        <v>40</v>
      </c>
      <c r="H214" s="85">
        <v>60</v>
      </c>
      <c r="I214" s="85">
        <f t="shared" si="32"/>
        <v>0</v>
      </c>
      <c r="J214" s="87">
        <v>100</v>
      </c>
      <c r="K214" s="87">
        <v>300</v>
      </c>
      <c r="L214" s="85">
        <f t="shared" si="25"/>
        <v>1150</v>
      </c>
      <c r="M214" s="86"/>
      <c r="N214" s="85">
        <f>100</f>
        <v>100</v>
      </c>
      <c r="O214" s="87">
        <v>240</v>
      </c>
      <c r="P214" s="87">
        <v>40</v>
      </c>
      <c r="Q214" s="87">
        <f t="shared" si="26"/>
        <v>315</v>
      </c>
      <c r="R214" s="87">
        <f t="shared" si="27"/>
        <v>100</v>
      </c>
      <c r="S214" s="85">
        <f t="shared" si="28"/>
        <v>695</v>
      </c>
      <c r="T214" s="85">
        <f>50</f>
        <v>50</v>
      </c>
      <c r="U214" s="83"/>
      <c r="V214" s="83"/>
      <c r="W214" s="83"/>
      <c r="X214" s="83"/>
      <c r="Y214" s="83"/>
      <c r="Z214" s="83"/>
      <c r="AA214" s="83"/>
      <c r="AB214" s="83"/>
      <c r="AC214" s="83"/>
      <c r="AD214" s="83"/>
    </row>
    <row r="215" spans="1:30" ht="15.75" x14ac:dyDescent="0.25">
      <c r="A215" s="16">
        <v>47088</v>
      </c>
      <c r="B215" s="96">
        <v>31</v>
      </c>
      <c r="C215" s="85">
        <f>122.58</f>
        <v>122.58</v>
      </c>
      <c r="D215" s="85">
        <f>297.941</f>
        <v>297.94099999999997</v>
      </c>
      <c r="E215" s="92">
        <f>89.177</f>
        <v>89.177000000000007</v>
      </c>
      <c r="F215" s="85">
        <f>240.302-40-60</f>
        <v>140.30199999999999</v>
      </c>
      <c r="G215" s="87">
        <v>40</v>
      </c>
      <c r="H215" s="85">
        <v>60</v>
      </c>
      <c r="I215" s="85">
        <f t="shared" si="32"/>
        <v>0</v>
      </c>
      <c r="J215" s="87">
        <v>100</v>
      </c>
      <c r="K215" s="87">
        <v>300</v>
      </c>
      <c r="L215" s="85">
        <f t="shared" si="25"/>
        <v>1150</v>
      </c>
      <c r="M215" s="86"/>
      <c r="N215" s="85">
        <f>100</f>
        <v>100</v>
      </c>
      <c r="O215" s="87">
        <v>240</v>
      </c>
      <c r="P215" s="87">
        <v>40</v>
      </c>
      <c r="Q215" s="87">
        <f t="shared" si="26"/>
        <v>315</v>
      </c>
      <c r="R215" s="87">
        <f t="shared" si="27"/>
        <v>100</v>
      </c>
      <c r="S215" s="85">
        <f t="shared" si="28"/>
        <v>695</v>
      </c>
      <c r="T215" s="85">
        <f>50</f>
        <v>50</v>
      </c>
      <c r="U215" s="83"/>
      <c r="V215" s="83"/>
      <c r="W215" s="83"/>
      <c r="X215" s="83"/>
      <c r="Y215" s="83"/>
      <c r="Z215" s="83"/>
      <c r="AA215" s="83"/>
      <c r="AB215" s="83"/>
      <c r="AC215" s="83"/>
      <c r="AD215" s="83"/>
    </row>
    <row r="216" spans="1:30" ht="15.75" x14ac:dyDescent="0.25">
      <c r="A216" s="16">
        <v>47119</v>
      </c>
      <c r="B216" s="96">
        <v>31</v>
      </c>
      <c r="C216" s="85">
        <f>122.58</f>
        <v>122.58</v>
      </c>
      <c r="D216" s="85">
        <f>297.941</f>
        <v>297.94099999999997</v>
      </c>
      <c r="E216" s="92">
        <f>89.177</f>
        <v>89.177000000000007</v>
      </c>
      <c r="F216" s="85">
        <f>240.302-40-60</f>
        <v>140.30199999999999</v>
      </c>
      <c r="G216" s="87">
        <v>40</v>
      </c>
      <c r="H216" s="85">
        <v>60</v>
      </c>
      <c r="I216" s="85">
        <f t="shared" si="32"/>
        <v>0</v>
      </c>
      <c r="J216" s="87">
        <v>100</v>
      </c>
      <c r="K216" s="87">
        <v>300</v>
      </c>
      <c r="L216" s="85">
        <f t="shared" ref="L216:L279" si="35">SUM(C216:K216)</f>
        <v>1150</v>
      </c>
      <c r="M216" s="86"/>
      <c r="N216" s="85">
        <f>100</f>
        <v>100</v>
      </c>
      <c r="O216" s="87">
        <v>240</v>
      </c>
      <c r="P216" s="87">
        <v>40</v>
      </c>
      <c r="Q216" s="87">
        <f t="shared" ref="Q216:Q279" si="36">695-R216-O216-P216</f>
        <v>315</v>
      </c>
      <c r="R216" s="87">
        <f t="shared" ref="R216:R279" si="37">200-J216</f>
        <v>100</v>
      </c>
      <c r="S216" s="85">
        <f t="shared" ref="S216:S279" si="38">SUM(O216:R216)</f>
        <v>695</v>
      </c>
      <c r="T216" s="85">
        <f>50</f>
        <v>50</v>
      </c>
      <c r="U216" s="83"/>
      <c r="V216" s="83"/>
      <c r="W216" s="83"/>
      <c r="X216" s="83"/>
      <c r="Y216" s="83"/>
      <c r="Z216" s="83"/>
      <c r="AA216" s="83"/>
      <c r="AB216" s="83"/>
      <c r="AC216" s="83"/>
      <c r="AD216" s="83"/>
    </row>
    <row r="217" spans="1:30" ht="15.75" x14ac:dyDescent="0.25">
      <c r="A217" s="16">
        <v>47150</v>
      </c>
      <c r="B217" s="96">
        <v>28</v>
      </c>
      <c r="C217" s="85">
        <f>122.58</f>
        <v>122.58</v>
      </c>
      <c r="D217" s="85">
        <f>297.941</f>
        <v>297.94099999999997</v>
      </c>
      <c r="E217" s="92">
        <f>89.177</f>
        <v>89.177000000000007</v>
      </c>
      <c r="F217" s="85">
        <f>240.302-40-60</f>
        <v>140.30199999999999</v>
      </c>
      <c r="G217" s="87">
        <v>40</v>
      </c>
      <c r="H217" s="85">
        <v>60</v>
      </c>
      <c r="I217" s="85">
        <f t="shared" si="32"/>
        <v>0</v>
      </c>
      <c r="J217" s="87">
        <v>100</v>
      </c>
      <c r="K217" s="87">
        <v>300</v>
      </c>
      <c r="L217" s="85">
        <f t="shared" si="35"/>
        <v>1150</v>
      </c>
      <c r="M217" s="86"/>
      <c r="N217" s="85">
        <f>100</f>
        <v>100</v>
      </c>
      <c r="O217" s="87">
        <v>240</v>
      </c>
      <c r="P217" s="87">
        <v>40</v>
      </c>
      <c r="Q217" s="87">
        <f t="shared" si="36"/>
        <v>315</v>
      </c>
      <c r="R217" s="87">
        <f t="shared" si="37"/>
        <v>100</v>
      </c>
      <c r="S217" s="85">
        <f t="shared" si="38"/>
        <v>695</v>
      </c>
      <c r="T217" s="85">
        <f>50</f>
        <v>50</v>
      </c>
      <c r="U217" s="83"/>
      <c r="V217" s="83"/>
      <c r="W217" s="83"/>
      <c r="X217" s="83"/>
      <c r="Y217" s="83"/>
      <c r="Z217" s="83"/>
      <c r="AA217" s="83"/>
      <c r="AB217" s="83"/>
      <c r="AC217" s="83"/>
      <c r="AD217" s="83"/>
    </row>
    <row r="218" spans="1:30" ht="15.75" x14ac:dyDescent="0.25">
      <c r="A218" s="16">
        <v>47178</v>
      </c>
      <c r="B218" s="96">
        <v>31</v>
      </c>
      <c r="C218" s="85">
        <f>122.58</f>
        <v>122.58</v>
      </c>
      <c r="D218" s="85">
        <f>297.941</f>
        <v>297.94099999999997</v>
      </c>
      <c r="E218" s="92">
        <f>89.177</f>
        <v>89.177000000000007</v>
      </c>
      <c r="F218" s="85">
        <f>240.302-40-60</f>
        <v>140.30199999999999</v>
      </c>
      <c r="G218" s="87">
        <v>40</v>
      </c>
      <c r="H218" s="85">
        <v>60</v>
      </c>
      <c r="I218" s="85">
        <f t="shared" si="32"/>
        <v>0</v>
      </c>
      <c r="J218" s="87">
        <v>100</v>
      </c>
      <c r="K218" s="87">
        <v>300</v>
      </c>
      <c r="L218" s="85">
        <f t="shared" si="35"/>
        <v>1150</v>
      </c>
      <c r="M218" s="86"/>
      <c r="N218" s="85">
        <f>100</f>
        <v>100</v>
      </c>
      <c r="O218" s="87">
        <v>240</v>
      </c>
      <c r="P218" s="87">
        <v>40</v>
      </c>
      <c r="Q218" s="87">
        <f t="shared" si="36"/>
        <v>315</v>
      </c>
      <c r="R218" s="87">
        <f t="shared" si="37"/>
        <v>100</v>
      </c>
      <c r="S218" s="85">
        <f t="shared" si="38"/>
        <v>695</v>
      </c>
      <c r="T218" s="85">
        <f>50</f>
        <v>50</v>
      </c>
      <c r="U218" s="83"/>
      <c r="V218" s="83"/>
      <c r="W218" s="83"/>
      <c r="X218" s="83"/>
      <c r="Y218" s="83"/>
      <c r="Z218" s="83"/>
      <c r="AA218" s="83"/>
      <c r="AB218" s="83"/>
      <c r="AC218" s="83"/>
      <c r="AD218" s="83"/>
    </row>
    <row r="219" spans="1:30" ht="15.75" x14ac:dyDescent="0.25">
      <c r="A219" s="16">
        <v>47209</v>
      </c>
      <c r="B219" s="96">
        <v>30</v>
      </c>
      <c r="C219" s="85">
        <f>141.293</f>
        <v>141.29300000000001</v>
      </c>
      <c r="D219" s="85">
        <f>267.993</f>
        <v>267.99299999999999</v>
      </c>
      <c r="E219" s="92">
        <f>115.016</f>
        <v>115.01600000000001</v>
      </c>
      <c r="F219" s="85">
        <f>314.698-40-25-60</f>
        <v>189.69799999999998</v>
      </c>
      <c r="G219" s="87">
        <v>40</v>
      </c>
      <c r="H219" s="85">
        <f t="shared" ref="H219:H225" si="39">25+60</f>
        <v>85</v>
      </c>
      <c r="I219" s="85">
        <f t="shared" si="32"/>
        <v>0</v>
      </c>
      <c r="J219" s="87">
        <v>100</v>
      </c>
      <c r="K219" s="87">
        <v>300</v>
      </c>
      <c r="L219" s="85">
        <f t="shared" si="35"/>
        <v>1239</v>
      </c>
      <c r="M219" s="86"/>
      <c r="N219" s="85">
        <f>100</f>
        <v>100</v>
      </c>
      <c r="O219" s="87">
        <v>240</v>
      </c>
      <c r="P219" s="87">
        <v>160</v>
      </c>
      <c r="Q219" s="87">
        <f t="shared" si="36"/>
        <v>195</v>
      </c>
      <c r="R219" s="87">
        <f t="shared" si="37"/>
        <v>100</v>
      </c>
      <c r="S219" s="85">
        <f t="shared" si="38"/>
        <v>695</v>
      </c>
      <c r="T219" s="85">
        <f>50</f>
        <v>50</v>
      </c>
      <c r="U219" s="83"/>
      <c r="V219" s="83"/>
      <c r="W219" s="83"/>
      <c r="X219" s="83"/>
      <c r="Y219" s="83"/>
      <c r="Z219" s="83"/>
      <c r="AA219" s="83"/>
      <c r="AB219" s="83"/>
      <c r="AC219" s="83"/>
      <c r="AD219" s="83"/>
    </row>
    <row r="220" spans="1:30" ht="15.75" x14ac:dyDescent="0.25">
      <c r="A220" s="16">
        <v>47239</v>
      </c>
      <c r="B220" s="96">
        <v>31</v>
      </c>
      <c r="C220" s="85">
        <f>194.205</f>
        <v>194.20500000000001</v>
      </c>
      <c r="D220" s="85">
        <f>267.466</f>
        <v>267.46600000000001</v>
      </c>
      <c r="E220" s="92">
        <f>133.845</f>
        <v>133.845</v>
      </c>
      <c r="F220" s="85">
        <f>278.484-40-25-60</f>
        <v>153.48399999999998</v>
      </c>
      <c r="G220" s="87">
        <v>40</v>
      </c>
      <c r="H220" s="85">
        <f t="shared" si="39"/>
        <v>85</v>
      </c>
      <c r="I220" s="85">
        <f t="shared" si="32"/>
        <v>0</v>
      </c>
      <c r="J220" s="87">
        <v>100</v>
      </c>
      <c r="K220" s="87">
        <v>300</v>
      </c>
      <c r="L220" s="85">
        <f t="shared" si="35"/>
        <v>1274</v>
      </c>
      <c r="M220" s="86"/>
      <c r="N220" s="85">
        <f>75</f>
        <v>75</v>
      </c>
      <c r="O220" s="87">
        <v>240</v>
      </c>
      <c r="P220" s="87">
        <v>160</v>
      </c>
      <c r="Q220" s="87">
        <f t="shared" si="36"/>
        <v>195</v>
      </c>
      <c r="R220" s="87">
        <f t="shared" si="37"/>
        <v>100</v>
      </c>
      <c r="S220" s="85">
        <f t="shared" si="38"/>
        <v>695</v>
      </c>
      <c r="T220" s="85">
        <f>50</f>
        <v>50</v>
      </c>
      <c r="U220" s="83"/>
      <c r="V220" s="83"/>
      <c r="W220" s="83"/>
      <c r="X220" s="83"/>
      <c r="Y220" s="83"/>
      <c r="Z220" s="83"/>
      <c r="AA220" s="83"/>
      <c r="AB220" s="83"/>
      <c r="AC220" s="83"/>
      <c r="AD220" s="83"/>
    </row>
    <row r="221" spans="1:30" ht="15.75" x14ac:dyDescent="0.25">
      <c r="A221" s="16">
        <v>47270</v>
      </c>
      <c r="B221" s="96">
        <v>30</v>
      </c>
      <c r="C221" s="85">
        <f>194.205</f>
        <v>194.20500000000001</v>
      </c>
      <c r="D221" s="85">
        <f>267.466</f>
        <v>267.46600000000001</v>
      </c>
      <c r="E221" s="92">
        <f>133.845</f>
        <v>133.845</v>
      </c>
      <c r="F221" s="85">
        <f>278.484-40-25-60</f>
        <v>153.48399999999998</v>
      </c>
      <c r="G221" s="87">
        <v>40</v>
      </c>
      <c r="H221" s="85">
        <f t="shared" si="39"/>
        <v>85</v>
      </c>
      <c r="I221" s="85">
        <f t="shared" si="32"/>
        <v>0</v>
      </c>
      <c r="J221" s="87">
        <v>100</v>
      </c>
      <c r="K221" s="87">
        <v>300</v>
      </c>
      <c r="L221" s="85">
        <f t="shared" si="35"/>
        <v>1274</v>
      </c>
      <c r="M221" s="86"/>
      <c r="N221" s="85">
        <f>30</f>
        <v>30</v>
      </c>
      <c r="O221" s="87">
        <v>240</v>
      </c>
      <c r="P221" s="87">
        <v>160</v>
      </c>
      <c r="Q221" s="87">
        <f t="shared" si="36"/>
        <v>195</v>
      </c>
      <c r="R221" s="87">
        <f t="shared" si="37"/>
        <v>100</v>
      </c>
      <c r="S221" s="85">
        <f t="shared" si="38"/>
        <v>695</v>
      </c>
      <c r="T221" s="85">
        <f>50</f>
        <v>50</v>
      </c>
      <c r="U221" s="83"/>
      <c r="V221" s="83"/>
      <c r="W221" s="83"/>
      <c r="X221" s="83"/>
      <c r="Y221" s="83"/>
      <c r="Z221" s="83"/>
      <c r="AA221" s="83"/>
      <c r="AB221" s="83"/>
      <c r="AC221" s="83"/>
      <c r="AD221" s="83"/>
    </row>
    <row r="222" spans="1:30" ht="15.75" x14ac:dyDescent="0.25">
      <c r="A222" s="16">
        <v>47300</v>
      </c>
      <c r="B222" s="96">
        <v>31</v>
      </c>
      <c r="C222" s="85">
        <f>194.205</f>
        <v>194.20500000000001</v>
      </c>
      <c r="D222" s="85">
        <f>267.466</f>
        <v>267.46600000000001</v>
      </c>
      <c r="E222" s="92">
        <f>133.845</f>
        <v>133.845</v>
      </c>
      <c r="F222" s="85">
        <f>278.484-40-25-60</f>
        <v>153.48399999999998</v>
      </c>
      <c r="G222" s="87">
        <v>40</v>
      </c>
      <c r="H222" s="85">
        <f t="shared" si="39"/>
        <v>85</v>
      </c>
      <c r="I222" s="85">
        <f t="shared" si="32"/>
        <v>0</v>
      </c>
      <c r="J222" s="87">
        <v>100</v>
      </c>
      <c r="K222" s="87">
        <v>300</v>
      </c>
      <c r="L222" s="85">
        <f t="shared" si="35"/>
        <v>1274</v>
      </c>
      <c r="M222" s="86"/>
      <c r="N222" s="85">
        <f>30</f>
        <v>30</v>
      </c>
      <c r="O222" s="87">
        <v>240</v>
      </c>
      <c r="P222" s="87">
        <v>160</v>
      </c>
      <c r="Q222" s="87">
        <f t="shared" si="36"/>
        <v>195</v>
      </c>
      <c r="R222" s="87">
        <f t="shared" si="37"/>
        <v>100</v>
      </c>
      <c r="S222" s="85">
        <f t="shared" si="38"/>
        <v>695</v>
      </c>
      <c r="T222" s="85">
        <f>0</f>
        <v>0</v>
      </c>
      <c r="U222" s="83"/>
      <c r="V222" s="83"/>
      <c r="W222" s="83"/>
      <c r="X222" s="83"/>
      <c r="Y222" s="83"/>
      <c r="Z222" s="83"/>
      <c r="AA222" s="83"/>
      <c r="AB222" s="83"/>
      <c r="AC222" s="83"/>
      <c r="AD222" s="83"/>
    </row>
    <row r="223" spans="1:30" ht="15.75" x14ac:dyDescent="0.25">
      <c r="A223" s="16">
        <v>47331</v>
      </c>
      <c r="B223" s="96">
        <v>31</v>
      </c>
      <c r="C223" s="85">
        <f>194.205</f>
        <v>194.20500000000001</v>
      </c>
      <c r="D223" s="85">
        <f>267.466</f>
        <v>267.46600000000001</v>
      </c>
      <c r="E223" s="92">
        <f>133.845</f>
        <v>133.845</v>
      </c>
      <c r="F223" s="85">
        <f>278.484-40-25-60</f>
        <v>153.48399999999998</v>
      </c>
      <c r="G223" s="87">
        <v>40</v>
      </c>
      <c r="H223" s="85">
        <f t="shared" si="39"/>
        <v>85</v>
      </c>
      <c r="I223" s="85">
        <f t="shared" si="32"/>
        <v>0</v>
      </c>
      <c r="J223" s="87">
        <v>100</v>
      </c>
      <c r="K223" s="87">
        <v>300</v>
      </c>
      <c r="L223" s="85">
        <f t="shared" si="35"/>
        <v>1274</v>
      </c>
      <c r="M223" s="86"/>
      <c r="N223" s="85">
        <f>30</f>
        <v>30</v>
      </c>
      <c r="O223" s="87">
        <v>240</v>
      </c>
      <c r="P223" s="87">
        <v>160</v>
      </c>
      <c r="Q223" s="87">
        <f t="shared" si="36"/>
        <v>195</v>
      </c>
      <c r="R223" s="87">
        <f t="shared" si="37"/>
        <v>100</v>
      </c>
      <c r="S223" s="85">
        <f t="shared" si="38"/>
        <v>695</v>
      </c>
      <c r="T223" s="85">
        <f>0</f>
        <v>0</v>
      </c>
      <c r="U223" s="83"/>
      <c r="V223" s="83"/>
      <c r="W223" s="83"/>
      <c r="X223" s="83"/>
      <c r="Y223" s="83"/>
      <c r="Z223" s="83"/>
      <c r="AA223" s="83"/>
      <c r="AB223" s="83"/>
      <c r="AC223" s="83"/>
      <c r="AD223" s="83"/>
    </row>
    <row r="224" spans="1:30" ht="15.75" x14ac:dyDescent="0.25">
      <c r="A224" s="16">
        <v>47362</v>
      </c>
      <c r="B224" s="96">
        <v>30</v>
      </c>
      <c r="C224" s="85">
        <f>194.205</f>
        <v>194.20500000000001</v>
      </c>
      <c r="D224" s="85">
        <f>267.466</f>
        <v>267.46600000000001</v>
      </c>
      <c r="E224" s="92">
        <f>133.845</f>
        <v>133.845</v>
      </c>
      <c r="F224" s="85">
        <f>278.484-40-25-60</f>
        <v>153.48399999999998</v>
      </c>
      <c r="G224" s="87">
        <v>40</v>
      </c>
      <c r="H224" s="85">
        <f t="shared" si="39"/>
        <v>85</v>
      </c>
      <c r="I224" s="85">
        <f t="shared" si="32"/>
        <v>0</v>
      </c>
      <c r="J224" s="87">
        <v>100</v>
      </c>
      <c r="K224" s="87">
        <v>300</v>
      </c>
      <c r="L224" s="85">
        <f t="shared" si="35"/>
        <v>1274</v>
      </c>
      <c r="M224" s="86"/>
      <c r="N224" s="85">
        <f>30</f>
        <v>30</v>
      </c>
      <c r="O224" s="87">
        <v>240</v>
      </c>
      <c r="P224" s="87">
        <v>160</v>
      </c>
      <c r="Q224" s="87">
        <f t="shared" si="36"/>
        <v>195</v>
      </c>
      <c r="R224" s="87">
        <f t="shared" si="37"/>
        <v>100</v>
      </c>
      <c r="S224" s="85">
        <f t="shared" si="38"/>
        <v>695</v>
      </c>
      <c r="T224" s="85">
        <f>0</f>
        <v>0</v>
      </c>
      <c r="U224" s="83"/>
      <c r="V224" s="83"/>
      <c r="W224" s="83"/>
      <c r="X224" s="83"/>
      <c r="Y224" s="83"/>
      <c r="Z224" s="83"/>
      <c r="AA224" s="83"/>
      <c r="AB224" s="83"/>
      <c r="AC224" s="83"/>
      <c r="AD224" s="83"/>
    </row>
    <row r="225" spans="1:30" ht="15.75" x14ac:dyDescent="0.25">
      <c r="A225" s="16">
        <v>47392</v>
      </c>
      <c r="B225" s="96">
        <v>31</v>
      </c>
      <c r="C225" s="85">
        <f>131.881</f>
        <v>131.881</v>
      </c>
      <c r="D225" s="85">
        <f>277.167</f>
        <v>277.16699999999997</v>
      </c>
      <c r="E225" s="92">
        <f>79.08</f>
        <v>79.08</v>
      </c>
      <c r="F225" s="85">
        <f>350.872-40-25-60</f>
        <v>225.87200000000001</v>
      </c>
      <c r="G225" s="87">
        <v>40</v>
      </c>
      <c r="H225" s="85">
        <f t="shared" si="39"/>
        <v>85</v>
      </c>
      <c r="I225" s="85">
        <f t="shared" si="32"/>
        <v>0</v>
      </c>
      <c r="J225" s="87">
        <v>100</v>
      </c>
      <c r="K225" s="87">
        <v>300</v>
      </c>
      <c r="L225" s="85">
        <f t="shared" si="35"/>
        <v>1239</v>
      </c>
      <c r="M225" s="86"/>
      <c r="N225" s="85">
        <f>75</f>
        <v>75</v>
      </c>
      <c r="O225" s="87">
        <v>240</v>
      </c>
      <c r="P225" s="87">
        <v>160</v>
      </c>
      <c r="Q225" s="87">
        <f t="shared" si="36"/>
        <v>195</v>
      </c>
      <c r="R225" s="87">
        <f t="shared" si="37"/>
        <v>100</v>
      </c>
      <c r="S225" s="85">
        <f t="shared" si="38"/>
        <v>695</v>
      </c>
      <c r="T225" s="85">
        <f>0</f>
        <v>0</v>
      </c>
      <c r="U225" s="83"/>
      <c r="V225" s="83"/>
      <c r="W225" s="83"/>
      <c r="X225" s="83"/>
      <c r="Y225" s="83"/>
      <c r="Z225" s="83"/>
      <c r="AA225" s="83"/>
      <c r="AB225" s="83"/>
      <c r="AC225" s="83"/>
      <c r="AD225" s="83"/>
    </row>
    <row r="226" spans="1:30" ht="15.75" x14ac:dyDescent="0.25">
      <c r="A226" s="16">
        <v>47423</v>
      </c>
      <c r="B226" s="96">
        <v>30</v>
      </c>
      <c r="C226" s="85">
        <f>122.58</f>
        <v>122.58</v>
      </c>
      <c r="D226" s="85">
        <f>297.941</f>
        <v>297.94099999999997</v>
      </c>
      <c r="E226" s="92">
        <f>89.177</f>
        <v>89.177000000000007</v>
      </c>
      <c r="F226" s="85">
        <f>240.302-40-60</f>
        <v>140.30199999999999</v>
      </c>
      <c r="G226" s="87">
        <v>40</v>
      </c>
      <c r="H226" s="85">
        <v>60</v>
      </c>
      <c r="I226" s="85">
        <f t="shared" si="32"/>
        <v>0</v>
      </c>
      <c r="J226" s="87">
        <v>100</v>
      </c>
      <c r="K226" s="87">
        <v>300</v>
      </c>
      <c r="L226" s="85">
        <f t="shared" si="35"/>
        <v>1150</v>
      </c>
      <c r="M226" s="86"/>
      <c r="N226" s="85">
        <f>100</f>
        <v>100</v>
      </c>
      <c r="O226" s="87">
        <v>240</v>
      </c>
      <c r="P226" s="87">
        <v>40</v>
      </c>
      <c r="Q226" s="87">
        <f t="shared" si="36"/>
        <v>315</v>
      </c>
      <c r="R226" s="87">
        <f t="shared" si="37"/>
        <v>100</v>
      </c>
      <c r="S226" s="85">
        <f t="shared" si="38"/>
        <v>695</v>
      </c>
      <c r="T226" s="85">
        <f>50</f>
        <v>50</v>
      </c>
      <c r="U226" s="83"/>
      <c r="V226" s="83"/>
      <c r="W226" s="83"/>
      <c r="X226" s="83"/>
      <c r="Y226" s="83"/>
      <c r="Z226" s="83"/>
      <c r="AA226" s="83"/>
      <c r="AB226" s="83"/>
      <c r="AC226" s="83"/>
      <c r="AD226" s="83"/>
    </row>
    <row r="227" spans="1:30" ht="15.75" x14ac:dyDescent="0.25">
      <c r="A227" s="16">
        <v>47453</v>
      </c>
      <c r="B227" s="96">
        <v>31</v>
      </c>
      <c r="C227" s="85">
        <f>122.58</f>
        <v>122.58</v>
      </c>
      <c r="D227" s="85">
        <f>297.941</f>
        <v>297.94099999999997</v>
      </c>
      <c r="E227" s="92">
        <f>89.177</f>
        <v>89.177000000000007</v>
      </c>
      <c r="F227" s="85">
        <f>240.302-40-60</f>
        <v>140.30199999999999</v>
      </c>
      <c r="G227" s="87">
        <v>40</v>
      </c>
      <c r="H227" s="85">
        <v>60</v>
      </c>
      <c r="I227" s="85">
        <f t="shared" si="32"/>
        <v>0</v>
      </c>
      <c r="J227" s="87">
        <v>100</v>
      </c>
      <c r="K227" s="87">
        <v>300</v>
      </c>
      <c r="L227" s="85">
        <f t="shared" si="35"/>
        <v>1150</v>
      </c>
      <c r="M227" s="86"/>
      <c r="N227" s="85">
        <f>100</f>
        <v>100</v>
      </c>
      <c r="O227" s="87">
        <v>240</v>
      </c>
      <c r="P227" s="87">
        <v>40</v>
      </c>
      <c r="Q227" s="87">
        <f t="shared" si="36"/>
        <v>315</v>
      </c>
      <c r="R227" s="87">
        <f t="shared" si="37"/>
        <v>100</v>
      </c>
      <c r="S227" s="85">
        <f t="shared" si="38"/>
        <v>695</v>
      </c>
      <c r="T227" s="85">
        <f>50</f>
        <v>50</v>
      </c>
      <c r="U227" s="83"/>
      <c r="V227" s="83"/>
      <c r="W227" s="83"/>
      <c r="X227" s="83"/>
      <c r="Y227" s="83"/>
      <c r="Z227" s="83"/>
      <c r="AA227" s="83"/>
      <c r="AB227" s="83"/>
      <c r="AC227" s="83"/>
      <c r="AD227" s="83"/>
    </row>
    <row r="228" spans="1:30" ht="15.75" x14ac:dyDescent="0.25">
      <c r="A228" s="16">
        <v>47484</v>
      </c>
      <c r="B228" s="96">
        <v>31</v>
      </c>
      <c r="C228" s="85">
        <f>122.58</f>
        <v>122.58</v>
      </c>
      <c r="D228" s="85">
        <f>297.941</f>
        <v>297.94099999999997</v>
      </c>
      <c r="E228" s="92">
        <f>89.177</f>
        <v>89.177000000000007</v>
      </c>
      <c r="F228" s="85">
        <f>240.302-40-60</f>
        <v>140.30199999999999</v>
      </c>
      <c r="G228" s="87">
        <v>40</v>
      </c>
      <c r="H228" s="85">
        <v>60</v>
      </c>
      <c r="I228" s="85">
        <f t="shared" si="32"/>
        <v>0</v>
      </c>
      <c r="J228" s="87">
        <v>100</v>
      </c>
      <c r="K228" s="87">
        <v>300</v>
      </c>
      <c r="L228" s="85">
        <f t="shared" si="35"/>
        <v>1150</v>
      </c>
      <c r="M228" s="86"/>
      <c r="N228" s="85">
        <f>100</f>
        <v>100</v>
      </c>
      <c r="O228" s="87">
        <v>240</v>
      </c>
      <c r="P228" s="87">
        <v>40</v>
      </c>
      <c r="Q228" s="87">
        <f t="shared" si="36"/>
        <v>315</v>
      </c>
      <c r="R228" s="87">
        <f t="shared" si="37"/>
        <v>100</v>
      </c>
      <c r="S228" s="85">
        <f t="shared" si="38"/>
        <v>695</v>
      </c>
      <c r="T228" s="85">
        <f>50</f>
        <v>50</v>
      </c>
      <c r="U228" s="83"/>
      <c r="V228" s="83"/>
      <c r="W228" s="83"/>
      <c r="X228" s="83"/>
      <c r="Y228" s="83"/>
      <c r="Z228" s="83"/>
      <c r="AA228" s="83"/>
      <c r="AB228" s="83"/>
      <c r="AC228" s="83"/>
      <c r="AD228" s="83"/>
    </row>
    <row r="229" spans="1:30" ht="15.75" x14ac:dyDescent="0.25">
      <c r="A229" s="16">
        <v>47515</v>
      </c>
      <c r="B229" s="96">
        <v>28</v>
      </c>
      <c r="C229" s="85">
        <f>122.58</f>
        <v>122.58</v>
      </c>
      <c r="D229" s="85">
        <f>297.941</f>
        <v>297.94099999999997</v>
      </c>
      <c r="E229" s="92">
        <f>89.177</f>
        <v>89.177000000000007</v>
      </c>
      <c r="F229" s="85">
        <f>240.302-40-60</f>
        <v>140.30199999999999</v>
      </c>
      <c r="G229" s="87">
        <v>40</v>
      </c>
      <c r="H229" s="85">
        <v>60</v>
      </c>
      <c r="I229" s="85">
        <f t="shared" si="32"/>
        <v>0</v>
      </c>
      <c r="J229" s="87">
        <v>100</v>
      </c>
      <c r="K229" s="87">
        <v>300</v>
      </c>
      <c r="L229" s="85">
        <f t="shared" si="35"/>
        <v>1150</v>
      </c>
      <c r="M229" s="86"/>
      <c r="N229" s="85">
        <f>100</f>
        <v>100</v>
      </c>
      <c r="O229" s="87">
        <v>240</v>
      </c>
      <c r="P229" s="87">
        <v>40</v>
      </c>
      <c r="Q229" s="87">
        <f t="shared" si="36"/>
        <v>315</v>
      </c>
      <c r="R229" s="87">
        <f t="shared" si="37"/>
        <v>100</v>
      </c>
      <c r="S229" s="85">
        <f t="shared" si="38"/>
        <v>695</v>
      </c>
      <c r="T229" s="85">
        <f>50</f>
        <v>50</v>
      </c>
      <c r="U229" s="83"/>
      <c r="V229" s="83"/>
      <c r="W229" s="83"/>
      <c r="X229" s="83"/>
      <c r="Y229" s="83"/>
      <c r="Z229" s="83"/>
      <c r="AA229" s="83"/>
      <c r="AB229" s="83"/>
      <c r="AC229" s="83"/>
      <c r="AD229" s="83"/>
    </row>
    <row r="230" spans="1:30" ht="15.75" x14ac:dyDescent="0.25">
      <c r="A230" s="16">
        <v>47543</v>
      </c>
      <c r="B230" s="96">
        <v>31</v>
      </c>
      <c r="C230" s="85">
        <f>122.58</f>
        <v>122.58</v>
      </c>
      <c r="D230" s="85">
        <f>297.941</f>
        <v>297.94099999999997</v>
      </c>
      <c r="E230" s="92">
        <f>89.177</f>
        <v>89.177000000000007</v>
      </c>
      <c r="F230" s="85">
        <f>240.302-40-60</f>
        <v>140.30199999999999</v>
      </c>
      <c r="G230" s="87">
        <v>40</v>
      </c>
      <c r="H230" s="85">
        <v>60</v>
      </c>
      <c r="I230" s="85">
        <f t="shared" si="32"/>
        <v>0</v>
      </c>
      <c r="J230" s="87">
        <v>100</v>
      </c>
      <c r="K230" s="87">
        <v>300</v>
      </c>
      <c r="L230" s="85">
        <f t="shared" si="35"/>
        <v>1150</v>
      </c>
      <c r="M230" s="86"/>
      <c r="N230" s="85">
        <f>100</f>
        <v>100</v>
      </c>
      <c r="O230" s="87">
        <v>240</v>
      </c>
      <c r="P230" s="87">
        <v>40</v>
      </c>
      <c r="Q230" s="87">
        <f t="shared" si="36"/>
        <v>315</v>
      </c>
      <c r="R230" s="87">
        <f t="shared" si="37"/>
        <v>100</v>
      </c>
      <c r="S230" s="85">
        <f t="shared" si="38"/>
        <v>695</v>
      </c>
      <c r="T230" s="85">
        <f>50</f>
        <v>50</v>
      </c>
      <c r="U230" s="83"/>
      <c r="V230" s="83"/>
      <c r="W230" s="83"/>
      <c r="X230" s="83"/>
      <c r="Y230" s="83"/>
      <c r="Z230" s="83"/>
      <c r="AA230" s="83"/>
      <c r="AB230" s="83"/>
      <c r="AC230" s="83"/>
      <c r="AD230" s="83"/>
    </row>
    <row r="231" spans="1:30" ht="15.75" x14ac:dyDescent="0.25">
      <c r="A231" s="16">
        <v>47574</v>
      </c>
      <c r="B231" s="96">
        <v>30</v>
      </c>
      <c r="C231" s="85">
        <f>141.293</f>
        <v>141.29300000000001</v>
      </c>
      <c r="D231" s="85">
        <f>267.993</f>
        <v>267.99299999999999</v>
      </c>
      <c r="E231" s="92">
        <f>115.016</f>
        <v>115.01600000000001</v>
      </c>
      <c r="F231" s="85">
        <f>314.698-40-25-60</f>
        <v>189.69799999999998</v>
      </c>
      <c r="G231" s="87">
        <v>40</v>
      </c>
      <c r="H231" s="85">
        <f t="shared" ref="H231:H237" si="40">25+60</f>
        <v>85</v>
      </c>
      <c r="I231" s="85">
        <f t="shared" si="32"/>
        <v>0</v>
      </c>
      <c r="J231" s="87">
        <v>100</v>
      </c>
      <c r="K231" s="87">
        <v>300</v>
      </c>
      <c r="L231" s="85">
        <f t="shared" si="35"/>
        <v>1239</v>
      </c>
      <c r="M231" s="86"/>
      <c r="N231" s="85">
        <f>100</f>
        <v>100</v>
      </c>
      <c r="O231" s="87">
        <v>240</v>
      </c>
      <c r="P231" s="87">
        <v>160</v>
      </c>
      <c r="Q231" s="87">
        <f t="shared" si="36"/>
        <v>195</v>
      </c>
      <c r="R231" s="87">
        <f t="shared" si="37"/>
        <v>100</v>
      </c>
      <c r="S231" s="85">
        <f t="shared" si="38"/>
        <v>695</v>
      </c>
      <c r="T231" s="85">
        <f>50</f>
        <v>50</v>
      </c>
      <c r="U231" s="83"/>
      <c r="V231" s="83"/>
      <c r="W231" s="83"/>
      <c r="X231" s="83"/>
      <c r="Y231" s="83"/>
      <c r="Z231" s="83"/>
      <c r="AA231" s="83"/>
      <c r="AB231" s="83"/>
      <c r="AC231" s="83"/>
      <c r="AD231" s="83"/>
    </row>
    <row r="232" spans="1:30" ht="15.75" x14ac:dyDescent="0.25">
      <c r="A232" s="16">
        <v>47604</v>
      </c>
      <c r="B232" s="96">
        <v>31</v>
      </c>
      <c r="C232" s="85">
        <f>194.205</f>
        <v>194.20500000000001</v>
      </c>
      <c r="D232" s="85">
        <f>267.466</f>
        <v>267.46600000000001</v>
      </c>
      <c r="E232" s="92">
        <f>133.845</f>
        <v>133.845</v>
      </c>
      <c r="F232" s="85">
        <f>278.484-40-25-60</f>
        <v>153.48399999999998</v>
      </c>
      <c r="G232" s="87">
        <v>40</v>
      </c>
      <c r="H232" s="85">
        <f t="shared" si="40"/>
        <v>85</v>
      </c>
      <c r="I232" s="85">
        <f t="shared" si="32"/>
        <v>0</v>
      </c>
      <c r="J232" s="87">
        <v>100</v>
      </c>
      <c r="K232" s="87">
        <v>300</v>
      </c>
      <c r="L232" s="85">
        <f t="shared" si="35"/>
        <v>1274</v>
      </c>
      <c r="M232" s="86"/>
      <c r="N232" s="85">
        <f>75</f>
        <v>75</v>
      </c>
      <c r="O232" s="87">
        <v>240</v>
      </c>
      <c r="P232" s="87">
        <v>160</v>
      </c>
      <c r="Q232" s="87">
        <f t="shared" si="36"/>
        <v>195</v>
      </c>
      <c r="R232" s="87">
        <f t="shared" si="37"/>
        <v>100</v>
      </c>
      <c r="S232" s="85">
        <f t="shared" si="38"/>
        <v>695</v>
      </c>
      <c r="T232" s="85">
        <f>50</f>
        <v>50</v>
      </c>
      <c r="U232" s="83"/>
      <c r="V232" s="83"/>
      <c r="W232" s="83"/>
      <c r="X232" s="83"/>
      <c r="Y232" s="83"/>
      <c r="Z232" s="83"/>
      <c r="AA232" s="83"/>
      <c r="AB232" s="83"/>
      <c r="AC232" s="83"/>
      <c r="AD232" s="83"/>
    </row>
    <row r="233" spans="1:30" ht="15.75" x14ac:dyDescent="0.25">
      <c r="A233" s="16">
        <v>47635</v>
      </c>
      <c r="B233" s="96">
        <v>30</v>
      </c>
      <c r="C233" s="85">
        <f>194.205</f>
        <v>194.20500000000001</v>
      </c>
      <c r="D233" s="85">
        <f>267.466</f>
        <v>267.46600000000001</v>
      </c>
      <c r="E233" s="92">
        <f>133.845</f>
        <v>133.845</v>
      </c>
      <c r="F233" s="85">
        <f>278.484-40-25-60</f>
        <v>153.48399999999998</v>
      </c>
      <c r="G233" s="87">
        <v>40</v>
      </c>
      <c r="H233" s="85">
        <f t="shared" si="40"/>
        <v>85</v>
      </c>
      <c r="I233" s="85">
        <f t="shared" si="32"/>
        <v>0</v>
      </c>
      <c r="J233" s="87">
        <v>100</v>
      </c>
      <c r="K233" s="87">
        <v>300</v>
      </c>
      <c r="L233" s="85">
        <f t="shared" si="35"/>
        <v>1274</v>
      </c>
      <c r="M233" s="86"/>
      <c r="N233" s="85">
        <f>30</f>
        <v>30</v>
      </c>
      <c r="O233" s="87">
        <v>240</v>
      </c>
      <c r="P233" s="87">
        <v>160</v>
      </c>
      <c r="Q233" s="87">
        <f t="shared" si="36"/>
        <v>195</v>
      </c>
      <c r="R233" s="87">
        <f t="shared" si="37"/>
        <v>100</v>
      </c>
      <c r="S233" s="85">
        <f t="shared" si="38"/>
        <v>695</v>
      </c>
      <c r="T233" s="85">
        <f>50</f>
        <v>50</v>
      </c>
      <c r="U233" s="83"/>
      <c r="V233" s="83"/>
      <c r="W233" s="83"/>
      <c r="X233" s="83"/>
      <c r="Y233" s="83"/>
      <c r="Z233" s="83"/>
      <c r="AA233" s="83"/>
      <c r="AB233" s="83"/>
      <c r="AC233" s="83"/>
      <c r="AD233" s="83"/>
    </row>
    <row r="234" spans="1:30" ht="15.75" x14ac:dyDescent="0.25">
      <c r="A234" s="16">
        <v>47665</v>
      </c>
      <c r="B234" s="96">
        <v>31</v>
      </c>
      <c r="C234" s="85">
        <f>194.205</f>
        <v>194.20500000000001</v>
      </c>
      <c r="D234" s="85">
        <f>267.466</f>
        <v>267.46600000000001</v>
      </c>
      <c r="E234" s="92">
        <f>133.845</f>
        <v>133.845</v>
      </c>
      <c r="F234" s="85">
        <f>278.484-40-25-60</f>
        <v>153.48399999999998</v>
      </c>
      <c r="G234" s="87">
        <v>40</v>
      </c>
      <c r="H234" s="85">
        <f t="shared" si="40"/>
        <v>85</v>
      </c>
      <c r="I234" s="85">
        <f t="shared" si="32"/>
        <v>0</v>
      </c>
      <c r="J234" s="87">
        <v>100</v>
      </c>
      <c r="K234" s="87">
        <v>300</v>
      </c>
      <c r="L234" s="85">
        <f t="shared" si="35"/>
        <v>1274</v>
      </c>
      <c r="M234" s="86"/>
      <c r="N234" s="85">
        <f>30</f>
        <v>30</v>
      </c>
      <c r="O234" s="87">
        <v>240</v>
      </c>
      <c r="P234" s="87">
        <v>160</v>
      </c>
      <c r="Q234" s="87">
        <f t="shared" si="36"/>
        <v>195</v>
      </c>
      <c r="R234" s="87">
        <f t="shared" si="37"/>
        <v>100</v>
      </c>
      <c r="S234" s="85">
        <f t="shared" si="38"/>
        <v>695</v>
      </c>
      <c r="T234" s="85">
        <f>0</f>
        <v>0</v>
      </c>
      <c r="U234" s="83"/>
      <c r="V234" s="83"/>
      <c r="W234" s="83"/>
      <c r="X234" s="83"/>
      <c r="Y234" s="83"/>
      <c r="Z234" s="83"/>
      <c r="AA234" s="83"/>
      <c r="AB234" s="83"/>
      <c r="AC234" s="83"/>
      <c r="AD234" s="83"/>
    </row>
    <row r="235" spans="1:30" ht="15.75" x14ac:dyDescent="0.25">
      <c r="A235" s="16">
        <v>47696</v>
      </c>
      <c r="B235" s="96">
        <v>31</v>
      </c>
      <c r="C235" s="85">
        <f>194.205</f>
        <v>194.20500000000001</v>
      </c>
      <c r="D235" s="85">
        <f>267.466</f>
        <v>267.46600000000001</v>
      </c>
      <c r="E235" s="92">
        <f>133.845</f>
        <v>133.845</v>
      </c>
      <c r="F235" s="85">
        <f>278.484-40-25-60</f>
        <v>153.48399999999998</v>
      </c>
      <c r="G235" s="87">
        <v>40</v>
      </c>
      <c r="H235" s="85">
        <f t="shared" si="40"/>
        <v>85</v>
      </c>
      <c r="I235" s="85">
        <f t="shared" si="32"/>
        <v>0</v>
      </c>
      <c r="J235" s="87">
        <v>100</v>
      </c>
      <c r="K235" s="87">
        <v>300</v>
      </c>
      <c r="L235" s="85">
        <f t="shared" si="35"/>
        <v>1274</v>
      </c>
      <c r="M235" s="86"/>
      <c r="N235" s="85">
        <f>30</f>
        <v>30</v>
      </c>
      <c r="O235" s="87">
        <v>240</v>
      </c>
      <c r="P235" s="87">
        <v>160</v>
      </c>
      <c r="Q235" s="87">
        <f t="shared" si="36"/>
        <v>195</v>
      </c>
      <c r="R235" s="87">
        <f t="shared" si="37"/>
        <v>100</v>
      </c>
      <c r="S235" s="85">
        <f t="shared" si="38"/>
        <v>695</v>
      </c>
      <c r="T235" s="85">
        <f>0</f>
        <v>0</v>
      </c>
      <c r="U235" s="83"/>
      <c r="V235" s="83"/>
      <c r="W235" s="83"/>
      <c r="X235" s="83"/>
      <c r="Y235" s="83"/>
      <c r="Z235" s="83"/>
      <c r="AA235" s="83"/>
      <c r="AB235" s="83"/>
      <c r="AC235" s="83"/>
      <c r="AD235" s="83"/>
    </row>
    <row r="236" spans="1:30" ht="15.75" x14ac:dyDescent="0.25">
      <c r="A236" s="16">
        <v>47727</v>
      </c>
      <c r="B236" s="96">
        <v>30</v>
      </c>
      <c r="C236" s="85">
        <f>194.205</f>
        <v>194.20500000000001</v>
      </c>
      <c r="D236" s="85">
        <f>267.466</f>
        <v>267.46600000000001</v>
      </c>
      <c r="E236" s="92">
        <f>133.845</f>
        <v>133.845</v>
      </c>
      <c r="F236" s="85">
        <f>278.484-40-25-60</f>
        <v>153.48399999999998</v>
      </c>
      <c r="G236" s="87">
        <v>40</v>
      </c>
      <c r="H236" s="85">
        <f t="shared" si="40"/>
        <v>85</v>
      </c>
      <c r="I236" s="85">
        <f t="shared" si="32"/>
        <v>0</v>
      </c>
      <c r="J236" s="87">
        <v>100</v>
      </c>
      <c r="K236" s="87">
        <v>300</v>
      </c>
      <c r="L236" s="85">
        <f t="shared" si="35"/>
        <v>1274</v>
      </c>
      <c r="M236" s="86"/>
      <c r="N236" s="85">
        <f>30</f>
        <v>30</v>
      </c>
      <c r="O236" s="87">
        <v>240</v>
      </c>
      <c r="P236" s="87">
        <v>160</v>
      </c>
      <c r="Q236" s="87">
        <f t="shared" si="36"/>
        <v>195</v>
      </c>
      <c r="R236" s="87">
        <f t="shared" si="37"/>
        <v>100</v>
      </c>
      <c r="S236" s="85">
        <f t="shared" si="38"/>
        <v>695</v>
      </c>
      <c r="T236" s="85">
        <f>0</f>
        <v>0</v>
      </c>
      <c r="U236" s="83"/>
      <c r="V236" s="83"/>
      <c r="W236" s="83"/>
      <c r="X236" s="83"/>
      <c r="Y236" s="83"/>
      <c r="Z236" s="83"/>
      <c r="AA236" s="83"/>
      <c r="AB236" s="83"/>
      <c r="AC236" s="83"/>
      <c r="AD236" s="83"/>
    </row>
    <row r="237" spans="1:30" ht="15.75" x14ac:dyDescent="0.25">
      <c r="A237" s="16">
        <v>47757</v>
      </c>
      <c r="B237" s="96">
        <v>31</v>
      </c>
      <c r="C237" s="85">
        <f>131.881</f>
        <v>131.881</v>
      </c>
      <c r="D237" s="85">
        <f>277.167</f>
        <v>277.16699999999997</v>
      </c>
      <c r="E237" s="92">
        <f>79.08</f>
        <v>79.08</v>
      </c>
      <c r="F237" s="85">
        <f>350.872-40-25-60</f>
        <v>225.87200000000001</v>
      </c>
      <c r="G237" s="87">
        <v>40</v>
      </c>
      <c r="H237" s="85">
        <f t="shared" si="40"/>
        <v>85</v>
      </c>
      <c r="I237" s="85">
        <f t="shared" si="32"/>
        <v>0</v>
      </c>
      <c r="J237" s="87">
        <v>100</v>
      </c>
      <c r="K237" s="87">
        <v>300</v>
      </c>
      <c r="L237" s="85">
        <f t="shared" si="35"/>
        <v>1239</v>
      </c>
      <c r="M237" s="86"/>
      <c r="N237" s="85">
        <f>75</f>
        <v>75</v>
      </c>
      <c r="O237" s="87">
        <v>240</v>
      </c>
      <c r="P237" s="87">
        <v>160</v>
      </c>
      <c r="Q237" s="87">
        <f t="shared" si="36"/>
        <v>195</v>
      </c>
      <c r="R237" s="87">
        <f t="shared" si="37"/>
        <v>100</v>
      </c>
      <c r="S237" s="85">
        <f t="shared" si="38"/>
        <v>695</v>
      </c>
      <c r="T237" s="85">
        <f>0</f>
        <v>0</v>
      </c>
      <c r="U237" s="83"/>
      <c r="V237" s="83"/>
      <c r="W237" s="83"/>
      <c r="X237" s="83"/>
      <c r="Y237" s="83"/>
      <c r="Z237" s="83"/>
      <c r="AA237" s="83"/>
      <c r="AB237" s="83"/>
      <c r="AC237" s="83"/>
      <c r="AD237" s="83"/>
    </row>
    <row r="238" spans="1:30" ht="15.75" x14ac:dyDescent="0.25">
      <c r="A238" s="16">
        <v>47788</v>
      </c>
      <c r="B238" s="96">
        <v>30</v>
      </c>
      <c r="C238" s="85">
        <f>122.58</f>
        <v>122.58</v>
      </c>
      <c r="D238" s="85">
        <f>297.941</f>
        <v>297.94099999999997</v>
      </c>
      <c r="E238" s="92">
        <f>89.177</f>
        <v>89.177000000000007</v>
      </c>
      <c r="F238" s="85">
        <f>240.302-40-60</f>
        <v>140.30199999999999</v>
      </c>
      <c r="G238" s="87">
        <v>40</v>
      </c>
      <c r="H238" s="85">
        <v>60</v>
      </c>
      <c r="I238" s="85">
        <f t="shared" si="32"/>
        <v>0</v>
      </c>
      <c r="J238" s="87">
        <v>100</v>
      </c>
      <c r="K238" s="87">
        <v>300</v>
      </c>
      <c r="L238" s="85">
        <f t="shared" si="35"/>
        <v>1150</v>
      </c>
      <c r="M238" s="86"/>
      <c r="N238" s="85">
        <f>100</f>
        <v>100</v>
      </c>
      <c r="O238" s="87">
        <v>240</v>
      </c>
      <c r="P238" s="87">
        <v>40</v>
      </c>
      <c r="Q238" s="87">
        <f t="shared" si="36"/>
        <v>315</v>
      </c>
      <c r="R238" s="87">
        <f t="shared" si="37"/>
        <v>100</v>
      </c>
      <c r="S238" s="85">
        <f t="shared" si="38"/>
        <v>695</v>
      </c>
      <c r="T238" s="85">
        <f>50</f>
        <v>50</v>
      </c>
      <c r="U238" s="83"/>
      <c r="V238" s="83"/>
      <c r="W238" s="83"/>
      <c r="X238" s="83"/>
      <c r="Y238" s="83"/>
      <c r="Z238" s="83"/>
      <c r="AA238" s="83"/>
      <c r="AB238" s="83"/>
      <c r="AC238" s="83"/>
      <c r="AD238" s="83"/>
    </row>
    <row r="239" spans="1:30" ht="15.75" x14ac:dyDescent="0.25">
      <c r="A239" s="16">
        <v>47818</v>
      </c>
      <c r="B239" s="96">
        <v>31</v>
      </c>
      <c r="C239" s="85">
        <f>122.58</f>
        <v>122.58</v>
      </c>
      <c r="D239" s="85">
        <f>297.941</f>
        <v>297.94099999999997</v>
      </c>
      <c r="E239" s="92">
        <f>89.177</f>
        <v>89.177000000000007</v>
      </c>
      <c r="F239" s="85">
        <f>240.302-40-60</f>
        <v>140.30199999999999</v>
      </c>
      <c r="G239" s="87">
        <v>40</v>
      </c>
      <c r="H239" s="85">
        <v>60</v>
      </c>
      <c r="I239" s="85">
        <f t="shared" si="32"/>
        <v>0</v>
      </c>
      <c r="J239" s="87">
        <v>100</v>
      </c>
      <c r="K239" s="87">
        <v>300</v>
      </c>
      <c r="L239" s="85">
        <f t="shared" si="35"/>
        <v>1150</v>
      </c>
      <c r="M239" s="86"/>
      <c r="N239" s="85">
        <f>100</f>
        <v>100</v>
      </c>
      <c r="O239" s="87">
        <v>240</v>
      </c>
      <c r="P239" s="87">
        <v>40</v>
      </c>
      <c r="Q239" s="87">
        <f t="shared" si="36"/>
        <v>315</v>
      </c>
      <c r="R239" s="87">
        <f t="shared" si="37"/>
        <v>100</v>
      </c>
      <c r="S239" s="85">
        <f t="shared" si="38"/>
        <v>695</v>
      </c>
      <c r="T239" s="85">
        <f>50</f>
        <v>50</v>
      </c>
      <c r="U239" s="83"/>
      <c r="V239" s="83"/>
      <c r="W239" s="83"/>
      <c r="X239" s="83"/>
      <c r="Y239" s="83"/>
      <c r="Z239" s="83"/>
      <c r="AA239" s="83"/>
      <c r="AB239" s="83"/>
      <c r="AC239" s="83"/>
      <c r="AD239" s="83"/>
    </row>
    <row r="240" spans="1:30" ht="15.75" x14ac:dyDescent="0.25">
      <c r="A240" s="16">
        <v>47849</v>
      </c>
      <c r="B240" s="96">
        <v>31</v>
      </c>
      <c r="C240" s="85">
        <f>122.58</f>
        <v>122.58</v>
      </c>
      <c r="D240" s="85">
        <f>297.941</f>
        <v>297.94099999999997</v>
      </c>
      <c r="E240" s="92">
        <f>89.177</f>
        <v>89.177000000000007</v>
      </c>
      <c r="F240" s="85">
        <f>240.302-40-60</f>
        <v>140.30199999999999</v>
      </c>
      <c r="G240" s="87">
        <v>40</v>
      </c>
      <c r="H240" s="85">
        <v>60</v>
      </c>
      <c r="I240" s="85">
        <f t="shared" si="32"/>
        <v>0</v>
      </c>
      <c r="J240" s="87">
        <v>100</v>
      </c>
      <c r="K240" s="87">
        <v>300</v>
      </c>
      <c r="L240" s="85">
        <f t="shared" si="35"/>
        <v>1150</v>
      </c>
      <c r="M240" s="86"/>
      <c r="N240" s="85">
        <f>100</f>
        <v>100</v>
      </c>
      <c r="O240" s="87">
        <v>240</v>
      </c>
      <c r="P240" s="87">
        <v>40</v>
      </c>
      <c r="Q240" s="87">
        <f t="shared" si="36"/>
        <v>315</v>
      </c>
      <c r="R240" s="87">
        <f t="shared" si="37"/>
        <v>100</v>
      </c>
      <c r="S240" s="85">
        <f t="shared" si="38"/>
        <v>695</v>
      </c>
      <c r="T240" s="85">
        <f>50</f>
        <v>50</v>
      </c>
      <c r="U240" s="83"/>
      <c r="V240" s="83"/>
      <c r="W240" s="83"/>
      <c r="X240" s="83"/>
      <c r="Y240" s="83"/>
      <c r="Z240" s="83"/>
      <c r="AA240" s="83"/>
      <c r="AB240" s="83"/>
      <c r="AC240" s="83"/>
      <c r="AD240" s="83"/>
    </row>
    <row r="241" spans="1:30" ht="15.75" x14ac:dyDescent="0.25">
      <c r="A241" s="16">
        <v>47880</v>
      </c>
      <c r="B241" s="96">
        <v>28</v>
      </c>
      <c r="C241" s="85">
        <f>122.58</f>
        <v>122.58</v>
      </c>
      <c r="D241" s="85">
        <f>297.941</f>
        <v>297.94099999999997</v>
      </c>
      <c r="E241" s="92">
        <f>89.177</f>
        <v>89.177000000000007</v>
      </c>
      <c r="F241" s="85">
        <f>240.302-40-60</f>
        <v>140.30199999999999</v>
      </c>
      <c r="G241" s="87">
        <v>40</v>
      </c>
      <c r="H241" s="85">
        <v>60</v>
      </c>
      <c r="I241" s="85">
        <f t="shared" si="32"/>
        <v>0</v>
      </c>
      <c r="J241" s="87">
        <v>100</v>
      </c>
      <c r="K241" s="87">
        <v>300</v>
      </c>
      <c r="L241" s="85">
        <f t="shared" si="35"/>
        <v>1150</v>
      </c>
      <c r="M241" s="86"/>
      <c r="N241" s="85">
        <f>100</f>
        <v>100</v>
      </c>
      <c r="O241" s="87">
        <v>240</v>
      </c>
      <c r="P241" s="87">
        <v>40</v>
      </c>
      <c r="Q241" s="87">
        <f t="shared" si="36"/>
        <v>315</v>
      </c>
      <c r="R241" s="87">
        <f t="shared" si="37"/>
        <v>100</v>
      </c>
      <c r="S241" s="85">
        <f t="shared" si="38"/>
        <v>695</v>
      </c>
      <c r="T241" s="85">
        <f>50</f>
        <v>50</v>
      </c>
      <c r="U241" s="83"/>
      <c r="V241" s="83"/>
      <c r="W241" s="83"/>
      <c r="X241" s="83"/>
      <c r="Y241" s="83"/>
      <c r="Z241" s="83"/>
      <c r="AA241" s="83"/>
      <c r="AB241" s="83"/>
      <c r="AC241" s="83"/>
      <c r="AD241" s="83"/>
    </row>
    <row r="242" spans="1:30" ht="15.75" x14ac:dyDescent="0.25">
      <c r="A242" s="16">
        <v>47908</v>
      </c>
      <c r="B242" s="96">
        <v>31</v>
      </c>
      <c r="C242" s="85">
        <f>122.58</f>
        <v>122.58</v>
      </c>
      <c r="D242" s="85">
        <f>297.941</f>
        <v>297.94099999999997</v>
      </c>
      <c r="E242" s="92">
        <f>89.177</f>
        <v>89.177000000000007</v>
      </c>
      <c r="F242" s="85">
        <f>240.302-40-60</f>
        <v>140.30199999999999</v>
      </c>
      <c r="G242" s="87">
        <v>40</v>
      </c>
      <c r="H242" s="85">
        <v>60</v>
      </c>
      <c r="I242" s="85">
        <f t="shared" si="32"/>
        <v>0</v>
      </c>
      <c r="J242" s="87">
        <v>100</v>
      </c>
      <c r="K242" s="87">
        <v>300</v>
      </c>
      <c r="L242" s="85">
        <f t="shared" si="35"/>
        <v>1150</v>
      </c>
      <c r="M242" s="86"/>
      <c r="N242" s="85">
        <f>100</f>
        <v>100</v>
      </c>
      <c r="O242" s="87">
        <v>240</v>
      </c>
      <c r="P242" s="87">
        <v>40</v>
      </c>
      <c r="Q242" s="87">
        <f t="shared" si="36"/>
        <v>315</v>
      </c>
      <c r="R242" s="87">
        <f t="shared" si="37"/>
        <v>100</v>
      </c>
      <c r="S242" s="85">
        <f t="shared" si="38"/>
        <v>695</v>
      </c>
      <c r="T242" s="85">
        <f>50</f>
        <v>50</v>
      </c>
      <c r="U242" s="83"/>
      <c r="V242" s="83"/>
      <c r="W242" s="83"/>
      <c r="X242" s="83"/>
      <c r="Y242" s="83"/>
      <c r="Z242" s="83"/>
      <c r="AA242" s="83"/>
      <c r="AB242" s="83"/>
      <c r="AC242" s="83"/>
      <c r="AD242" s="83"/>
    </row>
    <row r="243" spans="1:30" ht="15.75" x14ac:dyDescent="0.25">
      <c r="A243" s="16">
        <v>47939</v>
      </c>
      <c r="B243" s="96">
        <v>30</v>
      </c>
      <c r="C243" s="85">
        <f>141.293</f>
        <v>141.29300000000001</v>
      </c>
      <c r="D243" s="85">
        <f>267.993</f>
        <v>267.99299999999999</v>
      </c>
      <c r="E243" s="92">
        <f>115.016</f>
        <v>115.01600000000001</v>
      </c>
      <c r="F243" s="85">
        <f>314.698-40-25-60</f>
        <v>189.69799999999998</v>
      </c>
      <c r="G243" s="87">
        <v>40</v>
      </c>
      <c r="H243" s="85">
        <f t="shared" ref="H243:H249" si="41">25+60</f>
        <v>85</v>
      </c>
      <c r="I243" s="85">
        <f t="shared" si="32"/>
        <v>0</v>
      </c>
      <c r="J243" s="87">
        <v>100</v>
      </c>
      <c r="K243" s="87">
        <v>300</v>
      </c>
      <c r="L243" s="85">
        <f t="shared" si="35"/>
        <v>1239</v>
      </c>
      <c r="M243" s="86"/>
      <c r="N243" s="85">
        <f>100</f>
        <v>100</v>
      </c>
      <c r="O243" s="87">
        <v>240</v>
      </c>
      <c r="P243" s="87">
        <v>160</v>
      </c>
      <c r="Q243" s="87">
        <f t="shared" si="36"/>
        <v>195</v>
      </c>
      <c r="R243" s="87">
        <f t="shared" si="37"/>
        <v>100</v>
      </c>
      <c r="S243" s="85">
        <f t="shared" si="38"/>
        <v>695</v>
      </c>
      <c r="T243" s="85">
        <f>50</f>
        <v>50</v>
      </c>
      <c r="U243" s="83"/>
      <c r="V243" s="83"/>
      <c r="W243" s="83"/>
      <c r="X243" s="83"/>
      <c r="Y243" s="83"/>
      <c r="Z243" s="83"/>
      <c r="AA243" s="83"/>
      <c r="AB243" s="83"/>
      <c r="AC243" s="83"/>
      <c r="AD243" s="83"/>
    </row>
    <row r="244" spans="1:30" ht="15.75" x14ac:dyDescent="0.25">
      <c r="A244" s="16">
        <v>47969</v>
      </c>
      <c r="B244" s="96">
        <v>31</v>
      </c>
      <c r="C244" s="85">
        <f>194.205</f>
        <v>194.20500000000001</v>
      </c>
      <c r="D244" s="85">
        <f>267.466</f>
        <v>267.46600000000001</v>
      </c>
      <c r="E244" s="92">
        <f>133.845</f>
        <v>133.845</v>
      </c>
      <c r="F244" s="85">
        <f>278.484-40-25-60</f>
        <v>153.48399999999998</v>
      </c>
      <c r="G244" s="87">
        <v>40</v>
      </c>
      <c r="H244" s="85">
        <f t="shared" si="41"/>
        <v>85</v>
      </c>
      <c r="I244" s="85">
        <f t="shared" si="32"/>
        <v>0</v>
      </c>
      <c r="J244" s="87">
        <v>100</v>
      </c>
      <c r="K244" s="87">
        <v>300</v>
      </c>
      <c r="L244" s="85">
        <f t="shared" si="35"/>
        <v>1274</v>
      </c>
      <c r="M244" s="86"/>
      <c r="N244" s="85">
        <f>75</f>
        <v>75</v>
      </c>
      <c r="O244" s="87">
        <v>240</v>
      </c>
      <c r="P244" s="87">
        <v>160</v>
      </c>
      <c r="Q244" s="87">
        <f t="shared" si="36"/>
        <v>195</v>
      </c>
      <c r="R244" s="87">
        <f t="shared" si="37"/>
        <v>100</v>
      </c>
      <c r="S244" s="85">
        <f t="shared" si="38"/>
        <v>695</v>
      </c>
      <c r="T244" s="85">
        <f>50</f>
        <v>50</v>
      </c>
      <c r="U244" s="83"/>
      <c r="V244" s="83"/>
      <c r="W244" s="83"/>
      <c r="X244" s="83"/>
      <c r="Y244" s="83"/>
      <c r="Z244" s="83"/>
      <c r="AA244" s="83"/>
      <c r="AB244" s="83"/>
      <c r="AC244" s="83"/>
      <c r="AD244" s="83"/>
    </row>
    <row r="245" spans="1:30" ht="15.75" x14ac:dyDescent="0.25">
      <c r="A245" s="16">
        <v>48000</v>
      </c>
      <c r="B245" s="96">
        <v>30</v>
      </c>
      <c r="C245" s="85">
        <f>194.205</f>
        <v>194.20500000000001</v>
      </c>
      <c r="D245" s="85">
        <f>267.466</f>
        <v>267.46600000000001</v>
      </c>
      <c r="E245" s="92">
        <f>133.845</f>
        <v>133.845</v>
      </c>
      <c r="F245" s="85">
        <f>278.484-40-25-60</f>
        <v>153.48399999999998</v>
      </c>
      <c r="G245" s="87">
        <v>40</v>
      </c>
      <c r="H245" s="85">
        <f t="shared" si="41"/>
        <v>85</v>
      </c>
      <c r="I245" s="85">
        <f t="shared" si="32"/>
        <v>0</v>
      </c>
      <c r="J245" s="87">
        <v>100</v>
      </c>
      <c r="K245" s="87">
        <v>300</v>
      </c>
      <c r="L245" s="85">
        <f t="shared" si="35"/>
        <v>1274</v>
      </c>
      <c r="M245" s="86"/>
      <c r="N245" s="85">
        <f>30</f>
        <v>30</v>
      </c>
      <c r="O245" s="87">
        <v>240</v>
      </c>
      <c r="P245" s="87">
        <v>160</v>
      </c>
      <c r="Q245" s="87">
        <f t="shared" si="36"/>
        <v>195</v>
      </c>
      <c r="R245" s="87">
        <f t="shared" si="37"/>
        <v>100</v>
      </c>
      <c r="S245" s="85">
        <f t="shared" si="38"/>
        <v>695</v>
      </c>
      <c r="T245" s="85">
        <f>50</f>
        <v>50</v>
      </c>
      <c r="U245" s="83"/>
      <c r="V245" s="83"/>
      <c r="W245" s="83"/>
      <c r="X245" s="83"/>
      <c r="Y245" s="83"/>
      <c r="Z245" s="83"/>
      <c r="AA245" s="83"/>
      <c r="AB245" s="83"/>
      <c r="AC245" s="83"/>
      <c r="AD245" s="83"/>
    </row>
    <row r="246" spans="1:30" ht="15.75" x14ac:dyDescent="0.25">
      <c r="A246" s="16">
        <v>48030</v>
      </c>
      <c r="B246" s="96">
        <v>31</v>
      </c>
      <c r="C246" s="85">
        <f>194.205</f>
        <v>194.20500000000001</v>
      </c>
      <c r="D246" s="85">
        <f>267.466</f>
        <v>267.46600000000001</v>
      </c>
      <c r="E246" s="92">
        <f>133.845</f>
        <v>133.845</v>
      </c>
      <c r="F246" s="85">
        <f>278.484-40-25-60</f>
        <v>153.48399999999998</v>
      </c>
      <c r="G246" s="87">
        <v>40</v>
      </c>
      <c r="H246" s="85">
        <f t="shared" si="41"/>
        <v>85</v>
      </c>
      <c r="I246" s="85">
        <f t="shared" si="32"/>
        <v>0</v>
      </c>
      <c r="J246" s="87">
        <v>100</v>
      </c>
      <c r="K246" s="87">
        <v>300</v>
      </c>
      <c r="L246" s="85">
        <f t="shared" si="35"/>
        <v>1274</v>
      </c>
      <c r="M246" s="86"/>
      <c r="N246" s="85">
        <f>30</f>
        <v>30</v>
      </c>
      <c r="O246" s="87">
        <v>240</v>
      </c>
      <c r="P246" s="87">
        <v>160</v>
      </c>
      <c r="Q246" s="87">
        <f t="shared" si="36"/>
        <v>195</v>
      </c>
      <c r="R246" s="87">
        <f t="shared" si="37"/>
        <v>100</v>
      </c>
      <c r="S246" s="85">
        <f t="shared" si="38"/>
        <v>695</v>
      </c>
      <c r="T246" s="85">
        <f>0</f>
        <v>0</v>
      </c>
      <c r="U246" s="83"/>
      <c r="V246" s="83"/>
      <c r="W246" s="83"/>
      <c r="X246" s="83"/>
      <c r="Y246" s="83"/>
      <c r="Z246" s="83"/>
      <c r="AA246" s="83"/>
      <c r="AB246" s="83"/>
      <c r="AC246" s="83"/>
      <c r="AD246" s="83"/>
    </row>
    <row r="247" spans="1:30" ht="15.75" x14ac:dyDescent="0.25">
      <c r="A247" s="16">
        <v>48061</v>
      </c>
      <c r="B247" s="96">
        <v>31</v>
      </c>
      <c r="C247" s="85">
        <f>194.205</f>
        <v>194.20500000000001</v>
      </c>
      <c r="D247" s="85">
        <f>267.466</f>
        <v>267.46600000000001</v>
      </c>
      <c r="E247" s="92">
        <f>133.845</f>
        <v>133.845</v>
      </c>
      <c r="F247" s="85">
        <f>278.484-40-25-60</f>
        <v>153.48399999999998</v>
      </c>
      <c r="G247" s="87">
        <v>40</v>
      </c>
      <c r="H247" s="85">
        <f t="shared" si="41"/>
        <v>85</v>
      </c>
      <c r="I247" s="85">
        <f t="shared" si="32"/>
        <v>0</v>
      </c>
      <c r="J247" s="87">
        <v>100</v>
      </c>
      <c r="K247" s="87">
        <v>300</v>
      </c>
      <c r="L247" s="85">
        <f t="shared" si="35"/>
        <v>1274</v>
      </c>
      <c r="M247" s="86"/>
      <c r="N247" s="85">
        <f>30</f>
        <v>30</v>
      </c>
      <c r="O247" s="87">
        <v>240</v>
      </c>
      <c r="P247" s="87">
        <v>160</v>
      </c>
      <c r="Q247" s="87">
        <f t="shared" si="36"/>
        <v>195</v>
      </c>
      <c r="R247" s="87">
        <f t="shared" si="37"/>
        <v>100</v>
      </c>
      <c r="S247" s="85">
        <f t="shared" si="38"/>
        <v>695</v>
      </c>
      <c r="T247" s="85">
        <f>0</f>
        <v>0</v>
      </c>
      <c r="U247" s="83"/>
      <c r="V247" s="83"/>
      <c r="W247" s="83"/>
      <c r="X247" s="83"/>
      <c r="Y247" s="83"/>
      <c r="Z247" s="83"/>
      <c r="AA247" s="83"/>
      <c r="AB247" s="83"/>
      <c r="AC247" s="83"/>
      <c r="AD247" s="83"/>
    </row>
    <row r="248" spans="1:30" ht="15.75" x14ac:dyDescent="0.25">
      <c r="A248" s="16">
        <v>48092</v>
      </c>
      <c r="B248" s="96">
        <v>30</v>
      </c>
      <c r="C248" s="85">
        <f>194.205</f>
        <v>194.20500000000001</v>
      </c>
      <c r="D248" s="85">
        <f>267.466</f>
        <v>267.46600000000001</v>
      </c>
      <c r="E248" s="92">
        <f>133.845</f>
        <v>133.845</v>
      </c>
      <c r="F248" s="85">
        <f>278.484-40-25-60</f>
        <v>153.48399999999998</v>
      </c>
      <c r="G248" s="87">
        <v>40</v>
      </c>
      <c r="H248" s="85">
        <f t="shared" si="41"/>
        <v>85</v>
      </c>
      <c r="I248" s="85">
        <f t="shared" si="32"/>
        <v>0</v>
      </c>
      <c r="J248" s="87">
        <v>100</v>
      </c>
      <c r="K248" s="87">
        <v>300</v>
      </c>
      <c r="L248" s="85">
        <f t="shared" si="35"/>
        <v>1274</v>
      </c>
      <c r="M248" s="86"/>
      <c r="N248" s="85">
        <f>30</f>
        <v>30</v>
      </c>
      <c r="O248" s="87">
        <v>240</v>
      </c>
      <c r="P248" s="87">
        <v>160</v>
      </c>
      <c r="Q248" s="87">
        <f t="shared" si="36"/>
        <v>195</v>
      </c>
      <c r="R248" s="87">
        <f t="shared" si="37"/>
        <v>100</v>
      </c>
      <c r="S248" s="85">
        <f t="shared" si="38"/>
        <v>695</v>
      </c>
      <c r="T248" s="85">
        <f>0</f>
        <v>0</v>
      </c>
      <c r="U248" s="83"/>
      <c r="V248" s="83"/>
      <c r="W248" s="83"/>
      <c r="X248" s="83"/>
      <c r="Y248" s="83"/>
      <c r="Z248" s="83"/>
      <c r="AA248" s="83"/>
      <c r="AB248" s="83"/>
      <c r="AC248" s="83"/>
      <c r="AD248" s="83"/>
    </row>
    <row r="249" spans="1:30" ht="15.75" x14ac:dyDescent="0.25">
      <c r="A249" s="16">
        <v>48122</v>
      </c>
      <c r="B249" s="96">
        <v>31</v>
      </c>
      <c r="C249" s="85">
        <f>131.881</f>
        <v>131.881</v>
      </c>
      <c r="D249" s="85">
        <f>277.167</f>
        <v>277.16699999999997</v>
      </c>
      <c r="E249" s="92">
        <f>79.08</f>
        <v>79.08</v>
      </c>
      <c r="F249" s="85">
        <f>350.872-40-25-60</f>
        <v>225.87200000000001</v>
      </c>
      <c r="G249" s="87">
        <v>40</v>
      </c>
      <c r="H249" s="85">
        <f t="shared" si="41"/>
        <v>85</v>
      </c>
      <c r="I249" s="85">
        <f t="shared" si="32"/>
        <v>0</v>
      </c>
      <c r="J249" s="87">
        <v>100</v>
      </c>
      <c r="K249" s="87">
        <v>300</v>
      </c>
      <c r="L249" s="85">
        <f t="shared" si="35"/>
        <v>1239</v>
      </c>
      <c r="M249" s="86"/>
      <c r="N249" s="85">
        <f>75</f>
        <v>75</v>
      </c>
      <c r="O249" s="87">
        <v>240</v>
      </c>
      <c r="P249" s="87">
        <v>160</v>
      </c>
      <c r="Q249" s="87">
        <f t="shared" si="36"/>
        <v>195</v>
      </c>
      <c r="R249" s="87">
        <f t="shared" si="37"/>
        <v>100</v>
      </c>
      <c r="S249" s="85">
        <f t="shared" si="38"/>
        <v>695</v>
      </c>
      <c r="T249" s="85">
        <f>0</f>
        <v>0</v>
      </c>
      <c r="U249" s="83"/>
      <c r="V249" s="83"/>
      <c r="W249" s="83"/>
      <c r="X249" s="83"/>
      <c r="Y249" s="83"/>
      <c r="Z249" s="83"/>
      <c r="AA249" s="83"/>
      <c r="AB249" s="83"/>
      <c r="AC249" s="83"/>
      <c r="AD249" s="83"/>
    </row>
    <row r="250" spans="1:30" ht="15.75" x14ac:dyDescent="0.25">
      <c r="A250" s="16">
        <v>48153</v>
      </c>
      <c r="B250" s="96">
        <v>30</v>
      </c>
      <c r="C250" s="85">
        <f>122.58</f>
        <v>122.58</v>
      </c>
      <c r="D250" s="85">
        <f>297.941</f>
        <v>297.94099999999997</v>
      </c>
      <c r="E250" s="92">
        <f>89.177</f>
        <v>89.177000000000007</v>
      </c>
      <c r="F250" s="85">
        <f>240.302-40-60</f>
        <v>140.30199999999999</v>
      </c>
      <c r="G250" s="87">
        <v>40</v>
      </c>
      <c r="H250" s="85">
        <v>60</v>
      </c>
      <c r="I250" s="85">
        <f t="shared" si="32"/>
        <v>0</v>
      </c>
      <c r="J250" s="87">
        <v>100</v>
      </c>
      <c r="K250" s="87">
        <v>300</v>
      </c>
      <c r="L250" s="85">
        <f t="shared" si="35"/>
        <v>1150</v>
      </c>
      <c r="M250" s="86"/>
      <c r="N250" s="85">
        <f>100</f>
        <v>100</v>
      </c>
      <c r="O250" s="87">
        <v>240</v>
      </c>
      <c r="P250" s="87">
        <v>40</v>
      </c>
      <c r="Q250" s="87">
        <f t="shared" si="36"/>
        <v>315</v>
      </c>
      <c r="R250" s="87">
        <f t="shared" si="37"/>
        <v>100</v>
      </c>
      <c r="S250" s="85">
        <f t="shared" si="38"/>
        <v>695</v>
      </c>
      <c r="T250" s="85">
        <f>50</f>
        <v>50</v>
      </c>
      <c r="U250" s="83"/>
      <c r="V250" s="83"/>
      <c r="W250" s="83"/>
      <c r="X250" s="83"/>
      <c r="Y250" s="83"/>
      <c r="Z250" s="83"/>
      <c r="AA250" s="83"/>
      <c r="AB250" s="83"/>
      <c r="AC250" s="83"/>
      <c r="AD250" s="83"/>
    </row>
    <row r="251" spans="1:30" ht="15.75" x14ac:dyDescent="0.25">
      <c r="A251" s="16">
        <v>48183</v>
      </c>
      <c r="B251" s="96">
        <v>31</v>
      </c>
      <c r="C251" s="85">
        <f>122.58</f>
        <v>122.58</v>
      </c>
      <c r="D251" s="85">
        <f>297.941</f>
        <v>297.94099999999997</v>
      </c>
      <c r="E251" s="92">
        <f>89.177</f>
        <v>89.177000000000007</v>
      </c>
      <c r="F251" s="85">
        <f>240.302-40-60</f>
        <v>140.30199999999999</v>
      </c>
      <c r="G251" s="87">
        <v>40</v>
      </c>
      <c r="H251" s="85">
        <v>60</v>
      </c>
      <c r="I251" s="85">
        <f t="shared" si="32"/>
        <v>0</v>
      </c>
      <c r="J251" s="87">
        <v>100</v>
      </c>
      <c r="K251" s="87">
        <v>300</v>
      </c>
      <c r="L251" s="85">
        <f t="shared" si="35"/>
        <v>1150</v>
      </c>
      <c r="M251" s="86"/>
      <c r="N251" s="85">
        <f>100</f>
        <v>100</v>
      </c>
      <c r="O251" s="87">
        <v>240</v>
      </c>
      <c r="P251" s="87">
        <v>40</v>
      </c>
      <c r="Q251" s="87">
        <f t="shared" si="36"/>
        <v>315</v>
      </c>
      <c r="R251" s="87">
        <f t="shared" si="37"/>
        <v>100</v>
      </c>
      <c r="S251" s="85">
        <f t="shared" si="38"/>
        <v>695</v>
      </c>
      <c r="T251" s="85">
        <f>50</f>
        <v>50</v>
      </c>
      <c r="U251" s="83"/>
      <c r="V251" s="83"/>
      <c r="W251" s="83"/>
      <c r="X251" s="83"/>
      <c r="Y251" s="83"/>
      <c r="Z251" s="83"/>
      <c r="AA251" s="83"/>
      <c r="AB251" s="83"/>
      <c r="AC251" s="83"/>
      <c r="AD251" s="83"/>
    </row>
    <row r="252" spans="1:30" ht="15.75" x14ac:dyDescent="0.25">
      <c r="A252" s="16">
        <v>48214</v>
      </c>
      <c r="B252" s="96">
        <v>31</v>
      </c>
      <c r="C252" s="85">
        <f>122.58</f>
        <v>122.58</v>
      </c>
      <c r="D252" s="85">
        <f>297.941</f>
        <v>297.94099999999997</v>
      </c>
      <c r="E252" s="92">
        <f>89.177</f>
        <v>89.177000000000007</v>
      </c>
      <c r="F252" s="85">
        <f>240.302-40-60</f>
        <v>140.30199999999999</v>
      </c>
      <c r="G252" s="87">
        <v>40</v>
      </c>
      <c r="H252" s="85">
        <v>60</v>
      </c>
      <c r="I252" s="85">
        <f t="shared" si="32"/>
        <v>0</v>
      </c>
      <c r="J252" s="87">
        <v>100</v>
      </c>
      <c r="K252" s="87">
        <v>300</v>
      </c>
      <c r="L252" s="85">
        <f t="shared" si="35"/>
        <v>1150</v>
      </c>
      <c r="M252" s="86"/>
      <c r="N252" s="85">
        <f>100</f>
        <v>100</v>
      </c>
      <c r="O252" s="87">
        <v>240</v>
      </c>
      <c r="P252" s="87">
        <v>40</v>
      </c>
      <c r="Q252" s="87">
        <f t="shared" si="36"/>
        <v>315</v>
      </c>
      <c r="R252" s="87">
        <f t="shared" si="37"/>
        <v>100</v>
      </c>
      <c r="S252" s="85">
        <f t="shared" si="38"/>
        <v>695</v>
      </c>
      <c r="T252" s="85">
        <f>50</f>
        <v>50</v>
      </c>
      <c r="U252" s="83"/>
      <c r="V252" s="83"/>
      <c r="W252" s="83"/>
      <c r="X252" s="83"/>
      <c r="Y252" s="83"/>
      <c r="Z252" s="83"/>
      <c r="AA252" s="83"/>
      <c r="AB252" s="83"/>
      <c r="AC252" s="83"/>
      <c r="AD252" s="83"/>
    </row>
    <row r="253" spans="1:30" ht="15.75" x14ac:dyDescent="0.25">
      <c r="A253" s="16">
        <v>48245</v>
      </c>
      <c r="B253" s="96">
        <v>29</v>
      </c>
      <c r="C253" s="85">
        <f>122.58</f>
        <v>122.58</v>
      </c>
      <c r="D253" s="85">
        <f>297.941</f>
        <v>297.94099999999997</v>
      </c>
      <c r="E253" s="92">
        <f>89.177</f>
        <v>89.177000000000007</v>
      </c>
      <c r="F253" s="85">
        <f>240.302-40-60</f>
        <v>140.30199999999999</v>
      </c>
      <c r="G253" s="87">
        <v>40</v>
      </c>
      <c r="H253" s="85">
        <v>60</v>
      </c>
      <c r="I253" s="85">
        <f t="shared" si="32"/>
        <v>0</v>
      </c>
      <c r="J253" s="87">
        <v>100</v>
      </c>
      <c r="K253" s="87">
        <v>300</v>
      </c>
      <c r="L253" s="85">
        <f t="shared" si="35"/>
        <v>1150</v>
      </c>
      <c r="M253" s="86"/>
      <c r="N253" s="85">
        <f>100</f>
        <v>100</v>
      </c>
      <c r="O253" s="87">
        <v>240</v>
      </c>
      <c r="P253" s="87">
        <v>40</v>
      </c>
      <c r="Q253" s="87">
        <f t="shared" si="36"/>
        <v>315</v>
      </c>
      <c r="R253" s="87">
        <f t="shared" si="37"/>
        <v>100</v>
      </c>
      <c r="S253" s="85">
        <f t="shared" si="38"/>
        <v>695</v>
      </c>
      <c r="T253" s="85">
        <f>50</f>
        <v>50</v>
      </c>
      <c r="U253" s="83"/>
      <c r="V253" s="83"/>
      <c r="W253" s="83"/>
      <c r="X253" s="83"/>
      <c r="Y253" s="83"/>
      <c r="Z253" s="83"/>
      <c r="AA253" s="83"/>
      <c r="AB253" s="83"/>
      <c r="AC253" s="83"/>
      <c r="AD253" s="83"/>
    </row>
    <row r="254" spans="1:30" ht="15.75" x14ac:dyDescent="0.25">
      <c r="A254" s="16">
        <v>48274</v>
      </c>
      <c r="B254" s="96">
        <v>31</v>
      </c>
      <c r="C254" s="85">
        <f>122.58</f>
        <v>122.58</v>
      </c>
      <c r="D254" s="85">
        <f>297.941</f>
        <v>297.94099999999997</v>
      </c>
      <c r="E254" s="92">
        <f>89.177</f>
        <v>89.177000000000007</v>
      </c>
      <c r="F254" s="85">
        <f>240.302-40-60</f>
        <v>140.30199999999999</v>
      </c>
      <c r="G254" s="87">
        <v>40</v>
      </c>
      <c r="H254" s="85">
        <v>60</v>
      </c>
      <c r="I254" s="85">
        <f t="shared" si="32"/>
        <v>0</v>
      </c>
      <c r="J254" s="87">
        <v>100</v>
      </c>
      <c r="K254" s="87">
        <v>300</v>
      </c>
      <c r="L254" s="85">
        <f t="shared" si="35"/>
        <v>1150</v>
      </c>
      <c r="M254" s="86"/>
      <c r="N254" s="85">
        <f>100</f>
        <v>100</v>
      </c>
      <c r="O254" s="87">
        <v>240</v>
      </c>
      <c r="P254" s="87">
        <v>40</v>
      </c>
      <c r="Q254" s="87">
        <f t="shared" si="36"/>
        <v>315</v>
      </c>
      <c r="R254" s="87">
        <f t="shared" si="37"/>
        <v>100</v>
      </c>
      <c r="S254" s="85">
        <f t="shared" si="38"/>
        <v>695</v>
      </c>
      <c r="T254" s="85">
        <f>50</f>
        <v>50</v>
      </c>
      <c r="U254" s="83"/>
      <c r="V254" s="83"/>
      <c r="W254" s="83"/>
      <c r="X254" s="83"/>
      <c r="Y254" s="83"/>
      <c r="Z254" s="83"/>
      <c r="AA254" s="83"/>
      <c r="AB254" s="83"/>
      <c r="AC254" s="83"/>
      <c r="AD254" s="83"/>
    </row>
    <row r="255" spans="1:30" ht="15.75" x14ac:dyDescent="0.25">
      <c r="A255" s="16">
        <v>48305</v>
      </c>
      <c r="B255" s="96">
        <v>30</v>
      </c>
      <c r="C255" s="85">
        <f>141.293</f>
        <v>141.29300000000001</v>
      </c>
      <c r="D255" s="85">
        <f>267.993</f>
        <v>267.99299999999999</v>
      </c>
      <c r="E255" s="92">
        <f>115.016</f>
        <v>115.01600000000001</v>
      </c>
      <c r="F255" s="85">
        <f>314.698-40-25-60</f>
        <v>189.69799999999998</v>
      </c>
      <c r="G255" s="87">
        <v>40</v>
      </c>
      <c r="H255" s="85">
        <f t="shared" ref="H255:H261" si="42">25+60</f>
        <v>85</v>
      </c>
      <c r="I255" s="85">
        <f t="shared" si="32"/>
        <v>0</v>
      </c>
      <c r="J255" s="87">
        <v>100</v>
      </c>
      <c r="K255" s="87">
        <v>300</v>
      </c>
      <c r="L255" s="85">
        <f t="shared" si="35"/>
        <v>1239</v>
      </c>
      <c r="M255" s="86"/>
      <c r="N255" s="85">
        <f>100</f>
        <v>100</v>
      </c>
      <c r="O255" s="87">
        <v>240</v>
      </c>
      <c r="P255" s="87">
        <v>160</v>
      </c>
      <c r="Q255" s="87">
        <f t="shared" si="36"/>
        <v>195</v>
      </c>
      <c r="R255" s="87">
        <f t="shared" si="37"/>
        <v>100</v>
      </c>
      <c r="S255" s="85">
        <f t="shared" si="38"/>
        <v>695</v>
      </c>
      <c r="T255" s="85">
        <f>50</f>
        <v>50</v>
      </c>
      <c r="U255" s="83"/>
      <c r="V255" s="83"/>
      <c r="W255" s="83"/>
      <c r="X255" s="83"/>
      <c r="Y255" s="83"/>
      <c r="Z255" s="83"/>
      <c r="AA255" s="83"/>
      <c r="AB255" s="83"/>
      <c r="AC255" s="83"/>
      <c r="AD255" s="83"/>
    </row>
    <row r="256" spans="1:30" ht="15.75" x14ac:dyDescent="0.25">
      <c r="A256" s="16">
        <v>48335</v>
      </c>
      <c r="B256" s="96">
        <v>31</v>
      </c>
      <c r="C256" s="85">
        <f>194.205</f>
        <v>194.20500000000001</v>
      </c>
      <c r="D256" s="85">
        <f>267.466</f>
        <v>267.46600000000001</v>
      </c>
      <c r="E256" s="92">
        <f>133.845</f>
        <v>133.845</v>
      </c>
      <c r="F256" s="85">
        <f>278.484-40-25-60</f>
        <v>153.48399999999998</v>
      </c>
      <c r="G256" s="87">
        <v>40</v>
      </c>
      <c r="H256" s="85">
        <f t="shared" si="42"/>
        <v>85</v>
      </c>
      <c r="I256" s="85">
        <f t="shared" ref="I256:I319" si="43">400-J256-K256</f>
        <v>0</v>
      </c>
      <c r="J256" s="87">
        <v>100</v>
      </c>
      <c r="K256" s="87">
        <v>300</v>
      </c>
      <c r="L256" s="85">
        <f t="shared" si="35"/>
        <v>1274</v>
      </c>
      <c r="M256" s="86"/>
      <c r="N256" s="85">
        <f>75</f>
        <v>75</v>
      </c>
      <c r="O256" s="87">
        <v>240</v>
      </c>
      <c r="P256" s="87">
        <v>160</v>
      </c>
      <c r="Q256" s="87">
        <f t="shared" si="36"/>
        <v>195</v>
      </c>
      <c r="R256" s="87">
        <f t="shared" si="37"/>
        <v>100</v>
      </c>
      <c r="S256" s="85">
        <f t="shared" si="38"/>
        <v>695</v>
      </c>
      <c r="T256" s="85">
        <f>50</f>
        <v>50</v>
      </c>
      <c r="U256" s="83"/>
      <c r="V256" s="83"/>
      <c r="W256" s="83"/>
      <c r="X256" s="83"/>
      <c r="Y256" s="83"/>
      <c r="Z256" s="83"/>
      <c r="AA256" s="83"/>
      <c r="AB256" s="83"/>
      <c r="AC256" s="83"/>
      <c r="AD256" s="83"/>
    </row>
    <row r="257" spans="1:30" ht="15.75" x14ac:dyDescent="0.25">
      <c r="A257" s="16">
        <v>48366</v>
      </c>
      <c r="B257" s="96">
        <v>30</v>
      </c>
      <c r="C257" s="85">
        <f>194.205</f>
        <v>194.20500000000001</v>
      </c>
      <c r="D257" s="85">
        <f>267.466</f>
        <v>267.46600000000001</v>
      </c>
      <c r="E257" s="92">
        <f>133.845</f>
        <v>133.845</v>
      </c>
      <c r="F257" s="85">
        <f>278.484-40-25-60</f>
        <v>153.48399999999998</v>
      </c>
      <c r="G257" s="87">
        <v>40</v>
      </c>
      <c r="H257" s="85">
        <f t="shared" si="42"/>
        <v>85</v>
      </c>
      <c r="I257" s="85">
        <f t="shared" si="43"/>
        <v>0</v>
      </c>
      <c r="J257" s="87">
        <v>100</v>
      </c>
      <c r="K257" s="87">
        <v>300</v>
      </c>
      <c r="L257" s="85">
        <f t="shared" si="35"/>
        <v>1274</v>
      </c>
      <c r="M257" s="86"/>
      <c r="N257" s="85">
        <f>30</f>
        <v>30</v>
      </c>
      <c r="O257" s="87">
        <v>240</v>
      </c>
      <c r="P257" s="87">
        <v>160</v>
      </c>
      <c r="Q257" s="87">
        <f t="shared" si="36"/>
        <v>195</v>
      </c>
      <c r="R257" s="87">
        <f t="shared" si="37"/>
        <v>100</v>
      </c>
      <c r="S257" s="85">
        <f t="shared" si="38"/>
        <v>695</v>
      </c>
      <c r="T257" s="85">
        <f>50</f>
        <v>50</v>
      </c>
      <c r="U257" s="83"/>
      <c r="V257" s="83"/>
      <c r="W257" s="83"/>
      <c r="X257" s="83"/>
      <c r="Y257" s="83"/>
      <c r="Z257" s="83"/>
      <c r="AA257" s="83"/>
      <c r="AB257" s="83"/>
      <c r="AC257" s="83"/>
      <c r="AD257" s="83"/>
    </row>
    <row r="258" spans="1:30" ht="15.75" x14ac:dyDescent="0.25">
      <c r="A258" s="16">
        <v>48396</v>
      </c>
      <c r="B258" s="96">
        <v>31</v>
      </c>
      <c r="C258" s="85">
        <f>194.205</f>
        <v>194.20500000000001</v>
      </c>
      <c r="D258" s="85">
        <f>267.466</f>
        <v>267.46600000000001</v>
      </c>
      <c r="E258" s="92">
        <f>133.845</f>
        <v>133.845</v>
      </c>
      <c r="F258" s="85">
        <f>278.484-40-25-60</f>
        <v>153.48399999999998</v>
      </c>
      <c r="G258" s="87">
        <v>40</v>
      </c>
      <c r="H258" s="85">
        <f t="shared" si="42"/>
        <v>85</v>
      </c>
      <c r="I258" s="85">
        <f t="shared" si="43"/>
        <v>0</v>
      </c>
      <c r="J258" s="87">
        <v>100</v>
      </c>
      <c r="K258" s="87">
        <v>300</v>
      </c>
      <c r="L258" s="85">
        <f t="shared" si="35"/>
        <v>1274</v>
      </c>
      <c r="M258" s="86"/>
      <c r="N258" s="85">
        <f>30</f>
        <v>30</v>
      </c>
      <c r="O258" s="87">
        <v>240</v>
      </c>
      <c r="P258" s="87">
        <v>160</v>
      </c>
      <c r="Q258" s="87">
        <f t="shared" si="36"/>
        <v>195</v>
      </c>
      <c r="R258" s="87">
        <f t="shared" si="37"/>
        <v>100</v>
      </c>
      <c r="S258" s="85">
        <f t="shared" si="38"/>
        <v>695</v>
      </c>
      <c r="T258" s="85">
        <f>0</f>
        <v>0</v>
      </c>
      <c r="U258" s="83"/>
      <c r="V258" s="83"/>
      <c r="W258" s="83"/>
      <c r="X258" s="83"/>
      <c r="Y258" s="83"/>
      <c r="Z258" s="83"/>
      <c r="AA258" s="83"/>
      <c r="AB258" s="83"/>
      <c r="AC258" s="83"/>
      <c r="AD258" s="83"/>
    </row>
    <row r="259" spans="1:30" ht="15.75" x14ac:dyDescent="0.25">
      <c r="A259" s="16">
        <v>48427</v>
      </c>
      <c r="B259" s="96">
        <v>31</v>
      </c>
      <c r="C259" s="85">
        <f>194.205</f>
        <v>194.20500000000001</v>
      </c>
      <c r="D259" s="85">
        <f>267.466</f>
        <v>267.46600000000001</v>
      </c>
      <c r="E259" s="92">
        <f>133.845</f>
        <v>133.845</v>
      </c>
      <c r="F259" s="85">
        <f>278.484-40-25-60</f>
        <v>153.48399999999998</v>
      </c>
      <c r="G259" s="87">
        <v>40</v>
      </c>
      <c r="H259" s="85">
        <f t="shared" si="42"/>
        <v>85</v>
      </c>
      <c r="I259" s="85">
        <f t="shared" si="43"/>
        <v>0</v>
      </c>
      <c r="J259" s="87">
        <v>100</v>
      </c>
      <c r="K259" s="87">
        <v>300</v>
      </c>
      <c r="L259" s="85">
        <f t="shared" si="35"/>
        <v>1274</v>
      </c>
      <c r="M259" s="86"/>
      <c r="N259" s="85">
        <f>30</f>
        <v>30</v>
      </c>
      <c r="O259" s="87">
        <v>240</v>
      </c>
      <c r="P259" s="87">
        <v>160</v>
      </c>
      <c r="Q259" s="87">
        <f t="shared" si="36"/>
        <v>195</v>
      </c>
      <c r="R259" s="87">
        <f t="shared" si="37"/>
        <v>100</v>
      </c>
      <c r="S259" s="85">
        <f t="shared" si="38"/>
        <v>695</v>
      </c>
      <c r="T259" s="85">
        <f>0</f>
        <v>0</v>
      </c>
      <c r="U259" s="83"/>
      <c r="V259" s="83"/>
      <c r="W259" s="83"/>
      <c r="X259" s="83"/>
      <c r="Y259" s="83"/>
      <c r="Z259" s="83"/>
      <c r="AA259" s="83"/>
      <c r="AB259" s="83"/>
      <c r="AC259" s="83"/>
      <c r="AD259" s="83"/>
    </row>
    <row r="260" spans="1:30" ht="15.75" x14ac:dyDescent="0.25">
      <c r="A260" s="16">
        <v>48458</v>
      </c>
      <c r="B260" s="96">
        <v>30</v>
      </c>
      <c r="C260" s="85">
        <f>194.205</f>
        <v>194.20500000000001</v>
      </c>
      <c r="D260" s="85">
        <f>267.466</f>
        <v>267.46600000000001</v>
      </c>
      <c r="E260" s="92">
        <f>133.845</f>
        <v>133.845</v>
      </c>
      <c r="F260" s="85">
        <f>278.484-40-25-60</f>
        <v>153.48399999999998</v>
      </c>
      <c r="G260" s="87">
        <v>40</v>
      </c>
      <c r="H260" s="85">
        <f t="shared" si="42"/>
        <v>85</v>
      </c>
      <c r="I260" s="85">
        <f t="shared" si="43"/>
        <v>0</v>
      </c>
      <c r="J260" s="87">
        <v>100</v>
      </c>
      <c r="K260" s="87">
        <v>300</v>
      </c>
      <c r="L260" s="85">
        <f t="shared" si="35"/>
        <v>1274</v>
      </c>
      <c r="M260" s="86"/>
      <c r="N260" s="85">
        <f>30</f>
        <v>30</v>
      </c>
      <c r="O260" s="87">
        <v>240</v>
      </c>
      <c r="P260" s="87">
        <v>160</v>
      </c>
      <c r="Q260" s="87">
        <f t="shared" si="36"/>
        <v>195</v>
      </c>
      <c r="R260" s="87">
        <f t="shared" si="37"/>
        <v>100</v>
      </c>
      <c r="S260" s="85">
        <f t="shared" si="38"/>
        <v>695</v>
      </c>
      <c r="T260" s="85">
        <f>0</f>
        <v>0</v>
      </c>
      <c r="U260" s="83"/>
      <c r="V260" s="83"/>
      <c r="W260" s="83"/>
      <c r="X260" s="83"/>
      <c r="Y260" s="83"/>
      <c r="Z260" s="83"/>
      <c r="AA260" s="83"/>
      <c r="AB260" s="83"/>
      <c r="AC260" s="83"/>
      <c r="AD260" s="83"/>
    </row>
    <row r="261" spans="1:30" ht="15.75" x14ac:dyDescent="0.25">
      <c r="A261" s="16">
        <v>48488</v>
      </c>
      <c r="B261" s="96">
        <v>31</v>
      </c>
      <c r="C261" s="85">
        <f>131.881</f>
        <v>131.881</v>
      </c>
      <c r="D261" s="85">
        <f>277.167</f>
        <v>277.16699999999997</v>
      </c>
      <c r="E261" s="92">
        <f>79.08</f>
        <v>79.08</v>
      </c>
      <c r="F261" s="85">
        <f>350.872-40-25-60</f>
        <v>225.87200000000001</v>
      </c>
      <c r="G261" s="87">
        <v>40</v>
      </c>
      <c r="H261" s="85">
        <f t="shared" si="42"/>
        <v>85</v>
      </c>
      <c r="I261" s="85">
        <f t="shared" si="43"/>
        <v>0</v>
      </c>
      <c r="J261" s="87">
        <v>100</v>
      </c>
      <c r="K261" s="87">
        <v>300</v>
      </c>
      <c r="L261" s="85">
        <f t="shared" si="35"/>
        <v>1239</v>
      </c>
      <c r="M261" s="86"/>
      <c r="N261" s="85">
        <f>75</f>
        <v>75</v>
      </c>
      <c r="O261" s="87">
        <v>240</v>
      </c>
      <c r="P261" s="87">
        <v>160</v>
      </c>
      <c r="Q261" s="87">
        <f t="shared" si="36"/>
        <v>195</v>
      </c>
      <c r="R261" s="87">
        <f t="shared" si="37"/>
        <v>100</v>
      </c>
      <c r="S261" s="85">
        <f t="shared" si="38"/>
        <v>695</v>
      </c>
      <c r="T261" s="85">
        <f>0</f>
        <v>0</v>
      </c>
      <c r="U261" s="83"/>
      <c r="V261" s="83"/>
      <c r="W261" s="83"/>
      <c r="X261" s="83"/>
      <c r="Y261" s="83"/>
      <c r="Z261" s="83"/>
      <c r="AA261" s="83"/>
      <c r="AB261" s="83"/>
      <c r="AC261" s="83"/>
      <c r="AD261" s="83"/>
    </row>
    <row r="262" spans="1:30" ht="15.75" x14ac:dyDescent="0.25">
      <c r="A262" s="16">
        <v>48519</v>
      </c>
      <c r="B262" s="96">
        <v>30</v>
      </c>
      <c r="C262" s="85">
        <f>122.58</f>
        <v>122.58</v>
      </c>
      <c r="D262" s="85">
        <f>297.941</f>
        <v>297.94099999999997</v>
      </c>
      <c r="E262" s="92">
        <f>89.177</f>
        <v>89.177000000000007</v>
      </c>
      <c r="F262" s="85">
        <f>240.302-40-60</f>
        <v>140.30199999999999</v>
      </c>
      <c r="G262" s="87">
        <v>40</v>
      </c>
      <c r="H262" s="85">
        <v>60</v>
      </c>
      <c r="I262" s="85">
        <f t="shared" si="43"/>
        <v>0</v>
      </c>
      <c r="J262" s="87">
        <v>100</v>
      </c>
      <c r="K262" s="87">
        <v>300</v>
      </c>
      <c r="L262" s="85">
        <f t="shared" si="35"/>
        <v>1150</v>
      </c>
      <c r="M262" s="86"/>
      <c r="N262" s="85">
        <f>100</f>
        <v>100</v>
      </c>
      <c r="O262" s="87">
        <v>240</v>
      </c>
      <c r="P262" s="87">
        <v>40</v>
      </c>
      <c r="Q262" s="87">
        <f t="shared" si="36"/>
        <v>315</v>
      </c>
      <c r="R262" s="87">
        <f t="shared" si="37"/>
        <v>100</v>
      </c>
      <c r="S262" s="85">
        <f t="shared" si="38"/>
        <v>695</v>
      </c>
      <c r="T262" s="85">
        <f>50</f>
        <v>50</v>
      </c>
      <c r="U262" s="83"/>
      <c r="V262" s="83"/>
      <c r="W262" s="83"/>
      <c r="X262" s="83"/>
      <c r="Y262" s="83"/>
      <c r="Z262" s="83"/>
      <c r="AA262" s="83"/>
      <c r="AB262" s="83"/>
      <c r="AC262" s="83"/>
      <c r="AD262" s="83"/>
    </row>
    <row r="263" spans="1:30" ht="15.75" x14ac:dyDescent="0.25">
      <c r="A263" s="16">
        <v>48549</v>
      </c>
      <c r="B263" s="96">
        <v>31</v>
      </c>
      <c r="C263" s="85">
        <f>122.58</f>
        <v>122.58</v>
      </c>
      <c r="D263" s="85">
        <f>297.941</f>
        <v>297.94099999999997</v>
      </c>
      <c r="E263" s="92">
        <f>89.177</f>
        <v>89.177000000000007</v>
      </c>
      <c r="F263" s="85">
        <f>240.302-40-60</f>
        <v>140.30199999999999</v>
      </c>
      <c r="G263" s="87">
        <v>40</v>
      </c>
      <c r="H263" s="85">
        <v>60</v>
      </c>
      <c r="I263" s="85">
        <f t="shared" si="43"/>
        <v>0</v>
      </c>
      <c r="J263" s="87">
        <v>100</v>
      </c>
      <c r="K263" s="87">
        <v>300</v>
      </c>
      <c r="L263" s="85">
        <f t="shared" si="35"/>
        <v>1150</v>
      </c>
      <c r="M263" s="86"/>
      <c r="N263" s="85">
        <f>100</f>
        <v>100</v>
      </c>
      <c r="O263" s="87">
        <v>240</v>
      </c>
      <c r="P263" s="87">
        <v>40</v>
      </c>
      <c r="Q263" s="87">
        <f t="shared" si="36"/>
        <v>315</v>
      </c>
      <c r="R263" s="87">
        <f t="shared" si="37"/>
        <v>100</v>
      </c>
      <c r="S263" s="85">
        <f t="shared" si="38"/>
        <v>695</v>
      </c>
      <c r="T263" s="85">
        <f>50</f>
        <v>50</v>
      </c>
      <c r="U263" s="83"/>
      <c r="V263" s="83"/>
      <c r="W263" s="83"/>
      <c r="X263" s="83"/>
      <c r="Y263" s="83"/>
      <c r="Z263" s="83"/>
      <c r="AA263" s="83"/>
      <c r="AB263" s="83"/>
      <c r="AC263" s="83"/>
      <c r="AD263" s="83"/>
    </row>
    <row r="264" spans="1:30" ht="15.75" x14ac:dyDescent="0.25">
      <c r="A264" s="16">
        <v>48580</v>
      </c>
      <c r="B264" s="96">
        <v>31</v>
      </c>
      <c r="C264" s="85">
        <f>122.58</f>
        <v>122.58</v>
      </c>
      <c r="D264" s="85">
        <f>297.941</f>
        <v>297.94099999999997</v>
      </c>
      <c r="E264" s="92">
        <f>89.177</f>
        <v>89.177000000000007</v>
      </c>
      <c r="F264" s="85">
        <f>240.302-40-60</f>
        <v>140.30199999999999</v>
      </c>
      <c r="G264" s="87">
        <v>40</v>
      </c>
      <c r="H264" s="85">
        <v>60</v>
      </c>
      <c r="I264" s="85">
        <f t="shared" si="43"/>
        <v>0</v>
      </c>
      <c r="J264" s="87">
        <v>100</v>
      </c>
      <c r="K264" s="87">
        <v>300</v>
      </c>
      <c r="L264" s="85">
        <f t="shared" si="35"/>
        <v>1150</v>
      </c>
      <c r="M264" s="86"/>
      <c r="N264" s="85">
        <f>100</f>
        <v>100</v>
      </c>
      <c r="O264" s="87">
        <v>240</v>
      </c>
      <c r="P264" s="87">
        <v>40</v>
      </c>
      <c r="Q264" s="87">
        <f t="shared" si="36"/>
        <v>315</v>
      </c>
      <c r="R264" s="87">
        <f t="shared" si="37"/>
        <v>100</v>
      </c>
      <c r="S264" s="85">
        <f t="shared" si="38"/>
        <v>695</v>
      </c>
      <c r="T264" s="85">
        <f>50</f>
        <v>50</v>
      </c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</row>
    <row r="265" spans="1:30" ht="15.75" x14ac:dyDescent="0.25">
      <c r="A265" s="16">
        <v>48611</v>
      </c>
      <c r="B265" s="96">
        <v>28</v>
      </c>
      <c r="C265" s="85">
        <f>122.58</f>
        <v>122.58</v>
      </c>
      <c r="D265" s="85">
        <f>297.941</f>
        <v>297.94099999999997</v>
      </c>
      <c r="E265" s="92">
        <f>89.177</f>
        <v>89.177000000000007</v>
      </c>
      <c r="F265" s="85">
        <f>240.302-40-60</f>
        <v>140.30199999999999</v>
      </c>
      <c r="G265" s="87">
        <v>40</v>
      </c>
      <c r="H265" s="85">
        <v>60</v>
      </c>
      <c r="I265" s="85">
        <f t="shared" si="43"/>
        <v>0</v>
      </c>
      <c r="J265" s="87">
        <v>100</v>
      </c>
      <c r="K265" s="87">
        <v>300</v>
      </c>
      <c r="L265" s="85">
        <f t="shared" si="35"/>
        <v>1150</v>
      </c>
      <c r="M265" s="86"/>
      <c r="N265" s="85">
        <f>100</f>
        <v>100</v>
      </c>
      <c r="O265" s="87">
        <v>240</v>
      </c>
      <c r="P265" s="87">
        <v>40</v>
      </c>
      <c r="Q265" s="87">
        <f t="shared" si="36"/>
        <v>315</v>
      </c>
      <c r="R265" s="87">
        <f t="shared" si="37"/>
        <v>100</v>
      </c>
      <c r="S265" s="85">
        <f t="shared" si="38"/>
        <v>695</v>
      </c>
      <c r="T265" s="85">
        <f>50</f>
        <v>50</v>
      </c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</row>
    <row r="266" spans="1:30" ht="15.75" x14ac:dyDescent="0.25">
      <c r="A266" s="16">
        <v>48639</v>
      </c>
      <c r="B266" s="96">
        <v>31</v>
      </c>
      <c r="C266" s="85">
        <f>122.58</f>
        <v>122.58</v>
      </c>
      <c r="D266" s="85">
        <f>297.941</f>
        <v>297.94099999999997</v>
      </c>
      <c r="E266" s="92">
        <f>89.177</f>
        <v>89.177000000000007</v>
      </c>
      <c r="F266" s="85">
        <f>240.302-40-60</f>
        <v>140.30199999999999</v>
      </c>
      <c r="G266" s="87">
        <v>40</v>
      </c>
      <c r="H266" s="85">
        <v>60</v>
      </c>
      <c r="I266" s="85">
        <f t="shared" si="43"/>
        <v>0</v>
      </c>
      <c r="J266" s="87">
        <v>100</v>
      </c>
      <c r="K266" s="87">
        <v>300</v>
      </c>
      <c r="L266" s="85">
        <f t="shared" si="35"/>
        <v>1150</v>
      </c>
      <c r="M266" s="86"/>
      <c r="N266" s="85">
        <f>100</f>
        <v>100</v>
      </c>
      <c r="O266" s="87">
        <v>240</v>
      </c>
      <c r="P266" s="87">
        <v>40</v>
      </c>
      <c r="Q266" s="87">
        <f t="shared" si="36"/>
        <v>315</v>
      </c>
      <c r="R266" s="87">
        <f t="shared" si="37"/>
        <v>100</v>
      </c>
      <c r="S266" s="85">
        <f t="shared" si="38"/>
        <v>695</v>
      </c>
      <c r="T266" s="85">
        <f>50</f>
        <v>50</v>
      </c>
      <c r="U266" s="83"/>
      <c r="V266" s="83"/>
      <c r="W266" s="83"/>
      <c r="X266" s="83"/>
      <c r="Y266" s="83"/>
      <c r="Z266" s="83"/>
      <c r="AA266" s="83"/>
      <c r="AB266" s="83"/>
      <c r="AC266" s="83"/>
      <c r="AD266" s="83"/>
    </row>
    <row r="267" spans="1:30" ht="15.75" x14ac:dyDescent="0.25">
      <c r="A267" s="16">
        <v>48670</v>
      </c>
      <c r="B267" s="96">
        <v>30</v>
      </c>
      <c r="C267" s="85">
        <f>141.293</f>
        <v>141.29300000000001</v>
      </c>
      <c r="D267" s="85">
        <f>267.993</f>
        <v>267.99299999999999</v>
      </c>
      <c r="E267" s="92">
        <f>115.016</f>
        <v>115.01600000000001</v>
      </c>
      <c r="F267" s="85">
        <f>314.698-40-25-60</f>
        <v>189.69799999999998</v>
      </c>
      <c r="G267" s="87">
        <v>40</v>
      </c>
      <c r="H267" s="85">
        <f t="shared" ref="H267:H273" si="44">25+60</f>
        <v>85</v>
      </c>
      <c r="I267" s="85">
        <f t="shared" si="43"/>
        <v>0</v>
      </c>
      <c r="J267" s="87">
        <v>100</v>
      </c>
      <c r="K267" s="87">
        <v>300</v>
      </c>
      <c r="L267" s="85">
        <f t="shared" si="35"/>
        <v>1239</v>
      </c>
      <c r="M267" s="86"/>
      <c r="N267" s="85">
        <f>100</f>
        <v>100</v>
      </c>
      <c r="O267" s="87">
        <v>240</v>
      </c>
      <c r="P267" s="87">
        <v>160</v>
      </c>
      <c r="Q267" s="87">
        <f t="shared" si="36"/>
        <v>195</v>
      </c>
      <c r="R267" s="87">
        <f t="shared" si="37"/>
        <v>100</v>
      </c>
      <c r="S267" s="85">
        <f t="shared" si="38"/>
        <v>695</v>
      </c>
      <c r="T267" s="85">
        <f>50</f>
        <v>50</v>
      </c>
      <c r="U267" s="83"/>
      <c r="V267" s="83"/>
      <c r="W267" s="83"/>
      <c r="X267" s="83"/>
      <c r="Y267" s="83"/>
      <c r="Z267" s="83"/>
      <c r="AA267" s="83"/>
      <c r="AB267" s="83"/>
      <c r="AC267" s="83"/>
      <c r="AD267" s="83"/>
    </row>
    <row r="268" spans="1:30" ht="15.75" x14ac:dyDescent="0.25">
      <c r="A268" s="16">
        <v>48700</v>
      </c>
      <c r="B268" s="96">
        <v>31</v>
      </c>
      <c r="C268" s="85">
        <f>194.205</f>
        <v>194.20500000000001</v>
      </c>
      <c r="D268" s="85">
        <f>267.466</f>
        <v>267.46600000000001</v>
      </c>
      <c r="E268" s="92">
        <f>133.845</f>
        <v>133.845</v>
      </c>
      <c r="F268" s="85">
        <f>278.484-40-25-60</f>
        <v>153.48399999999998</v>
      </c>
      <c r="G268" s="87">
        <v>40</v>
      </c>
      <c r="H268" s="85">
        <f t="shared" si="44"/>
        <v>85</v>
      </c>
      <c r="I268" s="85">
        <f t="shared" si="43"/>
        <v>0</v>
      </c>
      <c r="J268" s="87">
        <v>100</v>
      </c>
      <c r="K268" s="87">
        <v>300</v>
      </c>
      <c r="L268" s="85">
        <f t="shared" si="35"/>
        <v>1274</v>
      </c>
      <c r="M268" s="86"/>
      <c r="N268" s="85">
        <f>75</f>
        <v>75</v>
      </c>
      <c r="O268" s="87">
        <v>240</v>
      </c>
      <c r="P268" s="87">
        <v>160</v>
      </c>
      <c r="Q268" s="87">
        <f t="shared" si="36"/>
        <v>195</v>
      </c>
      <c r="R268" s="87">
        <f t="shared" si="37"/>
        <v>100</v>
      </c>
      <c r="S268" s="85">
        <f t="shared" si="38"/>
        <v>695</v>
      </c>
      <c r="T268" s="85">
        <f>50</f>
        <v>50</v>
      </c>
      <c r="U268" s="83"/>
      <c r="V268" s="83"/>
      <c r="W268" s="83"/>
      <c r="X268" s="83"/>
      <c r="Y268" s="83"/>
      <c r="Z268" s="83"/>
      <c r="AA268" s="83"/>
      <c r="AB268" s="83"/>
      <c r="AC268" s="83"/>
      <c r="AD268" s="83"/>
    </row>
    <row r="269" spans="1:30" ht="15.75" x14ac:dyDescent="0.25">
      <c r="A269" s="16">
        <v>48731</v>
      </c>
      <c r="B269" s="96">
        <v>30</v>
      </c>
      <c r="C269" s="85">
        <f>194.205</f>
        <v>194.20500000000001</v>
      </c>
      <c r="D269" s="85">
        <f>267.466</f>
        <v>267.46600000000001</v>
      </c>
      <c r="E269" s="92">
        <f>133.845</f>
        <v>133.845</v>
      </c>
      <c r="F269" s="85">
        <f>278.484-40-25-60</f>
        <v>153.48399999999998</v>
      </c>
      <c r="G269" s="87">
        <v>40</v>
      </c>
      <c r="H269" s="85">
        <f t="shared" si="44"/>
        <v>85</v>
      </c>
      <c r="I269" s="85">
        <f t="shared" si="43"/>
        <v>0</v>
      </c>
      <c r="J269" s="87">
        <v>100</v>
      </c>
      <c r="K269" s="87">
        <v>300</v>
      </c>
      <c r="L269" s="85">
        <f t="shared" si="35"/>
        <v>1274</v>
      </c>
      <c r="M269" s="86"/>
      <c r="N269" s="85">
        <f>30</f>
        <v>30</v>
      </c>
      <c r="O269" s="87">
        <v>240</v>
      </c>
      <c r="P269" s="87">
        <v>160</v>
      </c>
      <c r="Q269" s="87">
        <f t="shared" si="36"/>
        <v>195</v>
      </c>
      <c r="R269" s="87">
        <f t="shared" si="37"/>
        <v>100</v>
      </c>
      <c r="S269" s="85">
        <f t="shared" si="38"/>
        <v>695</v>
      </c>
      <c r="T269" s="85">
        <f>50</f>
        <v>50</v>
      </c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</row>
    <row r="270" spans="1:30" ht="15.75" x14ac:dyDescent="0.25">
      <c r="A270" s="16">
        <v>48761</v>
      </c>
      <c r="B270" s="96">
        <v>31</v>
      </c>
      <c r="C270" s="85">
        <f>194.205</f>
        <v>194.20500000000001</v>
      </c>
      <c r="D270" s="85">
        <f>267.466</f>
        <v>267.46600000000001</v>
      </c>
      <c r="E270" s="92">
        <f>133.845</f>
        <v>133.845</v>
      </c>
      <c r="F270" s="85">
        <f>278.484-40-25-60</f>
        <v>153.48399999999998</v>
      </c>
      <c r="G270" s="87">
        <v>40</v>
      </c>
      <c r="H270" s="85">
        <f t="shared" si="44"/>
        <v>85</v>
      </c>
      <c r="I270" s="85">
        <f t="shared" si="43"/>
        <v>0</v>
      </c>
      <c r="J270" s="87">
        <v>100</v>
      </c>
      <c r="K270" s="87">
        <v>300</v>
      </c>
      <c r="L270" s="85">
        <f t="shared" si="35"/>
        <v>1274</v>
      </c>
      <c r="M270" s="86"/>
      <c r="N270" s="85">
        <f>30</f>
        <v>30</v>
      </c>
      <c r="O270" s="87">
        <v>240</v>
      </c>
      <c r="P270" s="87">
        <v>160</v>
      </c>
      <c r="Q270" s="87">
        <f t="shared" si="36"/>
        <v>195</v>
      </c>
      <c r="R270" s="87">
        <f t="shared" si="37"/>
        <v>100</v>
      </c>
      <c r="S270" s="85">
        <f t="shared" si="38"/>
        <v>695</v>
      </c>
      <c r="T270" s="85">
        <f>0</f>
        <v>0</v>
      </c>
      <c r="U270" s="83"/>
      <c r="V270" s="83"/>
      <c r="W270" s="83"/>
      <c r="X270" s="83"/>
      <c r="Y270" s="83"/>
      <c r="Z270" s="83"/>
      <c r="AA270" s="83"/>
      <c r="AB270" s="83"/>
      <c r="AC270" s="83"/>
      <c r="AD270" s="83"/>
    </row>
    <row r="271" spans="1:30" ht="15.75" x14ac:dyDescent="0.25">
      <c r="A271" s="16">
        <v>48792</v>
      </c>
      <c r="B271" s="96">
        <v>31</v>
      </c>
      <c r="C271" s="85">
        <f>194.205</f>
        <v>194.20500000000001</v>
      </c>
      <c r="D271" s="85">
        <f>267.466</f>
        <v>267.46600000000001</v>
      </c>
      <c r="E271" s="92">
        <f>133.845</f>
        <v>133.845</v>
      </c>
      <c r="F271" s="85">
        <f>278.484-40-25-60</f>
        <v>153.48399999999998</v>
      </c>
      <c r="G271" s="87">
        <v>40</v>
      </c>
      <c r="H271" s="85">
        <f t="shared" si="44"/>
        <v>85</v>
      </c>
      <c r="I271" s="85">
        <f t="shared" si="43"/>
        <v>0</v>
      </c>
      <c r="J271" s="87">
        <v>100</v>
      </c>
      <c r="K271" s="87">
        <v>300</v>
      </c>
      <c r="L271" s="85">
        <f t="shared" si="35"/>
        <v>1274</v>
      </c>
      <c r="M271" s="86"/>
      <c r="N271" s="85">
        <f>30</f>
        <v>30</v>
      </c>
      <c r="O271" s="87">
        <v>240</v>
      </c>
      <c r="P271" s="87">
        <v>160</v>
      </c>
      <c r="Q271" s="87">
        <f t="shared" si="36"/>
        <v>195</v>
      </c>
      <c r="R271" s="87">
        <f t="shared" si="37"/>
        <v>100</v>
      </c>
      <c r="S271" s="85">
        <f t="shared" si="38"/>
        <v>695</v>
      </c>
      <c r="T271" s="85">
        <f>0</f>
        <v>0</v>
      </c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</row>
    <row r="272" spans="1:30" ht="15.75" x14ac:dyDescent="0.25">
      <c r="A272" s="16">
        <v>48823</v>
      </c>
      <c r="B272" s="96">
        <v>30</v>
      </c>
      <c r="C272" s="85">
        <f>194.205</f>
        <v>194.20500000000001</v>
      </c>
      <c r="D272" s="85">
        <f>267.466</f>
        <v>267.46600000000001</v>
      </c>
      <c r="E272" s="92">
        <f>133.845</f>
        <v>133.845</v>
      </c>
      <c r="F272" s="85">
        <f>278.484-40-25-60</f>
        <v>153.48399999999998</v>
      </c>
      <c r="G272" s="87">
        <v>40</v>
      </c>
      <c r="H272" s="85">
        <f t="shared" si="44"/>
        <v>85</v>
      </c>
      <c r="I272" s="85">
        <f t="shared" si="43"/>
        <v>0</v>
      </c>
      <c r="J272" s="87">
        <v>100</v>
      </c>
      <c r="K272" s="87">
        <v>300</v>
      </c>
      <c r="L272" s="85">
        <f t="shared" si="35"/>
        <v>1274</v>
      </c>
      <c r="M272" s="86"/>
      <c r="N272" s="85">
        <f>30</f>
        <v>30</v>
      </c>
      <c r="O272" s="87">
        <v>240</v>
      </c>
      <c r="P272" s="87">
        <v>160</v>
      </c>
      <c r="Q272" s="87">
        <f t="shared" si="36"/>
        <v>195</v>
      </c>
      <c r="R272" s="87">
        <f t="shared" si="37"/>
        <v>100</v>
      </c>
      <c r="S272" s="85">
        <f t="shared" si="38"/>
        <v>695</v>
      </c>
      <c r="T272" s="85">
        <f>0</f>
        <v>0</v>
      </c>
      <c r="U272" s="83"/>
      <c r="V272" s="83"/>
      <c r="W272" s="83"/>
      <c r="X272" s="83"/>
      <c r="Y272" s="83"/>
      <c r="Z272" s="83"/>
      <c r="AA272" s="83"/>
      <c r="AB272" s="83"/>
      <c r="AC272" s="83"/>
      <c r="AD272" s="83"/>
    </row>
    <row r="273" spans="1:30" ht="15.75" x14ac:dyDescent="0.25">
      <c r="A273" s="16">
        <v>48853</v>
      </c>
      <c r="B273" s="96">
        <v>31</v>
      </c>
      <c r="C273" s="85">
        <f>131.881</f>
        <v>131.881</v>
      </c>
      <c r="D273" s="85">
        <f>277.167</f>
        <v>277.16699999999997</v>
      </c>
      <c r="E273" s="92">
        <f>79.08</f>
        <v>79.08</v>
      </c>
      <c r="F273" s="85">
        <f>350.872-40-25-60</f>
        <v>225.87200000000001</v>
      </c>
      <c r="G273" s="87">
        <v>40</v>
      </c>
      <c r="H273" s="85">
        <f t="shared" si="44"/>
        <v>85</v>
      </c>
      <c r="I273" s="85">
        <f t="shared" si="43"/>
        <v>0</v>
      </c>
      <c r="J273" s="87">
        <v>100</v>
      </c>
      <c r="K273" s="87">
        <v>300</v>
      </c>
      <c r="L273" s="85">
        <f t="shared" si="35"/>
        <v>1239</v>
      </c>
      <c r="M273" s="86"/>
      <c r="N273" s="85">
        <f>75</f>
        <v>75</v>
      </c>
      <c r="O273" s="87">
        <v>240</v>
      </c>
      <c r="P273" s="87">
        <v>160</v>
      </c>
      <c r="Q273" s="87">
        <f t="shared" si="36"/>
        <v>195</v>
      </c>
      <c r="R273" s="87">
        <f t="shared" si="37"/>
        <v>100</v>
      </c>
      <c r="S273" s="85">
        <f t="shared" si="38"/>
        <v>695</v>
      </c>
      <c r="T273" s="85">
        <f>0</f>
        <v>0</v>
      </c>
      <c r="U273" s="83"/>
      <c r="V273" s="83"/>
      <c r="W273" s="83"/>
      <c r="X273" s="83"/>
      <c r="Y273" s="83"/>
      <c r="Z273" s="83"/>
      <c r="AA273" s="83"/>
      <c r="AB273" s="83"/>
      <c r="AC273" s="83"/>
      <c r="AD273" s="83"/>
    </row>
    <row r="274" spans="1:30" ht="15.75" x14ac:dyDescent="0.25">
      <c r="A274" s="16">
        <v>48884</v>
      </c>
      <c r="B274" s="96">
        <v>30</v>
      </c>
      <c r="C274" s="85">
        <f>122.58</f>
        <v>122.58</v>
      </c>
      <c r="D274" s="85">
        <f>297.941</f>
        <v>297.94099999999997</v>
      </c>
      <c r="E274" s="92">
        <f>89.177</f>
        <v>89.177000000000007</v>
      </c>
      <c r="F274" s="85">
        <f>240.302-40-60</f>
        <v>140.30199999999999</v>
      </c>
      <c r="G274" s="87">
        <v>40</v>
      </c>
      <c r="H274" s="85">
        <v>60</v>
      </c>
      <c r="I274" s="85">
        <f t="shared" si="43"/>
        <v>0</v>
      </c>
      <c r="J274" s="87">
        <v>100</v>
      </c>
      <c r="K274" s="87">
        <v>300</v>
      </c>
      <c r="L274" s="85">
        <f t="shared" si="35"/>
        <v>1150</v>
      </c>
      <c r="M274" s="86"/>
      <c r="N274" s="85">
        <f>100</f>
        <v>100</v>
      </c>
      <c r="O274" s="87">
        <v>240</v>
      </c>
      <c r="P274" s="87">
        <v>40</v>
      </c>
      <c r="Q274" s="87">
        <f t="shared" si="36"/>
        <v>315</v>
      </c>
      <c r="R274" s="87">
        <f t="shared" si="37"/>
        <v>100</v>
      </c>
      <c r="S274" s="85">
        <f t="shared" si="38"/>
        <v>695</v>
      </c>
      <c r="T274" s="85">
        <f>50</f>
        <v>50</v>
      </c>
      <c r="U274" s="83"/>
      <c r="V274" s="83"/>
      <c r="W274" s="83"/>
      <c r="X274" s="83"/>
      <c r="Y274" s="83"/>
      <c r="Z274" s="83"/>
      <c r="AA274" s="83"/>
      <c r="AB274" s="83"/>
      <c r="AC274" s="83"/>
      <c r="AD274" s="83"/>
    </row>
    <row r="275" spans="1:30" ht="15.75" x14ac:dyDescent="0.25">
      <c r="A275" s="16">
        <v>48914</v>
      </c>
      <c r="B275" s="96">
        <v>31</v>
      </c>
      <c r="C275" s="85">
        <f>122.58</f>
        <v>122.58</v>
      </c>
      <c r="D275" s="85">
        <f>297.941</f>
        <v>297.94099999999997</v>
      </c>
      <c r="E275" s="92">
        <f>89.177</f>
        <v>89.177000000000007</v>
      </c>
      <c r="F275" s="85">
        <f>240.302-40-60</f>
        <v>140.30199999999999</v>
      </c>
      <c r="G275" s="87">
        <v>40</v>
      </c>
      <c r="H275" s="85">
        <v>60</v>
      </c>
      <c r="I275" s="85">
        <f t="shared" si="43"/>
        <v>0</v>
      </c>
      <c r="J275" s="87">
        <v>100</v>
      </c>
      <c r="K275" s="87">
        <v>300</v>
      </c>
      <c r="L275" s="85">
        <f t="shared" si="35"/>
        <v>1150</v>
      </c>
      <c r="M275" s="86"/>
      <c r="N275" s="85">
        <f>100</f>
        <v>100</v>
      </c>
      <c r="O275" s="87">
        <v>240</v>
      </c>
      <c r="P275" s="87">
        <v>40</v>
      </c>
      <c r="Q275" s="87">
        <f t="shared" si="36"/>
        <v>315</v>
      </c>
      <c r="R275" s="87">
        <f t="shared" si="37"/>
        <v>100</v>
      </c>
      <c r="S275" s="85">
        <f t="shared" si="38"/>
        <v>695</v>
      </c>
      <c r="T275" s="85">
        <f>50</f>
        <v>50</v>
      </c>
      <c r="U275" s="83"/>
      <c r="V275" s="83"/>
      <c r="W275" s="83"/>
      <c r="X275" s="83"/>
      <c r="Y275" s="83"/>
      <c r="Z275" s="83"/>
      <c r="AA275" s="83"/>
      <c r="AB275" s="83"/>
      <c r="AC275" s="83"/>
      <c r="AD275" s="83"/>
    </row>
    <row r="276" spans="1:30" ht="15.75" x14ac:dyDescent="0.25">
      <c r="A276" s="16">
        <v>48945</v>
      </c>
      <c r="B276" s="96">
        <v>31</v>
      </c>
      <c r="C276" s="85">
        <f>122.58</f>
        <v>122.58</v>
      </c>
      <c r="D276" s="85">
        <f>297.941</f>
        <v>297.94099999999997</v>
      </c>
      <c r="E276" s="92">
        <f>89.177</f>
        <v>89.177000000000007</v>
      </c>
      <c r="F276" s="85">
        <f>240.302-40-60</f>
        <v>140.30199999999999</v>
      </c>
      <c r="G276" s="87">
        <v>40</v>
      </c>
      <c r="H276" s="85">
        <v>60</v>
      </c>
      <c r="I276" s="85">
        <f t="shared" si="43"/>
        <v>0</v>
      </c>
      <c r="J276" s="87">
        <v>100</v>
      </c>
      <c r="K276" s="87">
        <v>300</v>
      </c>
      <c r="L276" s="85">
        <f t="shared" si="35"/>
        <v>1150</v>
      </c>
      <c r="M276" s="86"/>
      <c r="N276" s="85">
        <f>100</f>
        <v>100</v>
      </c>
      <c r="O276" s="87">
        <v>240</v>
      </c>
      <c r="P276" s="87">
        <v>40</v>
      </c>
      <c r="Q276" s="87">
        <f t="shared" si="36"/>
        <v>315</v>
      </c>
      <c r="R276" s="87">
        <f t="shared" si="37"/>
        <v>100</v>
      </c>
      <c r="S276" s="85">
        <f t="shared" si="38"/>
        <v>695</v>
      </c>
      <c r="T276" s="85">
        <f>50</f>
        <v>50</v>
      </c>
      <c r="U276" s="83"/>
      <c r="V276" s="83"/>
      <c r="W276" s="83"/>
      <c r="X276" s="83"/>
      <c r="Y276" s="83"/>
      <c r="Z276" s="83"/>
      <c r="AA276" s="83"/>
      <c r="AB276" s="83"/>
      <c r="AC276" s="83"/>
      <c r="AD276" s="83"/>
    </row>
    <row r="277" spans="1:30" ht="15.75" x14ac:dyDescent="0.25">
      <c r="A277" s="16">
        <v>48976</v>
      </c>
      <c r="B277" s="96">
        <v>28</v>
      </c>
      <c r="C277" s="85">
        <f>122.58</f>
        <v>122.58</v>
      </c>
      <c r="D277" s="85">
        <f>297.941</f>
        <v>297.94099999999997</v>
      </c>
      <c r="E277" s="92">
        <f>89.177</f>
        <v>89.177000000000007</v>
      </c>
      <c r="F277" s="85">
        <f>240.302-40-60</f>
        <v>140.30199999999999</v>
      </c>
      <c r="G277" s="87">
        <v>40</v>
      </c>
      <c r="H277" s="85">
        <v>60</v>
      </c>
      <c r="I277" s="85">
        <f t="shared" si="43"/>
        <v>0</v>
      </c>
      <c r="J277" s="87">
        <v>100</v>
      </c>
      <c r="K277" s="87">
        <v>300</v>
      </c>
      <c r="L277" s="85">
        <f t="shared" si="35"/>
        <v>1150</v>
      </c>
      <c r="M277" s="86"/>
      <c r="N277" s="85">
        <f>100</f>
        <v>100</v>
      </c>
      <c r="O277" s="87">
        <v>240</v>
      </c>
      <c r="P277" s="87">
        <v>40</v>
      </c>
      <c r="Q277" s="87">
        <f t="shared" si="36"/>
        <v>315</v>
      </c>
      <c r="R277" s="87">
        <f t="shared" si="37"/>
        <v>100</v>
      </c>
      <c r="S277" s="85">
        <f t="shared" si="38"/>
        <v>695</v>
      </c>
      <c r="T277" s="85">
        <f>50</f>
        <v>50</v>
      </c>
      <c r="U277" s="83"/>
      <c r="V277" s="83"/>
      <c r="W277" s="83"/>
      <c r="X277" s="83"/>
      <c r="Y277" s="83"/>
      <c r="Z277" s="83"/>
      <c r="AA277" s="83"/>
      <c r="AB277" s="83"/>
      <c r="AC277" s="83"/>
      <c r="AD277" s="83"/>
    </row>
    <row r="278" spans="1:30" ht="15.75" x14ac:dyDescent="0.25">
      <c r="A278" s="16">
        <v>49004</v>
      </c>
      <c r="B278" s="96">
        <v>31</v>
      </c>
      <c r="C278" s="85">
        <f>122.58</f>
        <v>122.58</v>
      </c>
      <c r="D278" s="85">
        <f>297.941</f>
        <v>297.94099999999997</v>
      </c>
      <c r="E278" s="92">
        <f>89.177</f>
        <v>89.177000000000007</v>
      </c>
      <c r="F278" s="85">
        <f>240.302-40-60</f>
        <v>140.30199999999999</v>
      </c>
      <c r="G278" s="87">
        <v>40</v>
      </c>
      <c r="H278" s="85">
        <v>60</v>
      </c>
      <c r="I278" s="85">
        <f t="shared" si="43"/>
        <v>0</v>
      </c>
      <c r="J278" s="87">
        <v>100</v>
      </c>
      <c r="K278" s="87">
        <v>300</v>
      </c>
      <c r="L278" s="85">
        <f t="shared" si="35"/>
        <v>1150</v>
      </c>
      <c r="M278" s="86"/>
      <c r="N278" s="85">
        <f>100</f>
        <v>100</v>
      </c>
      <c r="O278" s="87">
        <v>240</v>
      </c>
      <c r="P278" s="87">
        <v>40</v>
      </c>
      <c r="Q278" s="87">
        <f t="shared" si="36"/>
        <v>315</v>
      </c>
      <c r="R278" s="87">
        <f t="shared" si="37"/>
        <v>100</v>
      </c>
      <c r="S278" s="85">
        <f t="shared" si="38"/>
        <v>695</v>
      </c>
      <c r="T278" s="85">
        <f>50</f>
        <v>50</v>
      </c>
      <c r="U278" s="83"/>
      <c r="V278" s="83"/>
      <c r="W278" s="83"/>
      <c r="X278" s="83"/>
      <c r="Y278" s="83"/>
      <c r="Z278" s="83"/>
      <c r="AA278" s="83"/>
      <c r="AB278" s="83"/>
      <c r="AC278" s="83"/>
      <c r="AD278" s="83"/>
    </row>
    <row r="279" spans="1:30" ht="15.75" x14ac:dyDescent="0.25">
      <c r="A279" s="16">
        <v>49035</v>
      </c>
      <c r="B279" s="96">
        <v>30</v>
      </c>
      <c r="C279" s="85">
        <f>141.293</f>
        <v>141.29300000000001</v>
      </c>
      <c r="D279" s="85">
        <f>267.993</f>
        <v>267.99299999999999</v>
      </c>
      <c r="E279" s="92">
        <f>115.016</f>
        <v>115.01600000000001</v>
      </c>
      <c r="F279" s="85">
        <f>314.698-40-25-60</f>
        <v>189.69799999999998</v>
      </c>
      <c r="G279" s="87">
        <v>40</v>
      </c>
      <c r="H279" s="85">
        <f t="shared" ref="H279:H285" si="45">25+60</f>
        <v>85</v>
      </c>
      <c r="I279" s="85">
        <f t="shared" si="43"/>
        <v>0</v>
      </c>
      <c r="J279" s="87">
        <v>100</v>
      </c>
      <c r="K279" s="87">
        <v>300</v>
      </c>
      <c r="L279" s="85">
        <f t="shared" si="35"/>
        <v>1239</v>
      </c>
      <c r="M279" s="86"/>
      <c r="N279" s="85">
        <f>100</f>
        <v>100</v>
      </c>
      <c r="O279" s="87">
        <v>240</v>
      </c>
      <c r="P279" s="87">
        <v>160</v>
      </c>
      <c r="Q279" s="87">
        <f t="shared" si="36"/>
        <v>195</v>
      </c>
      <c r="R279" s="87">
        <f t="shared" si="37"/>
        <v>100</v>
      </c>
      <c r="S279" s="85">
        <f t="shared" si="38"/>
        <v>695</v>
      </c>
      <c r="T279" s="85">
        <f>50</f>
        <v>50</v>
      </c>
      <c r="U279" s="83"/>
      <c r="V279" s="83"/>
      <c r="W279" s="83"/>
      <c r="X279" s="83"/>
      <c r="Y279" s="83"/>
      <c r="Z279" s="83"/>
      <c r="AA279" s="83"/>
      <c r="AB279" s="83"/>
      <c r="AC279" s="83"/>
      <c r="AD279" s="83"/>
    </row>
    <row r="280" spans="1:30" ht="15.75" x14ac:dyDescent="0.25">
      <c r="A280" s="16">
        <v>49065</v>
      </c>
      <c r="B280" s="96">
        <v>31</v>
      </c>
      <c r="C280" s="85">
        <f>194.205</f>
        <v>194.20500000000001</v>
      </c>
      <c r="D280" s="85">
        <f>267.466</f>
        <v>267.46600000000001</v>
      </c>
      <c r="E280" s="92">
        <f>133.845</f>
        <v>133.845</v>
      </c>
      <c r="F280" s="85">
        <f>278.484-40-25-60</f>
        <v>153.48399999999998</v>
      </c>
      <c r="G280" s="87">
        <v>40</v>
      </c>
      <c r="H280" s="85">
        <f t="shared" si="45"/>
        <v>85</v>
      </c>
      <c r="I280" s="85">
        <f t="shared" si="43"/>
        <v>0</v>
      </c>
      <c r="J280" s="87">
        <v>100</v>
      </c>
      <c r="K280" s="87">
        <v>300</v>
      </c>
      <c r="L280" s="85">
        <f t="shared" ref="L280:L343" si="46">SUM(C280:K280)</f>
        <v>1274</v>
      </c>
      <c r="M280" s="86"/>
      <c r="N280" s="85">
        <f>75</f>
        <v>75</v>
      </c>
      <c r="O280" s="87">
        <v>240</v>
      </c>
      <c r="P280" s="87">
        <v>160</v>
      </c>
      <c r="Q280" s="87">
        <f t="shared" ref="Q280:Q343" si="47">695-R280-O280-P280</f>
        <v>195</v>
      </c>
      <c r="R280" s="87">
        <f t="shared" ref="R280:R343" si="48">200-J280</f>
        <v>100</v>
      </c>
      <c r="S280" s="85">
        <f t="shared" ref="S280:S343" si="49">SUM(O280:R280)</f>
        <v>695</v>
      </c>
      <c r="T280" s="85">
        <f>50</f>
        <v>50</v>
      </c>
      <c r="U280" s="83"/>
      <c r="V280" s="83"/>
      <c r="W280" s="83"/>
      <c r="X280" s="83"/>
      <c r="Y280" s="83"/>
      <c r="Z280" s="83"/>
      <c r="AA280" s="83"/>
      <c r="AB280" s="83"/>
      <c r="AC280" s="83"/>
      <c r="AD280" s="83"/>
    </row>
    <row r="281" spans="1:30" ht="15.75" x14ac:dyDescent="0.25">
      <c r="A281" s="16">
        <v>49096</v>
      </c>
      <c r="B281" s="96">
        <v>30</v>
      </c>
      <c r="C281" s="85">
        <f>194.205</f>
        <v>194.20500000000001</v>
      </c>
      <c r="D281" s="85">
        <f>267.466</f>
        <v>267.46600000000001</v>
      </c>
      <c r="E281" s="92">
        <f>133.845</f>
        <v>133.845</v>
      </c>
      <c r="F281" s="85">
        <f>278.484-40-25-60</f>
        <v>153.48399999999998</v>
      </c>
      <c r="G281" s="87">
        <v>40</v>
      </c>
      <c r="H281" s="85">
        <f t="shared" si="45"/>
        <v>85</v>
      </c>
      <c r="I281" s="85">
        <f t="shared" si="43"/>
        <v>0</v>
      </c>
      <c r="J281" s="87">
        <v>100</v>
      </c>
      <c r="K281" s="87">
        <v>300</v>
      </c>
      <c r="L281" s="85">
        <f t="shared" si="46"/>
        <v>1274</v>
      </c>
      <c r="M281" s="86"/>
      <c r="N281" s="85">
        <f>30</f>
        <v>30</v>
      </c>
      <c r="O281" s="87">
        <v>240</v>
      </c>
      <c r="P281" s="87">
        <v>160</v>
      </c>
      <c r="Q281" s="87">
        <f t="shared" si="47"/>
        <v>195</v>
      </c>
      <c r="R281" s="87">
        <f t="shared" si="48"/>
        <v>100</v>
      </c>
      <c r="S281" s="85">
        <f t="shared" si="49"/>
        <v>695</v>
      </c>
      <c r="T281" s="85">
        <f>50</f>
        <v>50</v>
      </c>
      <c r="U281" s="83"/>
      <c r="V281" s="83"/>
      <c r="W281" s="83"/>
      <c r="X281" s="83"/>
      <c r="Y281" s="83"/>
      <c r="Z281" s="83"/>
      <c r="AA281" s="83"/>
      <c r="AB281" s="83"/>
      <c r="AC281" s="83"/>
      <c r="AD281" s="83"/>
    </row>
    <row r="282" spans="1:30" ht="15.75" x14ac:dyDescent="0.25">
      <c r="A282" s="16">
        <v>49126</v>
      </c>
      <c r="B282" s="96">
        <v>31</v>
      </c>
      <c r="C282" s="85">
        <f>194.205</f>
        <v>194.20500000000001</v>
      </c>
      <c r="D282" s="85">
        <f>267.466</f>
        <v>267.46600000000001</v>
      </c>
      <c r="E282" s="92">
        <f>133.845</f>
        <v>133.845</v>
      </c>
      <c r="F282" s="85">
        <f>278.484-40-25-60</f>
        <v>153.48399999999998</v>
      </c>
      <c r="G282" s="87">
        <v>40</v>
      </c>
      <c r="H282" s="85">
        <f t="shared" si="45"/>
        <v>85</v>
      </c>
      <c r="I282" s="85">
        <f t="shared" si="43"/>
        <v>0</v>
      </c>
      <c r="J282" s="87">
        <v>100</v>
      </c>
      <c r="K282" s="87">
        <v>300</v>
      </c>
      <c r="L282" s="85">
        <f t="shared" si="46"/>
        <v>1274</v>
      </c>
      <c r="M282" s="86"/>
      <c r="N282" s="85">
        <f>30</f>
        <v>30</v>
      </c>
      <c r="O282" s="87">
        <v>240</v>
      </c>
      <c r="P282" s="87">
        <v>160</v>
      </c>
      <c r="Q282" s="87">
        <f t="shared" si="47"/>
        <v>195</v>
      </c>
      <c r="R282" s="87">
        <f t="shared" si="48"/>
        <v>100</v>
      </c>
      <c r="S282" s="85">
        <f t="shared" si="49"/>
        <v>695</v>
      </c>
      <c r="T282" s="85">
        <f>0</f>
        <v>0</v>
      </c>
      <c r="U282" s="83"/>
      <c r="V282" s="83"/>
      <c r="W282" s="83"/>
      <c r="X282" s="83"/>
      <c r="Y282" s="83"/>
      <c r="Z282" s="83"/>
      <c r="AA282" s="83"/>
      <c r="AB282" s="83"/>
      <c r="AC282" s="83"/>
      <c r="AD282" s="83"/>
    </row>
    <row r="283" spans="1:30" ht="15.75" x14ac:dyDescent="0.25">
      <c r="A283" s="16">
        <v>49157</v>
      </c>
      <c r="B283" s="96">
        <v>31</v>
      </c>
      <c r="C283" s="85">
        <f>194.205</f>
        <v>194.20500000000001</v>
      </c>
      <c r="D283" s="85">
        <f>267.466</f>
        <v>267.46600000000001</v>
      </c>
      <c r="E283" s="92">
        <f>133.845</f>
        <v>133.845</v>
      </c>
      <c r="F283" s="85">
        <f>278.484-40-25-60</f>
        <v>153.48399999999998</v>
      </c>
      <c r="G283" s="87">
        <v>40</v>
      </c>
      <c r="H283" s="85">
        <f t="shared" si="45"/>
        <v>85</v>
      </c>
      <c r="I283" s="85">
        <f t="shared" si="43"/>
        <v>0</v>
      </c>
      <c r="J283" s="87">
        <v>100</v>
      </c>
      <c r="K283" s="87">
        <v>300</v>
      </c>
      <c r="L283" s="85">
        <f t="shared" si="46"/>
        <v>1274</v>
      </c>
      <c r="M283" s="86"/>
      <c r="N283" s="85">
        <f>30</f>
        <v>30</v>
      </c>
      <c r="O283" s="87">
        <v>240</v>
      </c>
      <c r="P283" s="87">
        <v>160</v>
      </c>
      <c r="Q283" s="87">
        <f t="shared" si="47"/>
        <v>195</v>
      </c>
      <c r="R283" s="87">
        <f t="shared" si="48"/>
        <v>100</v>
      </c>
      <c r="S283" s="85">
        <f t="shared" si="49"/>
        <v>695</v>
      </c>
      <c r="T283" s="85">
        <f>0</f>
        <v>0</v>
      </c>
      <c r="U283" s="83"/>
      <c r="V283" s="83"/>
      <c r="W283" s="83"/>
      <c r="X283" s="83"/>
      <c r="Y283" s="83"/>
      <c r="Z283" s="83"/>
      <c r="AA283" s="83"/>
      <c r="AB283" s="83"/>
      <c r="AC283" s="83"/>
      <c r="AD283" s="83"/>
    </row>
    <row r="284" spans="1:30" ht="15.75" x14ac:dyDescent="0.25">
      <c r="A284" s="16">
        <v>49188</v>
      </c>
      <c r="B284" s="96">
        <v>30</v>
      </c>
      <c r="C284" s="85">
        <f>194.205</f>
        <v>194.20500000000001</v>
      </c>
      <c r="D284" s="85">
        <f>267.466</f>
        <v>267.46600000000001</v>
      </c>
      <c r="E284" s="92">
        <f>133.845</f>
        <v>133.845</v>
      </c>
      <c r="F284" s="85">
        <f>278.484-40-25-60</f>
        <v>153.48399999999998</v>
      </c>
      <c r="G284" s="87">
        <v>40</v>
      </c>
      <c r="H284" s="85">
        <f t="shared" si="45"/>
        <v>85</v>
      </c>
      <c r="I284" s="85">
        <f t="shared" si="43"/>
        <v>0</v>
      </c>
      <c r="J284" s="87">
        <v>100</v>
      </c>
      <c r="K284" s="87">
        <v>300</v>
      </c>
      <c r="L284" s="85">
        <f t="shared" si="46"/>
        <v>1274</v>
      </c>
      <c r="M284" s="86"/>
      <c r="N284" s="85">
        <f>30</f>
        <v>30</v>
      </c>
      <c r="O284" s="87">
        <v>240</v>
      </c>
      <c r="P284" s="87">
        <v>160</v>
      </c>
      <c r="Q284" s="87">
        <f t="shared" si="47"/>
        <v>195</v>
      </c>
      <c r="R284" s="87">
        <f t="shared" si="48"/>
        <v>100</v>
      </c>
      <c r="S284" s="85">
        <f t="shared" si="49"/>
        <v>695</v>
      </c>
      <c r="T284" s="85">
        <f>0</f>
        <v>0</v>
      </c>
      <c r="U284" s="83"/>
      <c r="V284" s="83"/>
      <c r="W284" s="83"/>
      <c r="X284" s="83"/>
      <c r="Y284" s="83"/>
      <c r="Z284" s="83"/>
      <c r="AA284" s="83"/>
      <c r="AB284" s="83"/>
      <c r="AC284" s="83"/>
      <c r="AD284" s="83"/>
    </row>
    <row r="285" spans="1:30" ht="15.75" x14ac:dyDescent="0.25">
      <c r="A285" s="16">
        <v>49218</v>
      </c>
      <c r="B285" s="96">
        <v>31</v>
      </c>
      <c r="C285" s="85">
        <f>131.881</f>
        <v>131.881</v>
      </c>
      <c r="D285" s="85">
        <f>277.167</f>
        <v>277.16699999999997</v>
      </c>
      <c r="E285" s="92">
        <f>79.08</f>
        <v>79.08</v>
      </c>
      <c r="F285" s="85">
        <f>350.872-40-25-60</f>
        <v>225.87200000000001</v>
      </c>
      <c r="G285" s="87">
        <v>40</v>
      </c>
      <c r="H285" s="85">
        <f t="shared" si="45"/>
        <v>85</v>
      </c>
      <c r="I285" s="85">
        <f t="shared" si="43"/>
        <v>0</v>
      </c>
      <c r="J285" s="87">
        <v>100</v>
      </c>
      <c r="K285" s="87">
        <v>300</v>
      </c>
      <c r="L285" s="85">
        <f t="shared" si="46"/>
        <v>1239</v>
      </c>
      <c r="M285" s="86"/>
      <c r="N285" s="85">
        <f>75</f>
        <v>75</v>
      </c>
      <c r="O285" s="87">
        <v>240</v>
      </c>
      <c r="P285" s="87">
        <v>160</v>
      </c>
      <c r="Q285" s="87">
        <f t="shared" si="47"/>
        <v>195</v>
      </c>
      <c r="R285" s="87">
        <f t="shared" si="48"/>
        <v>100</v>
      </c>
      <c r="S285" s="85">
        <f t="shared" si="49"/>
        <v>695</v>
      </c>
      <c r="T285" s="85">
        <f>0</f>
        <v>0</v>
      </c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</row>
    <row r="286" spans="1:30" ht="15.75" x14ac:dyDescent="0.25">
      <c r="A286" s="16">
        <v>49249</v>
      </c>
      <c r="B286" s="96">
        <v>30</v>
      </c>
      <c r="C286" s="85">
        <f>122.58</f>
        <v>122.58</v>
      </c>
      <c r="D286" s="85">
        <f>297.941</f>
        <v>297.94099999999997</v>
      </c>
      <c r="E286" s="92">
        <f>89.177</f>
        <v>89.177000000000007</v>
      </c>
      <c r="F286" s="85">
        <f>240.302-40-60</f>
        <v>140.30199999999999</v>
      </c>
      <c r="G286" s="87">
        <v>40</v>
      </c>
      <c r="H286" s="85">
        <v>60</v>
      </c>
      <c r="I286" s="85">
        <f t="shared" si="43"/>
        <v>0</v>
      </c>
      <c r="J286" s="87">
        <v>100</v>
      </c>
      <c r="K286" s="87">
        <v>300</v>
      </c>
      <c r="L286" s="85">
        <f t="shared" si="46"/>
        <v>1150</v>
      </c>
      <c r="M286" s="86"/>
      <c r="N286" s="85">
        <f>100</f>
        <v>100</v>
      </c>
      <c r="O286" s="87">
        <v>240</v>
      </c>
      <c r="P286" s="87">
        <v>40</v>
      </c>
      <c r="Q286" s="87">
        <f t="shared" si="47"/>
        <v>315</v>
      </c>
      <c r="R286" s="87">
        <f t="shared" si="48"/>
        <v>100</v>
      </c>
      <c r="S286" s="85">
        <f t="shared" si="49"/>
        <v>695</v>
      </c>
      <c r="T286" s="85">
        <f>50</f>
        <v>50</v>
      </c>
      <c r="U286" s="83"/>
      <c r="V286" s="83"/>
      <c r="W286" s="83"/>
      <c r="X286" s="83"/>
      <c r="Y286" s="83"/>
      <c r="Z286" s="83"/>
      <c r="AA286" s="83"/>
      <c r="AB286" s="83"/>
      <c r="AC286" s="83"/>
      <c r="AD286" s="83"/>
    </row>
    <row r="287" spans="1:30" ht="15.75" x14ac:dyDescent="0.25">
      <c r="A287" s="16">
        <v>49279</v>
      </c>
      <c r="B287" s="96">
        <v>31</v>
      </c>
      <c r="C287" s="85">
        <f>122.58</f>
        <v>122.58</v>
      </c>
      <c r="D287" s="85">
        <f>297.941</f>
        <v>297.94099999999997</v>
      </c>
      <c r="E287" s="92">
        <f>89.177</f>
        <v>89.177000000000007</v>
      </c>
      <c r="F287" s="85">
        <f>240.302-40-60</f>
        <v>140.30199999999999</v>
      </c>
      <c r="G287" s="87">
        <v>40</v>
      </c>
      <c r="H287" s="85">
        <v>60</v>
      </c>
      <c r="I287" s="85">
        <f t="shared" si="43"/>
        <v>0</v>
      </c>
      <c r="J287" s="87">
        <v>100</v>
      </c>
      <c r="K287" s="87">
        <v>300</v>
      </c>
      <c r="L287" s="85">
        <f t="shared" si="46"/>
        <v>1150</v>
      </c>
      <c r="M287" s="86"/>
      <c r="N287" s="85">
        <f>100</f>
        <v>100</v>
      </c>
      <c r="O287" s="87">
        <v>240</v>
      </c>
      <c r="P287" s="87">
        <v>40</v>
      </c>
      <c r="Q287" s="87">
        <f t="shared" si="47"/>
        <v>315</v>
      </c>
      <c r="R287" s="87">
        <f t="shared" si="48"/>
        <v>100</v>
      </c>
      <c r="S287" s="85">
        <f t="shared" si="49"/>
        <v>695</v>
      </c>
      <c r="T287" s="85">
        <f>50</f>
        <v>50</v>
      </c>
      <c r="U287" s="83"/>
      <c r="V287" s="83"/>
      <c r="W287" s="83"/>
      <c r="X287" s="83"/>
      <c r="Y287" s="83"/>
      <c r="Z287" s="83"/>
      <c r="AA287" s="83"/>
      <c r="AB287" s="83"/>
      <c r="AC287" s="83"/>
      <c r="AD287" s="83"/>
    </row>
    <row r="288" spans="1:30" ht="15.75" x14ac:dyDescent="0.25">
      <c r="A288" s="16">
        <v>49310</v>
      </c>
      <c r="B288" s="96">
        <v>31</v>
      </c>
      <c r="C288" s="85">
        <f>122.58</f>
        <v>122.58</v>
      </c>
      <c r="D288" s="85">
        <f>297.941</f>
        <v>297.94099999999997</v>
      </c>
      <c r="E288" s="92">
        <f>89.177</f>
        <v>89.177000000000007</v>
      </c>
      <c r="F288" s="85">
        <f>240.302-40-60</f>
        <v>140.30199999999999</v>
      </c>
      <c r="G288" s="87">
        <v>40</v>
      </c>
      <c r="H288" s="85">
        <v>60</v>
      </c>
      <c r="I288" s="85">
        <f t="shared" si="43"/>
        <v>0</v>
      </c>
      <c r="J288" s="87">
        <v>100</v>
      </c>
      <c r="K288" s="87">
        <v>300</v>
      </c>
      <c r="L288" s="85">
        <f t="shared" si="46"/>
        <v>1150</v>
      </c>
      <c r="M288" s="86"/>
      <c r="N288" s="85">
        <f>100</f>
        <v>100</v>
      </c>
      <c r="O288" s="87">
        <v>240</v>
      </c>
      <c r="P288" s="87">
        <v>40</v>
      </c>
      <c r="Q288" s="87">
        <f t="shared" si="47"/>
        <v>315</v>
      </c>
      <c r="R288" s="87">
        <f t="shared" si="48"/>
        <v>100</v>
      </c>
      <c r="S288" s="85">
        <f t="shared" si="49"/>
        <v>695</v>
      </c>
      <c r="T288" s="85">
        <f>50</f>
        <v>50</v>
      </c>
      <c r="U288" s="83"/>
      <c r="V288" s="83"/>
      <c r="W288" s="83"/>
      <c r="X288" s="83"/>
      <c r="Y288" s="83"/>
      <c r="Z288" s="83"/>
      <c r="AA288" s="83"/>
      <c r="AB288" s="83"/>
      <c r="AC288" s="83"/>
      <c r="AD288" s="83"/>
    </row>
    <row r="289" spans="1:30" ht="15.75" x14ac:dyDescent="0.25">
      <c r="A289" s="16">
        <v>49341</v>
      </c>
      <c r="B289" s="96">
        <v>28</v>
      </c>
      <c r="C289" s="85">
        <f>122.58</f>
        <v>122.58</v>
      </c>
      <c r="D289" s="85">
        <f>297.941</f>
        <v>297.94099999999997</v>
      </c>
      <c r="E289" s="92">
        <f>89.177</f>
        <v>89.177000000000007</v>
      </c>
      <c r="F289" s="85">
        <f>240.302-40-60</f>
        <v>140.30199999999999</v>
      </c>
      <c r="G289" s="87">
        <v>40</v>
      </c>
      <c r="H289" s="85">
        <v>60</v>
      </c>
      <c r="I289" s="85">
        <f t="shared" si="43"/>
        <v>0</v>
      </c>
      <c r="J289" s="87">
        <v>100</v>
      </c>
      <c r="K289" s="87">
        <v>300</v>
      </c>
      <c r="L289" s="85">
        <f t="shared" si="46"/>
        <v>1150</v>
      </c>
      <c r="M289" s="86"/>
      <c r="N289" s="85">
        <f>100</f>
        <v>100</v>
      </c>
      <c r="O289" s="87">
        <v>240</v>
      </c>
      <c r="P289" s="87">
        <v>40</v>
      </c>
      <c r="Q289" s="87">
        <f t="shared" si="47"/>
        <v>315</v>
      </c>
      <c r="R289" s="87">
        <f t="shared" si="48"/>
        <v>100</v>
      </c>
      <c r="S289" s="85">
        <f t="shared" si="49"/>
        <v>695</v>
      </c>
      <c r="T289" s="85">
        <f>50</f>
        <v>50</v>
      </c>
      <c r="U289" s="83"/>
      <c r="V289" s="83"/>
      <c r="W289" s="83"/>
      <c r="X289" s="83"/>
      <c r="Y289" s="83"/>
      <c r="Z289" s="83"/>
      <c r="AA289" s="83"/>
      <c r="AB289" s="83"/>
      <c r="AC289" s="83"/>
      <c r="AD289" s="83"/>
    </row>
    <row r="290" spans="1:30" ht="15.75" x14ac:dyDescent="0.25">
      <c r="A290" s="16">
        <v>49369</v>
      </c>
      <c r="B290" s="96">
        <v>31</v>
      </c>
      <c r="C290" s="85">
        <f>122.58</f>
        <v>122.58</v>
      </c>
      <c r="D290" s="85">
        <f>297.941</f>
        <v>297.94099999999997</v>
      </c>
      <c r="E290" s="92">
        <f>89.177</f>
        <v>89.177000000000007</v>
      </c>
      <c r="F290" s="85">
        <f>240.302-40-60</f>
        <v>140.30199999999999</v>
      </c>
      <c r="G290" s="87">
        <v>40</v>
      </c>
      <c r="H290" s="85">
        <v>60</v>
      </c>
      <c r="I290" s="85">
        <f t="shared" si="43"/>
        <v>0</v>
      </c>
      <c r="J290" s="87">
        <v>100</v>
      </c>
      <c r="K290" s="87">
        <v>300</v>
      </c>
      <c r="L290" s="85">
        <f t="shared" si="46"/>
        <v>1150</v>
      </c>
      <c r="M290" s="86"/>
      <c r="N290" s="85">
        <f>100</f>
        <v>100</v>
      </c>
      <c r="O290" s="87">
        <v>240</v>
      </c>
      <c r="P290" s="87">
        <v>40</v>
      </c>
      <c r="Q290" s="87">
        <f t="shared" si="47"/>
        <v>315</v>
      </c>
      <c r="R290" s="87">
        <f t="shared" si="48"/>
        <v>100</v>
      </c>
      <c r="S290" s="85">
        <f t="shared" si="49"/>
        <v>695</v>
      </c>
      <c r="T290" s="85">
        <f>50</f>
        <v>50</v>
      </c>
      <c r="U290" s="83"/>
      <c r="V290" s="83"/>
      <c r="W290" s="83"/>
      <c r="X290" s="83"/>
      <c r="Y290" s="83"/>
      <c r="Z290" s="83"/>
      <c r="AA290" s="83"/>
      <c r="AB290" s="83"/>
      <c r="AC290" s="83"/>
      <c r="AD290" s="83"/>
    </row>
    <row r="291" spans="1:30" ht="15.75" x14ac:dyDescent="0.25">
      <c r="A291" s="16">
        <v>49400</v>
      </c>
      <c r="B291" s="96">
        <v>30</v>
      </c>
      <c r="C291" s="85">
        <f>141.293</f>
        <v>141.29300000000001</v>
      </c>
      <c r="D291" s="85">
        <f>267.993</f>
        <v>267.99299999999999</v>
      </c>
      <c r="E291" s="92">
        <f>115.016</f>
        <v>115.01600000000001</v>
      </c>
      <c r="F291" s="85">
        <f>314.698-40-25-60</f>
        <v>189.69799999999998</v>
      </c>
      <c r="G291" s="87">
        <v>40</v>
      </c>
      <c r="H291" s="85">
        <f t="shared" ref="H291:H297" si="50">25+60</f>
        <v>85</v>
      </c>
      <c r="I291" s="85">
        <f t="shared" si="43"/>
        <v>0</v>
      </c>
      <c r="J291" s="87">
        <v>100</v>
      </c>
      <c r="K291" s="87">
        <v>300</v>
      </c>
      <c r="L291" s="85">
        <f t="shared" si="46"/>
        <v>1239</v>
      </c>
      <c r="M291" s="86"/>
      <c r="N291" s="85">
        <f>100</f>
        <v>100</v>
      </c>
      <c r="O291" s="87">
        <v>240</v>
      </c>
      <c r="P291" s="87">
        <v>160</v>
      </c>
      <c r="Q291" s="87">
        <f t="shared" si="47"/>
        <v>195</v>
      </c>
      <c r="R291" s="87">
        <f t="shared" si="48"/>
        <v>100</v>
      </c>
      <c r="S291" s="85">
        <f t="shared" si="49"/>
        <v>695</v>
      </c>
      <c r="T291" s="85">
        <f>50</f>
        <v>50</v>
      </c>
      <c r="U291" s="83"/>
      <c r="V291" s="83"/>
      <c r="W291" s="83"/>
      <c r="X291" s="83"/>
      <c r="Y291" s="83"/>
      <c r="Z291" s="83"/>
      <c r="AA291" s="83"/>
      <c r="AB291" s="83"/>
      <c r="AC291" s="83"/>
      <c r="AD291" s="83"/>
    </row>
    <row r="292" spans="1:30" ht="15.75" x14ac:dyDescent="0.25">
      <c r="A292" s="16">
        <v>49430</v>
      </c>
      <c r="B292" s="96">
        <v>31</v>
      </c>
      <c r="C292" s="85">
        <f>194.205</f>
        <v>194.20500000000001</v>
      </c>
      <c r="D292" s="85">
        <f>267.466</f>
        <v>267.46600000000001</v>
      </c>
      <c r="E292" s="92">
        <f>133.845</f>
        <v>133.845</v>
      </c>
      <c r="F292" s="85">
        <f>278.484-40-25-60</f>
        <v>153.48399999999998</v>
      </c>
      <c r="G292" s="87">
        <v>40</v>
      </c>
      <c r="H292" s="85">
        <f t="shared" si="50"/>
        <v>85</v>
      </c>
      <c r="I292" s="85">
        <f t="shared" si="43"/>
        <v>0</v>
      </c>
      <c r="J292" s="87">
        <v>100</v>
      </c>
      <c r="K292" s="87">
        <v>300</v>
      </c>
      <c r="L292" s="85">
        <f t="shared" si="46"/>
        <v>1274</v>
      </c>
      <c r="M292" s="86"/>
      <c r="N292" s="85">
        <f>75</f>
        <v>75</v>
      </c>
      <c r="O292" s="87">
        <v>240</v>
      </c>
      <c r="P292" s="87">
        <v>160</v>
      </c>
      <c r="Q292" s="87">
        <f t="shared" si="47"/>
        <v>195</v>
      </c>
      <c r="R292" s="87">
        <f t="shared" si="48"/>
        <v>100</v>
      </c>
      <c r="S292" s="85">
        <f t="shared" si="49"/>
        <v>695</v>
      </c>
      <c r="T292" s="85">
        <f>50</f>
        <v>50</v>
      </c>
      <c r="U292" s="83"/>
      <c r="V292" s="83"/>
      <c r="W292" s="83"/>
      <c r="X292" s="83"/>
      <c r="Y292" s="83"/>
      <c r="Z292" s="83"/>
      <c r="AA292" s="83"/>
      <c r="AB292" s="83"/>
      <c r="AC292" s="83"/>
      <c r="AD292" s="83"/>
    </row>
    <row r="293" spans="1:30" ht="15.75" x14ac:dyDescent="0.25">
      <c r="A293" s="15">
        <v>49461</v>
      </c>
      <c r="B293" s="96">
        <v>30</v>
      </c>
      <c r="C293" s="85">
        <f>194.205</f>
        <v>194.20500000000001</v>
      </c>
      <c r="D293" s="85">
        <f>267.466</f>
        <v>267.46600000000001</v>
      </c>
      <c r="E293" s="92">
        <f>133.845</f>
        <v>133.845</v>
      </c>
      <c r="F293" s="85">
        <f>278.484-40-25-60</f>
        <v>153.48399999999998</v>
      </c>
      <c r="G293" s="87">
        <v>40</v>
      </c>
      <c r="H293" s="85">
        <f t="shared" si="50"/>
        <v>85</v>
      </c>
      <c r="I293" s="85">
        <f t="shared" si="43"/>
        <v>0</v>
      </c>
      <c r="J293" s="87">
        <v>100</v>
      </c>
      <c r="K293" s="87">
        <v>300</v>
      </c>
      <c r="L293" s="85">
        <f t="shared" si="46"/>
        <v>1274</v>
      </c>
      <c r="M293" s="86"/>
      <c r="N293" s="85">
        <f>30</f>
        <v>30</v>
      </c>
      <c r="O293" s="87">
        <v>240</v>
      </c>
      <c r="P293" s="87">
        <v>160</v>
      </c>
      <c r="Q293" s="87">
        <f t="shared" si="47"/>
        <v>195</v>
      </c>
      <c r="R293" s="87">
        <f t="shared" si="48"/>
        <v>100</v>
      </c>
      <c r="S293" s="85">
        <f t="shared" si="49"/>
        <v>695</v>
      </c>
      <c r="T293" s="85">
        <f>50</f>
        <v>50</v>
      </c>
      <c r="U293" s="83"/>
      <c r="V293" s="83"/>
      <c r="W293" s="83"/>
      <c r="X293" s="83"/>
      <c r="Y293" s="83"/>
      <c r="Z293" s="83"/>
      <c r="AA293" s="83"/>
      <c r="AB293" s="83"/>
      <c r="AC293" s="83"/>
      <c r="AD293" s="83"/>
    </row>
    <row r="294" spans="1:30" ht="15.75" x14ac:dyDescent="0.25">
      <c r="A294" s="15">
        <v>49491</v>
      </c>
      <c r="B294" s="96">
        <v>31</v>
      </c>
      <c r="C294" s="85">
        <f>194.205</f>
        <v>194.20500000000001</v>
      </c>
      <c r="D294" s="85">
        <f>267.466</f>
        <v>267.46600000000001</v>
      </c>
      <c r="E294" s="92">
        <f>133.845</f>
        <v>133.845</v>
      </c>
      <c r="F294" s="85">
        <f>278.484-40-25-60</f>
        <v>153.48399999999998</v>
      </c>
      <c r="G294" s="87">
        <v>40</v>
      </c>
      <c r="H294" s="85">
        <f t="shared" si="50"/>
        <v>85</v>
      </c>
      <c r="I294" s="85">
        <f t="shared" si="43"/>
        <v>0</v>
      </c>
      <c r="J294" s="87">
        <v>100</v>
      </c>
      <c r="K294" s="87">
        <v>300</v>
      </c>
      <c r="L294" s="85">
        <f t="shared" si="46"/>
        <v>1274</v>
      </c>
      <c r="M294" s="86"/>
      <c r="N294" s="85">
        <f>30</f>
        <v>30</v>
      </c>
      <c r="O294" s="87">
        <v>240</v>
      </c>
      <c r="P294" s="87">
        <v>160</v>
      </c>
      <c r="Q294" s="87">
        <f t="shared" si="47"/>
        <v>195</v>
      </c>
      <c r="R294" s="87">
        <f t="shared" si="48"/>
        <v>100</v>
      </c>
      <c r="S294" s="85">
        <f t="shared" si="49"/>
        <v>695</v>
      </c>
      <c r="T294" s="85">
        <f>0</f>
        <v>0</v>
      </c>
      <c r="U294" s="83"/>
      <c r="V294" s="83"/>
      <c r="W294" s="83"/>
      <c r="X294" s="83"/>
      <c r="Y294" s="83"/>
      <c r="Z294" s="83"/>
      <c r="AA294" s="83"/>
      <c r="AB294" s="83"/>
      <c r="AC294" s="83"/>
      <c r="AD294" s="83"/>
    </row>
    <row r="295" spans="1:30" ht="15.75" x14ac:dyDescent="0.25">
      <c r="A295" s="15">
        <v>49522</v>
      </c>
      <c r="B295" s="96">
        <v>31</v>
      </c>
      <c r="C295" s="85">
        <f>194.205</f>
        <v>194.20500000000001</v>
      </c>
      <c r="D295" s="85">
        <f>267.466</f>
        <v>267.46600000000001</v>
      </c>
      <c r="E295" s="92">
        <f>133.845</f>
        <v>133.845</v>
      </c>
      <c r="F295" s="85">
        <f>278.484-40-25-60</f>
        <v>153.48399999999998</v>
      </c>
      <c r="G295" s="87">
        <v>40</v>
      </c>
      <c r="H295" s="85">
        <f t="shared" si="50"/>
        <v>85</v>
      </c>
      <c r="I295" s="85">
        <f t="shared" si="43"/>
        <v>0</v>
      </c>
      <c r="J295" s="87">
        <v>100</v>
      </c>
      <c r="K295" s="87">
        <v>300</v>
      </c>
      <c r="L295" s="85">
        <f t="shared" si="46"/>
        <v>1274</v>
      </c>
      <c r="M295" s="86"/>
      <c r="N295" s="85">
        <f>30</f>
        <v>30</v>
      </c>
      <c r="O295" s="87">
        <v>240</v>
      </c>
      <c r="P295" s="87">
        <v>160</v>
      </c>
      <c r="Q295" s="87">
        <f t="shared" si="47"/>
        <v>195</v>
      </c>
      <c r="R295" s="87">
        <f t="shared" si="48"/>
        <v>100</v>
      </c>
      <c r="S295" s="85">
        <f t="shared" si="49"/>
        <v>695</v>
      </c>
      <c r="T295" s="85">
        <f>0</f>
        <v>0</v>
      </c>
      <c r="U295" s="83"/>
      <c r="V295" s="83"/>
      <c r="W295" s="83"/>
      <c r="X295" s="83"/>
      <c r="Y295" s="83"/>
      <c r="Z295" s="83"/>
      <c r="AA295" s="83"/>
      <c r="AB295" s="83"/>
      <c r="AC295" s="83"/>
      <c r="AD295" s="83"/>
    </row>
    <row r="296" spans="1:30" ht="15.75" x14ac:dyDescent="0.25">
      <c r="A296" s="15">
        <v>49553</v>
      </c>
      <c r="B296" s="96">
        <v>30</v>
      </c>
      <c r="C296" s="85">
        <f>194.205</f>
        <v>194.20500000000001</v>
      </c>
      <c r="D296" s="85">
        <f>267.466</f>
        <v>267.46600000000001</v>
      </c>
      <c r="E296" s="92">
        <f>133.845</f>
        <v>133.845</v>
      </c>
      <c r="F296" s="85">
        <f>278.484-40-25-60</f>
        <v>153.48399999999998</v>
      </c>
      <c r="G296" s="87">
        <v>40</v>
      </c>
      <c r="H296" s="85">
        <f t="shared" si="50"/>
        <v>85</v>
      </c>
      <c r="I296" s="85">
        <f t="shared" si="43"/>
        <v>0</v>
      </c>
      <c r="J296" s="87">
        <v>100</v>
      </c>
      <c r="K296" s="87">
        <v>300</v>
      </c>
      <c r="L296" s="85">
        <f t="shared" si="46"/>
        <v>1274</v>
      </c>
      <c r="M296" s="86"/>
      <c r="N296" s="85">
        <f>30</f>
        <v>30</v>
      </c>
      <c r="O296" s="87">
        <v>240</v>
      </c>
      <c r="P296" s="87">
        <v>160</v>
      </c>
      <c r="Q296" s="87">
        <f t="shared" si="47"/>
        <v>195</v>
      </c>
      <c r="R296" s="87">
        <f t="shared" si="48"/>
        <v>100</v>
      </c>
      <c r="S296" s="85">
        <f t="shared" si="49"/>
        <v>695</v>
      </c>
      <c r="T296" s="85">
        <f>0</f>
        <v>0</v>
      </c>
      <c r="U296" s="83"/>
      <c r="V296" s="83"/>
      <c r="W296" s="83"/>
      <c r="X296" s="83"/>
      <c r="Y296" s="83"/>
      <c r="Z296" s="83"/>
      <c r="AA296" s="83"/>
      <c r="AB296" s="83"/>
      <c r="AC296" s="83"/>
      <c r="AD296" s="83"/>
    </row>
    <row r="297" spans="1:30" ht="15.75" x14ac:dyDescent="0.25">
      <c r="A297" s="15">
        <v>49583</v>
      </c>
      <c r="B297" s="96">
        <v>31</v>
      </c>
      <c r="C297" s="85">
        <f>131.881</f>
        <v>131.881</v>
      </c>
      <c r="D297" s="85">
        <f>277.167</f>
        <v>277.16699999999997</v>
      </c>
      <c r="E297" s="92">
        <f>79.08</f>
        <v>79.08</v>
      </c>
      <c r="F297" s="85">
        <f>350.872-40-25-60</f>
        <v>225.87200000000001</v>
      </c>
      <c r="G297" s="87">
        <v>40</v>
      </c>
      <c r="H297" s="85">
        <f t="shared" si="50"/>
        <v>85</v>
      </c>
      <c r="I297" s="85">
        <f t="shared" si="43"/>
        <v>0</v>
      </c>
      <c r="J297" s="87">
        <v>100</v>
      </c>
      <c r="K297" s="87">
        <v>300</v>
      </c>
      <c r="L297" s="85">
        <f t="shared" si="46"/>
        <v>1239</v>
      </c>
      <c r="M297" s="86"/>
      <c r="N297" s="85">
        <f>75</f>
        <v>75</v>
      </c>
      <c r="O297" s="87">
        <v>240</v>
      </c>
      <c r="P297" s="87">
        <v>160</v>
      </c>
      <c r="Q297" s="87">
        <f t="shared" si="47"/>
        <v>195</v>
      </c>
      <c r="R297" s="87">
        <f t="shared" si="48"/>
        <v>100</v>
      </c>
      <c r="S297" s="85">
        <f t="shared" si="49"/>
        <v>695</v>
      </c>
      <c r="T297" s="85">
        <f>0</f>
        <v>0</v>
      </c>
      <c r="U297" s="83"/>
      <c r="V297" s="83"/>
      <c r="W297" s="83"/>
      <c r="X297" s="83"/>
      <c r="Y297" s="83"/>
      <c r="Z297" s="83"/>
      <c r="AA297" s="83"/>
      <c r="AB297" s="83"/>
      <c r="AC297" s="83"/>
      <c r="AD297" s="83"/>
    </row>
    <row r="298" spans="1:30" ht="15.75" x14ac:dyDescent="0.25">
      <c r="A298" s="15">
        <v>49614</v>
      </c>
      <c r="B298" s="96">
        <v>30</v>
      </c>
      <c r="C298" s="85">
        <f>122.58</f>
        <v>122.58</v>
      </c>
      <c r="D298" s="85">
        <f>297.941</f>
        <v>297.94099999999997</v>
      </c>
      <c r="E298" s="92">
        <f>89.177</f>
        <v>89.177000000000007</v>
      </c>
      <c r="F298" s="85">
        <f>240.302-40-60</f>
        <v>140.30199999999999</v>
      </c>
      <c r="G298" s="87">
        <v>40</v>
      </c>
      <c r="H298" s="85">
        <v>60</v>
      </c>
      <c r="I298" s="85">
        <f t="shared" si="43"/>
        <v>0</v>
      </c>
      <c r="J298" s="87">
        <v>100</v>
      </c>
      <c r="K298" s="87">
        <v>300</v>
      </c>
      <c r="L298" s="85">
        <f t="shared" si="46"/>
        <v>1150</v>
      </c>
      <c r="M298" s="86"/>
      <c r="N298" s="85">
        <f>100</f>
        <v>100</v>
      </c>
      <c r="O298" s="87">
        <v>240</v>
      </c>
      <c r="P298" s="87">
        <v>40</v>
      </c>
      <c r="Q298" s="87">
        <f t="shared" si="47"/>
        <v>315</v>
      </c>
      <c r="R298" s="87">
        <f t="shared" si="48"/>
        <v>100</v>
      </c>
      <c r="S298" s="85">
        <f t="shared" si="49"/>
        <v>695</v>
      </c>
      <c r="T298" s="85">
        <f>50</f>
        <v>50</v>
      </c>
      <c r="U298" s="83"/>
      <c r="V298" s="83"/>
      <c r="W298" s="83"/>
      <c r="X298" s="83"/>
      <c r="Y298" s="83"/>
      <c r="Z298" s="83"/>
      <c r="AA298" s="83"/>
      <c r="AB298" s="83"/>
      <c r="AC298" s="83"/>
      <c r="AD298" s="83"/>
    </row>
    <row r="299" spans="1:30" ht="15.75" x14ac:dyDescent="0.25">
      <c r="A299" s="15">
        <v>49644</v>
      </c>
      <c r="B299" s="96">
        <v>31</v>
      </c>
      <c r="C299" s="85">
        <f>122.58</f>
        <v>122.58</v>
      </c>
      <c r="D299" s="85">
        <f>297.941</f>
        <v>297.94099999999997</v>
      </c>
      <c r="E299" s="92">
        <f>89.177</f>
        <v>89.177000000000007</v>
      </c>
      <c r="F299" s="85">
        <f>240.302-40-60</f>
        <v>140.30199999999999</v>
      </c>
      <c r="G299" s="87">
        <v>40</v>
      </c>
      <c r="H299" s="85">
        <v>60</v>
      </c>
      <c r="I299" s="85">
        <f t="shared" si="43"/>
        <v>0</v>
      </c>
      <c r="J299" s="87">
        <v>100</v>
      </c>
      <c r="K299" s="87">
        <v>300</v>
      </c>
      <c r="L299" s="85">
        <f t="shared" si="46"/>
        <v>1150</v>
      </c>
      <c r="M299" s="86"/>
      <c r="N299" s="85">
        <f>100</f>
        <v>100</v>
      </c>
      <c r="O299" s="87">
        <v>240</v>
      </c>
      <c r="P299" s="87">
        <v>40</v>
      </c>
      <c r="Q299" s="87">
        <f t="shared" si="47"/>
        <v>315</v>
      </c>
      <c r="R299" s="87">
        <f t="shared" si="48"/>
        <v>100</v>
      </c>
      <c r="S299" s="85">
        <f t="shared" si="49"/>
        <v>695</v>
      </c>
      <c r="T299" s="85">
        <f>50</f>
        <v>50</v>
      </c>
      <c r="U299" s="83"/>
      <c r="V299" s="83"/>
      <c r="W299" s="83"/>
      <c r="X299" s="83"/>
      <c r="Y299" s="83"/>
      <c r="Z299" s="83"/>
      <c r="AA299" s="83"/>
      <c r="AB299" s="83"/>
      <c r="AC299" s="83"/>
      <c r="AD299" s="83"/>
    </row>
    <row r="300" spans="1:30" ht="15.75" x14ac:dyDescent="0.25">
      <c r="A300" s="15">
        <v>49675</v>
      </c>
      <c r="B300" s="96">
        <v>31</v>
      </c>
      <c r="C300" s="85">
        <f>122.58</f>
        <v>122.58</v>
      </c>
      <c r="D300" s="85">
        <f>297.941</f>
        <v>297.94099999999997</v>
      </c>
      <c r="E300" s="92">
        <f>89.177</f>
        <v>89.177000000000007</v>
      </c>
      <c r="F300" s="85">
        <f>240.302-40-60</f>
        <v>140.30199999999999</v>
      </c>
      <c r="G300" s="87">
        <v>40</v>
      </c>
      <c r="H300" s="85">
        <v>60</v>
      </c>
      <c r="I300" s="85">
        <f t="shared" si="43"/>
        <v>0</v>
      </c>
      <c r="J300" s="87">
        <v>100</v>
      </c>
      <c r="K300" s="87">
        <v>300</v>
      </c>
      <c r="L300" s="85">
        <f t="shared" si="46"/>
        <v>1150</v>
      </c>
      <c r="M300" s="86"/>
      <c r="N300" s="85">
        <f>100</f>
        <v>100</v>
      </c>
      <c r="O300" s="87">
        <v>240</v>
      </c>
      <c r="P300" s="87">
        <v>40</v>
      </c>
      <c r="Q300" s="87">
        <f t="shared" si="47"/>
        <v>315</v>
      </c>
      <c r="R300" s="87">
        <f t="shared" si="48"/>
        <v>100</v>
      </c>
      <c r="S300" s="85">
        <f t="shared" si="49"/>
        <v>695</v>
      </c>
      <c r="T300" s="85">
        <f>50</f>
        <v>50</v>
      </c>
      <c r="U300" s="83"/>
      <c r="V300" s="83"/>
      <c r="W300" s="83"/>
      <c r="X300" s="83"/>
      <c r="Y300" s="83"/>
      <c r="Z300" s="83"/>
      <c r="AA300" s="83"/>
      <c r="AB300" s="83"/>
      <c r="AC300" s="83"/>
      <c r="AD300" s="83"/>
    </row>
    <row r="301" spans="1:30" ht="15.75" x14ac:dyDescent="0.25">
      <c r="A301" s="15">
        <v>49706</v>
      </c>
      <c r="B301" s="96">
        <v>29</v>
      </c>
      <c r="C301" s="85">
        <f>122.58</f>
        <v>122.58</v>
      </c>
      <c r="D301" s="85">
        <f>297.941</f>
        <v>297.94099999999997</v>
      </c>
      <c r="E301" s="92">
        <f>89.177</f>
        <v>89.177000000000007</v>
      </c>
      <c r="F301" s="85">
        <f>240.302-40-60</f>
        <v>140.30199999999999</v>
      </c>
      <c r="G301" s="87">
        <v>40</v>
      </c>
      <c r="H301" s="85">
        <v>60</v>
      </c>
      <c r="I301" s="85">
        <f t="shared" si="43"/>
        <v>0</v>
      </c>
      <c r="J301" s="87">
        <v>100</v>
      </c>
      <c r="K301" s="87">
        <v>300</v>
      </c>
      <c r="L301" s="85">
        <f t="shared" si="46"/>
        <v>1150</v>
      </c>
      <c r="M301" s="86"/>
      <c r="N301" s="85">
        <f>100</f>
        <v>100</v>
      </c>
      <c r="O301" s="87">
        <v>240</v>
      </c>
      <c r="P301" s="87">
        <v>40</v>
      </c>
      <c r="Q301" s="87">
        <f t="shared" si="47"/>
        <v>315</v>
      </c>
      <c r="R301" s="87">
        <f t="shared" si="48"/>
        <v>100</v>
      </c>
      <c r="S301" s="85">
        <f t="shared" si="49"/>
        <v>695</v>
      </c>
      <c r="T301" s="85">
        <f>50</f>
        <v>50</v>
      </c>
      <c r="U301" s="83"/>
      <c r="V301" s="83"/>
      <c r="W301" s="83"/>
      <c r="X301" s="83"/>
      <c r="Y301" s="83"/>
      <c r="Z301" s="83"/>
      <c r="AA301" s="83"/>
      <c r="AB301" s="83"/>
      <c r="AC301" s="83"/>
      <c r="AD301" s="83"/>
    </row>
    <row r="302" spans="1:30" ht="15.75" x14ac:dyDescent="0.25">
      <c r="A302" s="15">
        <v>49735</v>
      </c>
      <c r="B302" s="96">
        <v>31</v>
      </c>
      <c r="C302" s="85">
        <f>122.58</f>
        <v>122.58</v>
      </c>
      <c r="D302" s="85">
        <f>297.941</f>
        <v>297.94099999999997</v>
      </c>
      <c r="E302" s="92">
        <f>89.177</f>
        <v>89.177000000000007</v>
      </c>
      <c r="F302" s="85">
        <f>240.302-40-60</f>
        <v>140.30199999999999</v>
      </c>
      <c r="G302" s="87">
        <v>40</v>
      </c>
      <c r="H302" s="85">
        <v>60</v>
      </c>
      <c r="I302" s="85">
        <f t="shared" si="43"/>
        <v>0</v>
      </c>
      <c r="J302" s="87">
        <v>100</v>
      </c>
      <c r="K302" s="87">
        <v>300</v>
      </c>
      <c r="L302" s="85">
        <f t="shared" si="46"/>
        <v>1150</v>
      </c>
      <c r="M302" s="86"/>
      <c r="N302" s="85">
        <f>100</f>
        <v>100</v>
      </c>
      <c r="O302" s="87">
        <v>240</v>
      </c>
      <c r="P302" s="87">
        <v>40</v>
      </c>
      <c r="Q302" s="87">
        <f t="shared" si="47"/>
        <v>315</v>
      </c>
      <c r="R302" s="87">
        <f t="shared" si="48"/>
        <v>100</v>
      </c>
      <c r="S302" s="85">
        <f t="shared" si="49"/>
        <v>695</v>
      </c>
      <c r="T302" s="85">
        <f>50</f>
        <v>50</v>
      </c>
      <c r="U302" s="83"/>
      <c r="V302" s="83"/>
      <c r="W302" s="83"/>
      <c r="X302" s="83"/>
      <c r="Y302" s="83"/>
      <c r="Z302" s="83"/>
      <c r="AA302" s="83"/>
      <c r="AB302" s="83"/>
      <c r="AC302" s="83"/>
      <c r="AD302" s="83"/>
    </row>
    <row r="303" spans="1:30" ht="15.75" x14ac:dyDescent="0.25">
      <c r="A303" s="15">
        <v>49766</v>
      </c>
      <c r="B303" s="96">
        <v>30</v>
      </c>
      <c r="C303" s="85">
        <f>141.293</f>
        <v>141.29300000000001</v>
      </c>
      <c r="D303" s="85">
        <f>267.993</f>
        <v>267.99299999999999</v>
      </c>
      <c r="E303" s="92">
        <f>115.016</f>
        <v>115.01600000000001</v>
      </c>
      <c r="F303" s="85">
        <f>314.698-40-25-60</f>
        <v>189.69799999999998</v>
      </c>
      <c r="G303" s="87">
        <v>40</v>
      </c>
      <c r="H303" s="85">
        <f t="shared" ref="H303:H309" si="51">25+60</f>
        <v>85</v>
      </c>
      <c r="I303" s="85">
        <f t="shared" si="43"/>
        <v>0</v>
      </c>
      <c r="J303" s="87">
        <v>100</v>
      </c>
      <c r="K303" s="87">
        <v>300</v>
      </c>
      <c r="L303" s="85">
        <f t="shared" si="46"/>
        <v>1239</v>
      </c>
      <c r="M303" s="86"/>
      <c r="N303" s="85">
        <f>100</f>
        <v>100</v>
      </c>
      <c r="O303" s="87">
        <v>240</v>
      </c>
      <c r="P303" s="87">
        <v>160</v>
      </c>
      <c r="Q303" s="87">
        <f t="shared" si="47"/>
        <v>195</v>
      </c>
      <c r="R303" s="87">
        <f t="shared" si="48"/>
        <v>100</v>
      </c>
      <c r="S303" s="85">
        <f t="shared" si="49"/>
        <v>695</v>
      </c>
      <c r="T303" s="85">
        <f>50</f>
        <v>50</v>
      </c>
      <c r="U303" s="83"/>
      <c r="V303" s="83"/>
      <c r="W303" s="83"/>
      <c r="X303" s="83"/>
      <c r="Y303" s="83"/>
      <c r="Z303" s="83"/>
      <c r="AA303" s="83"/>
      <c r="AB303" s="83"/>
      <c r="AC303" s="83"/>
      <c r="AD303" s="83"/>
    </row>
    <row r="304" spans="1:30" ht="15.75" x14ac:dyDescent="0.25">
      <c r="A304" s="15">
        <v>49796</v>
      </c>
      <c r="B304" s="96">
        <v>31</v>
      </c>
      <c r="C304" s="85">
        <f>194.205</f>
        <v>194.20500000000001</v>
      </c>
      <c r="D304" s="85">
        <f>267.466</f>
        <v>267.46600000000001</v>
      </c>
      <c r="E304" s="92">
        <f>133.845</f>
        <v>133.845</v>
      </c>
      <c r="F304" s="85">
        <f>278.484-40-25-60</f>
        <v>153.48399999999998</v>
      </c>
      <c r="G304" s="87">
        <v>40</v>
      </c>
      <c r="H304" s="85">
        <f t="shared" si="51"/>
        <v>85</v>
      </c>
      <c r="I304" s="85">
        <f t="shared" si="43"/>
        <v>0</v>
      </c>
      <c r="J304" s="87">
        <v>100</v>
      </c>
      <c r="K304" s="87">
        <v>300</v>
      </c>
      <c r="L304" s="85">
        <f t="shared" si="46"/>
        <v>1274</v>
      </c>
      <c r="M304" s="86"/>
      <c r="N304" s="85">
        <f>75</f>
        <v>75</v>
      </c>
      <c r="O304" s="87">
        <v>240</v>
      </c>
      <c r="P304" s="87">
        <v>160</v>
      </c>
      <c r="Q304" s="87">
        <f t="shared" si="47"/>
        <v>195</v>
      </c>
      <c r="R304" s="87">
        <f t="shared" si="48"/>
        <v>100</v>
      </c>
      <c r="S304" s="85">
        <f t="shared" si="49"/>
        <v>695</v>
      </c>
      <c r="T304" s="85">
        <f>50</f>
        <v>50</v>
      </c>
      <c r="U304" s="83"/>
      <c r="V304" s="83"/>
      <c r="W304" s="83"/>
      <c r="X304" s="83"/>
      <c r="Y304" s="83"/>
      <c r="Z304" s="83"/>
      <c r="AA304" s="83"/>
      <c r="AB304" s="83"/>
      <c r="AC304" s="83"/>
      <c r="AD304" s="83"/>
    </row>
    <row r="305" spans="1:30" ht="15.75" x14ac:dyDescent="0.25">
      <c r="A305" s="15">
        <v>49827</v>
      </c>
      <c r="B305" s="96">
        <v>30</v>
      </c>
      <c r="C305" s="85">
        <f>194.205</f>
        <v>194.20500000000001</v>
      </c>
      <c r="D305" s="85">
        <f>267.466</f>
        <v>267.46600000000001</v>
      </c>
      <c r="E305" s="92">
        <f>133.845</f>
        <v>133.845</v>
      </c>
      <c r="F305" s="85">
        <f>278.484-40-25-60</f>
        <v>153.48399999999998</v>
      </c>
      <c r="G305" s="87">
        <v>40</v>
      </c>
      <c r="H305" s="85">
        <f t="shared" si="51"/>
        <v>85</v>
      </c>
      <c r="I305" s="85">
        <f t="shared" si="43"/>
        <v>0</v>
      </c>
      <c r="J305" s="87">
        <v>100</v>
      </c>
      <c r="K305" s="87">
        <v>300</v>
      </c>
      <c r="L305" s="85">
        <f t="shared" si="46"/>
        <v>1274</v>
      </c>
      <c r="M305" s="86"/>
      <c r="N305" s="85">
        <f>30</f>
        <v>30</v>
      </c>
      <c r="O305" s="87">
        <v>240</v>
      </c>
      <c r="P305" s="87">
        <v>160</v>
      </c>
      <c r="Q305" s="87">
        <f t="shared" si="47"/>
        <v>195</v>
      </c>
      <c r="R305" s="87">
        <f t="shared" si="48"/>
        <v>100</v>
      </c>
      <c r="S305" s="85">
        <f t="shared" si="49"/>
        <v>695</v>
      </c>
      <c r="T305" s="85">
        <f>50</f>
        <v>50</v>
      </c>
      <c r="U305" s="83"/>
      <c r="V305" s="83"/>
      <c r="W305" s="83"/>
      <c r="X305" s="83"/>
      <c r="Y305" s="83"/>
      <c r="Z305" s="83"/>
      <c r="AA305" s="83"/>
      <c r="AB305" s="83"/>
      <c r="AC305" s="83"/>
      <c r="AD305" s="83"/>
    </row>
    <row r="306" spans="1:30" ht="15.75" x14ac:dyDescent="0.25">
      <c r="A306" s="15">
        <v>49857</v>
      </c>
      <c r="B306" s="96">
        <v>31</v>
      </c>
      <c r="C306" s="85">
        <f>194.205</f>
        <v>194.20500000000001</v>
      </c>
      <c r="D306" s="85">
        <f>267.466</f>
        <v>267.46600000000001</v>
      </c>
      <c r="E306" s="92">
        <f>133.845</f>
        <v>133.845</v>
      </c>
      <c r="F306" s="85">
        <f>278.484-40-25-60</f>
        <v>153.48399999999998</v>
      </c>
      <c r="G306" s="87">
        <v>40</v>
      </c>
      <c r="H306" s="85">
        <f t="shared" si="51"/>
        <v>85</v>
      </c>
      <c r="I306" s="85">
        <f t="shared" si="43"/>
        <v>0</v>
      </c>
      <c r="J306" s="87">
        <v>100</v>
      </c>
      <c r="K306" s="87">
        <v>300</v>
      </c>
      <c r="L306" s="85">
        <f t="shared" si="46"/>
        <v>1274</v>
      </c>
      <c r="M306" s="86"/>
      <c r="N306" s="85">
        <f>30</f>
        <v>30</v>
      </c>
      <c r="O306" s="87">
        <v>240</v>
      </c>
      <c r="P306" s="87">
        <v>160</v>
      </c>
      <c r="Q306" s="87">
        <f t="shared" si="47"/>
        <v>195</v>
      </c>
      <c r="R306" s="87">
        <f t="shared" si="48"/>
        <v>100</v>
      </c>
      <c r="S306" s="85">
        <f t="shared" si="49"/>
        <v>695</v>
      </c>
      <c r="T306" s="85">
        <f>0</f>
        <v>0</v>
      </c>
      <c r="U306" s="83"/>
      <c r="V306" s="83"/>
      <c r="W306" s="83"/>
      <c r="X306" s="83"/>
      <c r="Y306" s="83"/>
      <c r="Z306" s="83"/>
      <c r="AA306" s="83"/>
      <c r="AB306" s="83"/>
      <c r="AC306" s="83"/>
      <c r="AD306" s="83"/>
    </row>
    <row r="307" spans="1:30" ht="15.75" x14ac:dyDescent="0.25">
      <c r="A307" s="15">
        <v>49888</v>
      </c>
      <c r="B307" s="96">
        <v>31</v>
      </c>
      <c r="C307" s="85">
        <f>194.205</f>
        <v>194.20500000000001</v>
      </c>
      <c r="D307" s="85">
        <f>267.466</f>
        <v>267.46600000000001</v>
      </c>
      <c r="E307" s="92">
        <f>133.845</f>
        <v>133.845</v>
      </c>
      <c r="F307" s="85">
        <f>278.484-40-25-60</f>
        <v>153.48399999999998</v>
      </c>
      <c r="G307" s="87">
        <v>40</v>
      </c>
      <c r="H307" s="85">
        <f t="shared" si="51"/>
        <v>85</v>
      </c>
      <c r="I307" s="85">
        <f t="shared" si="43"/>
        <v>0</v>
      </c>
      <c r="J307" s="87">
        <v>100</v>
      </c>
      <c r="K307" s="87">
        <v>300</v>
      </c>
      <c r="L307" s="85">
        <f t="shared" si="46"/>
        <v>1274</v>
      </c>
      <c r="M307" s="86"/>
      <c r="N307" s="85">
        <f>30</f>
        <v>30</v>
      </c>
      <c r="O307" s="87">
        <v>240</v>
      </c>
      <c r="P307" s="87">
        <v>160</v>
      </c>
      <c r="Q307" s="87">
        <f t="shared" si="47"/>
        <v>195</v>
      </c>
      <c r="R307" s="87">
        <f t="shared" si="48"/>
        <v>100</v>
      </c>
      <c r="S307" s="85">
        <f t="shared" si="49"/>
        <v>695</v>
      </c>
      <c r="T307" s="85">
        <f>0</f>
        <v>0</v>
      </c>
      <c r="U307" s="83"/>
      <c r="V307" s="83"/>
      <c r="W307" s="83"/>
      <c r="X307" s="83"/>
      <c r="Y307" s="83"/>
      <c r="Z307" s="83"/>
      <c r="AA307" s="83"/>
      <c r="AB307" s="83"/>
      <c r="AC307" s="83"/>
      <c r="AD307" s="83"/>
    </row>
    <row r="308" spans="1:30" ht="15.75" x14ac:dyDescent="0.25">
      <c r="A308" s="15">
        <v>49919</v>
      </c>
      <c r="B308" s="96">
        <v>30</v>
      </c>
      <c r="C308" s="85">
        <f>194.205</f>
        <v>194.20500000000001</v>
      </c>
      <c r="D308" s="85">
        <f>267.466</f>
        <v>267.46600000000001</v>
      </c>
      <c r="E308" s="92">
        <f>133.845</f>
        <v>133.845</v>
      </c>
      <c r="F308" s="85">
        <f>278.484-40-25-60</f>
        <v>153.48399999999998</v>
      </c>
      <c r="G308" s="87">
        <v>40</v>
      </c>
      <c r="H308" s="85">
        <f t="shared" si="51"/>
        <v>85</v>
      </c>
      <c r="I308" s="85">
        <f t="shared" si="43"/>
        <v>0</v>
      </c>
      <c r="J308" s="87">
        <v>100</v>
      </c>
      <c r="K308" s="87">
        <v>300</v>
      </c>
      <c r="L308" s="85">
        <f t="shared" si="46"/>
        <v>1274</v>
      </c>
      <c r="M308" s="86"/>
      <c r="N308" s="85">
        <f>30</f>
        <v>30</v>
      </c>
      <c r="O308" s="87">
        <v>240</v>
      </c>
      <c r="P308" s="87">
        <v>160</v>
      </c>
      <c r="Q308" s="87">
        <f t="shared" si="47"/>
        <v>195</v>
      </c>
      <c r="R308" s="87">
        <f t="shared" si="48"/>
        <v>100</v>
      </c>
      <c r="S308" s="85">
        <f t="shared" si="49"/>
        <v>695</v>
      </c>
      <c r="T308" s="85">
        <f>0</f>
        <v>0</v>
      </c>
      <c r="U308" s="83"/>
      <c r="V308" s="83"/>
      <c r="W308" s="83"/>
      <c r="X308" s="83"/>
      <c r="Y308" s="83"/>
      <c r="Z308" s="83"/>
      <c r="AA308" s="83"/>
      <c r="AB308" s="83"/>
      <c r="AC308" s="83"/>
      <c r="AD308" s="83"/>
    </row>
    <row r="309" spans="1:30" ht="15.75" x14ac:dyDescent="0.25">
      <c r="A309" s="15">
        <v>49949</v>
      </c>
      <c r="B309" s="96">
        <v>31</v>
      </c>
      <c r="C309" s="85">
        <f>131.881</f>
        <v>131.881</v>
      </c>
      <c r="D309" s="85">
        <f>277.167</f>
        <v>277.16699999999997</v>
      </c>
      <c r="E309" s="92">
        <f>79.08</f>
        <v>79.08</v>
      </c>
      <c r="F309" s="85">
        <f>350.872-40-25-60</f>
        <v>225.87200000000001</v>
      </c>
      <c r="G309" s="87">
        <v>40</v>
      </c>
      <c r="H309" s="85">
        <f t="shared" si="51"/>
        <v>85</v>
      </c>
      <c r="I309" s="85">
        <f t="shared" si="43"/>
        <v>0</v>
      </c>
      <c r="J309" s="87">
        <v>100</v>
      </c>
      <c r="K309" s="87">
        <v>300</v>
      </c>
      <c r="L309" s="85">
        <f t="shared" si="46"/>
        <v>1239</v>
      </c>
      <c r="M309" s="86"/>
      <c r="N309" s="85">
        <f>75</f>
        <v>75</v>
      </c>
      <c r="O309" s="87">
        <v>240</v>
      </c>
      <c r="P309" s="87">
        <v>160</v>
      </c>
      <c r="Q309" s="87">
        <f t="shared" si="47"/>
        <v>195</v>
      </c>
      <c r="R309" s="87">
        <f t="shared" si="48"/>
        <v>100</v>
      </c>
      <c r="S309" s="85">
        <f t="shared" si="49"/>
        <v>695</v>
      </c>
      <c r="T309" s="85">
        <f>0</f>
        <v>0</v>
      </c>
      <c r="U309" s="83"/>
      <c r="V309" s="83"/>
      <c r="W309" s="83"/>
      <c r="X309" s="83"/>
      <c r="Y309" s="83"/>
      <c r="Z309" s="83"/>
      <c r="AA309" s="83"/>
      <c r="AB309" s="83"/>
      <c r="AC309" s="83"/>
      <c r="AD309" s="83"/>
    </row>
    <row r="310" spans="1:30" ht="15.75" x14ac:dyDescent="0.25">
      <c r="A310" s="15">
        <v>49980</v>
      </c>
      <c r="B310" s="96">
        <v>30</v>
      </c>
      <c r="C310" s="85">
        <f>122.58</f>
        <v>122.58</v>
      </c>
      <c r="D310" s="85">
        <f>297.941</f>
        <v>297.94099999999997</v>
      </c>
      <c r="E310" s="92">
        <f>89.177</f>
        <v>89.177000000000007</v>
      </c>
      <c r="F310" s="85">
        <f>240.302-40-60</f>
        <v>140.30199999999999</v>
      </c>
      <c r="G310" s="87">
        <v>40</v>
      </c>
      <c r="H310" s="85">
        <v>60</v>
      </c>
      <c r="I310" s="85">
        <f t="shared" si="43"/>
        <v>0</v>
      </c>
      <c r="J310" s="87">
        <v>100</v>
      </c>
      <c r="K310" s="87">
        <v>300</v>
      </c>
      <c r="L310" s="85">
        <f t="shared" si="46"/>
        <v>1150</v>
      </c>
      <c r="M310" s="86"/>
      <c r="N310" s="85">
        <f>100</f>
        <v>100</v>
      </c>
      <c r="O310" s="87">
        <v>240</v>
      </c>
      <c r="P310" s="87">
        <v>40</v>
      </c>
      <c r="Q310" s="87">
        <f t="shared" si="47"/>
        <v>315</v>
      </c>
      <c r="R310" s="87">
        <f t="shared" si="48"/>
        <v>100</v>
      </c>
      <c r="S310" s="85">
        <f t="shared" si="49"/>
        <v>695</v>
      </c>
      <c r="T310" s="85">
        <f>50</f>
        <v>50</v>
      </c>
      <c r="U310" s="83"/>
      <c r="V310" s="83"/>
      <c r="W310" s="83"/>
      <c r="X310" s="83"/>
      <c r="Y310" s="83"/>
      <c r="Z310" s="83"/>
      <c r="AA310" s="83"/>
      <c r="AB310" s="83"/>
      <c r="AC310" s="83"/>
      <c r="AD310" s="83"/>
    </row>
    <row r="311" spans="1:30" ht="15.75" x14ac:dyDescent="0.25">
      <c r="A311" s="15">
        <v>50010</v>
      </c>
      <c r="B311" s="96">
        <v>31</v>
      </c>
      <c r="C311" s="85">
        <f>122.58</f>
        <v>122.58</v>
      </c>
      <c r="D311" s="85">
        <f>297.941</f>
        <v>297.94099999999997</v>
      </c>
      <c r="E311" s="92">
        <f>89.177</f>
        <v>89.177000000000007</v>
      </c>
      <c r="F311" s="85">
        <f>240.302-40-60</f>
        <v>140.30199999999999</v>
      </c>
      <c r="G311" s="87">
        <v>40</v>
      </c>
      <c r="H311" s="85">
        <v>60</v>
      </c>
      <c r="I311" s="85">
        <f t="shared" si="43"/>
        <v>0</v>
      </c>
      <c r="J311" s="87">
        <v>100</v>
      </c>
      <c r="K311" s="87">
        <v>300</v>
      </c>
      <c r="L311" s="85">
        <f t="shared" si="46"/>
        <v>1150</v>
      </c>
      <c r="M311" s="86"/>
      <c r="N311" s="85">
        <f>100</f>
        <v>100</v>
      </c>
      <c r="O311" s="87">
        <v>240</v>
      </c>
      <c r="P311" s="87">
        <v>40</v>
      </c>
      <c r="Q311" s="87">
        <f t="shared" si="47"/>
        <v>315</v>
      </c>
      <c r="R311" s="87">
        <f t="shared" si="48"/>
        <v>100</v>
      </c>
      <c r="S311" s="85">
        <f t="shared" si="49"/>
        <v>695</v>
      </c>
      <c r="T311" s="85">
        <f>50</f>
        <v>50</v>
      </c>
      <c r="U311" s="83"/>
      <c r="V311" s="83"/>
      <c r="W311" s="83"/>
      <c r="X311" s="83"/>
      <c r="Y311" s="83"/>
      <c r="Z311" s="83"/>
      <c r="AA311" s="83"/>
      <c r="AB311" s="83"/>
      <c r="AC311" s="83"/>
      <c r="AD311" s="83"/>
    </row>
    <row r="312" spans="1:30" ht="15.75" x14ac:dyDescent="0.25">
      <c r="A312" s="15">
        <v>50041</v>
      </c>
      <c r="B312" s="96">
        <v>31</v>
      </c>
      <c r="C312" s="85">
        <f>122.58</f>
        <v>122.58</v>
      </c>
      <c r="D312" s="85">
        <f>297.941</f>
        <v>297.94099999999997</v>
      </c>
      <c r="E312" s="92">
        <f>89.177</f>
        <v>89.177000000000007</v>
      </c>
      <c r="F312" s="85">
        <f>240.302-40-60</f>
        <v>140.30199999999999</v>
      </c>
      <c r="G312" s="87">
        <v>40</v>
      </c>
      <c r="H312" s="85">
        <v>60</v>
      </c>
      <c r="I312" s="85">
        <f t="shared" si="43"/>
        <v>0</v>
      </c>
      <c r="J312" s="87">
        <v>100</v>
      </c>
      <c r="K312" s="87">
        <v>300</v>
      </c>
      <c r="L312" s="85">
        <f t="shared" si="46"/>
        <v>1150</v>
      </c>
      <c r="M312" s="86"/>
      <c r="N312" s="85">
        <f>100</f>
        <v>100</v>
      </c>
      <c r="O312" s="87">
        <v>240</v>
      </c>
      <c r="P312" s="87">
        <v>40</v>
      </c>
      <c r="Q312" s="87">
        <f t="shared" si="47"/>
        <v>315</v>
      </c>
      <c r="R312" s="87">
        <f t="shared" si="48"/>
        <v>100</v>
      </c>
      <c r="S312" s="85">
        <f t="shared" si="49"/>
        <v>695</v>
      </c>
      <c r="T312" s="85">
        <f>50</f>
        <v>50</v>
      </c>
      <c r="U312" s="83"/>
      <c r="V312" s="83"/>
      <c r="W312" s="83"/>
      <c r="X312" s="83"/>
      <c r="Y312" s="83"/>
      <c r="Z312" s="83"/>
      <c r="AA312" s="83"/>
      <c r="AB312" s="83"/>
      <c r="AC312" s="83"/>
      <c r="AD312" s="83"/>
    </row>
    <row r="313" spans="1:30" ht="15.75" x14ac:dyDescent="0.25">
      <c r="A313" s="15">
        <v>50072</v>
      </c>
      <c r="B313" s="96">
        <v>28</v>
      </c>
      <c r="C313" s="85">
        <f>122.58</f>
        <v>122.58</v>
      </c>
      <c r="D313" s="85">
        <f>297.941</f>
        <v>297.94099999999997</v>
      </c>
      <c r="E313" s="92">
        <f>89.177</f>
        <v>89.177000000000007</v>
      </c>
      <c r="F313" s="85">
        <f>240.302-40-60</f>
        <v>140.30199999999999</v>
      </c>
      <c r="G313" s="87">
        <v>40</v>
      </c>
      <c r="H313" s="85">
        <v>60</v>
      </c>
      <c r="I313" s="85">
        <f t="shared" si="43"/>
        <v>0</v>
      </c>
      <c r="J313" s="87">
        <v>100</v>
      </c>
      <c r="K313" s="87">
        <v>300</v>
      </c>
      <c r="L313" s="85">
        <f t="shared" si="46"/>
        <v>1150</v>
      </c>
      <c r="M313" s="86"/>
      <c r="N313" s="85">
        <f>100</f>
        <v>100</v>
      </c>
      <c r="O313" s="87">
        <v>240</v>
      </c>
      <c r="P313" s="87">
        <v>40</v>
      </c>
      <c r="Q313" s="87">
        <f t="shared" si="47"/>
        <v>315</v>
      </c>
      <c r="R313" s="87">
        <f t="shared" si="48"/>
        <v>100</v>
      </c>
      <c r="S313" s="85">
        <f t="shared" si="49"/>
        <v>695</v>
      </c>
      <c r="T313" s="85">
        <f>50</f>
        <v>50</v>
      </c>
      <c r="U313" s="83"/>
      <c r="V313" s="83"/>
      <c r="W313" s="83"/>
      <c r="X313" s="83"/>
      <c r="Y313" s="83"/>
      <c r="Z313" s="83"/>
      <c r="AA313" s="83"/>
      <c r="AB313" s="83"/>
      <c r="AC313" s="83"/>
      <c r="AD313" s="83"/>
    </row>
    <row r="314" spans="1:30" ht="15.75" x14ac:dyDescent="0.25">
      <c r="A314" s="15">
        <v>50100</v>
      </c>
      <c r="B314" s="96">
        <v>31</v>
      </c>
      <c r="C314" s="85">
        <f>122.58</f>
        <v>122.58</v>
      </c>
      <c r="D314" s="85">
        <f>297.941</f>
        <v>297.94099999999997</v>
      </c>
      <c r="E314" s="92">
        <f>89.177</f>
        <v>89.177000000000007</v>
      </c>
      <c r="F314" s="85">
        <f>240.302-40-60</f>
        <v>140.30199999999999</v>
      </c>
      <c r="G314" s="87">
        <v>40</v>
      </c>
      <c r="H314" s="85">
        <v>60</v>
      </c>
      <c r="I314" s="85">
        <f t="shared" si="43"/>
        <v>0</v>
      </c>
      <c r="J314" s="87">
        <v>100</v>
      </c>
      <c r="K314" s="87">
        <v>300</v>
      </c>
      <c r="L314" s="85">
        <f t="shared" si="46"/>
        <v>1150</v>
      </c>
      <c r="M314" s="86"/>
      <c r="N314" s="85">
        <f>100</f>
        <v>100</v>
      </c>
      <c r="O314" s="87">
        <v>240</v>
      </c>
      <c r="P314" s="87">
        <v>40</v>
      </c>
      <c r="Q314" s="87">
        <f t="shared" si="47"/>
        <v>315</v>
      </c>
      <c r="R314" s="87">
        <f t="shared" si="48"/>
        <v>100</v>
      </c>
      <c r="S314" s="85">
        <f t="shared" si="49"/>
        <v>695</v>
      </c>
      <c r="T314" s="85">
        <f>50</f>
        <v>50</v>
      </c>
      <c r="U314" s="83"/>
      <c r="V314" s="83"/>
      <c r="W314" s="83"/>
      <c r="X314" s="83"/>
      <c r="Y314" s="83"/>
      <c r="Z314" s="83"/>
      <c r="AA314" s="83"/>
      <c r="AB314" s="83"/>
      <c r="AC314" s="83"/>
      <c r="AD314" s="83"/>
    </row>
    <row r="315" spans="1:30" ht="15.75" x14ac:dyDescent="0.25">
      <c r="A315" s="15">
        <v>50131</v>
      </c>
      <c r="B315" s="96">
        <v>30</v>
      </c>
      <c r="C315" s="85">
        <f>141.293</f>
        <v>141.29300000000001</v>
      </c>
      <c r="D315" s="85">
        <f>267.993</f>
        <v>267.99299999999999</v>
      </c>
      <c r="E315" s="92">
        <f>115.016</f>
        <v>115.01600000000001</v>
      </c>
      <c r="F315" s="85">
        <f>314.698-40-25-60</f>
        <v>189.69799999999998</v>
      </c>
      <c r="G315" s="87">
        <v>40</v>
      </c>
      <c r="H315" s="85">
        <f t="shared" ref="H315:H321" si="52">25+60</f>
        <v>85</v>
      </c>
      <c r="I315" s="85">
        <f t="shared" si="43"/>
        <v>0</v>
      </c>
      <c r="J315" s="87">
        <v>100</v>
      </c>
      <c r="K315" s="87">
        <v>300</v>
      </c>
      <c r="L315" s="85">
        <f t="shared" si="46"/>
        <v>1239</v>
      </c>
      <c r="M315" s="86"/>
      <c r="N315" s="85">
        <f>100</f>
        <v>100</v>
      </c>
      <c r="O315" s="87">
        <v>240</v>
      </c>
      <c r="P315" s="87">
        <v>160</v>
      </c>
      <c r="Q315" s="87">
        <f t="shared" si="47"/>
        <v>195</v>
      </c>
      <c r="R315" s="87">
        <f t="shared" si="48"/>
        <v>100</v>
      </c>
      <c r="S315" s="85">
        <f t="shared" si="49"/>
        <v>695</v>
      </c>
      <c r="T315" s="85">
        <f>50</f>
        <v>50</v>
      </c>
      <c r="U315" s="83"/>
      <c r="V315" s="83"/>
      <c r="W315" s="83"/>
      <c r="X315" s="83"/>
      <c r="Y315" s="83"/>
      <c r="Z315" s="83"/>
      <c r="AA315" s="83"/>
      <c r="AB315" s="83"/>
      <c r="AC315" s="83"/>
      <c r="AD315" s="83"/>
    </row>
    <row r="316" spans="1:30" ht="15.75" x14ac:dyDescent="0.25">
      <c r="A316" s="15">
        <v>50161</v>
      </c>
      <c r="B316" s="96">
        <v>31</v>
      </c>
      <c r="C316" s="85">
        <f>194.205</f>
        <v>194.20500000000001</v>
      </c>
      <c r="D316" s="85">
        <f>267.466</f>
        <v>267.46600000000001</v>
      </c>
      <c r="E316" s="92">
        <f>133.845</f>
        <v>133.845</v>
      </c>
      <c r="F316" s="85">
        <f>278.484-40-25-60</f>
        <v>153.48399999999998</v>
      </c>
      <c r="G316" s="87">
        <v>40</v>
      </c>
      <c r="H316" s="85">
        <f t="shared" si="52"/>
        <v>85</v>
      </c>
      <c r="I316" s="85">
        <f t="shared" si="43"/>
        <v>0</v>
      </c>
      <c r="J316" s="87">
        <v>100</v>
      </c>
      <c r="K316" s="87">
        <v>300</v>
      </c>
      <c r="L316" s="85">
        <f t="shared" si="46"/>
        <v>1274</v>
      </c>
      <c r="M316" s="86"/>
      <c r="N316" s="85">
        <f>75</f>
        <v>75</v>
      </c>
      <c r="O316" s="87">
        <v>240</v>
      </c>
      <c r="P316" s="87">
        <v>160</v>
      </c>
      <c r="Q316" s="87">
        <f t="shared" si="47"/>
        <v>195</v>
      </c>
      <c r="R316" s="87">
        <f t="shared" si="48"/>
        <v>100</v>
      </c>
      <c r="S316" s="85">
        <f t="shared" si="49"/>
        <v>695</v>
      </c>
      <c r="T316" s="85">
        <f>50</f>
        <v>50</v>
      </c>
      <c r="U316" s="83"/>
      <c r="V316" s="83"/>
      <c r="W316" s="83"/>
      <c r="X316" s="83"/>
      <c r="Y316" s="83"/>
      <c r="Z316" s="83"/>
      <c r="AA316" s="83"/>
      <c r="AB316" s="83"/>
      <c r="AC316" s="83"/>
      <c r="AD316" s="83"/>
    </row>
    <row r="317" spans="1:30" ht="15.75" x14ac:dyDescent="0.25">
      <c r="A317" s="15">
        <v>50192</v>
      </c>
      <c r="B317" s="96">
        <v>30</v>
      </c>
      <c r="C317" s="85">
        <f>194.205</f>
        <v>194.20500000000001</v>
      </c>
      <c r="D317" s="85">
        <f>267.466</f>
        <v>267.46600000000001</v>
      </c>
      <c r="E317" s="92">
        <f>133.845</f>
        <v>133.845</v>
      </c>
      <c r="F317" s="85">
        <f>278.484-40-25-60</f>
        <v>153.48399999999998</v>
      </c>
      <c r="G317" s="87">
        <v>40</v>
      </c>
      <c r="H317" s="85">
        <f t="shared" si="52"/>
        <v>85</v>
      </c>
      <c r="I317" s="85">
        <f t="shared" si="43"/>
        <v>0</v>
      </c>
      <c r="J317" s="87">
        <v>100</v>
      </c>
      <c r="K317" s="87">
        <v>300</v>
      </c>
      <c r="L317" s="85">
        <f t="shared" si="46"/>
        <v>1274</v>
      </c>
      <c r="M317" s="86"/>
      <c r="N317" s="85">
        <f>30</f>
        <v>30</v>
      </c>
      <c r="O317" s="87">
        <v>240</v>
      </c>
      <c r="P317" s="87">
        <v>160</v>
      </c>
      <c r="Q317" s="87">
        <f t="shared" si="47"/>
        <v>195</v>
      </c>
      <c r="R317" s="87">
        <f t="shared" si="48"/>
        <v>100</v>
      </c>
      <c r="S317" s="85">
        <f t="shared" si="49"/>
        <v>695</v>
      </c>
      <c r="T317" s="85">
        <f>50</f>
        <v>50</v>
      </c>
      <c r="U317" s="83"/>
      <c r="V317" s="83"/>
      <c r="W317" s="83"/>
      <c r="X317" s="83"/>
      <c r="Y317" s="83"/>
      <c r="Z317" s="83"/>
      <c r="AA317" s="83"/>
      <c r="AB317" s="83"/>
      <c r="AC317" s="83"/>
      <c r="AD317" s="83"/>
    </row>
    <row r="318" spans="1:30" ht="15.75" x14ac:dyDescent="0.25">
      <c r="A318" s="15">
        <v>50222</v>
      </c>
      <c r="B318" s="96">
        <v>31</v>
      </c>
      <c r="C318" s="85">
        <f>194.205</f>
        <v>194.20500000000001</v>
      </c>
      <c r="D318" s="85">
        <f>267.466</f>
        <v>267.46600000000001</v>
      </c>
      <c r="E318" s="92">
        <f>133.845</f>
        <v>133.845</v>
      </c>
      <c r="F318" s="85">
        <f>278.484-40-25-60</f>
        <v>153.48399999999998</v>
      </c>
      <c r="G318" s="87">
        <v>40</v>
      </c>
      <c r="H318" s="85">
        <f t="shared" si="52"/>
        <v>85</v>
      </c>
      <c r="I318" s="85">
        <f t="shared" si="43"/>
        <v>0</v>
      </c>
      <c r="J318" s="87">
        <v>100</v>
      </c>
      <c r="K318" s="87">
        <v>300</v>
      </c>
      <c r="L318" s="85">
        <f t="shared" si="46"/>
        <v>1274</v>
      </c>
      <c r="M318" s="86"/>
      <c r="N318" s="85">
        <f>30</f>
        <v>30</v>
      </c>
      <c r="O318" s="87">
        <v>240</v>
      </c>
      <c r="P318" s="87">
        <v>160</v>
      </c>
      <c r="Q318" s="87">
        <f t="shared" si="47"/>
        <v>195</v>
      </c>
      <c r="R318" s="87">
        <f t="shared" si="48"/>
        <v>100</v>
      </c>
      <c r="S318" s="85">
        <f t="shared" si="49"/>
        <v>695</v>
      </c>
      <c r="T318" s="85">
        <f>0</f>
        <v>0</v>
      </c>
      <c r="U318" s="83"/>
      <c r="V318" s="83"/>
      <c r="W318" s="83"/>
      <c r="X318" s="83"/>
      <c r="Y318" s="83"/>
      <c r="Z318" s="83"/>
      <c r="AA318" s="83"/>
      <c r="AB318" s="83"/>
      <c r="AC318" s="83"/>
      <c r="AD318" s="83"/>
    </row>
    <row r="319" spans="1:30" ht="15.75" x14ac:dyDescent="0.25">
      <c r="A319" s="15">
        <v>50253</v>
      </c>
      <c r="B319" s="96">
        <v>31</v>
      </c>
      <c r="C319" s="85">
        <f>194.205</f>
        <v>194.20500000000001</v>
      </c>
      <c r="D319" s="85">
        <f>267.466</f>
        <v>267.46600000000001</v>
      </c>
      <c r="E319" s="92">
        <f>133.845</f>
        <v>133.845</v>
      </c>
      <c r="F319" s="85">
        <f>278.484-40-25-60</f>
        <v>153.48399999999998</v>
      </c>
      <c r="G319" s="87">
        <v>40</v>
      </c>
      <c r="H319" s="85">
        <f t="shared" si="52"/>
        <v>85</v>
      </c>
      <c r="I319" s="85">
        <f t="shared" si="43"/>
        <v>0</v>
      </c>
      <c r="J319" s="87">
        <v>100</v>
      </c>
      <c r="K319" s="87">
        <v>300</v>
      </c>
      <c r="L319" s="85">
        <f t="shared" si="46"/>
        <v>1274</v>
      </c>
      <c r="M319" s="86"/>
      <c r="N319" s="85">
        <f>30</f>
        <v>30</v>
      </c>
      <c r="O319" s="87">
        <v>240</v>
      </c>
      <c r="P319" s="87">
        <v>160</v>
      </c>
      <c r="Q319" s="87">
        <f t="shared" si="47"/>
        <v>195</v>
      </c>
      <c r="R319" s="87">
        <f t="shared" si="48"/>
        <v>100</v>
      </c>
      <c r="S319" s="85">
        <f t="shared" si="49"/>
        <v>695</v>
      </c>
      <c r="T319" s="85">
        <f>0</f>
        <v>0</v>
      </c>
      <c r="U319" s="83"/>
      <c r="V319" s="83"/>
      <c r="W319" s="83"/>
      <c r="X319" s="83"/>
      <c r="Y319" s="83"/>
      <c r="Z319" s="83"/>
      <c r="AA319" s="83"/>
      <c r="AB319" s="83"/>
      <c r="AC319" s="83"/>
      <c r="AD319" s="83"/>
    </row>
    <row r="320" spans="1:30" ht="15.75" x14ac:dyDescent="0.25">
      <c r="A320" s="15">
        <v>50284</v>
      </c>
      <c r="B320" s="96">
        <v>30</v>
      </c>
      <c r="C320" s="85">
        <f>194.205</f>
        <v>194.20500000000001</v>
      </c>
      <c r="D320" s="85">
        <f>267.466</f>
        <v>267.46600000000001</v>
      </c>
      <c r="E320" s="92">
        <f>133.845</f>
        <v>133.845</v>
      </c>
      <c r="F320" s="85">
        <f>278.484-40-25-60</f>
        <v>153.48399999999998</v>
      </c>
      <c r="G320" s="87">
        <v>40</v>
      </c>
      <c r="H320" s="85">
        <f t="shared" si="52"/>
        <v>85</v>
      </c>
      <c r="I320" s="85">
        <f t="shared" ref="I320:I383" si="53">400-J320-K320</f>
        <v>0</v>
      </c>
      <c r="J320" s="87">
        <v>100</v>
      </c>
      <c r="K320" s="87">
        <v>300</v>
      </c>
      <c r="L320" s="85">
        <f t="shared" si="46"/>
        <v>1274</v>
      </c>
      <c r="M320" s="86"/>
      <c r="N320" s="85">
        <f>30</f>
        <v>30</v>
      </c>
      <c r="O320" s="87">
        <v>240</v>
      </c>
      <c r="P320" s="87">
        <v>160</v>
      </c>
      <c r="Q320" s="87">
        <f t="shared" si="47"/>
        <v>195</v>
      </c>
      <c r="R320" s="87">
        <f t="shared" si="48"/>
        <v>100</v>
      </c>
      <c r="S320" s="85">
        <f t="shared" si="49"/>
        <v>695</v>
      </c>
      <c r="T320" s="85">
        <f>0</f>
        <v>0</v>
      </c>
      <c r="U320" s="83"/>
      <c r="V320" s="83"/>
      <c r="W320" s="83"/>
      <c r="X320" s="83"/>
      <c r="Y320" s="83"/>
      <c r="Z320" s="83"/>
      <c r="AA320" s="83"/>
      <c r="AB320" s="83"/>
      <c r="AC320" s="83"/>
      <c r="AD320" s="83"/>
    </row>
    <row r="321" spans="1:30" ht="15.75" x14ac:dyDescent="0.25">
      <c r="A321" s="15">
        <v>50314</v>
      </c>
      <c r="B321" s="96">
        <v>31</v>
      </c>
      <c r="C321" s="85">
        <f>131.881</f>
        <v>131.881</v>
      </c>
      <c r="D321" s="85">
        <f>277.167</f>
        <v>277.16699999999997</v>
      </c>
      <c r="E321" s="92">
        <f>79.08</f>
        <v>79.08</v>
      </c>
      <c r="F321" s="85">
        <f>350.872-40-25-60</f>
        <v>225.87200000000001</v>
      </c>
      <c r="G321" s="87">
        <v>40</v>
      </c>
      <c r="H321" s="85">
        <f t="shared" si="52"/>
        <v>85</v>
      </c>
      <c r="I321" s="85">
        <f t="shared" si="53"/>
        <v>0</v>
      </c>
      <c r="J321" s="87">
        <v>100</v>
      </c>
      <c r="K321" s="87">
        <v>300</v>
      </c>
      <c r="L321" s="85">
        <f t="shared" si="46"/>
        <v>1239</v>
      </c>
      <c r="M321" s="86"/>
      <c r="N321" s="85">
        <f>75</f>
        <v>75</v>
      </c>
      <c r="O321" s="87">
        <v>240</v>
      </c>
      <c r="P321" s="87">
        <v>160</v>
      </c>
      <c r="Q321" s="87">
        <f t="shared" si="47"/>
        <v>195</v>
      </c>
      <c r="R321" s="87">
        <f t="shared" si="48"/>
        <v>100</v>
      </c>
      <c r="S321" s="85">
        <f t="shared" si="49"/>
        <v>695</v>
      </c>
      <c r="T321" s="85">
        <f>0</f>
        <v>0</v>
      </c>
      <c r="U321" s="83"/>
      <c r="V321" s="83"/>
      <c r="W321" s="83"/>
      <c r="X321" s="83"/>
      <c r="Y321" s="83"/>
      <c r="Z321" s="83"/>
      <c r="AA321" s="83"/>
      <c r="AB321" s="83"/>
      <c r="AC321" s="83"/>
      <c r="AD321" s="83"/>
    </row>
    <row r="322" spans="1:30" ht="15.75" x14ac:dyDescent="0.25">
      <c r="A322" s="15">
        <v>50345</v>
      </c>
      <c r="B322" s="96">
        <v>30</v>
      </c>
      <c r="C322" s="85">
        <f>122.58</f>
        <v>122.58</v>
      </c>
      <c r="D322" s="85">
        <f>297.941</f>
        <v>297.94099999999997</v>
      </c>
      <c r="E322" s="92">
        <f>89.177</f>
        <v>89.177000000000007</v>
      </c>
      <c r="F322" s="85">
        <f>240.302-40-60</f>
        <v>140.30199999999999</v>
      </c>
      <c r="G322" s="87">
        <v>40</v>
      </c>
      <c r="H322" s="85">
        <v>60</v>
      </c>
      <c r="I322" s="85">
        <f t="shared" si="53"/>
        <v>0</v>
      </c>
      <c r="J322" s="87">
        <v>100</v>
      </c>
      <c r="K322" s="87">
        <v>300</v>
      </c>
      <c r="L322" s="85">
        <f t="shared" si="46"/>
        <v>1150</v>
      </c>
      <c r="M322" s="86"/>
      <c r="N322" s="85">
        <f>100</f>
        <v>100</v>
      </c>
      <c r="O322" s="87">
        <v>240</v>
      </c>
      <c r="P322" s="87">
        <v>40</v>
      </c>
      <c r="Q322" s="87">
        <f t="shared" si="47"/>
        <v>315</v>
      </c>
      <c r="R322" s="87">
        <f t="shared" si="48"/>
        <v>100</v>
      </c>
      <c r="S322" s="85">
        <f t="shared" si="49"/>
        <v>695</v>
      </c>
      <c r="T322" s="85">
        <f>50</f>
        <v>50</v>
      </c>
      <c r="U322" s="83"/>
      <c r="V322" s="83"/>
      <c r="W322" s="83"/>
      <c r="X322" s="83"/>
      <c r="Y322" s="83"/>
      <c r="Z322" s="83"/>
      <c r="AA322" s="83"/>
      <c r="AB322" s="83"/>
      <c r="AC322" s="83"/>
      <c r="AD322" s="83"/>
    </row>
    <row r="323" spans="1:30" ht="15.75" x14ac:dyDescent="0.25">
      <c r="A323" s="15">
        <v>50375</v>
      </c>
      <c r="B323" s="96">
        <v>31</v>
      </c>
      <c r="C323" s="85">
        <f>122.58</f>
        <v>122.58</v>
      </c>
      <c r="D323" s="85">
        <f>297.941</f>
        <v>297.94099999999997</v>
      </c>
      <c r="E323" s="92">
        <f>89.177</f>
        <v>89.177000000000007</v>
      </c>
      <c r="F323" s="85">
        <f>240.302-40-60</f>
        <v>140.30199999999999</v>
      </c>
      <c r="G323" s="87">
        <v>40</v>
      </c>
      <c r="H323" s="85">
        <v>60</v>
      </c>
      <c r="I323" s="85">
        <f t="shared" si="53"/>
        <v>0</v>
      </c>
      <c r="J323" s="87">
        <v>100</v>
      </c>
      <c r="K323" s="87">
        <v>300</v>
      </c>
      <c r="L323" s="85">
        <f t="shared" si="46"/>
        <v>1150</v>
      </c>
      <c r="M323" s="86"/>
      <c r="N323" s="85">
        <f>100</f>
        <v>100</v>
      </c>
      <c r="O323" s="87">
        <v>240</v>
      </c>
      <c r="P323" s="87">
        <v>40</v>
      </c>
      <c r="Q323" s="87">
        <f t="shared" si="47"/>
        <v>315</v>
      </c>
      <c r="R323" s="87">
        <f t="shared" si="48"/>
        <v>100</v>
      </c>
      <c r="S323" s="85">
        <f t="shared" si="49"/>
        <v>695</v>
      </c>
      <c r="T323" s="85">
        <f>50</f>
        <v>50</v>
      </c>
      <c r="U323" s="83"/>
      <c r="V323" s="83"/>
      <c r="W323" s="83"/>
      <c r="X323" s="83"/>
      <c r="Y323" s="83"/>
      <c r="Z323" s="83"/>
      <c r="AA323" s="83"/>
      <c r="AB323" s="83"/>
      <c r="AC323" s="83"/>
      <c r="AD323" s="83"/>
    </row>
    <row r="324" spans="1:30" ht="15.75" x14ac:dyDescent="0.25">
      <c r="A324" s="14">
        <v>50436</v>
      </c>
      <c r="B324" s="95">
        <v>31</v>
      </c>
      <c r="C324" s="85">
        <f>122.58</f>
        <v>122.58</v>
      </c>
      <c r="D324" s="85">
        <f>297.941</f>
        <v>297.94099999999997</v>
      </c>
      <c r="E324" s="92">
        <f>89.177</f>
        <v>89.177000000000007</v>
      </c>
      <c r="F324" s="85">
        <f>240.302-40-60</f>
        <v>140.30199999999999</v>
      </c>
      <c r="G324" s="87">
        <v>40</v>
      </c>
      <c r="H324" s="85">
        <v>60</v>
      </c>
      <c r="I324" s="85">
        <f t="shared" si="53"/>
        <v>0</v>
      </c>
      <c r="J324" s="87">
        <v>100</v>
      </c>
      <c r="K324" s="87">
        <v>300</v>
      </c>
      <c r="L324" s="85">
        <f t="shared" si="46"/>
        <v>1150</v>
      </c>
      <c r="M324" s="86"/>
      <c r="N324" s="85">
        <f>100</f>
        <v>100</v>
      </c>
      <c r="O324" s="87">
        <v>240</v>
      </c>
      <c r="P324" s="87">
        <v>40</v>
      </c>
      <c r="Q324" s="87">
        <f t="shared" si="47"/>
        <v>315</v>
      </c>
      <c r="R324" s="87">
        <f t="shared" si="48"/>
        <v>100</v>
      </c>
      <c r="S324" s="85">
        <f t="shared" si="49"/>
        <v>695</v>
      </c>
      <c r="T324" s="85">
        <f>50</f>
        <v>50</v>
      </c>
      <c r="U324" s="83"/>
      <c r="V324" s="83"/>
      <c r="W324" s="83"/>
      <c r="X324" s="83"/>
      <c r="Y324" s="83"/>
      <c r="Z324" s="83"/>
      <c r="AA324" s="83"/>
      <c r="AB324" s="83"/>
      <c r="AC324" s="83"/>
      <c r="AD324" s="83"/>
    </row>
    <row r="325" spans="1:30" ht="15.75" x14ac:dyDescent="0.25">
      <c r="A325" s="14">
        <v>50464</v>
      </c>
      <c r="B325" s="95">
        <v>28</v>
      </c>
      <c r="C325" s="85">
        <f>122.58</f>
        <v>122.58</v>
      </c>
      <c r="D325" s="85">
        <f>297.941</f>
        <v>297.94099999999997</v>
      </c>
      <c r="E325" s="92">
        <f>89.177</f>
        <v>89.177000000000007</v>
      </c>
      <c r="F325" s="85">
        <f>240.302-40-60</f>
        <v>140.30199999999999</v>
      </c>
      <c r="G325" s="87">
        <v>40</v>
      </c>
      <c r="H325" s="85">
        <v>60</v>
      </c>
      <c r="I325" s="85">
        <f t="shared" si="53"/>
        <v>0</v>
      </c>
      <c r="J325" s="87">
        <v>100</v>
      </c>
      <c r="K325" s="87">
        <v>300</v>
      </c>
      <c r="L325" s="85">
        <f t="shared" si="46"/>
        <v>1150</v>
      </c>
      <c r="M325" s="86"/>
      <c r="N325" s="85">
        <f>100</f>
        <v>100</v>
      </c>
      <c r="O325" s="87">
        <v>240</v>
      </c>
      <c r="P325" s="87">
        <v>40</v>
      </c>
      <c r="Q325" s="87">
        <f t="shared" si="47"/>
        <v>315</v>
      </c>
      <c r="R325" s="87">
        <f t="shared" si="48"/>
        <v>100</v>
      </c>
      <c r="S325" s="85">
        <f t="shared" si="49"/>
        <v>695</v>
      </c>
      <c r="T325" s="85">
        <f>50</f>
        <v>50</v>
      </c>
      <c r="U325" s="83"/>
      <c r="V325" s="83"/>
      <c r="W325" s="83"/>
      <c r="X325" s="83"/>
      <c r="Y325" s="83"/>
      <c r="Z325" s="83"/>
      <c r="AA325" s="83"/>
      <c r="AB325" s="83"/>
      <c r="AC325" s="83"/>
      <c r="AD325" s="83"/>
    </row>
    <row r="326" spans="1:30" ht="15.75" x14ac:dyDescent="0.25">
      <c r="A326" s="14">
        <v>50495</v>
      </c>
      <c r="B326" s="95">
        <v>31</v>
      </c>
      <c r="C326" s="85">
        <f>122.58</f>
        <v>122.58</v>
      </c>
      <c r="D326" s="85">
        <f>297.941</f>
        <v>297.94099999999997</v>
      </c>
      <c r="E326" s="92">
        <f>89.177</f>
        <v>89.177000000000007</v>
      </c>
      <c r="F326" s="85">
        <f>240.302-40-60</f>
        <v>140.30199999999999</v>
      </c>
      <c r="G326" s="87">
        <v>40</v>
      </c>
      <c r="H326" s="85">
        <v>60</v>
      </c>
      <c r="I326" s="85">
        <f t="shared" si="53"/>
        <v>0</v>
      </c>
      <c r="J326" s="87">
        <v>100</v>
      </c>
      <c r="K326" s="87">
        <v>300</v>
      </c>
      <c r="L326" s="85">
        <f t="shared" si="46"/>
        <v>1150</v>
      </c>
      <c r="M326" s="86"/>
      <c r="N326" s="85">
        <f>100</f>
        <v>100</v>
      </c>
      <c r="O326" s="87">
        <v>240</v>
      </c>
      <c r="P326" s="87">
        <v>40</v>
      </c>
      <c r="Q326" s="87">
        <f t="shared" si="47"/>
        <v>315</v>
      </c>
      <c r="R326" s="87">
        <f t="shared" si="48"/>
        <v>100</v>
      </c>
      <c r="S326" s="85">
        <f t="shared" si="49"/>
        <v>695</v>
      </c>
      <c r="T326" s="85">
        <f>50</f>
        <v>50</v>
      </c>
      <c r="U326" s="83"/>
      <c r="V326" s="83"/>
      <c r="W326" s="83"/>
      <c r="X326" s="83"/>
      <c r="Y326" s="83"/>
      <c r="Z326" s="83"/>
      <c r="AA326" s="83"/>
      <c r="AB326" s="83"/>
      <c r="AC326" s="83"/>
      <c r="AD326" s="83"/>
    </row>
    <row r="327" spans="1:30" ht="15.75" x14ac:dyDescent="0.25">
      <c r="A327" s="14">
        <v>50525</v>
      </c>
      <c r="B327" s="95">
        <v>30</v>
      </c>
      <c r="C327" s="85">
        <f>141.293</f>
        <v>141.29300000000001</v>
      </c>
      <c r="D327" s="85">
        <f>267.993</f>
        <v>267.99299999999999</v>
      </c>
      <c r="E327" s="92">
        <f>115.016</f>
        <v>115.01600000000001</v>
      </c>
      <c r="F327" s="85">
        <f>314.698-40-25-60</f>
        <v>189.69799999999998</v>
      </c>
      <c r="G327" s="87">
        <v>40</v>
      </c>
      <c r="H327" s="85">
        <f t="shared" ref="H327:H333" si="54">25+60</f>
        <v>85</v>
      </c>
      <c r="I327" s="85">
        <f t="shared" si="53"/>
        <v>0</v>
      </c>
      <c r="J327" s="87">
        <v>100</v>
      </c>
      <c r="K327" s="87">
        <v>300</v>
      </c>
      <c r="L327" s="85">
        <f t="shared" si="46"/>
        <v>1239</v>
      </c>
      <c r="M327" s="86"/>
      <c r="N327" s="85">
        <f>100</f>
        <v>100</v>
      </c>
      <c r="O327" s="87">
        <v>240</v>
      </c>
      <c r="P327" s="87">
        <v>160</v>
      </c>
      <c r="Q327" s="87">
        <f t="shared" si="47"/>
        <v>195</v>
      </c>
      <c r="R327" s="87">
        <f t="shared" si="48"/>
        <v>100</v>
      </c>
      <c r="S327" s="85">
        <f t="shared" si="49"/>
        <v>695</v>
      </c>
      <c r="T327" s="85">
        <f>50</f>
        <v>50</v>
      </c>
      <c r="U327" s="83"/>
      <c r="V327" s="83"/>
      <c r="W327" s="83"/>
      <c r="X327" s="83"/>
      <c r="Y327" s="83"/>
      <c r="Z327" s="83"/>
      <c r="AA327" s="83"/>
      <c r="AB327" s="83"/>
      <c r="AC327" s="83"/>
      <c r="AD327" s="83"/>
    </row>
    <row r="328" spans="1:30" ht="15.75" x14ac:dyDescent="0.25">
      <c r="A328" s="14">
        <v>50556</v>
      </c>
      <c r="B328" s="95">
        <v>31</v>
      </c>
      <c r="C328" s="85">
        <f>194.205</f>
        <v>194.20500000000001</v>
      </c>
      <c r="D328" s="85">
        <f>267.466</f>
        <v>267.46600000000001</v>
      </c>
      <c r="E328" s="92">
        <f>133.845</f>
        <v>133.845</v>
      </c>
      <c r="F328" s="85">
        <f>278.484-40-25-60</f>
        <v>153.48399999999998</v>
      </c>
      <c r="G328" s="87">
        <v>40</v>
      </c>
      <c r="H328" s="85">
        <f t="shared" si="54"/>
        <v>85</v>
      </c>
      <c r="I328" s="85">
        <f t="shared" si="53"/>
        <v>0</v>
      </c>
      <c r="J328" s="87">
        <v>100</v>
      </c>
      <c r="K328" s="87">
        <v>300</v>
      </c>
      <c r="L328" s="85">
        <f t="shared" si="46"/>
        <v>1274</v>
      </c>
      <c r="M328" s="86"/>
      <c r="N328" s="85">
        <f>75</f>
        <v>75</v>
      </c>
      <c r="O328" s="87">
        <v>240</v>
      </c>
      <c r="P328" s="87">
        <v>160</v>
      </c>
      <c r="Q328" s="87">
        <f t="shared" si="47"/>
        <v>195</v>
      </c>
      <c r="R328" s="87">
        <f t="shared" si="48"/>
        <v>100</v>
      </c>
      <c r="S328" s="85">
        <f t="shared" si="49"/>
        <v>695</v>
      </c>
      <c r="T328" s="85">
        <f>50</f>
        <v>50</v>
      </c>
      <c r="U328" s="83"/>
      <c r="V328" s="83"/>
      <c r="W328" s="83"/>
      <c r="X328" s="83"/>
      <c r="Y328" s="83"/>
      <c r="Z328" s="83"/>
      <c r="AA328" s="83"/>
      <c r="AB328" s="83"/>
      <c r="AC328" s="83"/>
      <c r="AD328" s="83"/>
    </row>
    <row r="329" spans="1:30" ht="15.75" x14ac:dyDescent="0.25">
      <c r="A329" s="14">
        <v>50586</v>
      </c>
      <c r="B329" s="95">
        <v>30</v>
      </c>
      <c r="C329" s="85">
        <f>194.205</f>
        <v>194.20500000000001</v>
      </c>
      <c r="D329" s="85">
        <f>267.466</f>
        <v>267.46600000000001</v>
      </c>
      <c r="E329" s="92">
        <f>133.845</f>
        <v>133.845</v>
      </c>
      <c r="F329" s="85">
        <f>278.484-40-25-60</f>
        <v>153.48399999999998</v>
      </c>
      <c r="G329" s="87">
        <v>40</v>
      </c>
      <c r="H329" s="85">
        <f t="shared" si="54"/>
        <v>85</v>
      </c>
      <c r="I329" s="85">
        <f t="shared" si="53"/>
        <v>0</v>
      </c>
      <c r="J329" s="87">
        <v>100</v>
      </c>
      <c r="K329" s="87">
        <v>300</v>
      </c>
      <c r="L329" s="85">
        <f t="shared" si="46"/>
        <v>1274</v>
      </c>
      <c r="M329" s="86"/>
      <c r="N329" s="85">
        <f>30</f>
        <v>30</v>
      </c>
      <c r="O329" s="87">
        <v>240</v>
      </c>
      <c r="P329" s="87">
        <v>160</v>
      </c>
      <c r="Q329" s="87">
        <f t="shared" si="47"/>
        <v>195</v>
      </c>
      <c r="R329" s="87">
        <f t="shared" si="48"/>
        <v>100</v>
      </c>
      <c r="S329" s="85">
        <f t="shared" si="49"/>
        <v>695</v>
      </c>
      <c r="T329" s="85">
        <f>50</f>
        <v>50</v>
      </c>
      <c r="U329" s="83"/>
      <c r="V329" s="83"/>
      <c r="W329" s="83"/>
      <c r="X329" s="83"/>
      <c r="Y329" s="83"/>
      <c r="Z329" s="83"/>
      <c r="AA329" s="83"/>
      <c r="AB329" s="83"/>
      <c r="AC329" s="83"/>
      <c r="AD329" s="83"/>
    </row>
    <row r="330" spans="1:30" ht="15.75" x14ac:dyDescent="0.25">
      <c r="A330" s="14">
        <v>50617</v>
      </c>
      <c r="B330" s="95">
        <v>31</v>
      </c>
      <c r="C330" s="85">
        <f>194.205</f>
        <v>194.20500000000001</v>
      </c>
      <c r="D330" s="85">
        <f>267.466</f>
        <v>267.46600000000001</v>
      </c>
      <c r="E330" s="92">
        <f>133.845</f>
        <v>133.845</v>
      </c>
      <c r="F330" s="85">
        <f>278.484-40-25-60</f>
        <v>153.48399999999998</v>
      </c>
      <c r="G330" s="87">
        <v>40</v>
      </c>
      <c r="H330" s="85">
        <f t="shared" si="54"/>
        <v>85</v>
      </c>
      <c r="I330" s="85">
        <f t="shared" si="53"/>
        <v>0</v>
      </c>
      <c r="J330" s="87">
        <v>100</v>
      </c>
      <c r="K330" s="87">
        <v>300</v>
      </c>
      <c r="L330" s="85">
        <f t="shared" si="46"/>
        <v>1274</v>
      </c>
      <c r="M330" s="86"/>
      <c r="N330" s="85">
        <f>30</f>
        <v>30</v>
      </c>
      <c r="O330" s="87">
        <v>240</v>
      </c>
      <c r="P330" s="87">
        <v>160</v>
      </c>
      <c r="Q330" s="87">
        <f t="shared" si="47"/>
        <v>195</v>
      </c>
      <c r="R330" s="87">
        <f t="shared" si="48"/>
        <v>100</v>
      </c>
      <c r="S330" s="85">
        <f t="shared" si="49"/>
        <v>695</v>
      </c>
      <c r="T330" s="85">
        <f>0</f>
        <v>0</v>
      </c>
      <c r="U330" s="83"/>
      <c r="V330" s="83"/>
      <c r="W330" s="83"/>
      <c r="X330" s="83"/>
      <c r="Y330" s="83"/>
      <c r="Z330" s="83"/>
      <c r="AA330" s="83"/>
      <c r="AB330" s="83"/>
      <c r="AC330" s="83"/>
      <c r="AD330" s="83"/>
    </row>
    <row r="331" spans="1:30" ht="15.75" x14ac:dyDescent="0.25">
      <c r="A331" s="14">
        <v>50648</v>
      </c>
      <c r="B331" s="95">
        <v>31</v>
      </c>
      <c r="C331" s="85">
        <f>194.205</f>
        <v>194.20500000000001</v>
      </c>
      <c r="D331" s="85">
        <f>267.466</f>
        <v>267.46600000000001</v>
      </c>
      <c r="E331" s="92">
        <f>133.845</f>
        <v>133.845</v>
      </c>
      <c r="F331" s="85">
        <f>278.484-40-25-60</f>
        <v>153.48399999999998</v>
      </c>
      <c r="G331" s="87">
        <v>40</v>
      </c>
      <c r="H331" s="85">
        <f t="shared" si="54"/>
        <v>85</v>
      </c>
      <c r="I331" s="85">
        <f t="shared" si="53"/>
        <v>0</v>
      </c>
      <c r="J331" s="87">
        <v>100</v>
      </c>
      <c r="K331" s="87">
        <v>300</v>
      </c>
      <c r="L331" s="85">
        <f t="shared" si="46"/>
        <v>1274</v>
      </c>
      <c r="M331" s="86"/>
      <c r="N331" s="85">
        <f>30</f>
        <v>30</v>
      </c>
      <c r="O331" s="87">
        <v>240</v>
      </c>
      <c r="P331" s="87">
        <v>160</v>
      </c>
      <c r="Q331" s="87">
        <f t="shared" si="47"/>
        <v>195</v>
      </c>
      <c r="R331" s="87">
        <f t="shared" si="48"/>
        <v>100</v>
      </c>
      <c r="S331" s="85">
        <f t="shared" si="49"/>
        <v>695</v>
      </c>
      <c r="T331" s="85">
        <f>0</f>
        <v>0</v>
      </c>
      <c r="U331" s="83"/>
      <c r="V331" s="83"/>
      <c r="W331" s="83"/>
      <c r="X331" s="83"/>
      <c r="Y331" s="83"/>
      <c r="Z331" s="83"/>
      <c r="AA331" s="83"/>
      <c r="AB331" s="83"/>
      <c r="AC331" s="83"/>
      <c r="AD331" s="83"/>
    </row>
    <row r="332" spans="1:30" ht="15.75" x14ac:dyDescent="0.25">
      <c r="A332" s="14">
        <v>50678</v>
      </c>
      <c r="B332" s="95">
        <v>30</v>
      </c>
      <c r="C332" s="85">
        <f>194.205</f>
        <v>194.20500000000001</v>
      </c>
      <c r="D332" s="85">
        <f>267.466</f>
        <v>267.46600000000001</v>
      </c>
      <c r="E332" s="92">
        <f>133.845</f>
        <v>133.845</v>
      </c>
      <c r="F332" s="85">
        <f>278.484-40-25-60</f>
        <v>153.48399999999998</v>
      </c>
      <c r="G332" s="87">
        <v>40</v>
      </c>
      <c r="H332" s="85">
        <f t="shared" si="54"/>
        <v>85</v>
      </c>
      <c r="I332" s="85">
        <f t="shared" si="53"/>
        <v>0</v>
      </c>
      <c r="J332" s="87">
        <v>100</v>
      </c>
      <c r="K332" s="87">
        <v>300</v>
      </c>
      <c r="L332" s="85">
        <f t="shared" si="46"/>
        <v>1274</v>
      </c>
      <c r="M332" s="86"/>
      <c r="N332" s="85">
        <f>30</f>
        <v>30</v>
      </c>
      <c r="O332" s="87">
        <v>240</v>
      </c>
      <c r="P332" s="87">
        <v>160</v>
      </c>
      <c r="Q332" s="87">
        <f t="shared" si="47"/>
        <v>195</v>
      </c>
      <c r="R332" s="87">
        <f t="shared" si="48"/>
        <v>100</v>
      </c>
      <c r="S332" s="85">
        <f t="shared" si="49"/>
        <v>695</v>
      </c>
      <c r="T332" s="85">
        <f>0</f>
        <v>0</v>
      </c>
      <c r="U332" s="83"/>
      <c r="V332" s="83"/>
      <c r="W332" s="83"/>
      <c r="X332" s="83"/>
      <c r="Y332" s="83"/>
      <c r="Z332" s="83"/>
      <c r="AA332" s="83"/>
      <c r="AB332" s="83"/>
      <c r="AC332" s="83"/>
      <c r="AD332" s="83"/>
    </row>
    <row r="333" spans="1:30" ht="15.75" x14ac:dyDescent="0.25">
      <c r="A333" s="14">
        <v>50709</v>
      </c>
      <c r="B333" s="95">
        <v>31</v>
      </c>
      <c r="C333" s="85">
        <f>131.881</f>
        <v>131.881</v>
      </c>
      <c r="D333" s="85">
        <f>277.167</f>
        <v>277.16699999999997</v>
      </c>
      <c r="E333" s="92">
        <f>79.08</f>
        <v>79.08</v>
      </c>
      <c r="F333" s="85">
        <f>350.872-40-25-60</f>
        <v>225.87200000000001</v>
      </c>
      <c r="G333" s="87">
        <v>40</v>
      </c>
      <c r="H333" s="85">
        <f t="shared" si="54"/>
        <v>85</v>
      </c>
      <c r="I333" s="85">
        <f t="shared" si="53"/>
        <v>0</v>
      </c>
      <c r="J333" s="87">
        <v>100</v>
      </c>
      <c r="K333" s="87">
        <v>300</v>
      </c>
      <c r="L333" s="85">
        <f t="shared" si="46"/>
        <v>1239</v>
      </c>
      <c r="M333" s="86"/>
      <c r="N333" s="85">
        <f>75</f>
        <v>75</v>
      </c>
      <c r="O333" s="87">
        <v>240</v>
      </c>
      <c r="P333" s="87">
        <v>160</v>
      </c>
      <c r="Q333" s="87">
        <f t="shared" si="47"/>
        <v>195</v>
      </c>
      <c r="R333" s="87">
        <f t="shared" si="48"/>
        <v>100</v>
      </c>
      <c r="S333" s="85">
        <f t="shared" si="49"/>
        <v>695</v>
      </c>
      <c r="T333" s="85">
        <f>0</f>
        <v>0</v>
      </c>
      <c r="U333" s="83"/>
      <c r="V333" s="83"/>
      <c r="W333" s="83"/>
      <c r="X333" s="83"/>
      <c r="Y333" s="83"/>
      <c r="Z333" s="83"/>
      <c r="AA333" s="83"/>
      <c r="AB333" s="83"/>
      <c r="AC333" s="83"/>
      <c r="AD333" s="83"/>
    </row>
    <row r="334" spans="1:30" ht="15.75" x14ac:dyDescent="0.25">
      <c r="A334" s="14">
        <v>50739</v>
      </c>
      <c r="B334" s="95">
        <v>30</v>
      </c>
      <c r="C334" s="85">
        <f>122.58</f>
        <v>122.58</v>
      </c>
      <c r="D334" s="85">
        <f>297.941</f>
        <v>297.94099999999997</v>
      </c>
      <c r="E334" s="92">
        <f>89.177</f>
        <v>89.177000000000007</v>
      </c>
      <c r="F334" s="85">
        <f>240.302-40-60</f>
        <v>140.30199999999999</v>
      </c>
      <c r="G334" s="87">
        <v>40</v>
      </c>
      <c r="H334" s="85">
        <v>60</v>
      </c>
      <c r="I334" s="85">
        <f t="shared" si="53"/>
        <v>0</v>
      </c>
      <c r="J334" s="87">
        <v>100</v>
      </c>
      <c r="K334" s="87">
        <v>300</v>
      </c>
      <c r="L334" s="85">
        <f t="shared" si="46"/>
        <v>1150</v>
      </c>
      <c r="M334" s="86"/>
      <c r="N334" s="85">
        <f>100</f>
        <v>100</v>
      </c>
      <c r="O334" s="87">
        <v>240</v>
      </c>
      <c r="P334" s="87">
        <v>40</v>
      </c>
      <c r="Q334" s="87">
        <f t="shared" si="47"/>
        <v>315</v>
      </c>
      <c r="R334" s="87">
        <f t="shared" si="48"/>
        <v>100</v>
      </c>
      <c r="S334" s="85">
        <f t="shared" si="49"/>
        <v>695</v>
      </c>
      <c r="T334" s="85">
        <f>50</f>
        <v>50</v>
      </c>
      <c r="U334" s="83"/>
      <c r="V334" s="83"/>
      <c r="W334" s="83"/>
      <c r="X334" s="83"/>
      <c r="Y334" s="83"/>
      <c r="Z334" s="83"/>
      <c r="AA334" s="83"/>
      <c r="AB334" s="83"/>
      <c r="AC334" s="83"/>
      <c r="AD334" s="83"/>
    </row>
    <row r="335" spans="1:30" ht="15.75" x14ac:dyDescent="0.25">
      <c r="A335" s="14">
        <v>50770</v>
      </c>
      <c r="B335" s="95">
        <v>31</v>
      </c>
      <c r="C335" s="85">
        <f>122.58</f>
        <v>122.58</v>
      </c>
      <c r="D335" s="85">
        <f>297.941</f>
        <v>297.94099999999997</v>
      </c>
      <c r="E335" s="92">
        <f>89.177</f>
        <v>89.177000000000007</v>
      </c>
      <c r="F335" s="85">
        <f>240.302-40-60</f>
        <v>140.30199999999999</v>
      </c>
      <c r="G335" s="87">
        <v>40</v>
      </c>
      <c r="H335" s="85">
        <v>60</v>
      </c>
      <c r="I335" s="85">
        <f t="shared" si="53"/>
        <v>0</v>
      </c>
      <c r="J335" s="87">
        <v>100</v>
      </c>
      <c r="K335" s="87">
        <v>300</v>
      </c>
      <c r="L335" s="85">
        <f t="shared" si="46"/>
        <v>1150</v>
      </c>
      <c r="M335" s="86"/>
      <c r="N335" s="85">
        <f>100</f>
        <v>100</v>
      </c>
      <c r="O335" s="87">
        <v>240</v>
      </c>
      <c r="P335" s="87">
        <v>40</v>
      </c>
      <c r="Q335" s="87">
        <f t="shared" si="47"/>
        <v>315</v>
      </c>
      <c r="R335" s="87">
        <f t="shared" si="48"/>
        <v>100</v>
      </c>
      <c r="S335" s="85">
        <f t="shared" si="49"/>
        <v>695</v>
      </c>
      <c r="T335" s="85">
        <f>50</f>
        <v>50</v>
      </c>
      <c r="U335" s="83"/>
      <c r="V335" s="83"/>
      <c r="W335" s="83"/>
      <c r="X335" s="83"/>
      <c r="Y335" s="83"/>
      <c r="Z335" s="83"/>
      <c r="AA335" s="83"/>
      <c r="AB335" s="83"/>
      <c r="AC335" s="83"/>
      <c r="AD335" s="83"/>
    </row>
    <row r="336" spans="1:30" ht="15.75" x14ac:dyDescent="0.25">
      <c r="A336" s="14">
        <v>50801</v>
      </c>
      <c r="B336" s="95">
        <v>31</v>
      </c>
      <c r="C336" s="85">
        <f>122.58</f>
        <v>122.58</v>
      </c>
      <c r="D336" s="85">
        <f>297.941</f>
        <v>297.94099999999997</v>
      </c>
      <c r="E336" s="92">
        <f>89.177</f>
        <v>89.177000000000007</v>
      </c>
      <c r="F336" s="85">
        <f>240.302-40-60</f>
        <v>140.30199999999999</v>
      </c>
      <c r="G336" s="87">
        <v>40</v>
      </c>
      <c r="H336" s="85">
        <v>60</v>
      </c>
      <c r="I336" s="85">
        <f t="shared" si="53"/>
        <v>0</v>
      </c>
      <c r="J336" s="87">
        <v>100</v>
      </c>
      <c r="K336" s="87">
        <v>300</v>
      </c>
      <c r="L336" s="85">
        <f t="shared" si="46"/>
        <v>1150</v>
      </c>
      <c r="M336" s="86"/>
      <c r="N336" s="85">
        <f>100</f>
        <v>100</v>
      </c>
      <c r="O336" s="87">
        <v>240</v>
      </c>
      <c r="P336" s="87">
        <v>40</v>
      </c>
      <c r="Q336" s="87">
        <f t="shared" si="47"/>
        <v>315</v>
      </c>
      <c r="R336" s="87">
        <f t="shared" si="48"/>
        <v>100</v>
      </c>
      <c r="S336" s="85">
        <f t="shared" si="49"/>
        <v>695</v>
      </c>
      <c r="T336" s="85">
        <f>50</f>
        <v>50</v>
      </c>
      <c r="U336" s="83"/>
      <c r="V336" s="83"/>
      <c r="W336" s="83"/>
      <c r="X336" s="83"/>
      <c r="Y336" s="83"/>
      <c r="Z336" s="83"/>
      <c r="AA336" s="83"/>
      <c r="AB336" s="83"/>
      <c r="AC336" s="83"/>
      <c r="AD336" s="83"/>
    </row>
    <row r="337" spans="1:30" ht="15.75" x14ac:dyDescent="0.25">
      <c r="A337" s="14">
        <v>50829</v>
      </c>
      <c r="B337" s="95">
        <v>28</v>
      </c>
      <c r="C337" s="85">
        <f>122.58</f>
        <v>122.58</v>
      </c>
      <c r="D337" s="85">
        <f>297.941</f>
        <v>297.94099999999997</v>
      </c>
      <c r="E337" s="92">
        <f>89.177</f>
        <v>89.177000000000007</v>
      </c>
      <c r="F337" s="85">
        <f>240.302-40-60</f>
        <v>140.30199999999999</v>
      </c>
      <c r="G337" s="87">
        <v>40</v>
      </c>
      <c r="H337" s="85">
        <v>60</v>
      </c>
      <c r="I337" s="85">
        <f t="shared" si="53"/>
        <v>0</v>
      </c>
      <c r="J337" s="87">
        <v>100</v>
      </c>
      <c r="K337" s="87">
        <v>300</v>
      </c>
      <c r="L337" s="85">
        <f t="shared" si="46"/>
        <v>1150</v>
      </c>
      <c r="M337" s="86"/>
      <c r="N337" s="85">
        <f>100</f>
        <v>100</v>
      </c>
      <c r="O337" s="87">
        <v>240</v>
      </c>
      <c r="P337" s="87">
        <v>40</v>
      </c>
      <c r="Q337" s="87">
        <f t="shared" si="47"/>
        <v>315</v>
      </c>
      <c r="R337" s="87">
        <f t="shared" si="48"/>
        <v>100</v>
      </c>
      <c r="S337" s="85">
        <f t="shared" si="49"/>
        <v>695</v>
      </c>
      <c r="T337" s="85">
        <f>50</f>
        <v>50</v>
      </c>
      <c r="U337" s="83"/>
      <c r="V337" s="83"/>
      <c r="W337" s="83"/>
      <c r="X337" s="83"/>
      <c r="Y337" s="83"/>
      <c r="Z337" s="83"/>
      <c r="AA337" s="83"/>
      <c r="AB337" s="83"/>
      <c r="AC337" s="83"/>
      <c r="AD337" s="83"/>
    </row>
    <row r="338" spans="1:30" ht="15.75" x14ac:dyDescent="0.25">
      <c r="A338" s="14">
        <v>50860</v>
      </c>
      <c r="B338" s="95">
        <v>31</v>
      </c>
      <c r="C338" s="85">
        <f>122.58</f>
        <v>122.58</v>
      </c>
      <c r="D338" s="85">
        <f>297.941</f>
        <v>297.94099999999997</v>
      </c>
      <c r="E338" s="92">
        <f>89.177</f>
        <v>89.177000000000007</v>
      </c>
      <c r="F338" s="85">
        <f>240.302-40-60</f>
        <v>140.30199999999999</v>
      </c>
      <c r="G338" s="87">
        <v>40</v>
      </c>
      <c r="H338" s="85">
        <v>60</v>
      </c>
      <c r="I338" s="85">
        <f t="shared" si="53"/>
        <v>0</v>
      </c>
      <c r="J338" s="87">
        <v>100</v>
      </c>
      <c r="K338" s="87">
        <v>300</v>
      </c>
      <c r="L338" s="85">
        <f t="shared" si="46"/>
        <v>1150</v>
      </c>
      <c r="M338" s="86"/>
      <c r="N338" s="85">
        <f>100</f>
        <v>100</v>
      </c>
      <c r="O338" s="87">
        <v>240</v>
      </c>
      <c r="P338" s="87">
        <v>40</v>
      </c>
      <c r="Q338" s="87">
        <f t="shared" si="47"/>
        <v>315</v>
      </c>
      <c r="R338" s="87">
        <f t="shared" si="48"/>
        <v>100</v>
      </c>
      <c r="S338" s="85">
        <f t="shared" si="49"/>
        <v>695</v>
      </c>
      <c r="T338" s="85">
        <f>50</f>
        <v>50</v>
      </c>
      <c r="U338" s="83"/>
      <c r="V338" s="83"/>
      <c r="W338" s="83"/>
      <c r="X338" s="83"/>
      <c r="Y338" s="83"/>
      <c r="Z338" s="83"/>
      <c r="AA338" s="83"/>
      <c r="AB338" s="83"/>
      <c r="AC338" s="83"/>
      <c r="AD338" s="83"/>
    </row>
    <row r="339" spans="1:30" ht="15.75" x14ac:dyDescent="0.25">
      <c r="A339" s="14">
        <v>50890</v>
      </c>
      <c r="B339" s="95">
        <v>30</v>
      </c>
      <c r="C339" s="85">
        <f>141.293</f>
        <v>141.29300000000001</v>
      </c>
      <c r="D339" s="85">
        <f>267.993</f>
        <v>267.99299999999999</v>
      </c>
      <c r="E339" s="92">
        <f>115.016</f>
        <v>115.01600000000001</v>
      </c>
      <c r="F339" s="85">
        <f>314.698-40-25-60</f>
        <v>189.69799999999998</v>
      </c>
      <c r="G339" s="87">
        <v>40</v>
      </c>
      <c r="H339" s="85">
        <f t="shared" ref="H339:H345" si="55">25+60</f>
        <v>85</v>
      </c>
      <c r="I339" s="85">
        <f t="shared" si="53"/>
        <v>0</v>
      </c>
      <c r="J339" s="87">
        <v>100</v>
      </c>
      <c r="K339" s="87">
        <v>300</v>
      </c>
      <c r="L339" s="85">
        <f t="shared" si="46"/>
        <v>1239</v>
      </c>
      <c r="M339" s="86"/>
      <c r="N339" s="85">
        <f>100</f>
        <v>100</v>
      </c>
      <c r="O339" s="87">
        <v>240</v>
      </c>
      <c r="P339" s="87">
        <v>160</v>
      </c>
      <c r="Q339" s="87">
        <f t="shared" si="47"/>
        <v>195</v>
      </c>
      <c r="R339" s="87">
        <f t="shared" si="48"/>
        <v>100</v>
      </c>
      <c r="S339" s="85">
        <f t="shared" si="49"/>
        <v>695</v>
      </c>
      <c r="T339" s="85">
        <f>50</f>
        <v>50</v>
      </c>
      <c r="U339" s="83"/>
      <c r="V339" s="83"/>
      <c r="W339" s="83"/>
      <c r="X339" s="83"/>
      <c r="Y339" s="83"/>
      <c r="Z339" s="83"/>
      <c r="AA339" s="83"/>
      <c r="AB339" s="83"/>
      <c r="AC339" s="83"/>
      <c r="AD339" s="83"/>
    </row>
    <row r="340" spans="1:30" ht="15.75" x14ac:dyDescent="0.25">
      <c r="A340" s="14">
        <v>50921</v>
      </c>
      <c r="B340" s="95">
        <v>31</v>
      </c>
      <c r="C340" s="85">
        <f>194.205</f>
        <v>194.20500000000001</v>
      </c>
      <c r="D340" s="85">
        <f>267.466</f>
        <v>267.46600000000001</v>
      </c>
      <c r="E340" s="92">
        <f>133.845</f>
        <v>133.845</v>
      </c>
      <c r="F340" s="85">
        <f>278.484-40-25-60</f>
        <v>153.48399999999998</v>
      </c>
      <c r="G340" s="87">
        <v>40</v>
      </c>
      <c r="H340" s="85">
        <f t="shared" si="55"/>
        <v>85</v>
      </c>
      <c r="I340" s="85">
        <f t="shared" si="53"/>
        <v>0</v>
      </c>
      <c r="J340" s="87">
        <v>100</v>
      </c>
      <c r="K340" s="87">
        <v>300</v>
      </c>
      <c r="L340" s="85">
        <f t="shared" si="46"/>
        <v>1274</v>
      </c>
      <c r="M340" s="86"/>
      <c r="N340" s="85">
        <f>75</f>
        <v>75</v>
      </c>
      <c r="O340" s="87">
        <v>240</v>
      </c>
      <c r="P340" s="87">
        <v>160</v>
      </c>
      <c r="Q340" s="87">
        <f t="shared" si="47"/>
        <v>195</v>
      </c>
      <c r="R340" s="87">
        <f t="shared" si="48"/>
        <v>100</v>
      </c>
      <c r="S340" s="85">
        <f t="shared" si="49"/>
        <v>695</v>
      </c>
      <c r="T340" s="85">
        <f>50</f>
        <v>50</v>
      </c>
      <c r="U340" s="83"/>
      <c r="V340" s="83"/>
      <c r="W340" s="83"/>
      <c r="X340" s="83"/>
      <c r="Y340" s="83"/>
      <c r="Z340" s="83"/>
      <c r="AA340" s="83"/>
      <c r="AB340" s="83"/>
      <c r="AC340" s="83"/>
      <c r="AD340" s="83"/>
    </row>
    <row r="341" spans="1:30" ht="15.75" x14ac:dyDescent="0.25">
      <c r="A341" s="14">
        <v>50951</v>
      </c>
      <c r="B341" s="95">
        <v>30</v>
      </c>
      <c r="C341" s="85">
        <f>194.205</f>
        <v>194.20500000000001</v>
      </c>
      <c r="D341" s="85">
        <f>267.466</f>
        <v>267.46600000000001</v>
      </c>
      <c r="E341" s="92">
        <f>133.845</f>
        <v>133.845</v>
      </c>
      <c r="F341" s="85">
        <f>278.484-40-25-60</f>
        <v>153.48399999999998</v>
      </c>
      <c r="G341" s="87">
        <v>40</v>
      </c>
      <c r="H341" s="85">
        <f t="shared" si="55"/>
        <v>85</v>
      </c>
      <c r="I341" s="85">
        <f t="shared" si="53"/>
        <v>0</v>
      </c>
      <c r="J341" s="87">
        <v>100</v>
      </c>
      <c r="K341" s="87">
        <v>300</v>
      </c>
      <c r="L341" s="85">
        <f t="shared" si="46"/>
        <v>1274</v>
      </c>
      <c r="M341" s="86"/>
      <c r="N341" s="85">
        <f>30</f>
        <v>30</v>
      </c>
      <c r="O341" s="87">
        <v>240</v>
      </c>
      <c r="P341" s="87">
        <v>160</v>
      </c>
      <c r="Q341" s="87">
        <f t="shared" si="47"/>
        <v>195</v>
      </c>
      <c r="R341" s="87">
        <f t="shared" si="48"/>
        <v>100</v>
      </c>
      <c r="S341" s="85">
        <f t="shared" si="49"/>
        <v>695</v>
      </c>
      <c r="T341" s="85">
        <f>50</f>
        <v>50</v>
      </c>
      <c r="U341" s="83"/>
      <c r="V341" s="83"/>
      <c r="W341" s="83"/>
      <c r="X341" s="83"/>
      <c r="Y341" s="83"/>
      <c r="Z341" s="83"/>
      <c r="AA341" s="83"/>
      <c r="AB341" s="83"/>
      <c r="AC341" s="83"/>
      <c r="AD341" s="83"/>
    </row>
    <row r="342" spans="1:30" ht="15.75" x14ac:dyDescent="0.25">
      <c r="A342" s="14">
        <v>50982</v>
      </c>
      <c r="B342" s="95">
        <v>31</v>
      </c>
      <c r="C342" s="85">
        <f>194.205</f>
        <v>194.20500000000001</v>
      </c>
      <c r="D342" s="85">
        <f>267.466</f>
        <v>267.46600000000001</v>
      </c>
      <c r="E342" s="92">
        <f>133.845</f>
        <v>133.845</v>
      </c>
      <c r="F342" s="85">
        <f>278.484-40-25-60</f>
        <v>153.48399999999998</v>
      </c>
      <c r="G342" s="87">
        <v>40</v>
      </c>
      <c r="H342" s="85">
        <f t="shared" si="55"/>
        <v>85</v>
      </c>
      <c r="I342" s="85">
        <f t="shared" si="53"/>
        <v>0</v>
      </c>
      <c r="J342" s="87">
        <v>100</v>
      </c>
      <c r="K342" s="87">
        <v>300</v>
      </c>
      <c r="L342" s="85">
        <f t="shared" si="46"/>
        <v>1274</v>
      </c>
      <c r="M342" s="86"/>
      <c r="N342" s="85">
        <f>30</f>
        <v>30</v>
      </c>
      <c r="O342" s="87">
        <v>240</v>
      </c>
      <c r="P342" s="87">
        <v>160</v>
      </c>
      <c r="Q342" s="87">
        <f t="shared" si="47"/>
        <v>195</v>
      </c>
      <c r="R342" s="87">
        <f t="shared" si="48"/>
        <v>100</v>
      </c>
      <c r="S342" s="85">
        <f t="shared" si="49"/>
        <v>695</v>
      </c>
      <c r="T342" s="85">
        <f>0</f>
        <v>0</v>
      </c>
      <c r="U342" s="83"/>
      <c r="V342" s="83"/>
      <c r="W342" s="83"/>
      <c r="X342" s="83"/>
      <c r="Y342" s="83"/>
      <c r="Z342" s="83"/>
      <c r="AA342" s="83"/>
      <c r="AB342" s="83"/>
      <c r="AC342" s="83"/>
      <c r="AD342" s="83"/>
    </row>
    <row r="343" spans="1:30" ht="15.75" x14ac:dyDescent="0.25">
      <c r="A343" s="14">
        <v>51013</v>
      </c>
      <c r="B343" s="95">
        <v>31</v>
      </c>
      <c r="C343" s="85">
        <f>194.205</f>
        <v>194.20500000000001</v>
      </c>
      <c r="D343" s="85">
        <f>267.466</f>
        <v>267.46600000000001</v>
      </c>
      <c r="E343" s="92">
        <f>133.845</f>
        <v>133.845</v>
      </c>
      <c r="F343" s="85">
        <f>278.484-40-25-60</f>
        <v>153.48399999999998</v>
      </c>
      <c r="G343" s="87">
        <v>40</v>
      </c>
      <c r="H343" s="85">
        <f t="shared" si="55"/>
        <v>85</v>
      </c>
      <c r="I343" s="85">
        <f t="shared" si="53"/>
        <v>0</v>
      </c>
      <c r="J343" s="87">
        <v>100</v>
      </c>
      <c r="K343" s="87">
        <v>300</v>
      </c>
      <c r="L343" s="85">
        <f t="shared" si="46"/>
        <v>1274</v>
      </c>
      <c r="M343" s="86"/>
      <c r="N343" s="85">
        <f>30</f>
        <v>30</v>
      </c>
      <c r="O343" s="87">
        <v>240</v>
      </c>
      <c r="P343" s="87">
        <v>160</v>
      </c>
      <c r="Q343" s="87">
        <f t="shared" si="47"/>
        <v>195</v>
      </c>
      <c r="R343" s="87">
        <f t="shared" si="48"/>
        <v>100</v>
      </c>
      <c r="S343" s="85">
        <f t="shared" si="49"/>
        <v>695</v>
      </c>
      <c r="T343" s="85">
        <f>0</f>
        <v>0</v>
      </c>
      <c r="U343" s="83"/>
      <c r="V343" s="83"/>
      <c r="W343" s="83"/>
      <c r="X343" s="83"/>
      <c r="Y343" s="83"/>
      <c r="Z343" s="83"/>
      <c r="AA343" s="83"/>
      <c r="AB343" s="83"/>
      <c r="AC343" s="83"/>
      <c r="AD343" s="83"/>
    </row>
    <row r="344" spans="1:30" ht="15.75" x14ac:dyDescent="0.25">
      <c r="A344" s="14">
        <v>51043</v>
      </c>
      <c r="B344" s="95">
        <v>30</v>
      </c>
      <c r="C344" s="85">
        <f>194.205</f>
        <v>194.20500000000001</v>
      </c>
      <c r="D344" s="85">
        <f>267.466</f>
        <v>267.46600000000001</v>
      </c>
      <c r="E344" s="92">
        <f>133.845</f>
        <v>133.845</v>
      </c>
      <c r="F344" s="85">
        <f>278.484-40-25-60</f>
        <v>153.48399999999998</v>
      </c>
      <c r="G344" s="87">
        <v>40</v>
      </c>
      <c r="H344" s="85">
        <f t="shared" si="55"/>
        <v>85</v>
      </c>
      <c r="I344" s="85">
        <f t="shared" si="53"/>
        <v>0</v>
      </c>
      <c r="J344" s="87">
        <v>100</v>
      </c>
      <c r="K344" s="87">
        <v>300</v>
      </c>
      <c r="L344" s="85">
        <f t="shared" ref="L344:L407" si="56">SUM(C344:K344)</f>
        <v>1274</v>
      </c>
      <c r="M344" s="86"/>
      <c r="N344" s="85">
        <f>30</f>
        <v>30</v>
      </c>
      <c r="O344" s="87">
        <v>240</v>
      </c>
      <c r="P344" s="87">
        <v>160</v>
      </c>
      <c r="Q344" s="87">
        <f t="shared" ref="Q344:Q407" si="57">695-R344-O344-P344</f>
        <v>195</v>
      </c>
      <c r="R344" s="87">
        <f t="shared" ref="R344:R407" si="58">200-J344</f>
        <v>100</v>
      </c>
      <c r="S344" s="85">
        <f t="shared" ref="S344:S407" si="59">SUM(O344:R344)</f>
        <v>695</v>
      </c>
      <c r="T344" s="85">
        <f>0</f>
        <v>0</v>
      </c>
      <c r="U344" s="83"/>
      <c r="V344" s="83"/>
      <c r="W344" s="83"/>
      <c r="X344" s="83"/>
      <c r="Y344" s="83"/>
      <c r="Z344" s="83"/>
      <c r="AA344" s="83"/>
      <c r="AB344" s="83"/>
      <c r="AC344" s="83"/>
      <c r="AD344" s="83"/>
    </row>
    <row r="345" spans="1:30" ht="15.75" x14ac:dyDescent="0.25">
      <c r="A345" s="14">
        <v>51074</v>
      </c>
      <c r="B345" s="95">
        <v>31</v>
      </c>
      <c r="C345" s="85">
        <f>131.881</f>
        <v>131.881</v>
      </c>
      <c r="D345" s="85">
        <f>277.167</f>
        <v>277.16699999999997</v>
      </c>
      <c r="E345" s="92">
        <f>79.08</f>
        <v>79.08</v>
      </c>
      <c r="F345" s="85">
        <f>350.872-40-25-60</f>
        <v>225.87200000000001</v>
      </c>
      <c r="G345" s="87">
        <v>40</v>
      </c>
      <c r="H345" s="85">
        <f t="shared" si="55"/>
        <v>85</v>
      </c>
      <c r="I345" s="85">
        <f t="shared" si="53"/>
        <v>0</v>
      </c>
      <c r="J345" s="87">
        <v>100</v>
      </c>
      <c r="K345" s="87">
        <v>300</v>
      </c>
      <c r="L345" s="85">
        <f t="shared" si="56"/>
        <v>1239</v>
      </c>
      <c r="M345" s="86"/>
      <c r="N345" s="85">
        <f>75</f>
        <v>75</v>
      </c>
      <c r="O345" s="87">
        <v>240</v>
      </c>
      <c r="P345" s="87">
        <v>160</v>
      </c>
      <c r="Q345" s="87">
        <f t="shared" si="57"/>
        <v>195</v>
      </c>
      <c r="R345" s="87">
        <f t="shared" si="58"/>
        <v>100</v>
      </c>
      <c r="S345" s="85">
        <f t="shared" si="59"/>
        <v>695</v>
      </c>
      <c r="T345" s="85">
        <f>0</f>
        <v>0</v>
      </c>
      <c r="U345" s="83"/>
      <c r="V345" s="83"/>
      <c r="W345" s="83"/>
      <c r="X345" s="83"/>
      <c r="Y345" s="83"/>
      <c r="Z345" s="83"/>
      <c r="AA345" s="83"/>
      <c r="AB345" s="83"/>
      <c r="AC345" s="83"/>
      <c r="AD345" s="83"/>
    </row>
    <row r="346" spans="1:30" ht="15.75" x14ac:dyDescent="0.25">
      <c r="A346" s="14">
        <v>51104</v>
      </c>
      <c r="B346" s="95">
        <v>30</v>
      </c>
      <c r="C346" s="85">
        <f>122.58</f>
        <v>122.58</v>
      </c>
      <c r="D346" s="85">
        <f>297.941</f>
        <v>297.94099999999997</v>
      </c>
      <c r="E346" s="92">
        <f>89.177</f>
        <v>89.177000000000007</v>
      </c>
      <c r="F346" s="85">
        <f>240.302-40-60</f>
        <v>140.30199999999999</v>
      </c>
      <c r="G346" s="87">
        <v>40</v>
      </c>
      <c r="H346" s="85">
        <v>60</v>
      </c>
      <c r="I346" s="85">
        <f t="shared" si="53"/>
        <v>0</v>
      </c>
      <c r="J346" s="87">
        <v>100</v>
      </c>
      <c r="K346" s="87">
        <v>300</v>
      </c>
      <c r="L346" s="85">
        <f t="shared" si="56"/>
        <v>1150</v>
      </c>
      <c r="M346" s="86"/>
      <c r="N346" s="85">
        <f>100</f>
        <v>100</v>
      </c>
      <c r="O346" s="87">
        <v>240</v>
      </c>
      <c r="P346" s="87">
        <v>40</v>
      </c>
      <c r="Q346" s="87">
        <f t="shared" si="57"/>
        <v>315</v>
      </c>
      <c r="R346" s="87">
        <f t="shared" si="58"/>
        <v>100</v>
      </c>
      <c r="S346" s="85">
        <f t="shared" si="59"/>
        <v>695</v>
      </c>
      <c r="T346" s="85">
        <f>50</f>
        <v>50</v>
      </c>
      <c r="U346" s="83"/>
      <c r="V346" s="83"/>
      <c r="W346" s="83"/>
      <c r="X346" s="83"/>
      <c r="Y346" s="83"/>
      <c r="Z346" s="83"/>
      <c r="AA346" s="83"/>
      <c r="AB346" s="83"/>
      <c r="AC346" s="83"/>
      <c r="AD346" s="83"/>
    </row>
    <row r="347" spans="1:30" ht="15.75" x14ac:dyDescent="0.25">
      <c r="A347" s="14">
        <v>51135</v>
      </c>
      <c r="B347" s="95">
        <v>31</v>
      </c>
      <c r="C347" s="85">
        <f>122.58</f>
        <v>122.58</v>
      </c>
      <c r="D347" s="85">
        <f>297.941</f>
        <v>297.94099999999997</v>
      </c>
      <c r="E347" s="92">
        <f>89.177</f>
        <v>89.177000000000007</v>
      </c>
      <c r="F347" s="85">
        <f>240.302-40-60</f>
        <v>140.30199999999999</v>
      </c>
      <c r="G347" s="87">
        <v>40</v>
      </c>
      <c r="H347" s="85">
        <v>60</v>
      </c>
      <c r="I347" s="85">
        <f t="shared" si="53"/>
        <v>0</v>
      </c>
      <c r="J347" s="87">
        <v>100</v>
      </c>
      <c r="K347" s="87">
        <v>300</v>
      </c>
      <c r="L347" s="85">
        <f t="shared" si="56"/>
        <v>1150</v>
      </c>
      <c r="M347" s="86"/>
      <c r="N347" s="85">
        <f>100</f>
        <v>100</v>
      </c>
      <c r="O347" s="87">
        <v>240</v>
      </c>
      <c r="P347" s="87">
        <v>40</v>
      </c>
      <c r="Q347" s="87">
        <f t="shared" si="57"/>
        <v>315</v>
      </c>
      <c r="R347" s="87">
        <f t="shared" si="58"/>
        <v>100</v>
      </c>
      <c r="S347" s="85">
        <f t="shared" si="59"/>
        <v>695</v>
      </c>
      <c r="T347" s="85">
        <f>50</f>
        <v>50</v>
      </c>
      <c r="U347" s="83"/>
      <c r="V347" s="83"/>
      <c r="W347" s="83"/>
      <c r="X347" s="83"/>
      <c r="Y347" s="83"/>
      <c r="Z347" s="83"/>
      <c r="AA347" s="83"/>
      <c r="AB347" s="83"/>
      <c r="AC347" s="83"/>
      <c r="AD347" s="83"/>
    </row>
    <row r="348" spans="1:30" ht="15.75" x14ac:dyDescent="0.25">
      <c r="A348" s="14">
        <v>51166</v>
      </c>
      <c r="B348" s="95">
        <v>31</v>
      </c>
      <c r="C348" s="85">
        <f>122.58</f>
        <v>122.58</v>
      </c>
      <c r="D348" s="85">
        <f>297.941</f>
        <v>297.94099999999997</v>
      </c>
      <c r="E348" s="92">
        <f>89.177</f>
        <v>89.177000000000007</v>
      </c>
      <c r="F348" s="85">
        <f>240.302-40-60</f>
        <v>140.30199999999999</v>
      </c>
      <c r="G348" s="87">
        <v>40</v>
      </c>
      <c r="H348" s="85">
        <v>60</v>
      </c>
      <c r="I348" s="85">
        <f t="shared" si="53"/>
        <v>0</v>
      </c>
      <c r="J348" s="87">
        <v>100</v>
      </c>
      <c r="K348" s="87">
        <v>300</v>
      </c>
      <c r="L348" s="85">
        <f t="shared" si="56"/>
        <v>1150</v>
      </c>
      <c r="M348" s="86"/>
      <c r="N348" s="85">
        <f>100</f>
        <v>100</v>
      </c>
      <c r="O348" s="87">
        <v>240</v>
      </c>
      <c r="P348" s="87">
        <v>40</v>
      </c>
      <c r="Q348" s="87">
        <f t="shared" si="57"/>
        <v>315</v>
      </c>
      <c r="R348" s="87">
        <f t="shared" si="58"/>
        <v>100</v>
      </c>
      <c r="S348" s="85">
        <f t="shared" si="59"/>
        <v>695</v>
      </c>
      <c r="T348" s="85">
        <f>50</f>
        <v>50</v>
      </c>
      <c r="U348" s="83"/>
      <c r="V348" s="83"/>
      <c r="W348" s="83"/>
      <c r="X348" s="83"/>
      <c r="Y348" s="83"/>
      <c r="Z348" s="83"/>
      <c r="AA348" s="83"/>
      <c r="AB348" s="83"/>
      <c r="AC348" s="83"/>
      <c r="AD348" s="83"/>
    </row>
    <row r="349" spans="1:30" ht="15.75" x14ac:dyDescent="0.25">
      <c r="A349" s="14">
        <v>51194</v>
      </c>
      <c r="B349" s="95">
        <v>29</v>
      </c>
      <c r="C349" s="85">
        <f>122.58</f>
        <v>122.58</v>
      </c>
      <c r="D349" s="85">
        <f>297.941</f>
        <v>297.94099999999997</v>
      </c>
      <c r="E349" s="92">
        <f>89.177</f>
        <v>89.177000000000007</v>
      </c>
      <c r="F349" s="85">
        <f>240.302-40-60</f>
        <v>140.30199999999999</v>
      </c>
      <c r="G349" s="87">
        <v>40</v>
      </c>
      <c r="H349" s="85">
        <v>60</v>
      </c>
      <c r="I349" s="85">
        <f t="shared" si="53"/>
        <v>0</v>
      </c>
      <c r="J349" s="87">
        <v>100</v>
      </c>
      <c r="K349" s="87">
        <v>300</v>
      </c>
      <c r="L349" s="85">
        <f t="shared" si="56"/>
        <v>1150</v>
      </c>
      <c r="M349" s="86"/>
      <c r="N349" s="85">
        <f>100</f>
        <v>100</v>
      </c>
      <c r="O349" s="87">
        <v>240</v>
      </c>
      <c r="P349" s="87">
        <v>40</v>
      </c>
      <c r="Q349" s="87">
        <f t="shared" si="57"/>
        <v>315</v>
      </c>
      <c r="R349" s="87">
        <f t="shared" si="58"/>
        <v>100</v>
      </c>
      <c r="S349" s="85">
        <f t="shared" si="59"/>
        <v>695</v>
      </c>
      <c r="T349" s="85">
        <f>50</f>
        <v>50</v>
      </c>
      <c r="U349" s="83"/>
      <c r="V349" s="83"/>
      <c r="W349" s="83"/>
      <c r="X349" s="83"/>
      <c r="Y349" s="83"/>
      <c r="Z349" s="83"/>
      <c r="AA349" s="83"/>
      <c r="AB349" s="83"/>
      <c r="AC349" s="83"/>
      <c r="AD349" s="83"/>
    </row>
    <row r="350" spans="1:30" ht="15.75" x14ac:dyDescent="0.25">
      <c r="A350" s="14">
        <v>51226</v>
      </c>
      <c r="B350" s="95">
        <v>31</v>
      </c>
      <c r="C350" s="85">
        <f>122.58</f>
        <v>122.58</v>
      </c>
      <c r="D350" s="85">
        <f>297.941</f>
        <v>297.94099999999997</v>
      </c>
      <c r="E350" s="92">
        <f>89.177</f>
        <v>89.177000000000007</v>
      </c>
      <c r="F350" s="85">
        <f>240.302-40-60</f>
        <v>140.30199999999999</v>
      </c>
      <c r="G350" s="87">
        <v>40</v>
      </c>
      <c r="H350" s="85">
        <v>60</v>
      </c>
      <c r="I350" s="85">
        <f t="shared" si="53"/>
        <v>0</v>
      </c>
      <c r="J350" s="87">
        <v>100</v>
      </c>
      <c r="K350" s="87">
        <v>300</v>
      </c>
      <c r="L350" s="85">
        <f t="shared" si="56"/>
        <v>1150</v>
      </c>
      <c r="M350" s="86"/>
      <c r="N350" s="85">
        <f>100</f>
        <v>100</v>
      </c>
      <c r="O350" s="87">
        <v>240</v>
      </c>
      <c r="P350" s="87">
        <v>40</v>
      </c>
      <c r="Q350" s="87">
        <f t="shared" si="57"/>
        <v>315</v>
      </c>
      <c r="R350" s="87">
        <f t="shared" si="58"/>
        <v>100</v>
      </c>
      <c r="S350" s="85">
        <f t="shared" si="59"/>
        <v>695</v>
      </c>
      <c r="T350" s="85">
        <f>50</f>
        <v>50</v>
      </c>
      <c r="U350" s="83"/>
      <c r="V350" s="83"/>
      <c r="W350" s="83"/>
      <c r="X350" s="83"/>
      <c r="Y350" s="83"/>
      <c r="Z350" s="83"/>
      <c r="AA350" s="83"/>
      <c r="AB350" s="83"/>
      <c r="AC350" s="83"/>
      <c r="AD350" s="83"/>
    </row>
    <row r="351" spans="1:30" ht="15.75" x14ac:dyDescent="0.25">
      <c r="A351" s="14">
        <v>51256</v>
      </c>
      <c r="B351" s="95">
        <v>30</v>
      </c>
      <c r="C351" s="85">
        <f>141.293</f>
        <v>141.29300000000001</v>
      </c>
      <c r="D351" s="85">
        <f>267.993</f>
        <v>267.99299999999999</v>
      </c>
      <c r="E351" s="92">
        <f>115.016</f>
        <v>115.01600000000001</v>
      </c>
      <c r="F351" s="85">
        <f>314.698-40-25-60</f>
        <v>189.69799999999998</v>
      </c>
      <c r="G351" s="87">
        <v>40</v>
      </c>
      <c r="H351" s="85">
        <f t="shared" ref="H351:H357" si="60">25+60</f>
        <v>85</v>
      </c>
      <c r="I351" s="85">
        <f t="shared" si="53"/>
        <v>0</v>
      </c>
      <c r="J351" s="87">
        <v>100</v>
      </c>
      <c r="K351" s="87">
        <v>300</v>
      </c>
      <c r="L351" s="85">
        <f t="shared" si="56"/>
        <v>1239</v>
      </c>
      <c r="M351" s="86"/>
      <c r="N351" s="85">
        <f>100</f>
        <v>100</v>
      </c>
      <c r="O351" s="87">
        <v>240</v>
      </c>
      <c r="P351" s="87">
        <v>160</v>
      </c>
      <c r="Q351" s="87">
        <f t="shared" si="57"/>
        <v>195</v>
      </c>
      <c r="R351" s="87">
        <f t="shared" si="58"/>
        <v>100</v>
      </c>
      <c r="S351" s="85">
        <f t="shared" si="59"/>
        <v>695</v>
      </c>
      <c r="T351" s="85">
        <f>50</f>
        <v>50</v>
      </c>
      <c r="U351" s="83"/>
      <c r="V351" s="83"/>
      <c r="W351" s="83"/>
      <c r="X351" s="83"/>
      <c r="Y351" s="83"/>
      <c r="Z351" s="83"/>
      <c r="AA351" s="83"/>
      <c r="AB351" s="83"/>
      <c r="AC351" s="83"/>
      <c r="AD351" s="83"/>
    </row>
    <row r="352" spans="1:30" ht="15.75" x14ac:dyDescent="0.25">
      <c r="A352" s="14">
        <v>51287</v>
      </c>
      <c r="B352" s="95">
        <v>31</v>
      </c>
      <c r="C352" s="85">
        <f>194.205</f>
        <v>194.20500000000001</v>
      </c>
      <c r="D352" s="85">
        <f>267.466</f>
        <v>267.46600000000001</v>
      </c>
      <c r="E352" s="92">
        <f>133.845</f>
        <v>133.845</v>
      </c>
      <c r="F352" s="85">
        <f>278.484-40-25-60</f>
        <v>153.48399999999998</v>
      </c>
      <c r="G352" s="87">
        <v>40</v>
      </c>
      <c r="H352" s="85">
        <f t="shared" si="60"/>
        <v>85</v>
      </c>
      <c r="I352" s="85">
        <f t="shared" si="53"/>
        <v>0</v>
      </c>
      <c r="J352" s="87">
        <v>100</v>
      </c>
      <c r="K352" s="87">
        <v>300</v>
      </c>
      <c r="L352" s="85">
        <f t="shared" si="56"/>
        <v>1274</v>
      </c>
      <c r="M352" s="86"/>
      <c r="N352" s="85">
        <f>75</f>
        <v>75</v>
      </c>
      <c r="O352" s="87">
        <v>240</v>
      </c>
      <c r="P352" s="87">
        <v>160</v>
      </c>
      <c r="Q352" s="87">
        <f t="shared" si="57"/>
        <v>195</v>
      </c>
      <c r="R352" s="87">
        <f t="shared" si="58"/>
        <v>100</v>
      </c>
      <c r="S352" s="85">
        <f t="shared" si="59"/>
        <v>695</v>
      </c>
      <c r="T352" s="85">
        <f>50</f>
        <v>50</v>
      </c>
      <c r="U352" s="83"/>
      <c r="V352" s="83"/>
      <c r="W352" s="83"/>
      <c r="X352" s="83"/>
      <c r="Y352" s="83"/>
      <c r="Z352" s="83"/>
      <c r="AA352" s="83"/>
      <c r="AB352" s="83"/>
      <c r="AC352" s="83"/>
      <c r="AD352" s="83"/>
    </row>
    <row r="353" spans="1:30" ht="15.75" x14ac:dyDescent="0.25">
      <c r="A353" s="14">
        <v>51317</v>
      </c>
      <c r="B353" s="95">
        <v>30</v>
      </c>
      <c r="C353" s="85">
        <f>194.205</f>
        <v>194.20500000000001</v>
      </c>
      <c r="D353" s="85">
        <f>267.466</f>
        <v>267.46600000000001</v>
      </c>
      <c r="E353" s="92">
        <f>133.845</f>
        <v>133.845</v>
      </c>
      <c r="F353" s="85">
        <f>278.484-40-25-60</f>
        <v>153.48399999999998</v>
      </c>
      <c r="G353" s="87">
        <v>40</v>
      </c>
      <c r="H353" s="85">
        <f t="shared" si="60"/>
        <v>85</v>
      </c>
      <c r="I353" s="85">
        <f t="shared" si="53"/>
        <v>0</v>
      </c>
      <c r="J353" s="87">
        <v>100</v>
      </c>
      <c r="K353" s="87">
        <v>300</v>
      </c>
      <c r="L353" s="85">
        <f t="shared" si="56"/>
        <v>1274</v>
      </c>
      <c r="M353" s="86"/>
      <c r="N353" s="85">
        <f>30</f>
        <v>30</v>
      </c>
      <c r="O353" s="87">
        <v>240</v>
      </c>
      <c r="P353" s="87">
        <v>160</v>
      </c>
      <c r="Q353" s="87">
        <f t="shared" si="57"/>
        <v>195</v>
      </c>
      <c r="R353" s="87">
        <f t="shared" si="58"/>
        <v>100</v>
      </c>
      <c r="S353" s="85">
        <f t="shared" si="59"/>
        <v>695</v>
      </c>
      <c r="T353" s="85">
        <f>50</f>
        <v>50</v>
      </c>
      <c r="U353" s="83"/>
      <c r="V353" s="83"/>
      <c r="W353" s="83"/>
      <c r="X353" s="83"/>
      <c r="Y353" s="83"/>
      <c r="Z353" s="83"/>
      <c r="AA353" s="83"/>
      <c r="AB353" s="83"/>
      <c r="AC353" s="83"/>
      <c r="AD353" s="83"/>
    </row>
    <row r="354" spans="1:30" ht="15.75" x14ac:dyDescent="0.25">
      <c r="A354" s="14">
        <v>51348</v>
      </c>
      <c r="B354" s="95">
        <v>31</v>
      </c>
      <c r="C354" s="85">
        <f>194.205</f>
        <v>194.20500000000001</v>
      </c>
      <c r="D354" s="85">
        <f>267.466</f>
        <v>267.46600000000001</v>
      </c>
      <c r="E354" s="92">
        <f>133.845</f>
        <v>133.845</v>
      </c>
      <c r="F354" s="85">
        <f>278.484-40-25-60</f>
        <v>153.48399999999998</v>
      </c>
      <c r="G354" s="87">
        <v>40</v>
      </c>
      <c r="H354" s="85">
        <f t="shared" si="60"/>
        <v>85</v>
      </c>
      <c r="I354" s="85">
        <f t="shared" si="53"/>
        <v>0</v>
      </c>
      <c r="J354" s="87">
        <v>100</v>
      </c>
      <c r="K354" s="87">
        <v>300</v>
      </c>
      <c r="L354" s="85">
        <f t="shared" si="56"/>
        <v>1274</v>
      </c>
      <c r="M354" s="86"/>
      <c r="N354" s="85">
        <f>30</f>
        <v>30</v>
      </c>
      <c r="O354" s="87">
        <v>240</v>
      </c>
      <c r="P354" s="87">
        <v>160</v>
      </c>
      <c r="Q354" s="87">
        <f t="shared" si="57"/>
        <v>195</v>
      </c>
      <c r="R354" s="87">
        <f t="shared" si="58"/>
        <v>100</v>
      </c>
      <c r="S354" s="85">
        <f t="shared" si="59"/>
        <v>695</v>
      </c>
      <c r="T354" s="85">
        <f>0</f>
        <v>0</v>
      </c>
      <c r="U354" s="83"/>
      <c r="V354" s="83"/>
      <c r="W354" s="83"/>
      <c r="X354" s="83"/>
      <c r="Y354" s="83"/>
      <c r="Z354" s="83"/>
      <c r="AA354" s="83"/>
      <c r="AB354" s="83"/>
      <c r="AC354" s="83"/>
      <c r="AD354" s="83"/>
    </row>
    <row r="355" spans="1:30" ht="15.75" x14ac:dyDescent="0.25">
      <c r="A355" s="14">
        <v>51379</v>
      </c>
      <c r="B355" s="95">
        <v>31</v>
      </c>
      <c r="C355" s="85">
        <f>194.205</f>
        <v>194.20500000000001</v>
      </c>
      <c r="D355" s="85">
        <f>267.466</f>
        <v>267.46600000000001</v>
      </c>
      <c r="E355" s="92">
        <f>133.845</f>
        <v>133.845</v>
      </c>
      <c r="F355" s="85">
        <f>278.484-40-25-60</f>
        <v>153.48399999999998</v>
      </c>
      <c r="G355" s="87">
        <v>40</v>
      </c>
      <c r="H355" s="85">
        <f t="shared" si="60"/>
        <v>85</v>
      </c>
      <c r="I355" s="85">
        <f t="shared" si="53"/>
        <v>0</v>
      </c>
      <c r="J355" s="87">
        <v>100</v>
      </c>
      <c r="K355" s="87">
        <v>300</v>
      </c>
      <c r="L355" s="85">
        <f t="shared" si="56"/>
        <v>1274</v>
      </c>
      <c r="M355" s="86"/>
      <c r="N355" s="85">
        <f>30</f>
        <v>30</v>
      </c>
      <c r="O355" s="87">
        <v>240</v>
      </c>
      <c r="P355" s="87">
        <v>160</v>
      </c>
      <c r="Q355" s="87">
        <f t="shared" si="57"/>
        <v>195</v>
      </c>
      <c r="R355" s="87">
        <f t="shared" si="58"/>
        <v>100</v>
      </c>
      <c r="S355" s="85">
        <f t="shared" si="59"/>
        <v>695</v>
      </c>
      <c r="T355" s="85">
        <f>0</f>
        <v>0</v>
      </c>
      <c r="U355" s="83"/>
      <c r="V355" s="83"/>
      <c r="W355" s="83"/>
      <c r="X355" s="83"/>
      <c r="Y355" s="83"/>
      <c r="Z355" s="83"/>
      <c r="AA355" s="83"/>
      <c r="AB355" s="83"/>
      <c r="AC355" s="83"/>
      <c r="AD355" s="83"/>
    </row>
    <row r="356" spans="1:30" ht="15.75" x14ac:dyDescent="0.25">
      <c r="A356" s="14">
        <v>51409</v>
      </c>
      <c r="B356" s="95">
        <v>30</v>
      </c>
      <c r="C356" s="85">
        <f>194.205</f>
        <v>194.20500000000001</v>
      </c>
      <c r="D356" s="85">
        <f>267.466</f>
        <v>267.46600000000001</v>
      </c>
      <c r="E356" s="92">
        <f>133.845</f>
        <v>133.845</v>
      </c>
      <c r="F356" s="85">
        <f>278.484-40-25-60</f>
        <v>153.48399999999998</v>
      </c>
      <c r="G356" s="87">
        <v>40</v>
      </c>
      <c r="H356" s="85">
        <f t="shared" si="60"/>
        <v>85</v>
      </c>
      <c r="I356" s="85">
        <f t="shared" si="53"/>
        <v>0</v>
      </c>
      <c r="J356" s="87">
        <v>100</v>
      </c>
      <c r="K356" s="87">
        <v>300</v>
      </c>
      <c r="L356" s="85">
        <f t="shared" si="56"/>
        <v>1274</v>
      </c>
      <c r="M356" s="86"/>
      <c r="N356" s="85">
        <f>30</f>
        <v>30</v>
      </c>
      <c r="O356" s="87">
        <v>240</v>
      </c>
      <c r="P356" s="87">
        <v>160</v>
      </c>
      <c r="Q356" s="87">
        <f t="shared" si="57"/>
        <v>195</v>
      </c>
      <c r="R356" s="87">
        <f t="shared" si="58"/>
        <v>100</v>
      </c>
      <c r="S356" s="85">
        <f t="shared" si="59"/>
        <v>695</v>
      </c>
      <c r="T356" s="85">
        <f>0</f>
        <v>0</v>
      </c>
      <c r="U356" s="83"/>
      <c r="V356" s="83"/>
      <c r="W356" s="83"/>
      <c r="X356" s="83"/>
      <c r="Y356" s="83"/>
      <c r="Z356" s="83"/>
      <c r="AA356" s="83"/>
      <c r="AB356" s="83"/>
      <c r="AC356" s="83"/>
      <c r="AD356" s="83"/>
    </row>
    <row r="357" spans="1:30" ht="15.75" x14ac:dyDescent="0.25">
      <c r="A357" s="14">
        <v>51440</v>
      </c>
      <c r="B357" s="95">
        <v>31</v>
      </c>
      <c r="C357" s="85">
        <f>131.881</f>
        <v>131.881</v>
      </c>
      <c r="D357" s="85">
        <f>277.167</f>
        <v>277.16699999999997</v>
      </c>
      <c r="E357" s="92">
        <f>79.08</f>
        <v>79.08</v>
      </c>
      <c r="F357" s="85">
        <f>350.872-40-25-60</f>
        <v>225.87200000000001</v>
      </c>
      <c r="G357" s="87">
        <v>40</v>
      </c>
      <c r="H357" s="85">
        <f t="shared" si="60"/>
        <v>85</v>
      </c>
      <c r="I357" s="85">
        <f t="shared" si="53"/>
        <v>0</v>
      </c>
      <c r="J357" s="87">
        <v>100</v>
      </c>
      <c r="K357" s="87">
        <v>300</v>
      </c>
      <c r="L357" s="85">
        <f t="shared" si="56"/>
        <v>1239</v>
      </c>
      <c r="M357" s="86"/>
      <c r="N357" s="85">
        <f>75</f>
        <v>75</v>
      </c>
      <c r="O357" s="87">
        <v>240</v>
      </c>
      <c r="P357" s="87">
        <v>160</v>
      </c>
      <c r="Q357" s="87">
        <f t="shared" si="57"/>
        <v>195</v>
      </c>
      <c r="R357" s="87">
        <f t="shared" si="58"/>
        <v>100</v>
      </c>
      <c r="S357" s="85">
        <f t="shared" si="59"/>
        <v>695</v>
      </c>
      <c r="T357" s="85">
        <f>0</f>
        <v>0</v>
      </c>
      <c r="U357" s="83"/>
      <c r="V357" s="83"/>
      <c r="W357" s="83"/>
      <c r="X357" s="83"/>
      <c r="Y357" s="83"/>
      <c r="Z357" s="83"/>
      <c r="AA357" s="83"/>
      <c r="AB357" s="83"/>
      <c r="AC357" s="83"/>
      <c r="AD357" s="83"/>
    </row>
    <row r="358" spans="1:30" ht="15.75" x14ac:dyDescent="0.25">
      <c r="A358" s="14">
        <v>51470</v>
      </c>
      <c r="B358" s="95">
        <v>30</v>
      </c>
      <c r="C358" s="85">
        <f>122.58</f>
        <v>122.58</v>
      </c>
      <c r="D358" s="85">
        <f>297.941</f>
        <v>297.94099999999997</v>
      </c>
      <c r="E358" s="92">
        <f>89.177</f>
        <v>89.177000000000007</v>
      </c>
      <c r="F358" s="85">
        <f>240.302-40-60</f>
        <v>140.30199999999999</v>
      </c>
      <c r="G358" s="87">
        <v>40</v>
      </c>
      <c r="H358" s="85">
        <v>60</v>
      </c>
      <c r="I358" s="85">
        <f t="shared" si="53"/>
        <v>0</v>
      </c>
      <c r="J358" s="87">
        <v>100</v>
      </c>
      <c r="K358" s="87">
        <v>300</v>
      </c>
      <c r="L358" s="85">
        <f t="shared" si="56"/>
        <v>1150</v>
      </c>
      <c r="M358" s="86"/>
      <c r="N358" s="85">
        <f>100</f>
        <v>100</v>
      </c>
      <c r="O358" s="87">
        <v>240</v>
      </c>
      <c r="P358" s="87">
        <v>40</v>
      </c>
      <c r="Q358" s="87">
        <f t="shared" si="57"/>
        <v>315</v>
      </c>
      <c r="R358" s="87">
        <f t="shared" si="58"/>
        <v>100</v>
      </c>
      <c r="S358" s="85">
        <f t="shared" si="59"/>
        <v>695</v>
      </c>
      <c r="T358" s="85">
        <f>50</f>
        <v>50</v>
      </c>
      <c r="U358" s="83"/>
      <c r="V358" s="83"/>
      <c r="W358" s="83"/>
      <c r="X358" s="83"/>
      <c r="Y358" s="83"/>
      <c r="Z358" s="83"/>
      <c r="AA358" s="83"/>
      <c r="AB358" s="83"/>
      <c r="AC358" s="83"/>
      <c r="AD358" s="83"/>
    </row>
    <row r="359" spans="1:30" ht="15.75" x14ac:dyDescent="0.25">
      <c r="A359" s="14">
        <v>51501</v>
      </c>
      <c r="B359" s="95">
        <v>31</v>
      </c>
      <c r="C359" s="85">
        <f>122.58</f>
        <v>122.58</v>
      </c>
      <c r="D359" s="85">
        <f>297.941</f>
        <v>297.94099999999997</v>
      </c>
      <c r="E359" s="92">
        <f>89.177</f>
        <v>89.177000000000007</v>
      </c>
      <c r="F359" s="85">
        <f>240.302-40-60</f>
        <v>140.30199999999999</v>
      </c>
      <c r="G359" s="87">
        <v>40</v>
      </c>
      <c r="H359" s="85">
        <v>60</v>
      </c>
      <c r="I359" s="85">
        <f t="shared" si="53"/>
        <v>0</v>
      </c>
      <c r="J359" s="87">
        <v>100</v>
      </c>
      <c r="K359" s="87">
        <v>300</v>
      </c>
      <c r="L359" s="85">
        <f t="shared" si="56"/>
        <v>1150</v>
      </c>
      <c r="M359" s="86"/>
      <c r="N359" s="85">
        <f>100</f>
        <v>100</v>
      </c>
      <c r="O359" s="87">
        <v>240</v>
      </c>
      <c r="P359" s="87">
        <v>40</v>
      </c>
      <c r="Q359" s="87">
        <f t="shared" si="57"/>
        <v>315</v>
      </c>
      <c r="R359" s="87">
        <f t="shared" si="58"/>
        <v>100</v>
      </c>
      <c r="S359" s="85">
        <f t="shared" si="59"/>
        <v>695</v>
      </c>
      <c r="T359" s="85">
        <f>50</f>
        <v>50</v>
      </c>
      <c r="U359" s="83"/>
      <c r="V359" s="83"/>
      <c r="W359" s="83"/>
      <c r="X359" s="83"/>
      <c r="Y359" s="83"/>
      <c r="Z359" s="83"/>
      <c r="AA359" s="83"/>
      <c r="AB359" s="83"/>
      <c r="AC359" s="83"/>
      <c r="AD359" s="83"/>
    </row>
    <row r="360" spans="1:30" ht="15.75" x14ac:dyDescent="0.25">
      <c r="A360" s="14">
        <v>51532</v>
      </c>
      <c r="B360" s="95">
        <v>31</v>
      </c>
      <c r="C360" s="85">
        <f>122.58</f>
        <v>122.58</v>
      </c>
      <c r="D360" s="85">
        <f>297.941</f>
        <v>297.94099999999997</v>
      </c>
      <c r="E360" s="92">
        <f>89.177</f>
        <v>89.177000000000007</v>
      </c>
      <c r="F360" s="85">
        <f>240.302-40-60</f>
        <v>140.30199999999999</v>
      </c>
      <c r="G360" s="87">
        <v>40</v>
      </c>
      <c r="H360" s="85">
        <v>60</v>
      </c>
      <c r="I360" s="85">
        <f t="shared" si="53"/>
        <v>0</v>
      </c>
      <c r="J360" s="87">
        <v>100</v>
      </c>
      <c r="K360" s="87">
        <v>300</v>
      </c>
      <c r="L360" s="85">
        <f t="shared" si="56"/>
        <v>1150</v>
      </c>
      <c r="M360" s="86"/>
      <c r="N360" s="85">
        <f>100</f>
        <v>100</v>
      </c>
      <c r="O360" s="87">
        <v>240</v>
      </c>
      <c r="P360" s="87">
        <v>40</v>
      </c>
      <c r="Q360" s="87">
        <f t="shared" si="57"/>
        <v>315</v>
      </c>
      <c r="R360" s="87">
        <f t="shared" si="58"/>
        <v>100</v>
      </c>
      <c r="S360" s="85">
        <f t="shared" si="59"/>
        <v>695</v>
      </c>
      <c r="T360" s="85">
        <f>50</f>
        <v>50</v>
      </c>
      <c r="U360" s="83"/>
      <c r="V360" s="83"/>
      <c r="W360" s="83"/>
      <c r="X360" s="83"/>
      <c r="Y360" s="83"/>
      <c r="Z360" s="83"/>
      <c r="AA360" s="83"/>
      <c r="AB360" s="83"/>
      <c r="AC360" s="83"/>
      <c r="AD360" s="83"/>
    </row>
    <row r="361" spans="1:30" ht="15.75" x14ac:dyDescent="0.25">
      <c r="A361" s="14">
        <v>51560</v>
      </c>
      <c r="B361" s="95">
        <v>28</v>
      </c>
      <c r="C361" s="85">
        <f>122.58</f>
        <v>122.58</v>
      </c>
      <c r="D361" s="85">
        <f>297.941</f>
        <v>297.94099999999997</v>
      </c>
      <c r="E361" s="92">
        <f>89.177</f>
        <v>89.177000000000007</v>
      </c>
      <c r="F361" s="85">
        <f>240.302-40-60</f>
        <v>140.30199999999999</v>
      </c>
      <c r="G361" s="87">
        <v>40</v>
      </c>
      <c r="H361" s="85">
        <v>60</v>
      </c>
      <c r="I361" s="85">
        <f t="shared" si="53"/>
        <v>0</v>
      </c>
      <c r="J361" s="87">
        <v>100</v>
      </c>
      <c r="K361" s="87">
        <v>300</v>
      </c>
      <c r="L361" s="85">
        <f t="shared" si="56"/>
        <v>1150</v>
      </c>
      <c r="M361" s="86"/>
      <c r="N361" s="85">
        <f>100</f>
        <v>100</v>
      </c>
      <c r="O361" s="87">
        <v>240</v>
      </c>
      <c r="P361" s="87">
        <v>40</v>
      </c>
      <c r="Q361" s="87">
        <f t="shared" si="57"/>
        <v>315</v>
      </c>
      <c r="R361" s="87">
        <f t="shared" si="58"/>
        <v>100</v>
      </c>
      <c r="S361" s="85">
        <f t="shared" si="59"/>
        <v>695</v>
      </c>
      <c r="T361" s="85">
        <f>50</f>
        <v>50</v>
      </c>
      <c r="U361" s="83"/>
      <c r="V361" s="83"/>
      <c r="W361" s="83"/>
      <c r="X361" s="83"/>
      <c r="Y361" s="83"/>
      <c r="Z361" s="83"/>
      <c r="AA361" s="83"/>
      <c r="AB361" s="83"/>
      <c r="AC361" s="83"/>
      <c r="AD361" s="83"/>
    </row>
    <row r="362" spans="1:30" ht="15.75" x14ac:dyDescent="0.25">
      <c r="A362" s="14">
        <v>51591</v>
      </c>
      <c r="B362" s="95">
        <v>31</v>
      </c>
      <c r="C362" s="85">
        <f>122.58</f>
        <v>122.58</v>
      </c>
      <c r="D362" s="85">
        <f>297.941</f>
        <v>297.94099999999997</v>
      </c>
      <c r="E362" s="92">
        <f>89.177</f>
        <v>89.177000000000007</v>
      </c>
      <c r="F362" s="85">
        <f>240.302-40-60</f>
        <v>140.30199999999999</v>
      </c>
      <c r="G362" s="87">
        <v>40</v>
      </c>
      <c r="H362" s="85">
        <v>60</v>
      </c>
      <c r="I362" s="85">
        <f t="shared" si="53"/>
        <v>0</v>
      </c>
      <c r="J362" s="87">
        <v>100</v>
      </c>
      <c r="K362" s="87">
        <v>300</v>
      </c>
      <c r="L362" s="85">
        <f t="shared" si="56"/>
        <v>1150</v>
      </c>
      <c r="M362" s="86"/>
      <c r="N362" s="85">
        <f>100</f>
        <v>100</v>
      </c>
      <c r="O362" s="87">
        <v>240</v>
      </c>
      <c r="P362" s="87">
        <v>40</v>
      </c>
      <c r="Q362" s="87">
        <f t="shared" si="57"/>
        <v>315</v>
      </c>
      <c r="R362" s="87">
        <f t="shared" si="58"/>
        <v>100</v>
      </c>
      <c r="S362" s="85">
        <f t="shared" si="59"/>
        <v>695</v>
      </c>
      <c r="T362" s="85">
        <f>50</f>
        <v>50</v>
      </c>
      <c r="U362" s="83"/>
      <c r="V362" s="83"/>
      <c r="W362" s="83"/>
      <c r="X362" s="83"/>
      <c r="Y362" s="83"/>
      <c r="Z362" s="83"/>
      <c r="AA362" s="83"/>
      <c r="AB362" s="83"/>
      <c r="AC362" s="83"/>
      <c r="AD362" s="83"/>
    </row>
    <row r="363" spans="1:30" ht="15.75" x14ac:dyDescent="0.25">
      <c r="A363" s="14">
        <v>51621</v>
      </c>
      <c r="B363" s="95">
        <v>30</v>
      </c>
      <c r="C363" s="85">
        <f>141.293</f>
        <v>141.29300000000001</v>
      </c>
      <c r="D363" s="85">
        <f>267.993</f>
        <v>267.99299999999999</v>
      </c>
      <c r="E363" s="92">
        <f>115.016</f>
        <v>115.01600000000001</v>
      </c>
      <c r="F363" s="85">
        <f>314.698-40-25-60</f>
        <v>189.69799999999998</v>
      </c>
      <c r="G363" s="87">
        <v>40</v>
      </c>
      <c r="H363" s="85">
        <f t="shared" ref="H363:H369" si="61">25+60</f>
        <v>85</v>
      </c>
      <c r="I363" s="85">
        <f t="shared" si="53"/>
        <v>0</v>
      </c>
      <c r="J363" s="87">
        <v>100</v>
      </c>
      <c r="K363" s="87">
        <v>300</v>
      </c>
      <c r="L363" s="85">
        <f t="shared" si="56"/>
        <v>1239</v>
      </c>
      <c r="M363" s="86"/>
      <c r="N363" s="85">
        <f>100</f>
        <v>100</v>
      </c>
      <c r="O363" s="87">
        <v>240</v>
      </c>
      <c r="P363" s="87">
        <v>160</v>
      </c>
      <c r="Q363" s="87">
        <f t="shared" si="57"/>
        <v>195</v>
      </c>
      <c r="R363" s="87">
        <f t="shared" si="58"/>
        <v>100</v>
      </c>
      <c r="S363" s="85">
        <f t="shared" si="59"/>
        <v>695</v>
      </c>
      <c r="T363" s="85">
        <f>50</f>
        <v>50</v>
      </c>
      <c r="U363" s="83"/>
      <c r="V363" s="83"/>
      <c r="W363" s="83"/>
      <c r="X363" s="83"/>
      <c r="Y363" s="83"/>
      <c r="Z363" s="83"/>
      <c r="AA363" s="83"/>
      <c r="AB363" s="83"/>
      <c r="AC363" s="83"/>
      <c r="AD363" s="83"/>
    </row>
    <row r="364" spans="1:30" ht="15.75" x14ac:dyDescent="0.25">
      <c r="A364" s="14">
        <v>51652</v>
      </c>
      <c r="B364" s="95">
        <v>31</v>
      </c>
      <c r="C364" s="85">
        <f>194.205</f>
        <v>194.20500000000001</v>
      </c>
      <c r="D364" s="85">
        <f>267.466</f>
        <v>267.46600000000001</v>
      </c>
      <c r="E364" s="92">
        <f>133.845</f>
        <v>133.845</v>
      </c>
      <c r="F364" s="85">
        <f>278.484-40-25-60</f>
        <v>153.48399999999998</v>
      </c>
      <c r="G364" s="87">
        <v>40</v>
      </c>
      <c r="H364" s="85">
        <f t="shared" si="61"/>
        <v>85</v>
      </c>
      <c r="I364" s="85">
        <f t="shared" si="53"/>
        <v>0</v>
      </c>
      <c r="J364" s="87">
        <v>100</v>
      </c>
      <c r="K364" s="87">
        <v>300</v>
      </c>
      <c r="L364" s="85">
        <f t="shared" si="56"/>
        <v>1274</v>
      </c>
      <c r="M364" s="86"/>
      <c r="N364" s="85">
        <f>75</f>
        <v>75</v>
      </c>
      <c r="O364" s="87">
        <v>240</v>
      </c>
      <c r="P364" s="87">
        <v>160</v>
      </c>
      <c r="Q364" s="87">
        <f t="shared" si="57"/>
        <v>195</v>
      </c>
      <c r="R364" s="87">
        <f t="shared" si="58"/>
        <v>100</v>
      </c>
      <c r="S364" s="85">
        <f t="shared" si="59"/>
        <v>695</v>
      </c>
      <c r="T364" s="85">
        <f>50</f>
        <v>50</v>
      </c>
      <c r="U364" s="83"/>
      <c r="V364" s="83"/>
      <c r="W364" s="83"/>
      <c r="X364" s="83"/>
      <c r="Y364" s="83"/>
      <c r="Z364" s="83"/>
      <c r="AA364" s="83"/>
      <c r="AB364" s="83"/>
      <c r="AC364" s="83"/>
      <c r="AD364" s="83"/>
    </row>
    <row r="365" spans="1:30" ht="15.75" x14ac:dyDescent="0.25">
      <c r="A365" s="14">
        <v>51682</v>
      </c>
      <c r="B365" s="95">
        <v>30</v>
      </c>
      <c r="C365" s="85">
        <f>194.205</f>
        <v>194.20500000000001</v>
      </c>
      <c r="D365" s="85">
        <f>267.466</f>
        <v>267.46600000000001</v>
      </c>
      <c r="E365" s="92">
        <f>133.845</f>
        <v>133.845</v>
      </c>
      <c r="F365" s="85">
        <f>278.484-40-25-60</f>
        <v>153.48399999999998</v>
      </c>
      <c r="G365" s="87">
        <v>40</v>
      </c>
      <c r="H365" s="85">
        <f t="shared" si="61"/>
        <v>85</v>
      </c>
      <c r="I365" s="85">
        <f t="shared" si="53"/>
        <v>0</v>
      </c>
      <c r="J365" s="87">
        <v>100</v>
      </c>
      <c r="K365" s="87">
        <v>300</v>
      </c>
      <c r="L365" s="85">
        <f t="shared" si="56"/>
        <v>1274</v>
      </c>
      <c r="M365" s="86"/>
      <c r="N365" s="85">
        <f>30</f>
        <v>30</v>
      </c>
      <c r="O365" s="87">
        <v>240</v>
      </c>
      <c r="P365" s="87">
        <v>160</v>
      </c>
      <c r="Q365" s="87">
        <f t="shared" si="57"/>
        <v>195</v>
      </c>
      <c r="R365" s="87">
        <f t="shared" si="58"/>
        <v>100</v>
      </c>
      <c r="S365" s="85">
        <f t="shared" si="59"/>
        <v>695</v>
      </c>
      <c r="T365" s="85">
        <f>50</f>
        <v>50</v>
      </c>
      <c r="U365" s="83"/>
      <c r="V365" s="83"/>
      <c r="W365" s="83"/>
      <c r="X365" s="83"/>
      <c r="Y365" s="83"/>
      <c r="Z365" s="83"/>
      <c r="AA365" s="83"/>
      <c r="AB365" s="83"/>
      <c r="AC365" s="83"/>
      <c r="AD365" s="83"/>
    </row>
    <row r="366" spans="1:30" ht="15.75" x14ac:dyDescent="0.25">
      <c r="A366" s="14">
        <v>51713</v>
      </c>
      <c r="B366" s="95">
        <v>31</v>
      </c>
      <c r="C366" s="85">
        <f>194.205</f>
        <v>194.20500000000001</v>
      </c>
      <c r="D366" s="85">
        <f>267.466</f>
        <v>267.46600000000001</v>
      </c>
      <c r="E366" s="92">
        <f>133.845</f>
        <v>133.845</v>
      </c>
      <c r="F366" s="85">
        <f>278.484-40-25-60</f>
        <v>153.48399999999998</v>
      </c>
      <c r="G366" s="87">
        <v>40</v>
      </c>
      <c r="H366" s="85">
        <f t="shared" si="61"/>
        <v>85</v>
      </c>
      <c r="I366" s="85">
        <f t="shared" si="53"/>
        <v>0</v>
      </c>
      <c r="J366" s="87">
        <v>100</v>
      </c>
      <c r="K366" s="87">
        <v>300</v>
      </c>
      <c r="L366" s="85">
        <f t="shared" si="56"/>
        <v>1274</v>
      </c>
      <c r="M366" s="86"/>
      <c r="N366" s="85">
        <f>30</f>
        <v>30</v>
      </c>
      <c r="O366" s="87">
        <v>240</v>
      </c>
      <c r="P366" s="87">
        <v>160</v>
      </c>
      <c r="Q366" s="87">
        <f t="shared" si="57"/>
        <v>195</v>
      </c>
      <c r="R366" s="87">
        <f t="shared" si="58"/>
        <v>100</v>
      </c>
      <c r="S366" s="85">
        <f t="shared" si="59"/>
        <v>695</v>
      </c>
      <c r="T366" s="85">
        <f>0</f>
        <v>0</v>
      </c>
      <c r="U366" s="83"/>
      <c r="V366" s="83"/>
      <c r="W366" s="83"/>
      <c r="X366" s="83"/>
      <c r="Y366" s="83"/>
      <c r="Z366" s="83"/>
      <c r="AA366" s="83"/>
      <c r="AB366" s="83"/>
      <c r="AC366" s="83"/>
      <c r="AD366" s="83"/>
    </row>
    <row r="367" spans="1:30" ht="15.75" x14ac:dyDescent="0.25">
      <c r="A367" s="14">
        <v>51744</v>
      </c>
      <c r="B367" s="95">
        <v>31</v>
      </c>
      <c r="C367" s="85">
        <f>194.205</f>
        <v>194.20500000000001</v>
      </c>
      <c r="D367" s="85">
        <f>267.466</f>
        <v>267.46600000000001</v>
      </c>
      <c r="E367" s="92">
        <f>133.845</f>
        <v>133.845</v>
      </c>
      <c r="F367" s="85">
        <f>278.484-40-25-60</f>
        <v>153.48399999999998</v>
      </c>
      <c r="G367" s="87">
        <v>40</v>
      </c>
      <c r="H367" s="85">
        <f t="shared" si="61"/>
        <v>85</v>
      </c>
      <c r="I367" s="85">
        <f t="shared" si="53"/>
        <v>0</v>
      </c>
      <c r="J367" s="87">
        <v>100</v>
      </c>
      <c r="K367" s="87">
        <v>300</v>
      </c>
      <c r="L367" s="85">
        <f t="shared" si="56"/>
        <v>1274</v>
      </c>
      <c r="M367" s="86"/>
      <c r="N367" s="85">
        <f>30</f>
        <v>30</v>
      </c>
      <c r="O367" s="87">
        <v>240</v>
      </c>
      <c r="P367" s="87">
        <v>160</v>
      </c>
      <c r="Q367" s="87">
        <f t="shared" si="57"/>
        <v>195</v>
      </c>
      <c r="R367" s="87">
        <f t="shared" si="58"/>
        <v>100</v>
      </c>
      <c r="S367" s="85">
        <f t="shared" si="59"/>
        <v>695</v>
      </c>
      <c r="T367" s="85">
        <f>0</f>
        <v>0</v>
      </c>
      <c r="U367" s="83"/>
      <c r="V367" s="83"/>
      <c r="W367" s="83"/>
      <c r="X367" s="83"/>
      <c r="Y367" s="83"/>
      <c r="Z367" s="83"/>
      <c r="AA367" s="83"/>
      <c r="AB367" s="83"/>
      <c r="AC367" s="83"/>
      <c r="AD367" s="83"/>
    </row>
    <row r="368" spans="1:30" ht="15.75" x14ac:dyDescent="0.25">
      <c r="A368" s="14">
        <v>51774</v>
      </c>
      <c r="B368" s="95">
        <v>30</v>
      </c>
      <c r="C368" s="85">
        <f>194.205</f>
        <v>194.20500000000001</v>
      </c>
      <c r="D368" s="85">
        <f>267.466</f>
        <v>267.46600000000001</v>
      </c>
      <c r="E368" s="92">
        <f>133.845</f>
        <v>133.845</v>
      </c>
      <c r="F368" s="85">
        <f>278.484-40-25-60</f>
        <v>153.48399999999998</v>
      </c>
      <c r="G368" s="87">
        <v>40</v>
      </c>
      <c r="H368" s="85">
        <f t="shared" si="61"/>
        <v>85</v>
      </c>
      <c r="I368" s="85">
        <f t="shared" si="53"/>
        <v>0</v>
      </c>
      <c r="J368" s="87">
        <v>100</v>
      </c>
      <c r="K368" s="87">
        <v>300</v>
      </c>
      <c r="L368" s="85">
        <f t="shared" si="56"/>
        <v>1274</v>
      </c>
      <c r="M368" s="86"/>
      <c r="N368" s="85">
        <f>30</f>
        <v>30</v>
      </c>
      <c r="O368" s="87">
        <v>240</v>
      </c>
      <c r="P368" s="87">
        <v>160</v>
      </c>
      <c r="Q368" s="87">
        <f t="shared" si="57"/>
        <v>195</v>
      </c>
      <c r="R368" s="87">
        <f t="shared" si="58"/>
        <v>100</v>
      </c>
      <c r="S368" s="85">
        <f t="shared" si="59"/>
        <v>695</v>
      </c>
      <c r="T368" s="85">
        <f>0</f>
        <v>0</v>
      </c>
      <c r="U368" s="83"/>
      <c r="V368" s="83"/>
      <c r="W368" s="83"/>
      <c r="X368" s="83"/>
      <c r="Y368" s="83"/>
      <c r="Z368" s="83"/>
      <c r="AA368" s="83"/>
      <c r="AB368" s="83"/>
      <c r="AC368" s="83"/>
      <c r="AD368" s="83"/>
    </row>
    <row r="369" spans="1:30" ht="15.75" x14ac:dyDescent="0.25">
      <c r="A369" s="14">
        <v>51805</v>
      </c>
      <c r="B369" s="95">
        <v>31</v>
      </c>
      <c r="C369" s="85">
        <f>131.881</f>
        <v>131.881</v>
      </c>
      <c r="D369" s="85">
        <f>277.167</f>
        <v>277.16699999999997</v>
      </c>
      <c r="E369" s="92">
        <f>79.08</f>
        <v>79.08</v>
      </c>
      <c r="F369" s="85">
        <f>350.872-40-25-60</f>
        <v>225.87200000000001</v>
      </c>
      <c r="G369" s="87">
        <v>40</v>
      </c>
      <c r="H369" s="85">
        <f t="shared" si="61"/>
        <v>85</v>
      </c>
      <c r="I369" s="85">
        <f t="shared" si="53"/>
        <v>0</v>
      </c>
      <c r="J369" s="87">
        <v>100</v>
      </c>
      <c r="K369" s="87">
        <v>300</v>
      </c>
      <c r="L369" s="85">
        <f t="shared" si="56"/>
        <v>1239</v>
      </c>
      <c r="M369" s="86"/>
      <c r="N369" s="85">
        <f>75</f>
        <v>75</v>
      </c>
      <c r="O369" s="87">
        <v>240</v>
      </c>
      <c r="P369" s="87">
        <v>160</v>
      </c>
      <c r="Q369" s="87">
        <f t="shared" si="57"/>
        <v>195</v>
      </c>
      <c r="R369" s="87">
        <f t="shared" si="58"/>
        <v>100</v>
      </c>
      <c r="S369" s="85">
        <f t="shared" si="59"/>
        <v>695</v>
      </c>
      <c r="T369" s="85">
        <f>0</f>
        <v>0</v>
      </c>
      <c r="U369" s="83"/>
      <c r="V369" s="83"/>
      <c r="W369" s="83"/>
      <c r="X369" s="83"/>
      <c r="Y369" s="83"/>
      <c r="Z369" s="83"/>
      <c r="AA369" s="83"/>
      <c r="AB369" s="83"/>
      <c r="AC369" s="83"/>
      <c r="AD369" s="83"/>
    </row>
    <row r="370" spans="1:30" ht="15.75" x14ac:dyDescent="0.25">
      <c r="A370" s="14">
        <v>51835</v>
      </c>
      <c r="B370" s="95">
        <v>30</v>
      </c>
      <c r="C370" s="85">
        <f>122.58</f>
        <v>122.58</v>
      </c>
      <c r="D370" s="85">
        <f>297.941</f>
        <v>297.94099999999997</v>
      </c>
      <c r="E370" s="92">
        <f>89.177</f>
        <v>89.177000000000007</v>
      </c>
      <c r="F370" s="85">
        <f>240.302-40-60</f>
        <v>140.30199999999999</v>
      </c>
      <c r="G370" s="87">
        <v>40</v>
      </c>
      <c r="H370" s="85">
        <v>60</v>
      </c>
      <c r="I370" s="85">
        <f t="shared" si="53"/>
        <v>0</v>
      </c>
      <c r="J370" s="87">
        <v>100</v>
      </c>
      <c r="K370" s="87">
        <v>300</v>
      </c>
      <c r="L370" s="85">
        <f t="shared" si="56"/>
        <v>1150</v>
      </c>
      <c r="M370" s="86"/>
      <c r="N370" s="85">
        <f>100</f>
        <v>100</v>
      </c>
      <c r="O370" s="87">
        <v>240</v>
      </c>
      <c r="P370" s="87">
        <v>40</v>
      </c>
      <c r="Q370" s="87">
        <f t="shared" si="57"/>
        <v>315</v>
      </c>
      <c r="R370" s="87">
        <f t="shared" si="58"/>
        <v>100</v>
      </c>
      <c r="S370" s="85">
        <f t="shared" si="59"/>
        <v>695</v>
      </c>
      <c r="T370" s="85">
        <f>50</f>
        <v>50</v>
      </c>
      <c r="U370" s="83"/>
      <c r="V370" s="83"/>
      <c r="W370" s="83"/>
      <c r="X370" s="83"/>
      <c r="Y370" s="83"/>
      <c r="Z370" s="83"/>
      <c r="AA370" s="83"/>
      <c r="AB370" s="83"/>
      <c r="AC370" s="83"/>
      <c r="AD370" s="83"/>
    </row>
    <row r="371" spans="1:30" ht="15.75" x14ac:dyDescent="0.25">
      <c r="A371" s="14">
        <v>51866</v>
      </c>
      <c r="B371" s="95">
        <v>31</v>
      </c>
      <c r="C371" s="85">
        <f>122.58</f>
        <v>122.58</v>
      </c>
      <c r="D371" s="85">
        <f>297.941</f>
        <v>297.94099999999997</v>
      </c>
      <c r="E371" s="92">
        <f>89.177</f>
        <v>89.177000000000007</v>
      </c>
      <c r="F371" s="85">
        <f>240.302-40-60</f>
        <v>140.30199999999999</v>
      </c>
      <c r="G371" s="87">
        <v>40</v>
      </c>
      <c r="H371" s="85">
        <v>60</v>
      </c>
      <c r="I371" s="85">
        <f t="shared" si="53"/>
        <v>0</v>
      </c>
      <c r="J371" s="87">
        <v>100</v>
      </c>
      <c r="K371" s="87">
        <v>300</v>
      </c>
      <c r="L371" s="85">
        <f t="shared" si="56"/>
        <v>1150</v>
      </c>
      <c r="M371" s="86"/>
      <c r="N371" s="85">
        <f>100</f>
        <v>100</v>
      </c>
      <c r="O371" s="87">
        <v>240</v>
      </c>
      <c r="P371" s="87">
        <v>40</v>
      </c>
      <c r="Q371" s="87">
        <f t="shared" si="57"/>
        <v>315</v>
      </c>
      <c r="R371" s="87">
        <f t="shared" si="58"/>
        <v>100</v>
      </c>
      <c r="S371" s="85">
        <f t="shared" si="59"/>
        <v>695</v>
      </c>
      <c r="T371" s="85">
        <f>50</f>
        <v>50</v>
      </c>
      <c r="U371" s="83"/>
      <c r="V371" s="83"/>
      <c r="W371" s="83"/>
      <c r="X371" s="83"/>
      <c r="Y371" s="83"/>
      <c r="Z371" s="83"/>
      <c r="AA371" s="83"/>
      <c r="AB371" s="83"/>
      <c r="AC371" s="83"/>
      <c r="AD371" s="83"/>
    </row>
    <row r="372" spans="1:30" ht="15.75" x14ac:dyDescent="0.25">
      <c r="A372" s="14">
        <v>51897</v>
      </c>
      <c r="B372" s="95">
        <v>31</v>
      </c>
      <c r="C372" s="85">
        <f>122.58</f>
        <v>122.58</v>
      </c>
      <c r="D372" s="85">
        <f>297.941</f>
        <v>297.94099999999997</v>
      </c>
      <c r="E372" s="92">
        <f>89.177</f>
        <v>89.177000000000007</v>
      </c>
      <c r="F372" s="85">
        <f>240.302-40-60</f>
        <v>140.30199999999999</v>
      </c>
      <c r="G372" s="87">
        <v>40</v>
      </c>
      <c r="H372" s="85">
        <v>60</v>
      </c>
      <c r="I372" s="85">
        <f t="shared" si="53"/>
        <v>0</v>
      </c>
      <c r="J372" s="87">
        <v>100</v>
      </c>
      <c r="K372" s="87">
        <v>300</v>
      </c>
      <c r="L372" s="85">
        <f t="shared" si="56"/>
        <v>1150</v>
      </c>
      <c r="M372" s="86"/>
      <c r="N372" s="85">
        <f>100</f>
        <v>100</v>
      </c>
      <c r="O372" s="87">
        <v>240</v>
      </c>
      <c r="P372" s="87">
        <v>40</v>
      </c>
      <c r="Q372" s="87">
        <f t="shared" si="57"/>
        <v>315</v>
      </c>
      <c r="R372" s="87">
        <f t="shared" si="58"/>
        <v>100</v>
      </c>
      <c r="S372" s="85">
        <f t="shared" si="59"/>
        <v>695</v>
      </c>
      <c r="T372" s="85">
        <f>50</f>
        <v>50</v>
      </c>
      <c r="U372" s="83"/>
      <c r="V372" s="83"/>
      <c r="W372" s="83"/>
      <c r="X372" s="83"/>
      <c r="Y372" s="83"/>
      <c r="Z372" s="83"/>
      <c r="AA372" s="83"/>
      <c r="AB372" s="83"/>
      <c r="AC372" s="83"/>
      <c r="AD372" s="83"/>
    </row>
    <row r="373" spans="1:30" ht="15.75" x14ac:dyDescent="0.25">
      <c r="A373" s="14">
        <v>51925</v>
      </c>
      <c r="B373" s="95">
        <v>28</v>
      </c>
      <c r="C373" s="85">
        <f>122.58</f>
        <v>122.58</v>
      </c>
      <c r="D373" s="85">
        <f>297.941</f>
        <v>297.94099999999997</v>
      </c>
      <c r="E373" s="92">
        <f>89.177</f>
        <v>89.177000000000007</v>
      </c>
      <c r="F373" s="85">
        <f>240.302-40-60</f>
        <v>140.30199999999999</v>
      </c>
      <c r="G373" s="87">
        <v>40</v>
      </c>
      <c r="H373" s="85">
        <v>60</v>
      </c>
      <c r="I373" s="85">
        <f t="shared" si="53"/>
        <v>0</v>
      </c>
      <c r="J373" s="87">
        <v>100</v>
      </c>
      <c r="K373" s="87">
        <v>300</v>
      </c>
      <c r="L373" s="85">
        <f t="shared" si="56"/>
        <v>1150</v>
      </c>
      <c r="M373" s="86"/>
      <c r="N373" s="85">
        <f>100</f>
        <v>100</v>
      </c>
      <c r="O373" s="87">
        <v>240</v>
      </c>
      <c r="P373" s="87">
        <v>40</v>
      </c>
      <c r="Q373" s="87">
        <f t="shared" si="57"/>
        <v>315</v>
      </c>
      <c r="R373" s="87">
        <f t="shared" si="58"/>
        <v>100</v>
      </c>
      <c r="S373" s="85">
        <f t="shared" si="59"/>
        <v>695</v>
      </c>
      <c r="T373" s="85">
        <f>50</f>
        <v>50</v>
      </c>
      <c r="U373" s="83"/>
      <c r="V373" s="83"/>
      <c r="W373" s="83"/>
      <c r="X373" s="83"/>
      <c r="Y373" s="83"/>
      <c r="Z373" s="83"/>
      <c r="AA373" s="83"/>
      <c r="AB373" s="83"/>
      <c r="AC373" s="83"/>
      <c r="AD373" s="83"/>
    </row>
    <row r="374" spans="1:30" ht="15.75" x14ac:dyDescent="0.25">
      <c r="A374" s="14">
        <v>51956</v>
      </c>
      <c r="B374" s="95">
        <v>31</v>
      </c>
      <c r="C374" s="85">
        <f>122.58</f>
        <v>122.58</v>
      </c>
      <c r="D374" s="85">
        <f>297.941</f>
        <v>297.94099999999997</v>
      </c>
      <c r="E374" s="92">
        <f>89.177</f>
        <v>89.177000000000007</v>
      </c>
      <c r="F374" s="85">
        <f>240.302-40-60</f>
        <v>140.30199999999999</v>
      </c>
      <c r="G374" s="87">
        <v>40</v>
      </c>
      <c r="H374" s="85">
        <v>60</v>
      </c>
      <c r="I374" s="85">
        <f t="shared" si="53"/>
        <v>0</v>
      </c>
      <c r="J374" s="87">
        <v>100</v>
      </c>
      <c r="K374" s="87">
        <v>300</v>
      </c>
      <c r="L374" s="85">
        <f t="shared" si="56"/>
        <v>1150</v>
      </c>
      <c r="M374" s="86"/>
      <c r="N374" s="85">
        <f>100</f>
        <v>100</v>
      </c>
      <c r="O374" s="87">
        <v>240</v>
      </c>
      <c r="P374" s="87">
        <v>40</v>
      </c>
      <c r="Q374" s="87">
        <f t="shared" si="57"/>
        <v>315</v>
      </c>
      <c r="R374" s="87">
        <f t="shared" si="58"/>
        <v>100</v>
      </c>
      <c r="S374" s="85">
        <f t="shared" si="59"/>
        <v>695</v>
      </c>
      <c r="T374" s="85">
        <f>50</f>
        <v>50</v>
      </c>
      <c r="U374" s="83"/>
      <c r="V374" s="83"/>
      <c r="W374" s="83"/>
      <c r="X374" s="83"/>
      <c r="Y374" s="83"/>
      <c r="Z374" s="83"/>
      <c r="AA374" s="83"/>
      <c r="AB374" s="83"/>
      <c r="AC374" s="83"/>
      <c r="AD374" s="83"/>
    </row>
    <row r="375" spans="1:30" ht="15.75" x14ac:dyDescent="0.25">
      <c r="A375" s="14">
        <v>51986</v>
      </c>
      <c r="B375" s="95">
        <v>30</v>
      </c>
      <c r="C375" s="85">
        <f>141.293</f>
        <v>141.29300000000001</v>
      </c>
      <c r="D375" s="85">
        <f>267.993</f>
        <v>267.99299999999999</v>
      </c>
      <c r="E375" s="92">
        <f>115.016</f>
        <v>115.01600000000001</v>
      </c>
      <c r="F375" s="85">
        <f>314.698-40-25-60</f>
        <v>189.69799999999998</v>
      </c>
      <c r="G375" s="87">
        <v>40</v>
      </c>
      <c r="H375" s="85">
        <f t="shared" ref="H375:H381" si="62">25+60</f>
        <v>85</v>
      </c>
      <c r="I375" s="85">
        <f t="shared" si="53"/>
        <v>0</v>
      </c>
      <c r="J375" s="87">
        <v>100</v>
      </c>
      <c r="K375" s="87">
        <v>300</v>
      </c>
      <c r="L375" s="85">
        <f t="shared" si="56"/>
        <v>1239</v>
      </c>
      <c r="M375" s="86"/>
      <c r="N375" s="85">
        <f>100</f>
        <v>100</v>
      </c>
      <c r="O375" s="87">
        <v>240</v>
      </c>
      <c r="P375" s="87">
        <v>160</v>
      </c>
      <c r="Q375" s="87">
        <f t="shared" si="57"/>
        <v>195</v>
      </c>
      <c r="R375" s="87">
        <f t="shared" si="58"/>
        <v>100</v>
      </c>
      <c r="S375" s="85">
        <f t="shared" si="59"/>
        <v>695</v>
      </c>
      <c r="T375" s="85">
        <f>50</f>
        <v>50</v>
      </c>
      <c r="U375" s="83"/>
      <c r="V375" s="83"/>
      <c r="W375" s="83"/>
      <c r="X375" s="83"/>
      <c r="Y375" s="83"/>
      <c r="Z375" s="83"/>
      <c r="AA375" s="83"/>
      <c r="AB375" s="83"/>
      <c r="AC375" s="83"/>
      <c r="AD375" s="83"/>
    </row>
    <row r="376" spans="1:30" ht="15.75" x14ac:dyDescent="0.25">
      <c r="A376" s="14">
        <v>52017</v>
      </c>
      <c r="B376" s="95">
        <v>31</v>
      </c>
      <c r="C376" s="85">
        <f>194.205</f>
        <v>194.20500000000001</v>
      </c>
      <c r="D376" s="85">
        <f>267.466</f>
        <v>267.46600000000001</v>
      </c>
      <c r="E376" s="92">
        <f>133.845</f>
        <v>133.845</v>
      </c>
      <c r="F376" s="85">
        <f>278.484-40-25-60</f>
        <v>153.48399999999998</v>
      </c>
      <c r="G376" s="87">
        <v>40</v>
      </c>
      <c r="H376" s="85">
        <f t="shared" si="62"/>
        <v>85</v>
      </c>
      <c r="I376" s="85">
        <f t="shared" si="53"/>
        <v>0</v>
      </c>
      <c r="J376" s="87">
        <v>100</v>
      </c>
      <c r="K376" s="87">
        <v>300</v>
      </c>
      <c r="L376" s="85">
        <f t="shared" si="56"/>
        <v>1274</v>
      </c>
      <c r="M376" s="86"/>
      <c r="N376" s="85">
        <f>75</f>
        <v>75</v>
      </c>
      <c r="O376" s="87">
        <v>240</v>
      </c>
      <c r="P376" s="87">
        <v>160</v>
      </c>
      <c r="Q376" s="87">
        <f t="shared" si="57"/>
        <v>195</v>
      </c>
      <c r="R376" s="87">
        <f t="shared" si="58"/>
        <v>100</v>
      </c>
      <c r="S376" s="85">
        <f t="shared" si="59"/>
        <v>695</v>
      </c>
      <c r="T376" s="85">
        <f>50</f>
        <v>50</v>
      </c>
      <c r="U376" s="83"/>
      <c r="V376" s="83"/>
      <c r="W376" s="83"/>
      <c r="X376" s="83"/>
      <c r="Y376" s="83"/>
      <c r="Z376" s="83"/>
      <c r="AA376" s="83"/>
      <c r="AB376" s="83"/>
      <c r="AC376" s="83"/>
      <c r="AD376" s="83"/>
    </row>
    <row r="377" spans="1:30" ht="15.75" x14ac:dyDescent="0.25">
      <c r="A377" s="14">
        <v>52047</v>
      </c>
      <c r="B377" s="95">
        <v>30</v>
      </c>
      <c r="C377" s="85">
        <f>194.205</f>
        <v>194.20500000000001</v>
      </c>
      <c r="D377" s="85">
        <f>267.466</f>
        <v>267.46600000000001</v>
      </c>
      <c r="E377" s="92">
        <f>133.845</f>
        <v>133.845</v>
      </c>
      <c r="F377" s="85">
        <f>278.484-40-25-60</f>
        <v>153.48399999999998</v>
      </c>
      <c r="G377" s="87">
        <v>40</v>
      </c>
      <c r="H377" s="85">
        <f t="shared" si="62"/>
        <v>85</v>
      </c>
      <c r="I377" s="85">
        <f t="shared" si="53"/>
        <v>0</v>
      </c>
      <c r="J377" s="87">
        <v>100</v>
      </c>
      <c r="K377" s="87">
        <v>300</v>
      </c>
      <c r="L377" s="85">
        <f t="shared" si="56"/>
        <v>1274</v>
      </c>
      <c r="M377" s="86"/>
      <c r="N377" s="85">
        <f>30</f>
        <v>30</v>
      </c>
      <c r="O377" s="87">
        <v>240</v>
      </c>
      <c r="P377" s="87">
        <v>160</v>
      </c>
      <c r="Q377" s="87">
        <f t="shared" si="57"/>
        <v>195</v>
      </c>
      <c r="R377" s="87">
        <f t="shared" si="58"/>
        <v>100</v>
      </c>
      <c r="S377" s="85">
        <f t="shared" si="59"/>
        <v>695</v>
      </c>
      <c r="T377" s="85">
        <f>50</f>
        <v>50</v>
      </c>
      <c r="U377" s="83"/>
      <c r="V377" s="83"/>
      <c r="W377" s="83"/>
      <c r="X377" s="83"/>
      <c r="Y377" s="83"/>
      <c r="Z377" s="83"/>
      <c r="AA377" s="83"/>
      <c r="AB377" s="83"/>
      <c r="AC377" s="83"/>
      <c r="AD377" s="83"/>
    </row>
    <row r="378" spans="1:30" ht="15.75" x14ac:dyDescent="0.25">
      <c r="A378" s="14">
        <v>52078</v>
      </c>
      <c r="B378" s="95">
        <v>31</v>
      </c>
      <c r="C378" s="85">
        <f>194.205</f>
        <v>194.20500000000001</v>
      </c>
      <c r="D378" s="85">
        <f>267.466</f>
        <v>267.46600000000001</v>
      </c>
      <c r="E378" s="92">
        <f>133.845</f>
        <v>133.845</v>
      </c>
      <c r="F378" s="85">
        <f>278.484-40-25-60</f>
        <v>153.48399999999998</v>
      </c>
      <c r="G378" s="87">
        <v>40</v>
      </c>
      <c r="H378" s="85">
        <f t="shared" si="62"/>
        <v>85</v>
      </c>
      <c r="I378" s="85">
        <f t="shared" si="53"/>
        <v>0</v>
      </c>
      <c r="J378" s="87">
        <v>100</v>
      </c>
      <c r="K378" s="87">
        <v>300</v>
      </c>
      <c r="L378" s="85">
        <f t="shared" si="56"/>
        <v>1274</v>
      </c>
      <c r="M378" s="86"/>
      <c r="N378" s="85">
        <f>30</f>
        <v>30</v>
      </c>
      <c r="O378" s="87">
        <v>240</v>
      </c>
      <c r="P378" s="87">
        <v>160</v>
      </c>
      <c r="Q378" s="87">
        <f t="shared" si="57"/>
        <v>195</v>
      </c>
      <c r="R378" s="87">
        <f t="shared" si="58"/>
        <v>100</v>
      </c>
      <c r="S378" s="85">
        <f t="shared" si="59"/>
        <v>695</v>
      </c>
      <c r="T378" s="85">
        <f>0</f>
        <v>0</v>
      </c>
      <c r="U378" s="83"/>
      <c r="V378" s="83"/>
      <c r="W378" s="83"/>
      <c r="X378" s="83"/>
      <c r="Y378" s="83"/>
      <c r="Z378" s="83"/>
      <c r="AA378" s="83"/>
      <c r="AB378" s="83"/>
      <c r="AC378" s="83"/>
      <c r="AD378" s="83"/>
    </row>
    <row r="379" spans="1:30" ht="15.75" x14ac:dyDescent="0.25">
      <c r="A379" s="14">
        <v>52109</v>
      </c>
      <c r="B379" s="95">
        <v>31</v>
      </c>
      <c r="C379" s="85">
        <f>194.205</f>
        <v>194.20500000000001</v>
      </c>
      <c r="D379" s="85">
        <f>267.466</f>
        <v>267.46600000000001</v>
      </c>
      <c r="E379" s="92">
        <f>133.845</f>
        <v>133.845</v>
      </c>
      <c r="F379" s="85">
        <f>278.484-40-25-60</f>
        <v>153.48399999999998</v>
      </c>
      <c r="G379" s="87">
        <v>40</v>
      </c>
      <c r="H379" s="85">
        <f t="shared" si="62"/>
        <v>85</v>
      </c>
      <c r="I379" s="85">
        <f t="shared" si="53"/>
        <v>0</v>
      </c>
      <c r="J379" s="87">
        <v>100</v>
      </c>
      <c r="K379" s="87">
        <v>300</v>
      </c>
      <c r="L379" s="85">
        <f t="shared" si="56"/>
        <v>1274</v>
      </c>
      <c r="M379" s="86"/>
      <c r="N379" s="85">
        <f>30</f>
        <v>30</v>
      </c>
      <c r="O379" s="87">
        <v>240</v>
      </c>
      <c r="P379" s="87">
        <v>160</v>
      </c>
      <c r="Q379" s="87">
        <f t="shared" si="57"/>
        <v>195</v>
      </c>
      <c r="R379" s="87">
        <f t="shared" si="58"/>
        <v>100</v>
      </c>
      <c r="S379" s="85">
        <f t="shared" si="59"/>
        <v>695</v>
      </c>
      <c r="T379" s="85">
        <f>0</f>
        <v>0</v>
      </c>
      <c r="U379" s="83"/>
      <c r="V379" s="83"/>
      <c r="W379" s="83"/>
      <c r="X379" s="83"/>
      <c r="Y379" s="83"/>
      <c r="Z379" s="83"/>
      <c r="AA379" s="83"/>
      <c r="AB379" s="83"/>
      <c r="AC379" s="83"/>
      <c r="AD379" s="83"/>
    </row>
    <row r="380" spans="1:30" ht="15.75" x14ac:dyDescent="0.25">
      <c r="A380" s="14">
        <v>52139</v>
      </c>
      <c r="B380" s="95">
        <v>30</v>
      </c>
      <c r="C380" s="85">
        <f>194.205</f>
        <v>194.20500000000001</v>
      </c>
      <c r="D380" s="85">
        <f>267.466</f>
        <v>267.46600000000001</v>
      </c>
      <c r="E380" s="92">
        <f>133.845</f>
        <v>133.845</v>
      </c>
      <c r="F380" s="85">
        <f>278.484-40-25-60</f>
        <v>153.48399999999998</v>
      </c>
      <c r="G380" s="87">
        <v>40</v>
      </c>
      <c r="H380" s="85">
        <f t="shared" si="62"/>
        <v>85</v>
      </c>
      <c r="I380" s="85">
        <f t="shared" si="53"/>
        <v>0</v>
      </c>
      <c r="J380" s="87">
        <v>100</v>
      </c>
      <c r="K380" s="87">
        <v>300</v>
      </c>
      <c r="L380" s="85">
        <f t="shared" si="56"/>
        <v>1274</v>
      </c>
      <c r="M380" s="86"/>
      <c r="N380" s="85">
        <f>30</f>
        <v>30</v>
      </c>
      <c r="O380" s="87">
        <v>240</v>
      </c>
      <c r="P380" s="87">
        <v>160</v>
      </c>
      <c r="Q380" s="87">
        <f t="shared" si="57"/>
        <v>195</v>
      </c>
      <c r="R380" s="87">
        <f t="shared" si="58"/>
        <v>100</v>
      </c>
      <c r="S380" s="85">
        <f t="shared" si="59"/>
        <v>695</v>
      </c>
      <c r="T380" s="85">
        <f>0</f>
        <v>0</v>
      </c>
      <c r="U380" s="83"/>
      <c r="V380" s="83"/>
      <c r="W380" s="83"/>
      <c r="X380" s="83"/>
      <c r="Y380" s="83"/>
      <c r="Z380" s="83"/>
      <c r="AA380" s="83"/>
      <c r="AB380" s="83"/>
      <c r="AC380" s="83"/>
      <c r="AD380" s="83"/>
    </row>
    <row r="381" spans="1:30" ht="15.75" x14ac:dyDescent="0.25">
      <c r="A381" s="14">
        <v>52170</v>
      </c>
      <c r="B381" s="95">
        <v>31</v>
      </c>
      <c r="C381" s="85">
        <f>131.881</f>
        <v>131.881</v>
      </c>
      <c r="D381" s="85">
        <f>277.167</f>
        <v>277.16699999999997</v>
      </c>
      <c r="E381" s="92">
        <f>79.08</f>
        <v>79.08</v>
      </c>
      <c r="F381" s="85">
        <f>350.872-40-25-60</f>
        <v>225.87200000000001</v>
      </c>
      <c r="G381" s="87">
        <v>40</v>
      </c>
      <c r="H381" s="85">
        <f t="shared" si="62"/>
        <v>85</v>
      </c>
      <c r="I381" s="85">
        <f t="shared" si="53"/>
        <v>0</v>
      </c>
      <c r="J381" s="87">
        <v>100</v>
      </c>
      <c r="K381" s="87">
        <v>300</v>
      </c>
      <c r="L381" s="85">
        <f t="shared" si="56"/>
        <v>1239</v>
      </c>
      <c r="M381" s="86"/>
      <c r="N381" s="85">
        <f>75</f>
        <v>75</v>
      </c>
      <c r="O381" s="87">
        <v>240</v>
      </c>
      <c r="P381" s="87">
        <v>160</v>
      </c>
      <c r="Q381" s="87">
        <f t="shared" si="57"/>
        <v>195</v>
      </c>
      <c r="R381" s="87">
        <f t="shared" si="58"/>
        <v>100</v>
      </c>
      <c r="S381" s="85">
        <f t="shared" si="59"/>
        <v>695</v>
      </c>
      <c r="T381" s="85">
        <f>0</f>
        <v>0</v>
      </c>
      <c r="U381" s="83"/>
      <c r="V381" s="83"/>
      <c r="W381" s="83"/>
      <c r="X381" s="83"/>
      <c r="Y381" s="83"/>
      <c r="Z381" s="83"/>
      <c r="AA381" s="83"/>
      <c r="AB381" s="83"/>
      <c r="AC381" s="83"/>
      <c r="AD381" s="83"/>
    </row>
    <row r="382" spans="1:30" ht="15.75" x14ac:dyDescent="0.25">
      <c r="A382" s="14">
        <v>52200</v>
      </c>
      <c r="B382" s="95">
        <v>30</v>
      </c>
      <c r="C382" s="85">
        <f>122.58</f>
        <v>122.58</v>
      </c>
      <c r="D382" s="85">
        <f>297.941</f>
        <v>297.94099999999997</v>
      </c>
      <c r="E382" s="92">
        <f>89.177</f>
        <v>89.177000000000007</v>
      </c>
      <c r="F382" s="85">
        <f>240.302-40-60</f>
        <v>140.30199999999999</v>
      </c>
      <c r="G382" s="87">
        <v>40</v>
      </c>
      <c r="H382" s="85">
        <v>60</v>
      </c>
      <c r="I382" s="85">
        <f t="shared" si="53"/>
        <v>0</v>
      </c>
      <c r="J382" s="87">
        <v>100</v>
      </c>
      <c r="K382" s="87">
        <v>300</v>
      </c>
      <c r="L382" s="85">
        <f t="shared" si="56"/>
        <v>1150</v>
      </c>
      <c r="M382" s="86"/>
      <c r="N382" s="85">
        <f>100</f>
        <v>100</v>
      </c>
      <c r="O382" s="87">
        <v>240</v>
      </c>
      <c r="P382" s="87">
        <v>40</v>
      </c>
      <c r="Q382" s="87">
        <f t="shared" si="57"/>
        <v>315</v>
      </c>
      <c r="R382" s="87">
        <f t="shared" si="58"/>
        <v>100</v>
      </c>
      <c r="S382" s="85">
        <f t="shared" si="59"/>
        <v>695</v>
      </c>
      <c r="T382" s="85">
        <f>50</f>
        <v>50</v>
      </c>
      <c r="U382" s="83"/>
      <c r="V382" s="83"/>
      <c r="W382" s="83"/>
      <c r="X382" s="83"/>
      <c r="Y382" s="83"/>
      <c r="Z382" s="83"/>
      <c r="AA382" s="83"/>
      <c r="AB382" s="83"/>
      <c r="AC382" s="83"/>
      <c r="AD382" s="83"/>
    </row>
    <row r="383" spans="1:30" ht="15.75" x14ac:dyDescent="0.25">
      <c r="A383" s="14">
        <v>52231</v>
      </c>
      <c r="B383" s="95">
        <v>31</v>
      </c>
      <c r="C383" s="85">
        <f>122.58</f>
        <v>122.58</v>
      </c>
      <c r="D383" s="85">
        <f>297.941</f>
        <v>297.94099999999997</v>
      </c>
      <c r="E383" s="92">
        <f>89.177</f>
        <v>89.177000000000007</v>
      </c>
      <c r="F383" s="85">
        <f>240.302-40-60</f>
        <v>140.30199999999999</v>
      </c>
      <c r="G383" s="87">
        <v>40</v>
      </c>
      <c r="H383" s="85">
        <v>60</v>
      </c>
      <c r="I383" s="85">
        <f t="shared" si="53"/>
        <v>0</v>
      </c>
      <c r="J383" s="87">
        <v>100</v>
      </c>
      <c r="K383" s="87">
        <v>300</v>
      </c>
      <c r="L383" s="85">
        <f t="shared" si="56"/>
        <v>1150</v>
      </c>
      <c r="M383" s="86"/>
      <c r="N383" s="85">
        <f>100</f>
        <v>100</v>
      </c>
      <c r="O383" s="87">
        <v>240</v>
      </c>
      <c r="P383" s="87">
        <v>40</v>
      </c>
      <c r="Q383" s="87">
        <f t="shared" si="57"/>
        <v>315</v>
      </c>
      <c r="R383" s="87">
        <f t="shared" si="58"/>
        <v>100</v>
      </c>
      <c r="S383" s="85">
        <f t="shared" si="59"/>
        <v>695</v>
      </c>
      <c r="T383" s="85">
        <f>50</f>
        <v>50</v>
      </c>
      <c r="U383" s="83"/>
      <c r="V383" s="83"/>
      <c r="W383" s="83"/>
      <c r="X383" s="83"/>
      <c r="Y383" s="83"/>
      <c r="Z383" s="83"/>
      <c r="AA383" s="83"/>
      <c r="AB383" s="83"/>
      <c r="AC383" s="83"/>
      <c r="AD383" s="83"/>
    </row>
    <row r="384" spans="1:30" ht="15.75" x14ac:dyDescent="0.25">
      <c r="A384" s="14">
        <v>52262</v>
      </c>
      <c r="B384" s="95">
        <v>31</v>
      </c>
      <c r="C384" s="85">
        <f>122.58</f>
        <v>122.58</v>
      </c>
      <c r="D384" s="85">
        <f>297.941</f>
        <v>297.94099999999997</v>
      </c>
      <c r="E384" s="92">
        <f>89.177</f>
        <v>89.177000000000007</v>
      </c>
      <c r="F384" s="85">
        <f>240.302-40-60</f>
        <v>140.30199999999999</v>
      </c>
      <c r="G384" s="87">
        <v>40</v>
      </c>
      <c r="H384" s="85">
        <v>60</v>
      </c>
      <c r="I384" s="85">
        <f t="shared" ref="I384:I447" si="63">400-J384-K384</f>
        <v>0</v>
      </c>
      <c r="J384" s="87">
        <v>100</v>
      </c>
      <c r="K384" s="87">
        <v>300</v>
      </c>
      <c r="L384" s="85">
        <f t="shared" si="56"/>
        <v>1150</v>
      </c>
      <c r="M384" s="86"/>
      <c r="N384" s="85">
        <f>100</f>
        <v>100</v>
      </c>
      <c r="O384" s="87">
        <v>240</v>
      </c>
      <c r="P384" s="87">
        <v>40</v>
      </c>
      <c r="Q384" s="87">
        <f t="shared" si="57"/>
        <v>315</v>
      </c>
      <c r="R384" s="87">
        <f t="shared" si="58"/>
        <v>100</v>
      </c>
      <c r="S384" s="85">
        <f t="shared" si="59"/>
        <v>695</v>
      </c>
      <c r="T384" s="85">
        <f>50</f>
        <v>50</v>
      </c>
      <c r="U384" s="83"/>
      <c r="V384" s="83"/>
      <c r="W384" s="83"/>
      <c r="X384" s="83"/>
      <c r="Y384" s="83"/>
      <c r="Z384" s="83"/>
      <c r="AA384" s="83"/>
      <c r="AB384" s="83"/>
      <c r="AC384" s="83"/>
      <c r="AD384" s="83"/>
    </row>
    <row r="385" spans="1:30" ht="15.75" x14ac:dyDescent="0.25">
      <c r="A385" s="14">
        <v>52290</v>
      </c>
      <c r="B385" s="95">
        <v>28</v>
      </c>
      <c r="C385" s="85">
        <f>122.58</f>
        <v>122.58</v>
      </c>
      <c r="D385" s="85">
        <f>297.941</f>
        <v>297.94099999999997</v>
      </c>
      <c r="E385" s="92">
        <f>89.177</f>
        <v>89.177000000000007</v>
      </c>
      <c r="F385" s="85">
        <f>240.302-40-60</f>
        <v>140.30199999999999</v>
      </c>
      <c r="G385" s="87">
        <v>40</v>
      </c>
      <c r="H385" s="85">
        <v>60</v>
      </c>
      <c r="I385" s="85">
        <f t="shared" si="63"/>
        <v>0</v>
      </c>
      <c r="J385" s="87">
        <v>100</v>
      </c>
      <c r="K385" s="87">
        <v>300</v>
      </c>
      <c r="L385" s="85">
        <f t="shared" si="56"/>
        <v>1150</v>
      </c>
      <c r="M385" s="86"/>
      <c r="N385" s="85">
        <f>100</f>
        <v>100</v>
      </c>
      <c r="O385" s="87">
        <v>240</v>
      </c>
      <c r="P385" s="87">
        <v>40</v>
      </c>
      <c r="Q385" s="87">
        <f t="shared" si="57"/>
        <v>315</v>
      </c>
      <c r="R385" s="87">
        <f t="shared" si="58"/>
        <v>100</v>
      </c>
      <c r="S385" s="85">
        <f t="shared" si="59"/>
        <v>695</v>
      </c>
      <c r="T385" s="85">
        <f>50</f>
        <v>50</v>
      </c>
      <c r="U385" s="83"/>
      <c r="V385" s="83"/>
      <c r="W385" s="83"/>
      <c r="X385" s="83"/>
      <c r="Y385" s="83"/>
      <c r="Z385" s="83"/>
      <c r="AA385" s="83"/>
      <c r="AB385" s="83"/>
      <c r="AC385" s="83"/>
      <c r="AD385" s="83"/>
    </row>
    <row r="386" spans="1:30" ht="15.75" x14ac:dyDescent="0.25">
      <c r="A386" s="14">
        <v>52321</v>
      </c>
      <c r="B386" s="95">
        <v>31</v>
      </c>
      <c r="C386" s="85">
        <f>122.58</f>
        <v>122.58</v>
      </c>
      <c r="D386" s="85">
        <f>297.941</f>
        <v>297.94099999999997</v>
      </c>
      <c r="E386" s="92">
        <f>89.177</f>
        <v>89.177000000000007</v>
      </c>
      <c r="F386" s="85">
        <f>240.302-40-60</f>
        <v>140.30199999999999</v>
      </c>
      <c r="G386" s="87">
        <v>40</v>
      </c>
      <c r="H386" s="85">
        <v>60</v>
      </c>
      <c r="I386" s="85">
        <f t="shared" si="63"/>
        <v>0</v>
      </c>
      <c r="J386" s="87">
        <v>100</v>
      </c>
      <c r="K386" s="87">
        <v>300</v>
      </c>
      <c r="L386" s="85">
        <f t="shared" si="56"/>
        <v>1150</v>
      </c>
      <c r="M386" s="86"/>
      <c r="N386" s="85">
        <f>100</f>
        <v>100</v>
      </c>
      <c r="O386" s="87">
        <v>240</v>
      </c>
      <c r="P386" s="87">
        <v>40</v>
      </c>
      <c r="Q386" s="87">
        <f t="shared" si="57"/>
        <v>315</v>
      </c>
      <c r="R386" s="87">
        <f t="shared" si="58"/>
        <v>100</v>
      </c>
      <c r="S386" s="85">
        <f t="shared" si="59"/>
        <v>695</v>
      </c>
      <c r="T386" s="85">
        <f>50</f>
        <v>50</v>
      </c>
      <c r="U386" s="83"/>
      <c r="V386" s="83"/>
      <c r="W386" s="83"/>
      <c r="X386" s="83"/>
      <c r="Y386" s="83"/>
      <c r="Z386" s="83"/>
      <c r="AA386" s="83"/>
      <c r="AB386" s="83"/>
      <c r="AC386" s="83"/>
      <c r="AD386" s="83"/>
    </row>
    <row r="387" spans="1:30" ht="15.75" x14ac:dyDescent="0.25">
      <c r="A387" s="14">
        <v>52351</v>
      </c>
      <c r="B387" s="95">
        <v>30</v>
      </c>
      <c r="C387" s="85">
        <f>141.293</f>
        <v>141.29300000000001</v>
      </c>
      <c r="D387" s="85">
        <f>267.993</f>
        <v>267.99299999999999</v>
      </c>
      <c r="E387" s="92">
        <f>115.016</f>
        <v>115.01600000000001</v>
      </c>
      <c r="F387" s="85">
        <f>314.698-40-25-60</f>
        <v>189.69799999999998</v>
      </c>
      <c r="G387" s="87">
        <v>40</v>
      </c>
      <c r="H387" s="85">
        <f t="shared" ref="H387:H393" si="64">25+60</f>
        <v>85</v>
      </c>
      <c r="I387" s="85">
        <f t="shared" si="63"/>
        <v>0</v>
      </c>
      <c r="J387" s="87">
        <v>100</v>
      </c>
      <c r="K387" s="87">
        <v>300</v>
      </c>
      <c r="L387" s="85">
        <f t="shared" si="56"/>
        <v>1239</v>
      </c>
      <c r="M387" s="86"/>
      <c r="N387" s="85">
        <f>100</f>
        <v>100</v>
      </c>
      <c r="O387" s="87">
        <v>240</v>
      </c>
      <c r="P387" s="87">
        <v>160</v>
      </c>
      <c r="Q387" s="87">
        <f t="shared" si="57"/>
        <v>195</v>
      </c>
      <c r="R387" s="87">
        <f t="shared" si="58"/>
        <v>100</v>
      </c>
      <c r="S387" s="85">
        <f t="shared" si="59"/>
        <v>695</v>
      </c>
      <c r="T387" s="85">
        <f>50</f>
        <v>50</v>
      </c>
      <c r="U387" s="83"/>
      <c r="V387" s="83"/>
      <c r="W387" s="83"/>
      <c r="X387" s="83"/>
      <c r="Y387" s="83"/>
      <c r="Z387" s="83"/>
      <c r="AA387" s="83"/>
      <c r="AB387" s="83"/>
      <c r="AC387" s="83"/>
      <c r="AD387" s="83"/>
    </row>
    <row r="388" spans="1:30" ht="15.75" x14ac:dyDescent="0.25">
      <c r="A388" s="14">
        <v>52382</v>
      </c>
      <c r="B388" s="95">
        <v>31</v>
      </c>
      <c r="C388" s="85">
        <f>194.205</f>
        <v>194.20500000000001</v>
      </c>
      <c r="D388" s="85">
        <f>267.466</f>
        <v>267.46600000000001</v>
      </c>
      <c r="E388" s="92">
        <f>133.845</f>
        <v>133.845</v>
      </c>
      <c r="F388" s="85">
        <f>278.484-40-25-60</f>
        <v>153.48399999999998</v>
      </c>
      <c r="G388" s="87">
        <v>40</v>
      </c>
      <c r="H388" s="85">
        <f t="shared" si="64"/>
        <v>85</v>
      </c>
      <c r="I388" s="85">
        <f t="shared" si="63"/>
        <v>0</v>
      </c>
      <c r="J388" s="87">
        <v>100</v>
      </c>
      <c r="K388" s="87">
        <v>300</v>
      </c>
      <c r="L388" s="85">
        <f t="shared" si="56"/>
        <v>1274</v>
      </c>
      <c r="M388" s="86"/>
      <c r="N388" s="85">
        <f>75</f>
        <v>75</v>
      </c>
      <c r="O388" s="87">
        <v>240</v>
      </c>
      <c r="P388" s="87">
        <v>160</v>
      </c>
      <c r="Q388" s="87">
        <f t="shared" si="57"/>
        <v>195</v>
      </c>
      <c r="R388" s="87">
        <f t="shared" si="58"/>
        <v>100</v>
      </c>
      <c r="S388" s="85">
        <f t="shared" si="59"/>
        <v>695</v>
      </c>
      <c r="T388" s="85">
        <f>50</f>
        <v>50</v>
      </c>
      <c r="U388" s="83"/>
      <c r="V388" s="83"/>
      <c r="W388" s="83"/>
      <c r="X388" s="83"/>
      <c r="Y388" s="83"/>
      <c r="Z388" s="83"/>
      <c r="AA388" s="83"/>
      <c r="AB388" s="83"/>
      <c r="AC388" s="83"/>
      <c r="AD388" s="83"/>
    </row>
    <row r="389" spans="1:30" ht="15.75" x14ac:dyDescent="0.25">
      <c r="A389" s="14">
        <v>52412</v>
      </c>
      <c r="B389" s="95">
        <v>30</v>
      </c>
      <c r="C389" s="85">
        <f>194.205</f>
        <v>194.20500000000001</v>
      </c>
      <c r="D389" s="85">
        <f>267.466</f>
        <v>267.46600000000001</v>
      </c>
      <c r="E389" s="92">
        <f>133.845</f>
        <v>133.845</v>
      </c>
      <c r="F389" s="85">
        <f>278.484-40-25-60</f>
        <v>153.48399999999998</v>
      </c>
      <c r="G389" s="87">
        <v>40</v>
      </c>
      <c r="H389" s="85">
        <f t="shared" si="64"/>
        <v>85</v>
      </c>
      <c r="I389" s="85">
        <f t="shared" si="63"/>
        <v>0</v>
      </c>
      <c r="J389" s="87">
        <v>100</v>
      </c>
      <c r="K389" s="87">
        <v>300</v>
      </c>
      <c r="L389" s="85">
        <f t="shared" si="56"/>
        <v>1274</v>
      </c>
      <c r="M389" s="86"/>
      <c r="N389" s="85">
        <f>30</f>
        <v>30</v>
      </c>
      <c r="O389" s="87">
        <v>240</v>
      </c>
      <c r="P389" s="87">
        <v>160</v>
      </c>
      <c r="Q389" s="87">
        <f t="shared" si="57"/>
        <v>195</v>
      </c>
      <c r="R389" s="87">
        <f t="shared" si="58"/>
        <v>100</v>
      </c>
      <c r="S389" s="85">
        <f t="shared" si="59"/>
        <v>695</v>
      </c>
      <c r="T389" s="85">
        <f>50</f>
        <v>50</v>
      </c>
      <c r="U389" s="83"/>
      <c r="V389" s="83"/>
      <c r="W389" s="83"/>
      <c r="X389" s="83"/>
      <c r="Y389" s="83"/>
      <c r="Z389" s="83"/>
      <c r="AA389" s="83"/>
      <c r="AB389" s="83"/>
      <c r="AC389" s="83"/>
      <c r="AD389" s="83"/>
    </row>
    <row r="390" spans="1:30" ht="15.75" x14ac:dyDescent="0.25">
      <c r="A390" s="14">
        <v>52443</v>
      </c>
      <c r="B390" s="95">
        <v>31</v>
      </c>
      <c r="C390" s="85">
        <f>194.205</f>
        <v>194.20500000000001</v>
      </c>
      <c r="D390" s="85">
        <f>267.466</f>
        <v>267.46600000000001</v>
      </c>
      <c r="E390" s="92">
        <f>133.845</f>
        <v>133.845</v>
      </c>
      <c r="F390" s="85">
        <f>278.484-40-25-60</f>
        <v>153.48399999999998</v>
      </c>
      <c r="G390" s="87">
        <v>40</v>
      </c>
      <c r="H390" s="85">
        <f t="shared" si="64"/>
        <v>85</v>
      </c>
      <c r="I390" s="85">
        <f t="shared" si="63"/>
        <v>0</v>
      </c>
      <c r="J390" s="87">
        <v>100</v>
      </c>
      <c r="K390" s="87">
        <v>300</v>
      </c>
      <c r="L390" s="85">
        <f t="shared" si="56"/>
        <v>1274</v>
      </c>
      <c r="M390" s="86"/>
      <c r="N390" s="85">
        <f>30</f>
        <v>30</v>
      </c>
      <c r="O390" s="87">
        <v>240</v>
      </c>
      <c r="P390" s="87">
        <v>160</v>
      </c>
      <c r="Q390" s="87">
        <f t="shared" si="57"/>
        <v>195</v>
      </c>
      <c r="R390" s="87">
        <f t="shared" si="58"/>
        <v>100</v>
      </c>
      <c r="S390" s="85">
        <f t="shared" si="59"/>
        <v>695</v>
      </c>
      <c r="T390" s="85">
        <f>0</f>
        <v>0</v>
      </c>
      <c r="U390" s="83"/>
      <c r="V390" s="83"/>
      <c r="W390" s="83"/>
      <c r="X390" s="83"/>
      <c r="Y390" s="83"/>
      <c r="Z390" s="83"/>
      <c r="AA390" s="83"/>
      <c r="AB390" s="83"/>
      <c r="AC390" s="83"/>
      <c r="AD390" s="83"/>
    </row>
    <row r="391" spans="1:30" ht="15.75" x14ac:dyDescent="0.25">
      <c r="A391" s="14">
        <v>52474</v>
      </c>
      <c r="B391" s="95">
        <v>31</v>
      </c>
      <c r="C391" s="85">
        <f>194.205</f>
        <v>194.20500000000001</v>
      </c>
      <c r="D391" s="85">
        <f>267.466</f>
        <v>267.46600000000001</v>
      </c>
      <c r="E391" s="92">
        <f>133.845</f>
        <v>133.845</v>
      </c>
      <c r="F391" s="85">
        <f>278.484-40-25-60</f>
        <v>153.48399999999998</v>
      </c>
      <c r="G391" s="87">
        <v>40</v>
      </c>
      <c r="H391" s="85">
        <f t="shared" si="64"/>
        <v>85</v>
      </c>
      <c r="I391" s="85">
        <f t="shared" si="63"/>
        <v>0</v>
      </c>
      <c r="J391" s="87">
        <v>100</v>
      </c>
      <c r="K391" s="87">
        <v>300</v>
      </c>
      <c r="L391" s="85">
        <f t="shared" si="56"/>
        <v>1274</v>
      </c>
      <c r="M391" s="86"/>
      <c r="N391" s="85">
        <f>30</f>
        <v>30</v>
      </c>
      <c r="O391" s="87">
        <v>240</v>
      </c>
      <c r="P391" s="87">
        <v>160</v>
      </c>
      <c r="Q391" s="87">
        <f t="shared" si="57"/>
        <v>195</v>
      </c>
      <c r="R391" s="87">
        <f t="shared" si="58"/>
        <v>100</v>
      </c>
      <c r="S391" s="85">
        <f t="shared" si="59"/>
        <v>695</v>
      </c>
      <c r="T391" s="85">
        <f>0</f>
        <v>0</v>
      </c>
      <c r="U391" s="83"/>
      <c r="V391" s="83"/>
      <c r="W391" s="83"/>
      <c r="X391" s="83"/>
      <c r="Y391" s="83"/>
      <c r="Z391" s="83"/>
      <c r="AA391" s="83"/>
      <c r="AB391" s="83"/>
      <c r="AC391" s="83"/>
      <c r="AD391" s="83"/>
    </row>
    <row r="392" spans="1:30" ht="15.75" x14ac:dyDescent="0.25">
      <c r="A392" s="14">
        <v>52504</v>
      </c>
      <c r="B392" s="95">
        <v>30</v>
      </c>
      <c r="C392" s="85">
        <f>194.205</f>
        <v>194.20500000000001</v>
      </c>
      <c r="D392" s="85">
        <f>267.466</f>
        <v>267.46600000000001</v>
      </c>
      <c r="E392" s="92">
        <f>133.845</f>
        <v>133.845</v>
      </c>
      <c r="F392" s="85">
        <f>278.484-40-25-60</f>
        <v>153.48399999999998</v>
      </c>
      <c r="G392" s="87">
        <v>40</v>
      </c>
      <c r="H392" s="85">
        <f t="shared" si="64"/>
        <v>85</v>
      </c>
      <c r="I392" s="85">
        <f t="shared" si="63"/>
        <v>0</v>
      </c>
      <c r="J392" s="87">
        <v>100</v>
      </c>
      <c r="K392" s="87">
        <v>300</v>
      </c>
      <c r="L392" s="85">
        <f t="shared" si="56"/>
        <v>1274</v>
      </c>
      <c r="M392" s="86"/>
      <c r="N392" s="85">
        <f>30</f>
        <v>30</v>
      </c>
      <c r="O392" s="87">
        <v>240</v>
      </c>
      <c r="P392" s="87">
        <v>160</v>
      </c>
      <c r="Q392" s="87">
        <f t="shared" si="57"/>
        <v>195</v>
      </c>
      <c r="R392" s="87">
        <f t="shared" si="58"/>
        <v>100</v>
      </c>
      <c r="S392" s="85">
        <f t="shared" si="59"/>
        <v>695</v>
      </c>
      <c r="T392" s="85">
        <f>0</f>
        <v>0</v>
      </c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</row>
    <row r="393" spans="1:30" ht="15.75" x14ac:dyDescent="0.25">
      <c r="A393" s="14">
        <v>52535</v>
      </c>
      <c r="B393" s="95">
        <v>31</v>
      </c>
      <c r="C393" s="85">
        <f>131.881</f>
        <v>131.881</v>
      </c>
      <c r="D393" s="85">
        <f>277.167</f>
        <v>277.16699999999997</v>
      </c>
      <c r="E393" s="92">
        <f>79.08</f>
        <v>79.08</v>
      </c>
      <c r="F393" s="85">
        <f>350.872-40-25-60</f>
        <v>225.87200000000001</v>
      </c>
      <c r="G393" s="87">
        <v>40</v>
      </c>
      <c r="H393" s="85">
        <f t="shared" si="64"/>
        <v>85</v>
      </c>
      <c r="I393" s="85">
        <f t="shared" si="63"/>
        <v>0</v>
      </c>
      <c r="J393" s="87">
        <v>100</v>
      </c>
      <c r="K393" s="87">
        <v>300</v>
      </c>
      <c r="L393" s="85">
        <f t="shared" si="56"/>
        <v>1239</v>
      </c>
      <c r="M393" s="86"/>
      <c r="N393" s="85">
        <f>75</f>
        <v>75</v>
      </c>
      <c r="O393" s="87">
        <v>240</v>
      </c>
      <c r="P393" s="87">
        <v>160</v>
      </c>
      <c r="Q393" s="87">
        <f t="shared" si="57"/>
        <v>195</v>
      </c>
      <c r="R393" s="87">
        <f t="shared" si="58"/>
        <v>100</v>
      </c>
      <c r="S393" s="85">
        <f t="shared" si="59"/>
        <v>695</v>
      </c>
      <c r="T393" s="85">
        <f>0</f>
        <v>0</v>
      </c>
      <c r="U393" s="83"/>
      <c r="V393" s="83"/>
      <c r="W393" s="83"/>
      <c r="X393" s="83"/>
      <c r="Y393" s="83"/>
      <c r="Z393" s="83"/>
      <c r="AA393" s="83"/>
      <c r="AB393" s="83"/>
      <c r="AC393" s="83"/>
      <c r="AD393" s="83"/>
    </row>
    <row r="394" spans="1:30" ht="15.75" x14ac:dyDescent="0.25">
      <c r="A394" s="14">
        <v>52565</v>
      </c>
      <c r="B394" s="95">
        <v>30</v>
      </c>
      <c r="C394" s="85">
        <f>122.58</f>
        <v>122.58</v>
      </c>
      <c r="D394" s="85">
        <f>297.941</f>
        <v>297.94099999999997</v>
      </c>
      <c r="E394" s="92">
        <f>89.177</f>
        <v>89.177000000000007</v>
      </c>
      <c r="F394" s="85">
        <f>240.302-40-60</f>
        <v>140.30199999999999</v>
      </c>
      <c r="G394" s="87">
        <v>40</v>
      </c>
      <c r="H394" s="85">
        <v>60</v>
      </c>
      <c r="I394" s="85">
        <f t="shared" si="63"/>
        <v>0</v>
      </c>
      <c r="J394" s="87">
        <v>100</v>
      </c>
      <c r="K394" s="87">
        <v>300</v>
      </c>
      <c r="L394" s="85">
        <f t="shared" si="56"/>
        <v>1150</v>
      </c>
      <c r="M394" s="86"/>
      <c r="N394" s="85">
        <f>100</f>
        <v>100</v>
      </c>
      <c r="O394" s="87">
        <v>240</v>
      </c>
      <c r="P394" s="87">
        <v>40</v>
      </c>
      <c r="Q394" s="87">
        <f t="shared" si="57"/>
        <v>315</v>
      </c>
      <c r="R394" s="87">
        <f t="shared" si="58"/>
        <v>100</v>
      </c>
      <c r="S394" s="85">
        <f t="shared" si="59"/>
        <v>695</v>
      </c>
      <c r="T394" s="85">
        <f>50</f>
        <v>50</v>
      </c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</row>
    <row r="395" spans="1:30" ht="15.75" x14ac:dyDescent="0.25">
      <c r="A395" s="14">
        <v>52596</v>
      </c>
      <c r="B395" s="95">
        <v>31</v>
      </c>
      <c r="C395" s="85">
        <f>122.58</f>
        <v>122.58</v>
      </c>
      <c r="D395" s="85">
        <f>297.941</f>
        <v>297.94099999999997</v>
      </c>
      <c r="E395" s="92">
        <f>89.177</f>
        <v>89.177000000000007</v>
      </c>
      <c r="F395" s="85">
        <f>240.302-40-60</f>
        <v>140.30199999999999</v>
      </c>
      <c r="G395" s="87">
        <v>40</v>
      </c>
      <c r="H395" s="85">
        <v>60</v>
      </c>
      <c r="I395" s="85">
        <f t="shared" si="63"/>
        <v>0</v>
      </c>
      <c r="J395" s="87">
        <v>100</v>
      </c>
      <c r="K395" s="87">
        <v>300</v>
      </c>
      <c r="L395" s="85">
        <f t="shared" si="56"/>
        <v>1150</v>
      </c>
      <c r="M395" s="86"/>
      <c r="N395" s="85">
        <f>100</f>
        <v>100</v>
      </c>
      <c r="O395" s="87">
        <v>240</v>
      </c>
      <c r="P395" s="87">
        <v>40</v>
      </c>
      <c r="Q395" s="87">
        <f t="shared" si="57"/>
        <v>315</v>
      </c>
      <c r="R395" s="87">
        <f t="shared" si="58"/>
        <v>100</v>
      </c>
      <c r="S395" s="85">
        <f t="shared" si="59"/>
        <v>695</v>
      </c>
      <c r="T395" s="85">
        <f>50</f>
        <v>50</v>
      </c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</row>
    <row r="396" spans="1:30" ht="15.75" x14ac:dyDescent="0.25">
      <c r="A396" s="14">
        <v>52627</v>
      </c>
      <c r="B396" s="95">
        <v>31</v>
      </c>
      <c r="C396" s="85">
        <f>122.58</f>
        <v>122.58</v>
      </c>
      <c r="D396" s="85">
        <f>297.941</f>
        <v>297.94099999999997</v>
      </c>
      <c r="E396" s="92">
        <f>89.177</f>
        <v>89.177000000000007</v>
      </c>
      <c r="F396" s="85">
        <f>240.302-40-60</f>
        <v>140.30199999999999</v>
      </c>
      <c r="G396" s="87">
        <v>40</v>
      </c>
      <c r="H396" s="85">
        <v>60</v>
      </c>
      <c r="I396" s="85">
        <f t="shared" si="63"/>
        <v>0</v>
      </c>
      <c r="J396" s="87">
        <v>100</v>
      </c>
      <c r="K396" s="87">
        <v>300</v>
      </c>
      <c r="L396" s="85">
        <f t="shared" si="56"/>
        <v>1150</v>
      </c>
      <c r="M396" s="86"/>
      <c r="N396" s="85">
        <f>100</f>
        <v>100</v>
      </c>
      <c r="O396" s="87">
        <v>240</v>
      </c>
      <c r="P396" s="87">
        <v>40</v>
      </c>
      <c r="Q396" s="87">
        <f t="shared" si="57"/>
        <v>315</v>
      </c>
      <c r="R396" s="87">
        <f t="shared" si="58"/>
        <v>100</v>
      </c>
      <c r="S396" s="85">
        <f t="shared" si="59"/>
        <v>695</v>
      </c>
      <c r="T396" s="85">
        <f>50</f>
        <v>50</v>
      </c>
      <c r="U396" s="83"/>
      <c r="V396" s="83"/>
      <c r="W396" s="83"/>
      <c r="X396" s="83"/>
      <c r="Y396" s="83"/>
      <c r="Z396" s="83"/>
      <c r="AA396" s="83"/>
      <c r="AB396" s="83"/>
      <c r="AC396" s="83"/>
      <c r="AD396" s="83"/>
    </row>
    <row r="397" spans="1:30" ht="15.75" x14ac:dyDescent="0.25">
      <c r="A397" s="14">
        <v>52655</v>
      </c>
      <c r="B397" s="95">
        <v>29</v>
      </c>
      <c r="C397" s="85">
        <f>122.58</f>
        <v>122.58</v>
      </c>
      <c r="D397" s="85">
        <f>297.941</f>
        <v>297.94099999999997</v>
      </c>
      <c r="E397" s="92">
        <f>89.177</f>
        <v>89.177000000000007</v>
      </c>
      <c r="F397" s="85">
        <f>240.302-40-60</f>
        <v>140.30199999999999</v>
      </c>
      <c r="G397" s="87">
        <v>40</v>
      </c>
      <c r="H397" s="85">
        <v>60</v>
      </c>
      <c r="I397" s="85">
        <f t="shared" si="63"/>
        <v>0</v>
      </c>
      <c r="J397" s="87">
        <v>100</v>
      </c>
      <c r="K397" s="87">
        <v>300</v>
      </c>
      <c r="L397" s="85">
        <f t="shared" si="56"/>
        <v>1150</v>
      </c>
      <c r="M397" s="86"/>
      <c r="N397" s="85">
        <f>100</f>
        <v>100</v>
      </c>
      <c r="O397" s="87">
        <v>240</v>
      </c>
      <c r="P397" s="87">
        <v>40</v>
      </c>
      <c r="Q397" s="87">
        <f t="shared" si="57"/>
        <v>315</v>
      </c>
      <c r="R397" s="87">
        <f t="shared" si="58"/>
        <v>100</v>
      </c>
      <c r="S397" s="85">
        <f t="shared" si="59"/>
        <v>695</v>
      </c>
      <c r="T397" s="85">
        <f>50</f>
        <v>50</v>
      </c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</row>
    <row r="398" spans="1:30" ht="15.75" x14ac:dyDescent="0.25">
      <c r="A398" s="14">
        <v>52687</v>
      </c>
      <c r="B398" s="95">
        <v>31</v>
      </c>
      <c r="C398" s="85">
        <f>122.58</f>
        <v>122.58</v>
      </c>
      <c r="D398" s="85">
        <f>297.941</f>
        <v>297.94099999999997</v>
      </c>
      <c r="E398" s="92">
        <f>89.177</f>
        <v>89.177000000000007</v>
      </c>
      <c r="F398" s="85">
        <f>240.302-40-60</f>
        <v>140.30199999999999</v>
      </c>
      <c r="G398" s="87">
        <v>40</v>
      </c>
      <c r="H398" s="85">
        <v>60</v>
      </c>
      <c r="I398" s="85">
        <f t="shared" si="63"/>
        <v>0</v>
      </c>
      <c r="J398" s="87">
        <v>100</v>
      </c>
      <c r="K398" s="87">
        <v>300</v>
      </c>
      <c r="L398" s="85">
        <f t="shared" si="56"/>
        <v>1150</v>
      </c>
      <c r="M398" s="86"/>
      <c r="N398" s="85">
        <f>100</f>
        <v>100</v>
      </c>
      <c r="O398" s="87">
        <v>240</v>
      </c>
      <c r="P398" s="87">
        <v>40</v>
      </c>
      <c r="Q398" s="87">
        <f t="shared" si="57"/>
        <v>315</v>
      </c>
      <c r="R398" s="87">
        <f t="shared" si="58"/>
        <v>100</v>
      </c>
      <c r="S398" s="85">
        <f t="shared" si="59"/>
        <v>695</v>
      </c>
      <c r="T398" s="85">
        <f>50</f>
        <v>50</v>
      </c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</row>
    <row r="399" spans="1:30" ht="15.75" x14ac:dyDescent="0.25">
      <c r="A399" s="14">
        <v>52717</v>
      </c>
      <c r="B399" s="95">
        <v>30</v>
      </c>
      <c r="C399" s="85">
        <f>141.293</f>
        <v>141.29300000000001</v>
      </c>
      <c r="D399" s="85">
        <f>267.993</f>
        <v>267.99299999999999</v>
      </c>
      <c r="E399" s="92">
        <f>115.016</f>
        <v>115.01600000000001</v>
      </c>
      <c r="F399" s="85">
        <f>314.698-40-25-60</f>
        <v>189.69799999999998</v>
      </c>
      <c r="G399" s="87">
        <v>40</v>
      </c>
      <c r="H399" s="85">
        <f t="shared" ref="H399:H405" si="65">25+60</f>
        <v>85</v>
      </c>
      <c r="I399" s="85">
        <f t="shared" si="63"/>
        <v>0</v>
      </c>
      <c r="J399" s="87">
        <v>100</v>
      </c>
      <c r="K399" s="87">
        <v>300</v>
      </c>
      <c r="L399" s="85">
        <f t="shared" si="56"/>
        <v>1239</v>
      </c>
      <c r="M399" s="86"/>
      <c r="N399" s="85">
        <f>100</f>
        <v>100</v>
      </c>
      <c r="O399" s="87">
        <v>240</v>
      </c>
      <c r="P399" s="87">
        <v>160</v>
      </c>
      <c r="Q399" s="87">
        <f t="shared" si="57"/>
        <v>195</v>
      </c>
      <c r="R399" s="87">
        <f t="shared" si="58"/>
        <v>100</v>
      </c>
      <c r="S399" s="85">
        <f t="shared" si="59"/>
        <v>695</v>
      </c>
      <c r="T399" s="85">
        <f>50</f>
        <v>50</v>
      </c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</row>
    <row r="400" spans="1:30" ht="15.75" x14ac:dyDescent="0.25">
      <c r="A400" s="14">
        <v>52748</v>
      </c>
      <c r="B400" s="95">
        <v>31</v>
      </c>
      <c r="C400" s="85">
        <f>194.205</f>
        <v>194.20500000000001</v>
      </c>
      <c r="D400" s="85">
        <f>267.466</f>
        <v>267.46600000000001</v>
      </c>
      <c r="E400" s="92">
        <f>133.845</f>
        <v>133.845</v>
      </c>
      <c r="F400" s="85">
        <f>278.484-40-25-60</f>
        <v>153.48399999999998</v>
      </c>
      <c r="G400" s="87">
        <v>40</v>
      </c>
      <c r="H400" s="85">
        <f t="shared" si="65"/>
        <v>85</v>
      </c>
      <c r="I400" s="85">
        <f t="shared" si="63"/>
        <v>0</v>
      </c>
      <c r="J400" s="87">
        <v>100</v>
      </c>
      <c r="K400" s="87">
        <v>300</v>
      </c>
      <c r="L400" s="85">
        <f t="shared" si="56"/>
        <v>1274</v>
      </c>
      <c r="M400" s="86"/>
      <c r="N400" s="85">
        <f>75</f>
        <v>75</v>
      </c>
      <c r="O400" s="87">
        <v>240</v>
      </c>
      <c r="P400" s="87">
        <v>160</v>
      </c>
      <c r="Q400" s="87">
        <f t="shared" si="57"/>
        <v>195</v>
      </c>
      <c r="R400" s="87">
        <f t="shared" si="58"/>
        <v>100</v>
      </c>
      <c r="S400" s="85">
        <f t="shared" si="59"/>
        <v>695</v>
      </c>
      <c r="T400" s="85">
        <f>50</f>
        <v>50</v>
      </c>
      <c r="U400" s="83"/>
      <c r="V400" s="83"/>
      <c r="W400" s="83"/>
      <c r="X400" s="83"/>
      <c r="Y400" s="83"/>
      <c r="Z400" s="83"/>
      <c r="AA400" s="83"/>
      <c r="AB400" s="83"/>
      <c r="AC400" s="83"/>
      <c r="AD400" s="83"/>
    </row>
    <row r="401" spans="1:30" ht="15.75" x14ac:dyDescent="0.25">
      <c r="A401" s="14">
        <v>52778</v>
      </c>
      <c r="B401" s="95">
        <v>30</v>
      </c>
      <c r="C401" s="85">
        <f>194.205</f>
        <v>194.20500000000001</v>
      </c>
      <c r="D401" s="85">
        <f>267.466</f>
        <v>267.46600000000001</v>
      </c>
      <c r="E401" s="92">
        <f>133.845</f>
        <v>133.845</v>
      </c>
      <c r="F401" s="85">
        <f>278.484-40-25-60</f>
        <v>153.48399999999998</v>
      </c>
      <c r="G401" s="87">
        <v>40</v>
      </c>
      <c r="H401" s="85">
        <f t="shared" si="65"/>
        <v>85</v>
      </c>
      <c r="I401" s="85">
        <f t="shared" si="63"/>
        <v>0</v>
      </c>
      <c r="J401" s="87">
        <v>100</v>
      </c>
      <c r="K401" s="87">
        <v>300</v>
      </c>
      <c r="L401" s="85">
        <f t="shared" si="56"/>
        <v>1274</v>
      </c>
      <c r="M401" s="86"/>
      <c r="N401" s="85">
        <f>30</f>
        <v>30</v>
      </c>
      <c r="O401" s="87">
        <v>240</v>
      </c>
      <c r="P401" s="87">
        <v>160</v>
      </c>
      <c r="Q401" s="87">
        <f t="shared" si="57"/>
        <v>195</v>
      </c>
      <c r="R401" s="87">
        <f t="shared" si="58"/>
        <v>100</v>
      </c>
      <c r="S401" s="85">
        <f t="shared" si="59"/>
        <v>695</v>
      </c>
      <c r="T401" s="85">
        <f>50</f>
        <v>50</v>
      </c>
      <c r="U401" s="83"/>
      <c r="V401" s="83"/>
      <c r="W401" s="83"/>
      <c r="X401" s="83"/>
      <c r="Y401" s="83"/>
      <c r="Z401" s="83"/>
      <c r="AA401" s="83"/>
      <c r="AB401" s="83"/>
      <c r="AC401" s="83"/>
      <c r="AD401" s="83"/>
    </row>
    <row r="402" spans="1:30" ht="15.75" x14ac:dyDescent="0.25">
      <c r="A402" s="14">
        <v>52809</v>
      </c>
      <c r="B402" s="95">
        <v>31</v>
      </c>
      <c r="C402" s="85">
        <f>194.205</f>
        <v>194.20500000000001</v>
      </c>
      <c r="D402" s="85">
        <f>267.466</f>
        <v>267.46600000000001</v>
      </c>
      <c r="E402" s="92">
        <f>133.845</f>
        <v>133.845</v>
      </c>
      <c r="F402" s="85">
        <f>278.484-40-25-60</f>
        <v>153.48399999999998</v>
      </c>
      <c r="G402" s="87">
        <v>40</v>
      </c>
      <c r="H402" s="85">
        <f t="shared" si="65"/>
        <v>85</v>
      </c>
      <c r="I402" s="85">
        <f t="shared" si="63"/>
        <v>0</v>
      </c>
      <c r="J402" s="87">
        <v>100</v>
      </c>
      <c r="K402" s="87">
        <v>300</v>
      </c>
      <c r="L402" s="85">
        <f t="shared" si="56"/>
        <v>1274</v>
      </c>
      <c r="M402" s="86"/>
      <c r="N402" s="85">
        <f>30</f>
        <v>30</v>
      </c>
      <c r="O402" s="87">
        <v>240</v>
      </c>
      <c r="P402" s="87">
        <v>160</v>
      </c>
      <c r="Q402" s="87">
        <f t="shared" si="57"/>
        <v>195</v>
      </c>
      <c r="R402" s="87">
        <f t="shared" si="58"/>
        <v>100</v>
      </c>
      <c r="S402" s="85">
        <f t="shared" si="59"/>
        <v>695</v>
      </c>
      <c r="T402" s="85">
        <f>0</f>
        <v>0</v>
      </c>
      <c r="U402" s="83"/>
      <c r="V402" s="83"/>
      <c r="W402" s="83"/>
      <c r="X402" s="83"/>
      <c r="Y402" s="83"/>
      <c r="Z402" s="83"/>
      <c r="AA402" s="83"/>
      <c r="AB402" s="83"/>
      <c r="AC402" s="83"/>
      <c r="AD402" s="83"/>
    </row>
    <row r="403" spans="1:30" ht="15.75" x14ac:dyDescent="0.25">
      <c r="A403" s="14">
        <v>52840</v>
      </c>
      <c r="B403" s="95">
        <v>31</v>
      </c>
      <c r="C403" s="85">
        <f>194.205</f>
        <v>194.20500000000001</v>
      </c>
      <c r="D403" s="85">
        <f>267.466</f>
        <v>267.46600000000001</v>
      </c>
      <c r="E403" s="92">
        <f>133.845</f>
        <v>133.845</v>
      </c>
      <c r="F403" s="85">
        <f>278.484-40-25-60</f>
        <v>153.48399999999998</v>
      </c>
      <c r="G403" s="87">
        <v>40</v>
      </c>
      <c r="H403" s="85">
        <f t="shared" si="65"/>
        <v>85</v>
      </c>
      <c r="I403" s="85">
        <f t="shared" si="63"/>
        <v>0</v>
      </c>
      <c r="J403" s="87">
        <v>100</v>
      </c>
      <c r="K403" s="87">
        <v>300</v>
      </c>
      <c r="L403" s="85">
        <f t="shared" si="56"/>
        <v>1274</v>
      </c>
      <c r="M403" s="86"/>
      <c r="N403" s="85">
        <f>30</f>
        <v>30</v>
      </c>
      <c r="O403" s="87">
        <v>240</v>
      </c>
      <c r="P403" s="87">
        <v>160</v>
      </c>
      <c r="Q403" s="87">
        <f t="shared" si="57"/>
        <v>195</v>
      </c>
      <c r="R403" s="87">
        <f t="shared" si="58"/>
        <v>100</v>
      </c>
      <c r="S403" s="85">
        <f t="shared" si="59"/>
        <v>695</v>
      </c>
      <c r="T403" s="85">
        <f>0</f>
        <v>0</v>
      </c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</row>
    <row r="404" spans="1:30" ht="15.75" x14ac:dyDescent="0.25">
      <c r="A404" s="14">
        <v>52870</v>
      </c>
      <c r="B404" s="95">
        <v>30</v>
      </c>
      <c r="C404" s="85">
        <f>194.205</f>
        <v>194.20500000000001</v>
      </c>
      <c r="D404" s="85">
        <f>267.466</f>
        <v>267.46600000000001</v>
      </c>
      <c r="E404" s="92">
        <f>133.845</f>
        <v>133.845</v>
      </c>
      <c r="F404" s="85">
        <f>278.484-40-25-60</f>
        <v>153.48399999999998</v>
      </c>
      <c r="G404" s="87">
        <v>40</v>
      </c>
      <c r="H404" s="85">
        <f t="shared" si="65"/>
        <v>85</v>
      </c>
      <c r="I404" s="85">
        <f t="shared" si="63"/>
        <v>0</v>
      </c>
      <c r="J404" s="87">
        <v>100</v>
      </c>
      <c r="K404" s="87">
        <v>300</v>
      </c>
      <c r="L404" s="85">
        <f t="shared" si="56"/>
        <v>1274</v>
      </c>
      <c r="M404" s="86"/>
      <c r="N404" s="85">
        <f>30</f>
        <v>30</v>
      </c>
      <c r="O404" s="87">
        <v>240</v>
      </c>
      <c r="P404" s="87">
        <v>160</v>
      </c>
      <c r="Q404" s="87">
        <f t="shared" si="57"/>
        <v>195</v>
      </c>
      <c r="R404" s="87">
        <f t="shared" si="58"/>
        <v>100</v>
      </c>
      <c r="S404" s="85">
        <f t="shared" si="59"/>
        <v>695</v>
      </c>
      <c r="T404" s="85">
        <f>0</f>
        <v>0</v>
      </c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</row>
    <row r="405" spans="1:30" ht="15.75" x14ac:dyDescent="0.25">
      <c r="A405" s="14">
        <v>52901</v>
      </c>
      <c r="B405" s="95">
        <v>31</v>
      </c>
      <c r="C405" s="85">
        <f>131.881</f>
        <v>131.881</v>
      </c>
      <c r="D405" s="85">
        <f>277.167</f>
        <v>277.16699999999997</v>
      </c>
      <c r="E405" s="92">
        <f>79.08</f>
        <v>79.08</v>
      </c>
      <c r="F405" s="85">
        <f>350.872-40-25-60</f>
        <v>225.87200000000001</v>
      </c>
      <c r="G405" s="87">
        <v>40</v>
      </c>
      <c r="H405" s="85">
        <f t="shared" si="65"/>
        <v>85</v>
      </c>
      <c r="I405" s="85">
        <f t="shared" si="63"/>
        <v>0</v>
      </c>
      <c r="J405" s="87">
        <v>100</v>
      </c>
      <c r="K405" s="87">
        <v>300</v>
      </c>
      <c r="L405" s="85">
        <f t="shared" si="56"/>
        <v>1239</v>
      </c>
      <c r="M405" s="86"/>
      <c r="N405" s="85">
        <f>75</f>
        <v>75</v>
      </c>
      <c r="O405" s="87">
        <v>240</v>
      </c>
      <c r="P405" s="87">
        <v>160</v>
      </c>
      <c r="Q405" s="87">
        <f t="shared" si="57"/>
        <v>195</v>
      </c>
      <c r="R405" s="87">
        <f t="shared" si="58"/>
        <v>100</v>
      </c>
      <c r="S405" s="85">
        <f t="shared" si="59"/>
        <v>695</v>
      </c>
      <c r="T405" s="85">
        <f>0</f>
        <v>0</v>
      </c>
      <c r="U405" s="83"/>
      <c r="V405" s="83"/>
      <c r="W405" s="83"/>
      <c r="X405" s="83"/>
      <c r="Y405" s="83"/>
      <c r="Z405" s="83"/>
      <c r="AA405" s="83"/>
      <c r="AB405" s="83"/>
      <c r="AC405" s="83"/>
      <c r="AD405" s="83"/>
    </row>
    <row r="406" spans="1:30" ht="15.75" x14ac:dyDescent="0.25">
      <c r="A406" s="14">
        <v>52931</v>
      </c>
      <c r="B406" s="95">
        <v>30</v>
      </c>
      <c r="C406" s="85">
        <f>122.58</f>
        <v>122.58</v>
      </c>
      <c r="D406" s="85">
        <f>297.941</f>
        <v>297.94099999999997</v>
      </c>
      <c r="E406" s="92">
        <f>89.177</f>
        <v>89.177000000000007</v>
      </c>
      <c r="F406" s="85">
        <f>240.302-40-60</f>
        <v>140.30199999999999</v>
      </c>
      <c r="G406" s="87">
        <v>40</v>
      </c>
      <c r="H406" s="85">
        <v>60</v>
      </c>
      <c r="I406" s="85">
        <f t="shared" si="63"/>
        <v>0</v>
      </c>
      <c r="J406" s="87">
        <v>100</v>
      </c>
      <c r="K406" s="87">
        <v>300</v>
      </c>
      <c r="L406" s="85">
        <f t="shared" si="56"/>
        <v>1150</v>
      </c>
      <c r="M406" s="86"/>
      <c r="N406" s="85">
        <f>100</f>
        <v>100</v>
      </c>
      <c r="O406" s="87">
        <v>240</v>
      </c>
      <c r="P406" s="87">
        <v>40</v>
      </c>
      <c r="Q406" s="87">
        <f t="shared" si="57"/>
        <v>315</v>
      </c>
      <c r="R406" s="87">
        <f t="shared" si="58"/>
        <v>100</v>
      </c>
      <c r="S406" s="85">
        <f t="shared" si="59"/>
        <v>695</v>
      </c>
      <c r="T406" s="85">
        <f>50</f>
        <v>50</v>
      </c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</row>
    <row r="407" spans="1:30" ht="15.75" x14ac:dyDescent="0.25">
      <c r="A407" s="14">
        <v>52962</v>
      </c>
      <c r="B407" s="95">
        <v>31</v>
      </c>
      <c r="C407" s="85">
        <f>122.58</f>
        <v>122.58</v>
      </c>
      <c r="D407" s="85">
        <f>297.941</f>
        <v>297.94099999999997</v>
      </c>
      <c r="E407" s="92">
        <f>89.177</f>
        <v>89.177000000000007</v>
      </c>
      <c r="F407" s="85">
        <f>240.302-40-60</f>
        <v>140.30199999999999</v>
      </c>
      <c r="G407" s="87">
        <v>40</v>
      </c>
      <c r="H407" s="85">
        <v>60</v>
      </c>
      <c r="I407" s="85">
        <f t="shared" si="63"/>
        <v>0</v>
      </c>
      <c r="J407" s="87">
        <v>100</v>
      </c>
      <c r="K407" s="87">
        <v>300</v>
      </c>
      <c r="L407" s="85">
        <f t="shared" si="56"/>
        <v>1150</v>
      </c>
      <c r="M407" s="86"/>
      <c r="N407" s="85">
        <f>100</f>
        <v>100</v>
      </c>
      <c r="O407" s="87">
        <v>240</v>
      </c>
      <c r="P407" s="87">
        <v>40</v>
      </c>
      <c r="Q407" s="87">
        <f t="shared" si="57"/>
        <v>315</v>
      </c>
      <c r="R407" s="87">
        <f t="shared" si="58"/>
        <v>100</v>
      </c>
      <c r="S407" s="85">
        <f t="shared" si="59"/>
        <v>695</v>
      </c>
      <c r="T407" s="85">
        <f>50</f>
        <v>50</v>
      </c>
      <c r="U407" s="83"/>
      <c r="V407" s="83"/>
      <c r="W407" s="83"/>
      <c r="X407" s="83"/>
      <c r="Y407" s="83"/>
      <c r="Z407" s="83"/>
      <c r="AA407" s="83"/>
      <c r="AB407" s="83"/>
      <c r="AC407" s="83"/>
      <c r="AD407" s="83"/>
    </row>
    <row r="408" spans="1:30" ht="15.75" x14ac:dyDescent="0.25">
      <c r="A408" s="14">
        <v>52993</v>
      </c>
      <c r="B408" s="95">
        <v>31</v>
      </c>
      <c r="C408" s="85">
        <f>122.58</f>
        <v>122.58</v>
      </c>
      <c r="D408" s="85">
        <f>297.941</f>
        <v>297.94099999999997</v>
      </c>
      <c r="E408" s="92">
        <f>89.177</f>
        <v>89.177000000000007</v>
      </c>
      <c r="F408" s="85">
        <f>240.302-40-60</f>
        <v>140.30199999999999</v>
      </c>
      <c r="G408" s="87">
        <v>40</v>
      </c>
      <c r="H408" s="85">
        <v>60</v>
      </c>
      <c r="I408" s="85">
        <f t="shared" si="63"/>
        <v>0</v>
      </c>
      <c r="J408" s="87">
        <v>100</v>
      </c>
      <c r="K408" s="87">
        <v>300</v>
      </c>
      <c r="L408" s="85">
        <f t="shared" ref="L408:L471" si="66">SUM(C408:K408)</f>
        <v>1150</v>
      </c>
      <c r="M408" s="86"/>
      <c r="N408" s="85">
        <f>100</f>
        <v>100</v>
      </c>
      <c r="O408" s="87">
        <v>240</v>
      </c>
      <c r="P408" s="87">
        <v>40</v>
      </c>
      <c r="Q408" s="87">
        <f t="shared" ref="Q408:Q471" si="67">695-R408-O408-P408</f>
        <v>315</v>
      </c>
      <c r="R408" s="87">
        <f t="shared" ref="R408:R471" si="68">200-J408</f>
        <v>100</v>
      </c>
      <c r="S408" s="85">
        <f t="shared" ref="S408:S471" si="69">SUM(O408:R408)</f>
        <v>695</v>
      </c>
      <c r="T408" s="85">
        <f>50</f>
        <v>50</v>
      </c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</row>
    <row r="409" spans="1:30" ht="15.75" x14ac:dyDescent="0.25">
      <c r="A409" s="14">
        <v>53021</v>
      </c>
      <c r="B409" s="95">
        <v>28</v>
      </c>
      <c r="C409" s="85">
        <f>122.58</f>
        <v>122.58</v>
      </c>
      <c r="D409" s="85">
        <f>297.941</f>
        <v>297.94099999999997</v>
      </c>
      <c r="E409" s="92">
        <f>89.177</f>
        <v>89.177000000000007</v>
      </c>
      <c r="F409" s="85">
        <f>240.302-40-60</f>
        <v>140.30199999999999</v>
      </c>
      <c r="G409" s="87">
        <v>40</v>
      </c>
      <c r="H409" s="85">
        <v>60</v>
      </c>
      <c r="I409" s="85">
        <f t="shared" si="63"/>
        <v>0</v>
      </c>
      <c r="J409" s="87">
        <v>100</v>
      </c>
      <c r="K409" s="87">
        <v>300</v>
      </c>
      <c r="L409" s="85">
        <f t="shared" si="66"/>
        <v>1150</v>
      </c>
      <c r="M409" s="86"/>
      <c r="N409" s="85">
        <f>100</f>
        <v>100</v>
      </c>
      <c r="O409" s="87">
        <v>240</v>
      </c>
      <c r="P409" s="87">
        <v>40</v>
      </c>
      <c r="Q409" s="87">
        <f t="shared" si="67"/>
        <v>315</v>
      </c>
      <c r="R409" s="87">
        <f t="shared" si="68"/>
        <v>100</v>
      </c>
      <c r="S409" s="85">
        <f t="shared" si="69"/>
        <v>695</v>
      </c>
      <c r="T409" s="85">
        <f>50</f>
        <v>50</v>
      </c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</row>
    <row r="410" spans="1:30" ht="15.75" x14ac:dyDescent="0.25">
      <c r="A410" s="14">
        <v>53052</v>
      </c>
      <c r="B410" s="95">
        <v>31</v>
      </c>
      <c r="C410" s="85">
        <f>122.58</f>
        <v>122.58</v>
      </c>
      <c r="D410" s="85">
        <f>297.941</f>
        <v>297.94099999999997</v>
      </c>
      <c r="E410" s="92">
        <f>89.177</f>
        <v>89.177000000000007</v>
      </c>
      <c r="F410" s="85">
        <f>240.302-40-60</f>
        <v>140.30199999999999</v>
      </c>
      <c r="G410" s="87">
        <v>40</v>
      </c>
      <c r="H410" s="85">
        <v>60</v>
      </c>
      <c r="I410" s="85">
        <f t="shared" si="63"/>
        <v>0</v>
      </c>
      <c r="J410" s="87">
        <v>100</v>
      </c>
      <c r="K410" s="87">
        <v>300</v>
      </c>
      <c r="L410" s="85">
        <f t="shared" si="66"/>
        <v>1150</v>
      </c>
      <c r="M410" s="86"/>
      <c r="N410" s="85">
        <f>100</f>
        <v>100</v>
      </c>
      <c r="O410" s="87">
        <v>240</v>
      </c>
      <c r="P410" s="87">
        <v>40</v>
      </c>
      <c r="Q410" s="87">
        <f t="shared" si="67"/>
        <v>315</v>
      </c>
      <c r="R410" s="87">
        <f t="shared" si="68"/>
        <v>100</v>
      </c>
      <c r="S410" s="85">
        <f t="shared" si="69"/>
        <v>695</v>
      </c>
      <c r="T410" s="85">
        <f>50</f>
        <v>50</v>
      </c>
      <c r="U410" s="83"/>
      <c r="V410" s="83"/>
      <c r="W410" s="83"/>
      <c r="X410" s="83"/>
      <c r="Y410" s="83"/>
      <c r="Z410" s="83"/>
      <c r="AA410" s="83"/>
      <c r="AB410" s="83"/>
      <c r="AC410" s="83"/>
      <c r="AD410" s="83"/>
    </row>
    <row r="411" spans="1:30" ht="15.75" x14ac:dyDescent="0.25">
      <c r="A411" s="14">
        <v>53082</v>
      </c>
      <c r="B411" s="95">
        <v>30</v>
      </c>
      <c r="C411" s="85">
        <f>141.293</f>
        <v>141.29300000000001</v>
      </c>
      <c r="D411" s="85">
        <f>267.993</f>
        <v>267.99299999999999</v>
      </c>
      <c r="E411" s="92">
        <f>115.016</f>
        <v>115.01600000000001</v>
      </c>
      <c r="F411" s="85">
        <f>314.698-40-25-60</f>
        <v>189.69799999999998</v>
      </c>
      <c r="G411" s="87">
        <v>40</v>
      </c>
      <c r="H411" s="85">
        <f t="shared" ref="H411:H417" si="70">25+60</f>
        <v>85</v>
      </c>
      <c r="I411" s="85">
        <f t="shared" si="63"/>
        <v>0</v>
      </c>
      <c r="J411" s="87">
        <v>100</v>
      </c>
      <c r="K411" s="87">
        <v>300</v>
      </c>
      <c r="L411" s="85">
        <f t="shared" si="66"/>
        <v>1239</v>
      </c>
      <c r="M411" s="86"/>
      <c r="N411" s="85">
        <f>100</f>
        <v>100</v>
      </c>
      <c r="O411" s="87">
        <v>240</v>
      </c>
      <c r="P411" s="87">
        <v>160</v>
      </c>
      <c r="Q411" s="87">
        <f t="shared" si="67"/>
        <v>195</v>
      </c>
      <c r="R411" s="87">
        <f t="shared" si="68"/>
        <v>100</v>
      </c>
      <c r="S411" s="85">
        <f t="shared" si="69"/>
        <v>695</v>
      </c>
      <c r="T411" s="85">
        <f>50</f>
        <v>50</v>
      </c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</row>
    <row r="412" spans="1:30" ht="15.75" x14ac:dyDescent="0.25">
      <c r="A412" s="14">
        <v>53113</v>
      </c>
      <c r="B412" s="95">
        <v>31</v>
      </c>
      <c r="C412" s="85">
        <f>194.205</f>
        <v>194.20500000000001</v>
      </c>
      <c r="D412" s="85">
        <f>267.466</f>
        <v>267.46600000000001</v>
      </c>
      <c r="E412" s="92">
        <f>133.845</f>
        <v>133.845</v>
      </c>
      <c r="F412" s="85">
        <f>278.484-40-25-60</f>
        <v>153.48399999999998</v>
      </c>
      <c r="G412" s="87">
        <v>40</v>
      </c>
      <c r="H412" s="85">
        <f t="shared" si="70"/>
        <v>85</v>
      </c>
      <c r="I412" s="85">
        <f t="shared" si="63"/>
        <v>0</v>
      </c>
      <c r="J412" s="87">
        <v>100</v>
      </c>
      <c r="K412" s="87">
        <v>300</v>
      </c>
      <c r="L412" s="85">
        <f t="shared" si="66"/>
        <v>1274</v>
      </c>
      <c r="M412" s="86"/>
      <c r="N412" s="85">
        <f>75</f>
        <v>75</v>
      </c>
      <c r="O412" s="87">
        <v>240</v>
      </c>
      <c r="P412" s="87">
        <v>160</v>
      </c>
      <c r="Q412" s="87">
        <f t="shared" si="67"/>
        <v>195</v>
      </c>
      <c r="R412" s="87">
        <f t="shared" si="68"/>
        <v>100</v>
      </c>
      <c r="S412" s="85">
        <f t="shared" si="69"/>
        <v>695</v>
      </c>
      <c r="T412" s="85">
        <f>50</f>
        <v>50</v>
      </c>
      <c r="U412" s="83"/>
      <c r="V412" s="83"/>
      <c r="W412" s="83"/>
      <c r="X412" s="83"/>
      <c r="Y412" s="83"/>
      <c r="Z412" s="83"/>
      <c r="AA412" s="83"/>
      <c r="AB412" s="83"/>
      <c r="AC412" s="83"/>
      <c r="AD412" s="83"/>
    </row>
    <row r="413" spans="1:30" ht="15.75" x14ac:dyDescent="0.25">
      <c r="A413" s="14">
        <v>53143</v>
      </c>
      <c r="B413" s="95">
        <v>30</v>
      </c>
      <c r="C413" s="85">
        <f>194.205</f>
        <v>194.20500000000001</v>
      </c>
      <c r="D413" s="85">
        <f>267.466</f>
        <v>267.46600000000001</v>
      </c>
      <c r="E413" s="92">
        <f>133.845</f>
        <v>133.845</v>
      </c>
      <c r="F413" s="85">
        <f>278.484-40-25-60</f>
        <v>153.48399999999998</v>
      </c>
      <c r="G413" s="87">
        <v>40</v>
      </c>
      <c r="H413" s="85">
        <f t="shared" si="70"/>
        <v>85</v>
      </c>
      <c r="I413" s="85">
        <f t="shared" si="63"/>
        <v>0</v>
      </c>
      <c r="J413" s="87">
        <v>100</v>
      </c>
      <c r="K413" s="87">
        <v>300</v>
      </c>
      <c r="L413" s="85">
        <f t="shared" si="66"/>
        <v>1274</v>
      </c>
      <c r="M413" s="86"/>
      <c r="N413" s="85">
        <f>30</f>
        <v>30</v>
      </c>
      <c r="O413" s="87">
        <v>240</v>
      </c>
      <c r="P413" s="87">
        <v>160</v>
      </c>
      <c r="Q413" s="87">
        <f t="shared" si="67"/>
        <v>195</v>
      </c>
      <c r="R413" s="87">
        <f t="shared" si="68"/>
        <v>100</v>
      </c>
      <c r="S413" s="85">
        <f t="shared" si="69"/>
        <v>695</v>
      </c>
      <c r="T413" s="85">
        <f>50</f>
        <v>50</v>
      </c>
      <c r="U413" s="83"/>
      <c r="V413" s="83"/>
      <c r="W413" s="83"/>
      <c r="X413" s="83"/>
      <c r="Y413" s="83"/>
      <c r="Z413" s="83"/>
      <c r="AA413" s="83"/>
      <c r="AB413" s="83"/>
      <c r="AC413" s="83"/>
      <c r="AD413" s="83"/>
    </row>
    <row r="414" spans="1:30" ht="15.75" x14ac:dyDescent="0.25">
      <c r="A414" s="14">
        <v>53174</v>
      </c>
      <c r="B414" s="95">
        <v>31</v>
      </c>
      <c r="C414" s="85">
        <f>194.205</f>
        <v>194.20500000000001</v>
      </c>
      <c r="D414" s="85">
        <f>267.466</f>
        <v>267.46600000000001</v>
      </c>
      <c r="E414" s="92">
        <f>133.845</f>
        <v>133.845</v>
      </c>
      <c r="F414" s="85">
        <f>278.484-40-25-60</f>
        <v>153.48399999999998</v>
      </c>
      <c r="G414" s="87">
        <v>40</v>
      </c>
      <c r="H414" s="85">
        <f t="shared" si="70"/>
        <v>85</v>
      </c>
      <c r="I414" s="85">
        <f t="shared" si="63"/>
        <v>0</v>
      </c>
      <c r="J414" s="87">
        <v>100</v>
      </c>
      <c r="K414" s="87">
        <v>300</v>
      </c>
      <c r="L414" s="85">
        <f t="shared" si="66"/>
        <v>1274</v>
      </c>
      <c r="M414" s="86"/>
      <c r="N414" s="85">
        <f>30</f>
        <v>30</v>
      </c>
      <c r="O414" s="87">
        <v>240</v>
      </c>
      <c r="P414" s="87">
        <v>160</v>
      </c>
      <c r="Q414" s="87">
        <f t="shared" si="67"/>
        <v>195</v>
      </c>
      <c r="R414" s="87">
        <f t="shared" si="68"/>
        <v>100</v>
      </c>
      <c r="S414" s="85">
        <f t="shared" si="69"/>
        <v>695</v>
      </c>
      <c r="T414" s="85">
        <f>0</f>
        <v>0</v>
      </c>
      <c r="U414" s="83"/>
      <c r="V414" s="83"/>
      <c r="W414" s="83"/>
      <c r="X414" s="83"/>
      <c r="Y414" s="83"/>
      <c r="Z414" s="83"/>
      <c r="AA414" s="83"/>
      <c r="AB414" s="83"/>
      <c r="AC414" s="83"/>
      <c r="AD414" s="83"/>
    </row>
    <row r="415" spans="1:30" ht="15.75" x14ac:dyDescent="0.25">
      <c r="A415" s="14">
        <v>53205</v>
      </c>
      <c r="B415" s="95">
        <v>31</v>
      </c>
      <c r="C415" s="85">
        <f>194.205</f>
        <v>194.20500000000001</v>
      </c>
      <c r="D415" s="85">
        <f>267.466</f>
        <v>267.46600000000001</v>
      </c>
      <c r="E415" s="92">
        <f>133.845</f>
        <v>133.845</v>
      </c>
      <c r="F415" s="85">
        <f>278.484-40-25-60</f>
        <v>153.48399999999998</v>
      </c>
      <c r="G415" s="87">
        <v>40</v>
      </c>
      <c r="H415" s="85">
        <f t="shared" si="70"/>
        <v>85</v>
      </c>
      <c r="I415" s="85">
        <f t="shared" si="63"/>
        <v>0</v>
      </c>
      <c r="J415" s="87">
        <v>100</v>
      </c>
      <c r="K415" s="87">
        <v>300</v>
      </c>
      <c r="L415" s="85">
        <f t="shared" si="66"/>
        <v>1274</v>
      </c>
      <c r="M415" s="86"/>
      <c r="N415" s="85">
        <f>30</f>
        <v>30</v>
      </c>
      <c r="O415" s="87">
        <v>240</v>
      </c>
      <c r="P415" s="87">
        <v>160</v>
      </c>
      <c r="Q415" s="87">
        <f t="shared" si="67"/>
        <v>195</v>
      </c>
      <c r="R415" s="87">
        <f t="shared" si="68"/>
        <v>100</v>
      </c>
      <c r="S415" s="85">
        <f t="shared" si="69"/>
        <v>695</v>
      </c>
      <c r="T415" s="85">
        <f>0</f>
        <v>0</v>
      </c>
      <c r="U415" s="83"/>
      <c r="V415" s="83"/>
      <c r="W415" s="83"/>
      <c r="X415" s="83"/>
      <c r="Y415" s="83"/>
      <c r="Z415" s="83"/>
      <c r="AA415" s="83"/>
      <c r="AB415" s="83"/>
      <c r="AC415" s="83"/>
      <c r="AD415" s="83"/>
    </row>
    <row r="416" spans="1:30" ht="15.75" x14ac:dyDescent="0.25">
      <c r="A416" s="14">
        <v>53235</v>
      </c>
      <c r="B416" s="95">
        <v>30</v>
      </c>
      <c r="C416" s="85">
        <f>194.205</f>
        <v>194.20500000000001</v>
      </c>
      <c r="D416" s="85">
        <f>267.466</f>
        <v>267.46600000000001</v>
      </c>
      <c r="E416" s="92">
        <f>133.845</f>
        <v>133.845</v>
      </c>
      <c r="F416" s="85">
        <f>278.484-40-25-60</f>
        <v>153.48399999999998</v>
      </c>
      <c r="G416" s="87">
        <v>40</v>
      </c>
      <c r="H416" s="85">
        <f t="shared" si="70"/>
        <v>85</v>
      </c>
      <c r="I416" s="85">
        <f t="shared" si="63"/>
        <v>0</v>
      </c>
      <c r="J416" s="87">
        <v>100</v>
      </c>
      <c r="K416" s="87">
        <v>300</v>
      </c>
      <c r="L416" s="85">
        <f t="shared" si="66"/>
        <v>1274</v>
      </c>
      <c r="M416" s="86"/>
      <c r="N416" s="85">
        <f>30</f>
        <v>30</v>
      </c>
      <c r="O416" s="87">
        <v>240</v>
      </c>
      <c r="P416" s="87">
        <v>160</v>
      </c>
      <c r="Q416" s="87">
        <f t="shared" si="67"/>
        <v>195</v>
      </c>
      <c r="R416" s="87">
        <f t="shared" si="68"/>
        <v>100</v>
      </c>
      <c r="S416" s="85">
        <f t="shared" si="69"/>
        <v>695</v>
      </c>
      <c r="T416" s="85">
        <f>0</f>
        <v>0</v>
      </c>
      <c r="U416" s="83"/>
      <c r="V416" s="83"/>
      <c r="W416" s="83"/>
      <c r="X416" s="83"/>
      <c r="Y416" s="83"/>
      <c r="Z416" s="83"/>
      <c r="AA416" s="83"/>
      <c r="AB416" s="83"/>
      <c r="AC416" s="83"/>
      <c r="AD416" s="83"/>
    </row>
    <row r="417" spans="1:30" ht="15.75" x14ac:dyDescent="0.25">
      <c r="A417" s="14">
        <v>53266</v>
      </c>
      <c r="B417" s="95">
        <v>31</v>
      </c>
      <c r="C417" s="85">
        <f>131.881</f>
        <v>131.881</v>
      </c>
      <c r="D417" s="85">
        <f>277.167</f>
        <v>277.16699999999997</v>
      </c>
      <c r="E417" s="92">
        <f>79.08</f>
        <v>79.08</v>
      </c>
      <c r="F417" s="85">
        <f>350.872-40-25-60</f>
        <v>225.87200000000001</v>
      </c>
      <c r="G417" s="87">
        <v>40</v>
      </c>
      <c r="H417" s="85">
        <f t="shared" si="70"/>
        <v>85</v>
      </c>
      <c r="I417" s="85">
        <f t="shared" si="63"/>
        <v>0</v>
      </c>
      <c r="J417" s="87">
        <v>100</v>
      </c>
      <c r="K417" s="87">
        <v>300</v>
      </c>
      <c r="L417" s="85">
        <f t="shared" si="66"/>
        <v>1239</v>
      </c>
      <c r="M417" s="86"/>
      <c r="N417" s="85">
        <f>75</f>
        <v>75</v>
      </c>
      <c r="O417" s="87">
        <v>240</v>
      </c>
      <c r="P417" s="87">
        <v>160</v>
      </c>
      <c r="Q417" s="87">
        <f t="shared" si="67"/>
        <v>195</v>
      </c>
      <c r="R417" s="87">
        <f t="shared" si="68"/>
        <v>100</v>
      </c>
      <c r="S417" s="85">
        <f t="shared" si="69"/>
        <v>695</v>
      </c>
      <c r="T417" s="85">
        <f>0</f>
        <v>0</v>
      </c>
      <c r="U417" s="83"/>
      <c r="V417" s="83"/>
      <c r="W417" s="83"/>
      <c r="X417" s="83"/>
      <c r="Y417" s="83"/>
      <c r="Z417" s="83"/>
      <c r="AA417" s="83"/>
      <c r="AB417" s="83"/>
      <c r="AC417" s="83"/>
      <c r="AD417" s="83"/>
    </row>
    <row r="418" spans="1:30" ht="15.75" x14ac:dyDescent="0.25">
      <c r="A418" s="14">
        <v>53296</v>
      </c>
      <c r="B418" s="95">
        <v>30</v>
      </c>
      <c r="C418" s="85">
        <f>122.58</f>
        <v>122.58</v>
      </c>
      <c r="D418" s="85">
        <f>297.941</f>
        <v>297.94099999999997</v>
      </c>
      <c r="E418" s="92">
        <f>89.177</f>
        <v>89.177000000000007</v>
      </c>
      <c r="F418" s="85">
        <f>240.302-40-60</f>
        <v>140.30199999999999</v>
      </c>
      <c r="G418" s="87">
        <v>40</v>
      </c>
      <c r="H418" s="85">
        <v>60</v>
      </c>
      <c r="I418" s="85">
        <f t="shared" si="63"/>
        <v>0</v>
      </c>
      <c r="J418" s="87">
        <v>100</v>
      </c>
      <c r="K418" s="87">
        <v>300</v>
      </c>
      <c r="L418" s="85">
        <f t="shared" si="66"/>
        <v>1150</v>
      </c>
      <c r="M418" s="86"/>
      <c r="N418" s="85">
        <f>100</f>
        <v>100</v>
      </c>
      <c r="O418" s="87">
        <v>240</v>
      </c>
      <c r="P418" s="87">
        <v>40</v>
      </c>
      <c r="Q418" s="87">
        <f t="shared" si="67"/>
        <v>315</v>
      </c>
      <c r="R418" s="87">
        <f t="shared" si="68"/>
        <v>100</v>
      </c>
      <c r="S418" s="85">
        <f t="shared" si="69"/>
        <v>695</v>
      </c>
      <c r="T418" s="85">
        <f>50</f>
        <v>50</v>
      </c>
      <c r="U418" s="83"/>
      <c r="V418" s="83"/>
      <c r="W418" s="83"/>
      <c r="X418" s="83"/>
      <c r="Y418" s="83"/>
      <c r="Z418" s="83"/>
      <c r="AA418" s="83"/>
      <c r="AB418" s="83"/>
      <c r="AC418" s="83"/>
      <c r="AD418" s="83"/>
    </row>
    <row r="419" spans="1:30" ht="15.75" x14ac:dyDescent="0.25">
      <c r="A419" s="14">
        <v>53327</v>
      </c>
      <c r="B419" s="95">
        <v>31</v>
      </c>
      <c r="C419" s="85">
        <f>122.58</f>
        <v>122.58</v>
      </c>
      <c r="D419" s="85">
        <f>297.941</f>
        <v>297.94099999999997</v>
      </c>
      <c r="E419" s="92">
        <f>89.177</f>
        <v>89.177000000000007</v>
      </c>
      <c r="F419" s="85">
        <f>240.302-40-60</f>
        <v>140.30199999999999</v>
      </c>
      <c r="G419" s="87">
        <v>40</v>
      </c>
      <c r="H419" s="85">
        <v>60</v>
      </c>
      <c r="I419" s="85">
        <f t="shared" si="63"/>
        <v>0</v>
      </c>
      <c r="J419" s="87">
        <v>100</v>
      </c>
      <c r="K419" s="87">
        <v>300</v>
      </c>
      <c r="L419" s="85">
        <f t="shared" si="66"/>
        <v>1150</v>
      </c>
      <c r="M419" s="86"/>
      <c r="N419" s="85">
        <f>100</f>
        <v>100</v>
      </c>
      <c r="O419" s="87">
        <v>240</v>
      </c>
      <c r="P419" s="87">
        <v>40</v>
      </c>
      <c r="Q419" s="87">
        <f t="shared" si="67"/>
        <v>315</v>
      </c>
      <c r="R419" s="87">
        <f t="shared" si="68"/>
        <v>100</v>
      </c>
      <c r="S419" s="85">
        <f t="shared" si="69"/>
        <v>695</v>
      </c>
      <c r="T419" s="85">
        <f>50</f>
        <v>50</v>
      </c>
      <c r="U419" s="83"/>
      <c r="V419" s="83"/>
      <c r="W419" s="83"/>
      <c r="X419" s="83"/>
      <c r="Y419" s="83"/>
      <c r="Z419" s="83"/>
      <c r="AA419" s="83"/>
      <c r="AB419" s="83"/>
      <c r="AC419" s="83"/>
      <c r="AD419" s="83"/>
    </row>
    <row r="420" spans="1:30" ht="15.75" x14ac:dyDescent="0.25">
      <c r="A420" s="14">
        <v>53358</v>
      </c>
      <c r="B420" s="95">
        <v>31</v>
      </c>
      <c r="C420" s="85">
        <f>122.58</f>
        <v>122.58</v>
      </c>
      <c r="D420" s="85">
        <f>297.941</f>
        <v>297.94099999999997</v>
      </c>
      <c r="E420" s="92">
        <f>89.177</f>
        <v>89.177000000000007</v>
      </c>
      <c r="F420" s="85">
        <f>240.302-40-60</f>
        <v>140.30199999999999</v>
      </c>
      <c r="G420" s="87">
        <v>40</v>
      </c>
      <c r="H420" s="85">
        <v>60</v>
      </c>
      <c r="I420" s="85">
        <f t="shared" si="63"/>
        <v>0</v>
      </c>
      <c r="J420" s="87">
        <v>100</v>
      </c>
      <c r="K420" s="87">
        <v>300</v>
      </c>
      <c r="L420" s="85">
        <f t="shared" si="66"/>
        <v>1150</v>
      </c>
      <c r="M420" s="86"/>
      <c r="N420" s="85">
        <f>100</f>
        <v>100</v>
      </c>
      <c r="O420" s="87">
        <v>240</v>
      </c>
      <c r="P420" s="87">
        <v>40</v>
      </c>
      <c r="Q420" s="87">
        <f t="shared" si="67"/>
        <v>315</v>
      </c>
      <c r="R420" s="87">
        <f t="shared" si="68"/>
        <v>100</v>
      </c>
      <c r="S420" s="85">
        <f t="shared" si="69"/>
        <v>695</v>
      </c>
      <c r="T420" s="85">
        <f>50</f>
        <v>50</v>
      </c>
      <c r="U420" s="83"/>
      <c r="V420" s="83"/>
      <c r="W420" s="83"/>
      <c r="X420" s="83"/>
      <c r="Y420" s="83"/>
      <c r="Z420" s="83"/>
      <c r="AA420" s="83"/>
      <c r="AB420" s="83"/>
      <c r="AC420" s="83"/>
      <c r="AD420" s="83"/>
    </row>
    <row r="421" spans="1:30" ht="15.75" x14ac:dyDescent="0.25">
      <c r="A421" s="14">
        <v>53386</v>
      </c>
      <c r="B421" s="95">
        <v>28</v>
      </c>
      <c r="C421" s="85">
        <f>122.58</f>
        <v>122.58</v>
      </c>
      <c r="D421" s="85">
        <f>297.941</f>
        <v>297.94099999999997</v>
      </c>
      <c r="E421" s="92">
        <f>89.177</f>
        <v>89.177000000000007</v>
      </c>
      <c r="F421" s="85">
        <f>240.302-40-60</f>
        <v>140.30199999999999</v>
      </c>
      <c r="G421" s="87">
        <v>40</v>
      </c>
      <c r="H421" s="85">
        <v>60</v>
      </c>
      <c r="I421" s="85">
        <f t="shared" si="63"/>
        <v>0</v>
      </c>
      <c r="J421" s="87">
        <v>100</v>
      </c>
      <c r="K421" s="87">
        <v>300</v>
      </c>
      <c r="L421" s="85">
        <f t="shared" si="66"/>
        <v>1150</v>
      </c>
      <c r="M421" s="86"/>
      <c r="N421" s="85">
        <f>100</f>
        <v>100</v>
      </c>
      <c r="O421" s="87">
        <v>240</v>
      </c>
      <c r="P421" s="87">
        <v>40</v>
      </c>
      <c r="Q421" s="87">
        <f t="shared" si="67"/>
        <v>315</v>
      </c>
      <c r="R421" s="87">
        <f t="shared" si="68"/>
        <v>100</v>
      </c>
      <c r="S421" s="85">
        <f t="shared" si="69"/>
        <v>695</v>
      </c>
      <c r="T421" s="85">
        <f>50</f>
        <v>50</v>
      </c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</row>
    <row r="422" spans="1:30" ht="15.75" x14ac:dyDescent="0.25">
      <c r="A422" s="14">
        <v>53417</v>
      </c>
      <c r="B422" s="95">
        <v>31</v>
      </c>
      <c r="C422" s="85">
        <f>122.58</f>
        <v>122.58</v>
      </c>
      <c r="D422" s="85">
        <f>297.941</f>
        <v>297.94099999999997</v>
      </c>
      <c r="E422" s="92">
        <f>89.177</f>
        <v>89.177000000000007</v>
      </c>
      <c r="F422" s="85">
        <f>240.302-40-60</f>
        <v>140.30199999999999</v>
      </c>
      <c r="G422" s="87">
        <v>40</v>
      </c>
      <c r="H422" s="85">
        <v>60</v>
      </c>
      <c r="I422" s="85">
        <f t="shared" si="63"/>
        <v>0</v>
      </c>
      <c r="J422" s="87">
        <v>100</v>
      </c>
      <c r="K422" s="87">
        <v>300</v>
      </c>
      <c r="L422" s="85">
        <f t="shared" si="66"/>
        <v>1150</v>
      </c>
      <c r="M422" s="86"/>
      <c r="N422" s="85">
        <f>100</f>
        <v>100</v>
      </c>
      <c r="O422" s="87">
        <v>240</v>
      </c>
      <c r="P422" s="87">
        <v>40</v>
      </c>
      <c r="Q422" s="87">
        <f t="shared" si="67"/>
        <v>315</v>
      </c>
      <c r="R422" s="87">
        <f t="shared" si="68"/>
        <v>100</v>
      </c>
      <c r="S422" s="85">
        <f t="shared" si="69"/>
        <v>695</v>
      </c>
      <c r="T422" s="85">
        <f>50</f>
        <v>50</v>
      </c>
      <c r="U422" s="83"/>
      <c r="V422" s="83"/>
      <c r="W422" s="83"/>
      <c r="X422" s="83"/>
      <c r="Y422" s="83"/>
      <c r="Z422" s="83"/>
      <c r="AA422" s="83"/>
      <c r="AB422" s="83"/>
      <c r="AC422" s="83"/>
      <c r="AD422" s="83"/>
    </row>
    <row r="423" spans="1:30" ht="15.75" x14ac:dyDescent="0.25">
      <c r="A423" s="14">
        <v>53447</v>
      </c>
      <c r="B423" s="95">
        <v>30</v>
      </c>
      <c r="C423" s="85">
        <f>141.293</f>
        <v>141.29300000000001</v>
      </c>
      <c r="D423" s="85">
        <f>267.993</f>
        <v>267.99299999999999</v>
      </c>
      <c r="E423" s="92">
        <f>115.016</f>
        <v>115.01600000000001</v>
      </c>
      <c r="F423" s="85">
        <f>314.698-40-25-60</f>
        <v>189.69799999999998</v>
      </c>
      <c r="G423" s="87">
        <v>40</v>
      </c>
      <c r="H423" s="85">
        <f t="shared" ref="H423:H429" si="71">25+60</f>
        <v>85</v>
      </c>
      <c r="I423" s="85">
        <f t="shared" si="63"/>
        <v>0</v>
      </c>
      <c r="J423" s="87">
        <v>100</v>
      </c>
      <c r="K423" s="87">
        <v>300</v>
      </c>
      <c r="L423" s="85">
        <f t="shared" si="66"/>
        <v>1239</v>
      </c>
      <c r="M423" s="86"/>
      <c r="N423" s="85">
        <f>100</f>
        <v>100</v>
      </c>
      <c r="O423" s="87">
        <v>240</v>
      </c>
      <c r="P423" s="87">
        <v>160</v>
      </c>
      <c r="Q423" s="87">
        <f t="shared" si="67"/>
        <v>195</v>
      </c>
      <c r="R423" s="87">
        <f t="shared" si="68"/>
        <v>100</v>
      </c>
      <c r="S423" s="85">
        <f t="shared" si="69"/>
        <v>695</v>
      </c>
      <c r="T423" s="85">
        <f>50</f>
        <v>50</v>
      </c>
      <c r="U423" s="83"/>
      <c r="V423" s="83"/>
      <c r="W423" s="83"/>
      <c r="X423" s="83"/>
      <c r="Y423" s="83"/>
      <c r="Z423" s="83"/>
      <c r="AA423" s="83"/>
      <c r="AB423" s="83"/>
      <c r="AC423" s="83"/>
      <c r="AD423" s="83"/>
    </row>
    <row r="424" spans="1:30" ht="15.75" x14ac:dyDescent="0.25">
      <c r="A424" s="14">
        <v>53478</v>
      </c>
      <c r="B424" s="95">
        <v>31</v>
      </c>
      <c r="C424" s="85">
        <f>194.205</f>
        <v>194.20500000000001</v>
      </c>
      <c r="D424" s="85">
        <f>267.466</f>
        <v>267.46600000000001</v>
      </c>
      <c r="E424" s="92">
        <f>133.845</f>
        <v>133.845</v>
      </c>
      <c r="F424" s="85">
        <f>278.484-40-25-60</f>
        <v>153.48399999999998</v>
      </c>
      <c r="G424" s="87">
        <v>40</v>
      </c>
      <c r="H424" s="85">
        <f t="shared" si="71"/>
        <v>85</v>
      </c>
      <c r="I424" s="85">
        <f t="shared" si="63"/>
        <v>0</v>
      </c>
      <c r="J424" s="87">
        <v>100</v>
      </c>
      <c r="K424" s="87">
        <v>300</v>
      </c>
      <c r="L424" s="85">
        <f t="shared" si="66"/>
        <v>1274</v>
      </c>
      <c r="M424" s="86"/>
      <c r="N424" s="85">
        <f>75</f>
        <v>75</v>
      </c>
      <c r="O424" s="87">
        <v>240</v>
      </c>
      <c r="P424" s="87">
        <v>160</v>
      </c>
      <c r="Q424" s="87">
        <f t="shared" si="67"/>
        <v>195</v>
      </c>
      <c r="R424" s="87">
        <f t="shared" si="68"/>
        <v>100</v>
      </c>
      <c r="S424" s="85">
        <f t="shared" si="69"/>
        <v>695</v>
      </c>
      <c r="T424" s="85">
        <f>50</f>
        <v>50</v>
      </c>
      <c r="U424" s="83"/>
      <c r="V424" s="83"/>
      <c r="W424" s="83"/>
      <c r="X424" s="83"/>
      <c r="Y424" s="83"/>
      <c r="Z424" s="83"/>
      <c r="AA424" s="83"/>
      <c r="AB424" s="83"/>
      <c r="AC424" s="83"/>
      <c r="AD424" s="83"/>
    </row>
    <row r="425" spans="1:30" ht="15.75" x14ac:dyDescent="0.25">
      <c r="A425" s="14">
        <v>53508</v>
      </c>
      <c r="B425" s="95">
        <v>30</v>
      </c>
      <c r="C425" s="85">
        <f>194.205</f>
        <v>194.20500000000001</v>
      </c>
      <c r="D425" s="85">
        <f>267.466</f>
        <v>267.46600000000001</v>
      </c>
      <c r="E425" s="92">
        <f>133.845</f>
        <v>133.845</v>
      </c>
      <c r="F425" s="85">
        <f>278.484-40-25-60</f>
        <v>153.48399999999998</v>
      </c>
      <c r="G425" s="87">
        <v>40</v>
      </c>
      <c r="H425" s="85">
        <f t="shared" si="71"/>
        <v>85</v>
      </c>
      <c r="I425" s="85">
        <f t="shared" si="63"/>
        <v>0</v>
      </c>
      <c r="J425" s="87">
        <v>100</v>
      </c>
      <c r="K425" s="87">
        <v>300</v>
      </c>
      <c r="L425" s="85">
        <f t="shared" si="66"/>
        <v>1274</v>
      </c>
      <c r="M425" s="86"/>
      <c r="N425" s="85">
        <f>30</f>
        <v>30</v>
      </c>
      <c r="O425" s="87">
        <v>240</v>
      </c>
      <c r="P425" s="87">
        <v>160</v>
      </c>
      <c r="Q425" s="87">
        <f t="shared" si="67"/>
        <v>195</v>
      </c>
      <c r="R425" s="87">
        <f t="shared" si="68"/>
        <v>100</v>
      </c>
      <c r="S425" s="85">
        <f t="shared" si="69"/>
        <v>695</v>
      </c>
      <c r="T425" s="85">
        <f>50</f>
        <v>50</v>
      </c>
      <c r="U425" s="83"/>
      <c r="V425" s="83"/>
      <c r="W425" s="83"/>
      <c r="X425" s="83"/>
      <c r="Y425" s="83"/>
      <c r="Z425" s="83"/>
      <c r="AA425" s="83"/>
      <c r="AB425" s="83"/>
      <c r="AC425" s="83"/>
      <c r="AD425" s="83"/>
    </row>
    <row r="426" spans="1:30" ht="15.75" x14ac:dyDescent="0.25">
      <c r="A426" s="14">
        <v>53539</v>
      </c>
      <c r="B426" s="95">
        <v>31</v>
      </c>
      <c r="C426" s="85">
        <f>194.205</f>
        <v>194.20500000000001</v>
      </c>
      <c r="D426" s="85">
        <f>267.466</f>
        <v>267.46600000000001</v>
      </c>
      <c r="E426" s="92">
        <f>133.845</f>
        <v>133.845</v>
      </c>
      <c r="F426" s="85">
        <f>278.484-40-25-60</f>
        <v>153.48399999999998</v>
      </c>
      <c r="G426" s="87">
        <v>40</v>
      </c>
      <c r="H426" s="85">
        <f t="shared" si="71"/>
        <v>85</v>
      </c>
      <c r="I426" s="85">
        <f t="shared" si="63"/>
        <v>0</v>
      </c>
      <c r="J426" s="87">
        <v>100</v>
      </c>
      <c r="K426" s="87">
        <v>300</v>
      </c>
      <c r="L426" s="85">
        <f t="shared" si="66"/>
        <v>1274</v>
      </c>
      <c r="M426" s="86"/>
      <c r="N426" s="85">
        <f>30</f>
        <v>30</v>
      </c>
      <c r="O426" s="87">
        <v>240</v>
      </c>
      <c r="P426" s="87">
        <v>160</v>
      </c>
      <c r="Q426" s="87">
        <f t="shared" si="67"/>
        <v>195</v>
      </c>
      <c r="R426" s="87">
        <f t="shared" si="68"/>
        <v>100</v>
      </c>
      <c r="S426" s="85">
        <f t="shared" si="69"/>
        <v>695</v>
      </c>
      <c r="T426" s="85">
        <f>0</f>
        <v>0</v>
      </c>
      <c r="U426" s="83"/>
      <c r="V426" s="83"/>
      <c r="W426" s="83"/>
      <c r="X426" s="83"/>
      <c r="Y426" s="83"/>
      <c r="Z426" s="83"/>
      <c r="AA426" s="83"/>
      <c r="AB426" s="83"/>
      <c r="AC426" s="83"/>
      <c r="AD426" s="83"/>
    </row>
    <row r="427" spans="1:30" ht="15.75" x14ac:dyDescent="0.25">
      <c r="A427" s="14">
        <v>53570</v>
      </c>
      <c r="B427" s="95">
        <v>31</v>
      </c>
      <c r="C427" s="85">
        <f>194.205</f>
        <v>194.20500000000001</v>
      </c>
      <c r="D427" s="85">
        <f>267.466</f>
        <v>267.46600000000001</v>
      </c>
      <c r="E427" s="92">
        <f>133.845</f>
        <v>133.845</v>
      </c>
      <c r="F427" s="85">
        <f>278.484-40-25-60</f>
        <v>153.48399999999998</v>
      </c>
      <c r="G427" s="87">
        <v>40</v>
      </c>
      <c r="H427" s="85">
        <f t="shared" si="71"/>
        <v>85</v>
      </c>
      <c r="I427" s="85">
        <f t="shared" si="63"/>
        <v>0</v>
      </c>
      <c r="J427" s="87">
        <v>100</v>
      </c>
      <c r="K427" s="87">
        <v>300</v>
      </c>
      <c r="L427" s="85">
        <f t="shared" si="66"/>
        <v>1274</v>
      </c>
      <c r="M427" s="86"/>
      <c r="N427" s="85">
        <f>30</f>
        <v>30</v>
      </c>
      <c r="O427" s="87">
        <v>240</v>
      </c>
      <c r="P427" s="87">
        <v>160</v>
      </c>
      <c r="Q427" s="87">
        <f t="shared" si="67"/>
        <v>195</v>
      </c>
      <c r="R427" s="87">
        <f t="shared" si="68"/>
        <v>100</v>
      </c>
      <c r="S427" s="85">
        <f t="shared" si="69"/>
        <v>695</v>
      </c>
      <c r="T427" s="85">
        <f>0</f>
        <v>0</v>
      </c>
      <c r="U427" s="83"/>
      <c r="V427" s="83"/>
      <c r="W427" s="83"/>
      <c r="X427" s="83"/>
      <c r="Y427" s="83"/>
      <c r="Z427" s="83"/>
      <c r="AA427" s="83"/>
      <c r="AB427" s="83"/>
      <c r="AC427" s="83"/>
      <c r="AD427" s="83"/>
    </row>
    <row r="428" spans="1:30" ht="15.75" x14ac:dyDescent="0.25">
      <c r="A428" s="14">
        <v>53600</v>
      </c>
      <c r="B428" s="95">
        <v>30</v>
      </c>
      <c r="C428" s="85">
        <f>194.205</f>
        <v>194.20500000000001</v>
      </c>
      <c r="D428" s="85">
        <f>267.466</f>
        <v>267.46600000000001</v>
      </c>
      <c r="E428" s="92">
        <f>133.845</f>
        <v>133.845</v>
      </c>
      <c r="F428" s="85">
        <f>278.484-40-25-60</f>
        <v>153.48399999999998</v>
      </c>
      <c r="G428" s="87">
        <v>40</v>
      </c>
      <c r="H428" s="85">
        <f t="shared" si="71"/>
        <v>85</v>
      </c>
      <c r="I428" s="85">
        <f t="shared" si="63"/>
        <v>0</v>
      </c>
      <c r="J428" s="87">
        <v>100</v>
      </c>
      <c r="K428" s="87">
        <v>300</v>
      </c>
      <c r="L428" s="85">
        <f t="shared" si="66"/>
        <v>1274</v>
      </c>
      <c r="M428" s="86"/>
      <c r="N428" s="85">
        <f>30</f>
        <v>30</v>
      </c>
      <c r="O428" s="87">
        <v>240</v>
      </c>
      <c r="P428" s="87">
        <v>160</v>
      </c>
      <c r="Q428" s="87">
        <f t="shared" si="67"/>
        <v>195</v>
      </c>
      <c r="R428" s="87">
        <f t="shared" si="68"/>
        <v>100</v>
      </c>
      <c r="S428" s="85">
        <f t="shared" si="69"/>
        <v>695</v>
      </c>
      <c r="T428" s="85">
        <f>0</f>
        <v>0</v>
      </c>
      <c r="U428" s="83"/>
      <c r="V428" s="83"/>
      <c r="W428" s="83"/>
      <c r="X428" s="83"/>
      <c r="Y428" s="83"/>
      <c r="Z428" s="83"/>
      <c r="AA428" s="83"/>
      <c r="AB428" s="83"/>
      <c r="AC428" s="83"/>
      <c r="AD428" s="83"/>
    </row>
    <row r="429" spans="1:30" ht="15.75" x14ac:dyDescent="0.25">
      <c r="A429" s="14">
        <v>53631</v>
      </c>
      <c r="B429" s="95">
        <v>31</v>
      </c>
      <c r="C429" s="85">
        <f>131.881</f>
        <v>131.881</v>
      </c>
      <c r="D429" s="85">
        <f>277.167</f>
        <v>277.16699999999997</v>
      </c>
      <c r="E429" s="92">
        <f>79.08</f>
        <v>79.08</v>
      </c>
      <c r="F429" s="85">
        <f>350.872-40-25-60</f>
        <v>225.87200000000001</v>
      </c>
      <c r="G429" s="87">
        <v>40</v>
      </c>
      <c r="H429" s="85">
        <f t="shared" si="71"/>
        <v>85</v>
      </c>
      <c r="I429" s="85">
        <f t="shared" si="63"/>
        <v>0</v>
      </c>
      <c r="J429" s="87">
        <v>100</v>
      </c>
      <c r="K429" s="87">
        <v>300</v>
      </c>
      <c r="L429" s="85">
        <f t="shared" si="66"/>
        <v>1239</v>
      </c>
      <c r="M429" s="86"/>
      <c r="N429" s="85">
        <f>75</f>
        <v>75</v>
      </c>
      <c r="O429" s="87">
        <v>240</v>
      </c>
      <c r="P429" s="87">
        <v>160</v>
      </c>
      <c r="Q429" s="87">
        <f t="shared" si="67"/>
        <v>195</v>
      </c>
      <c r="R429" s="87">
        <f t="shared" si="68"/>
        <v>100</v>
      </c>
      <c r="S429" s="85">
        <f t="shared" si="69"/>
        <v>695</v>
      </c>
      <c r="T429" s="85">
        <f>0</f>
        <v>0</v>
      </c>
      <c r="U429" s="83"/>
      <c r="V429" s="83"/>
      <c r="W429" s="83"/>
      <c r="X429" s="83"/>
      <c r="Y429" s="83"/>
      <c r="Z429" s="83"/>
      <c r="AA429" s="83"/>
      <c r="AB429" s="83"/>
      <c r="AC429" s="83"/>
      <c r="AD429" s="83"/>
    </row>
    <row r="430" spans="1:30" ht="15.75" x14ac:dyDescent="0.25">
      <c r="A430" s="14">
        <v>53661</v>
      </c>
      <c r="B430" s="95">
        <v>30</v>
      </c>
      <c r="C430" s="85">
        <f>122.58</f>
        <v>122.58</v>
      </c>
      <c r="D430" s="85">
        <f>297.941</f>
        <v>297.94099999999997</v>
      </c>
      <c r="E430" s="92">
        <f>89.177</f>
        <v>89.177000000000007</v>
      </c>
      <c r="F430" s="85">
        <f>240.302-40-60</f>
        <v>140.30199999999999</v>
      </c>
      <c r="G430" s="87">
        <v>40</v>
      </c>
      <c r="H430" s="85">
        <v>60</v>
      </c>
      <c r="I430" s="85">
        <f t="shared" si="63"/>
        <v>0</v>
      </c>
      <c r="J430" s="87">
        <v>100</v>
      </c>
      <c r="K430" s="87">
        <v>300</v>
      </c>
      <c r="L430" s="85">
        <f t="shared" si="66"/>
        <v>1150</v>
      </c>
      <c r="M430" s="86"/>
      <c r="N430" s="85">
        <f>100</f>
        <v>100</v>
      </c>
      <c r="O430" s="87">
        <v>240</v>
      </c>
      <c r="P430" s="87">
        <v>40</v>
      </c>
      <c r="Q430" s="87">
        <f t="shared" si="67"/>
        <v>315</v>
      </c>
      <c r="R430" s="87">
        <f t="shared" si="68"/>
        <v>100</v>
      </c>
      <c r="S430" s="85">
        <f t="shared" si="69"/>
        <v>695</v>
      </c>
      <c r="T430" s="85">
        <f>50</f>
        <v>50</v>
      </c>
      <c r="U430" s="83"/>
      <c r="V430" s="83"/>
      <c r="W430" s="83"/>
      <c r="X430" s="83"/>
      <c r="Y430" s="83"/>
      <c r="Z430" s="83"/>
      <c r="AA430" s="83"/>
      <c r="AB430" s="83"/>
      <c r="AC430" s="83"/>
      <c r="AD430" s="83"/>
    </row>
    <row r="431" spans="1:30" ht="15.75" x14ac:dyDescent="0.25">
      <c r="A431" s="14">
        <v>53692</v>
      </c>
      <c r="B431" s="95">
        <v>31</v>
      </c>
      <c r="C431" s="85">
        <f>122.58</f>
        <v>122.58</v>
      </c>
      <c r="D431" s="85">
        <f>297.941</f>
        <v>297.94099999999997</v>
      </c>
      <c r="E431" s="92">
        <f>89.177</f>
        <v>89.177000000000007</v>
      </c>
      <c r="F431" s="85">
        <f>240.302-40-60</f>
        <v>140.30199999999999</v>
      </c>
      <c r="G431" s="87">
        <v>40</v>
      </c>
      <c r="H431" s="85">
        <v>60</v>
      </c>
      <c r="I431" s="85">
        <f t="shared" si="63"/>
        <v>0</v>
      </c>
      <c r="J431" s="87">
        <v>100</v>
      </c>
      <c r="K431" s="87">
        <v>300</v>
      </c>
      <c r="L431" s="85">
        <f t="shared" si="66"/>
        <v>1150</v>
      </c>
      <c r="M431" s="86"/>
      <c r="N431" s="85">
        <f>100</f>
        <v>100</v>
      </c>
      <c r="O431" s="87">
        <v>240</v>
      </c>
      <c r="P431" s="87">
        <v>40</v>
      </c>
      <c r="Q431" s="87">
        <f t="shared" si="67"/>
        <v>315</v>
      </c>
      <c r="R431" s="87">
        <f t="shared" si="68"/>
        <v>100</v>
      </c>
      <c r="S431" s="85">
        <f t="shared" si="69"/>
        <v>695</v>
      </c>
      <c r="T431" s="85">
        <f>50</f>
        <v>50</v>
      </c>
      <c r="U431" s="83"/>
      <c r="V431" s="83"/>
      <c r="W431" s="83"/>
      <c r="X431" s="83"/>
      <c r="Y431" s="83"/>
      <c r="Z431" s="83"/>
      <c r="AA431" s="83"/>
      <c r="AB431" s="83"/>
      <c r="AC431" s="83"/>
      <c r="AD431" s="83"/>
    </row>
    <row r="432" spans="1:30" ht="15.75" x14ac:dyDescent="0.25">
      <c r="A432" s="14">
        <v>53723</v>
      </c>
      <c r="B432" s="95">
        <v>31</v>
      </c>
      <c r="C432" s="85">
        <f>122.58</f>
        <v>122.58</v>
      </c>
      <c r="D432" s="85">
        <f>297.941</f>
        <v>297.94099999999997</v>
      </c>
      <c r="E432" s="92">
        <f>89.177</f>
        <v>89.177000000000007</v>
      </c>
      <c r="F432" s="85">
        <f>240.302-40-60</f>
        <v>140.30199999999999</v>
      </c>
      <c r="G432" s="87">
        <v>40</v>
      </c>
      <c r="H432" s="85">
        <v>60</v>
      </c>
      <c r="I432" s="85">
        <f t="shared" si="63"/>
        <v>0</v>
      </c>
      <c r="J432" s="87">
        <v>100</v>
      </c>
      <c r="K432" s="87">
        <v>300</v>
      </c>
      <c r="L432" s="85">
        <f t="shared" si="66"/>
        <v>1150</v>
      </c>
      <c r="M432" s="86"/>
      <c r="N432" s="85">
        <f>100</f>
        <v>100</v>
      </c>
      <c r="O432" s="87">
        <v>240</v>
      </c>
      <c r="P432" s="87">
        <v>40</v>
      </c>
      <c r="Q432" s="87">
        <f t="shared" si="67"/>
        <v>315</v>
      </c>
      <c r="R432" s="87">
        <f t="shared" si="68"/>
        <v>100</v>
      </c>
      <c r="S432" s="85">
        <f t="shared" si="69"/>
        <v>695</v>
      </c>
      <c r="T432" s="85">
        <f>50</f>
        <v>50</v>
      </c>
      <c r="U432" s="83"/>
      <c r="V432" s="83"/>
      <c r="W432" s="83"/>
      <c r="X432" s="83"/>
      <c r="Y432" s="83"/>
      <c r="Z432" s="83"/>
      <c r="AA432" s="83"/>
      <c r="AB432" s="83"/>
      <c r="AC432" s="83"/>
      <c r="AD432" s="83"/>
    </row>
    <row r="433" spans="1:30" ht="15.75" x14ac:dyDescent="0.25">
      <c r="A433" s="14">
        <v>53751</v>
      </c>
      <c r="B433" s="95">
        <v>28</v>
      </c>
      <c r="C433" s="85">
        <f>122.58</f>
        <v>122.58</v>
      </c>
      <c r="D433" s="85">
        <f>297.941</f>
        <v>297.94099999999997</v>
      </c>
      <c r="E433" s="92">
        <f>89.177</f>
        <v>89.177000000000007</v>
      </c>
      <c r="F433" s="85">
        <f>240.302-40-60</f>
        <v>140.30199999999999</v>
      </c>
      <c r="G433" s="87">
        <v>40</v>
      </c>
      <c r="H433" s="85">
        <v>60</v>
      </c>
      <c r="I433" s="85">
        <f t="shared" si="63"/>
        <v>0</v>
      </c>
      <c r="J433" s="87">
        <v>100</v>
      </c>
      <c r="K433" s="87">
        <v>300</v>
      </c>
      <c r="L433" s="85">
        <f t="shared" si="66"/>
        <v>1150</v>
      </c>
      <c r="M433" s="86"/>
      <c r="N433" s="85">
        <f>100</f>
        <v>100</v>
      </c>
      <c r="O433" s="87">
        <v>240</v>
      </c>
      <c r="P433" s="87">
        <v>40</v>
      </c>
      <c r="Q433" s="87">
        <f t="shared" si="67"/>
        <v>315</v>
      </c>
      <c r="R433" s="87">
        <f t="shared" si="68"/>
        <v>100</v>
      </c>
      <c r="S433" s="85">
        <f t="shared" si="69"/>
        <v>695</v>
      </c>
      <c r="T433" s="85">
        <f>50</f>
        <v>50</v>
      </c>
      <c r="U433" s="83"/>
      <c r="V433" s="83"/>
      <c r="W433" s="83"/>
      <c r="X433" s="83"/>
      <c r="Y433" s="83"/>
      <c r="Z433" s="83"/>
      <c r="AA433" s="83"/>
      <c r="AB433" s="83"/>
      <c r="AC433" s="83"/>
      <c r="AD433" s="83"/>
    </row>
    <row r="434" spans="1:30" ht="15.75" x14ac:dyDescent="0.25">
      <c r="A434" s="14">
        <v>53782</v>
      </c>
      <c r="B434" s="95">
        <v>31</v>
      </c>
      <c r="C434" s="85">
        <f>122.58</f>
        <v>122.58</v>
      </c>
      <c r="D434" s="85">
        <f>297.941</f>
        <v>297.94099999999997</v>
      </c>
      <c r="E434" s="92">
        <f>89.177</f>
        <v>89.177000000000007</v>
      </c>
      <c r="F434" s="85">
        <f>240.302-40-60</f>
        <v>140.30199999999999</v>
      </c>
      <c r="G434" s="87">
        <v>40</v>
      </c>
      <c r="H434" s="85">
        <v>60</v>
      </c>
      <c r="I434" s="85">
        <f t="shared" si="63"/>
        <v>0</v>
      </c>
      <c r="J434" s="87">
        <v>100</v>
      </c>
      <c r="K434" s="87">
        <v>300</v>
      </c>
      <c r="L434" s="85">
        <f t="shared" si="66"/>
        <v>1150</v>
      </c>
      <c r="M434" s="86"/>
      <c r="N434" s="85">
        <f>100</f>
        <v>100</v>
      </c>
      <c r="O434" s="87">
        <v>240</v>
      </c>
      <c r="P434" s="87">
        <v>40</v>
      </c>
      <c r="Q434" s="87">
        <f t="shared" si="67"/>
        <v>315</v>
      </c>
      <c r="R434" s="87">
        <f t="shared" si="68"/>
        <v>100</v>
      </c>
      <c r="S434" s="85">
        <f t="shared" si="69"/>
        <v>695</v>
      </c>
      <c r="T434" s="85">
        <f>50</f>
        <v>50</v>
      </c>
      <c r="U434" s="83"/>
      <c r="V434" s="83"/>
      <c r="W434" s="83"/>
      <c r="X434" s="83"/>
      <c r="Y434" s="83"/>
      <c r="Z434" s="83"/>
      <c r="AA434" s="83"/>
      <c r="AB434" s="83"/>
      <c r="AC434" s="83"/>
      <c r="AD434" s="83"/>
    </row>
    <row r="435" spans="1:30" ht="15.75" x14ac:dyDescent="0.25">
      <c r="A435" s="14">
        <v>53812</v>
      </c>
      <c r="B435" s="95">
        <v>30</v>
      </c>
      <c r="C435" s="85">
        <f>141.293</f>
        <v>141.29300000000001</v>
      </c>
      <c r="D435" s="85">
        <f>267.993</f>
        <v>267.99299999999999</v>
      </c>
      <c r="E435" s="92">
        <f>115.016</f>
        <v>115.01600000000001</v>
      </c>
      <c r="F435" s="85">
        <f>314.698-40-25-60</f>
        <v>189.69799999999998</v>
      </c>
      <c r="G435" s="87">
        <v>40</v>
      </c>
      <c r="H435" s="85">
        <f t="shared" ref="H435:H441" si="72">25+60</f>
        <v>85</v>
      </c>
      <c r="I435" s="85">
        <f t="shared" si="63"/>
        <v>0</v>
      </c>
      <c r="J435" s="87">
        <v>100</v>
      </c>
      <c r="K435" s="87">
        <v>300</v>
      </c>
      <c r="L435" s="85">
        <f t="shared" si="66"/>
        <v>1239</v>
      </c>
      <c r="M435" s="86"/>
      <c r="N435" s="85">
        <f>100</f>
        <v>100</v>
      </c>
      <c r="O435" s="87">
        <v>240</v>
      </c>
      <c r="P435" s="87">
        <v>160</v>
      </c>
      <c r="Q435" s="87">
        <f t="shared" si="67"/>
        <v>195</v>
      </c>
      <c r="R435" s="87">
        <f t="shared" si="68"/>
        <v>100</v>
      </c>
      <c r="S435" s="85">
        <f t="shared" si="69"/>
        <v>695</v>
      </c>
      <c r="T435" s="85">
        <f>50</f>
        <v>50</v>
      </c>
      <c r="U435" s="83"/>
      <c r="V435" s="83"/>
      <c r="W435" s="83"/>
      <c r="X435" s="83"/>
      <c r="Y435" s="83"/>
      <c r="Z435" s="83"/>
      <c r="AA435" s="83"/>
      <c r="AB435" s="83"/>
      <c r="AC435" s="83"/>
      <c r="AD435" s="83"/>
    </row>
    <row r="436" spans="1:30" ht="15.75" x14ac:dyDescent="0.25">
      <c r="A436" s="14">
        <v>53843</v>
      </c>
      <c r="B436" s="95">
        <v>31</v>
      </c>
      <c r="C436" s="85">
        <f>194.205</f>
        <v>194.20500000000001</v>
      </c>
      <c r="D436" s="85">
        <f>267.466</f>
        <v>267.46600000000001</v>
      </c>
      <c r="E436" s="92">
        <f>133.845</f>
        <v>133.845</v>
      </c>
      <c r="F436" s="85">
        <f>278.484-40-25-60</f>
        <v>153.48399999999998</v>
      </c>
      <c r="G436" s="87">
        <v>40</v>
      </c>
      <c r="H436" s="85">
        <f t="shared" si="72"/>
        <v>85</v>
      </c>
      <c r="I436" s="85">
        <f t="shared" si="63"/>
        <v>0</v>
      </c>
      <c r="J436" s="87">
        <v>100</v>
      </c>
      <c r="K436" s="87">
        <v>300</v>
      </c>
      <c r="L436" s="85">
        <f t="shared" si="66"/>
        <v>1274</v>
      </c>
      <c r="M436" s="86"/>
      <c r="N436" s="85">
        <f>75</f>
        <v>75</v>
      </c>
      <c r="O436" s="87">
        <v>240</v>
      </c>
      <c r="P436" s="87">
        <v>160</v>
      </c>
      <c r="Q436" s="87">
        <f t="shared" si="67"/>
        <v>195</v>
      </c>
      <c r="R436" s="87">
        <f t="shared" si="68"/>
        <v>100</v>
      </c>
      <c r="S436" s="85">
        <f t="shared" si="69"/>
        <v>695</v>
      </c>
      <c r="T436" s="85">
        <f>50</f>
        <v>50</v>
      </c>
      <c r="U436" s="83"/>
      <c r="V436" s="83"/>
      <c r="W436" s="83"/>
      <c r="X436" s="83"/>
      <c r="Y436" s="83"/>
      <c r="Z436" s="83"/>
      <c r="AA436" s="83"/>
      <c r="AB436" s="83"/>
      <c r="AC436" s="83"/>
      <c r="AD436" s="83"/>
    </row>
    <row r="437" spans="1:30" ht="15.75" x14ac:dyDescent="0.25">
      <c r="A437" s="14">
        <v>53873</v>
      </c>
      <c r="B437" s="95">
        <v>30</v>
      </c>
      <c r="C437" s="85">
        <f>194.205</f>
        <v>194.20500000000001</v>
      </c>
      <c r="D437" s="85">
        <f>267.466</f>
        <v>267.46600000000001</v>
      </c>
      <c r="E437" s="92">
        <f>133.845</f>
        <v>133.845</v>
      </c>
      <c r="F437" s="85">
        <f>278.484-40-25-60</f>
        <v>153.48399999999998</v>
      </c>
      <c r="G437" s="87">
        <v>40</v>
      </c>
      <c r="H437" s="85">
        <f t="shared" si="72"/>
        <v>85</v>
      </c>
      <c r="I437" s="85">
        <f t="shared" si="63"/>
        <v>0</v>
      </c>
      <c r="J437" s="87">
        <v>100</v>
      </c>
      <c r="K437" s="87">
        <v>300</v>
      </c>
      <c r="L437" s="85">
        <f t="shared" si="66"/>
        <v>1274</v>
      </c>
      <c r="M437" s="86"/>
      <c r="N437" s="85">
        <f>30</f>
        <v>30</v>
      </c>
      <c r="O437" s="87">
        <v>240</v>
      </c>
      <c r="P437" s="87">
        <v>160</v>
      </c>
      <c r="Q437" s="87">
        <f t="shared" si="67"/>
        <v>195</v>
      </c>
      <c r="R437" s="87">
        <f t="shared" si="68"/>
        <v>100</v>
      </c>
      <c r="S437" s="85">
        <f t="shared" si="69"/>
        <v>695</v>
      </c>
      <c r="T437" s="85">
        <f>50</f>
        <v>50</v>
      </c>
      <c r="U437" s="83"/>
      <c r="V437" s="83"/>
      <c r="W437" s="83"/>
      <c r="X437" s="83"/>
      <c r="Y437" s="83"/>
      <c r="Z437" s="83"/>
      <c r="AA437" s="83"/>
      <c r="AB437" s="83"/>
      <c r="AC437" s="83"/>
      <c r="AD437" s="83"/>
    </row>
    <row r="438" spans="1:30" ht="15.75" x14ac:dyDescent="0.25">
      <c r="A438" s="14">
        <v>53904</v>
      </c>
      <c r="B438" s="95">
        <v>31</v>
      </c>
      <c r="C438" s="85">
        <f>194.205</f>
        <v>194.20500000000001</v>
      </c>
      <c r="D438" s="85">
        <f>267.466</f>
        <v>267.46600000000001</v>
      </c>
      <c r="E438" s="92">
        <f>133.845</f>
        <v>133.845</v>
      </c>
      <c r="F438" s="85">
        <f>278.484-40-25-60</f>
        <v>153.48399999999998</v>
      </c>
      <c r="G438" s="87">
        <v>40</v>
      </c>
      <c r="H438" s="85">
        <f t="shared" si="72"/>
        <v>85</v>
      </c>
      <c r="I438" s="85">
        <f t="shared" si="63"/>
        <v>0</v>
      </c>
      <c r="J438" s="87">
        <v>100</v>
      </c>
      <c r="K438" s="87">
        <v>300</v>
      </c>
      <c r="L438" s="85">
        <f t="shared" si="66"/>
        <v>1274</v>
      </c>
      <c r="M438" s="86"/>
      <c r="N438" s="85">
        <f>30</f>
        <v>30</v>
      </c>
      <c r="O438" s="87">
        <v>240</v>
      </c>
      <c r="P438" s="87">
        <v>160</v>
      </c>
      <c r="Q438" s="87">
        <f t="shared" si="67"/>
        <v>195</v>
      </c>
      <c r="R438" s="87">
        <f t="shared" si="68"/>
        <v>100</v>
      </c>
      <c r="S438" s="85">
        <f t="shared" si="69"/>
        <v>695</v>
      </c>
      <c r="T438" s="85">
        <f>0</f>
        <v>0</v>
      </c>
      <c r="U438" s="83"/>
      <c r="V438" s="83"/>
      <c r="W438" s="83"/>
      <c r="X438" s="83"/>
      <c r="Y438" s="83"/>
      <c r="Z438" s="83"/>
      <c r="AA438" s="83"/>
      <c r="AB438" s="83"/>
      <c r="AC438" s="83"/>
      <c r="AD438" s="83"/>
    </row>
    <row r="439" spans="1:30" ht="15.75" x14ac:dyDescent="0.25">
      <c r="A439" s="14">
        <v>53935</v>
      </c>
      <c r="B439" s="95">
        <v>31</v>
      </c>
      <c r="C439" s="85">
        <f>194.205</f>
        <v>194.20500000000001</v>
      </c>
      <c r="D439" s="85">
        <f>267.466</f>
        <v>267.46600000000001</v>
      </c>
      <c r="E439" s="92">
        <f>133.845</f>
        <v>133.845</v>
      </c>
      <c r="F439" s="85">
        <f>278.484-40-25-60</f>
        <v>153.48399999999998</v>
      </c>
      <c r="G439" s="87">
        <v>40</v>
      </c>
      <c r="H439" s="85">
        <f t="shared" si="72"/>
        <v>85</v>
      </c>
      <c r="I439" s="85">
        <f t="shared" si="63"/>
        <v>0</v>
      </c>
      <c r="J439" s="87">
        <v>100</v>
      </c>
      <c r="K439" s="87">
        <v>300</v>
      </c>
      <c r="L439" s="85">
        <f t="shared" si="66"/>
        <v>1274</v>
      </c>
      <c r="M439" s="86"/>
      <c r="N439" s="85">
        <f>30</f>
        <v>30</v>
      </c>
      <c r="O439" s="87">
        <v>240</v>
      </c>
      <c r="P439" s="87">
        <v>160</v>
      </c>
      <c r="Q439" s="87">
        <f t="shared" si="67"/>
        <v>195</v>
      </c>
      <c r="R439" s="87">
        <f t="shared" si="68"/>
        <v>100</v>
      </c>
      <c r="S439" s="85">
        <f t="shared" si="69"/>
        <v>695</v>
      </c>
      <c r="T439" s="85">
        <f>0</f>
        <v>0</v>
      </c>
      <c r="U439" s="83"/>
      <c r="V439" s="83"/>
      <c r="W439" s="83"/>
      <c r="X439" s="83"/>
      <c r="Y439" s="83"/>
      <c r="Z439" s="83"/>
      <c r="AA439" s="83"/>
      <c r="AB439" s="83"/>
      <c r="AC439" s="83"/>
      <c r="AD439" s="83"/>
    </row>
    <row r="440" spans="1:30" ht="15.75" x14ac:dyDescent="0.25">
      <c r="A440" s="14">
        <v>53965</v>
      </c>
      <c r="B440" s="95">
        <v>30</v>
      </c>
      <c r="C440" s="85">
        <f>194.205</f>
        <v>194.20500000000001</v>
      </c>
      <c r="D440" s="85">
        <f>267.466</f>
        <v>267.46600000000001</v>
      </c>
      <c r="E440" s="92">
        <f>133.845</f>
        <v>133.845</v>
      </c>
      <c r="F440" s="85">
        <f>278.484-40-25-60</f>
        <v>153.48399999999998</v>
      </c>
      <c r="G440" s="87">
        <v>40</v>
      </c>
      <c r="H440" s="85">
        <f t="shared" si="72"/>
        <v>85</v>
      </c>
      <c r="I440" s="85">
        <f t="shared" si="63"/>
        <v>0</v>
      </c>
      <c r="J440" s="87">
        <v>100</v>
      </c>
      <c r="K440" s="87">
        <v>300</v>
      </c>
      <c r="L440" s="85">
        <f t="shared" si="66"/>
        <v>1274</v>
      </c>
      <c r="M440" s="86"/>
      <c r="N440" s="85">
        <f>30</f>
        <v>30</v>
      </c>
      <c r="O440" s="87">
        <v>240</v>
      </c>
      <c r="P440" s="87">
        <v>160</v>
      </c>
      <c r="Q440" s="87">
        <f t="shared" si="67"/>
        <v>195</v>
      </c>
      <c r="R440" s="87">
        <f t="shared" si="68"/>
        <v>100</v>
      </c>
      <c r="S440" s="85">
        <f t="shared" si="69"/>
        <v>695</v>
      </c>
      <c r="T440" s="85">
        <f>0</f>
        <v>0</v>
      </c>
      <c r="U440" s="83"/>
      <c r="V440" s="83"/>
      <c r="W440" s="83"/>
      <c r="X440" s="83"/>
      <c r="Y440" s="83"/>
      <c r="Z440" s="83"/>
      <c r="AA440" s="83"/>
      <c r="AB440" s="83"/>
      <c r="AC440" s="83"/>
      <c r="AD440" s="83"/>
    </row>
    <row r="441" spans="1:30" ht="15.75" x14ac:dyDescent="0.25">
      <c r="A441" s="14">
        <v>53996</v>
      </c>
      <c r="B441" s="95">
        <v>31</v>
      </c>
      <c r="C441" s="85">
        <f>131.881</f>
        <v>131.881</v>
      </c>
      <c r="D441" s="85">
        <f>277.167</f>
        <v>277.16699999999997</v>
      </c>
      <c r="E441" s="92">
        <f>79.08</f>
        <v>79.08</v>
      </c>
      <c r="F441" s="85">
        <f>350.872-40-25-60</f>
        <v>225.87200000000001</v>
      </c>
      <c r="G441" s="87">
        <v>40</v>
      </c>
      <c r="H441" s="85">
        <f t="shared" si="72"/>
        <v>85</v>
      </c>
      <c r="I441" s="85">
        <f t="shared" si="63"/>
        <v>0</v>
      </c>
      <c r="J441" s="87">
        <v>100</v>
      </c>
      <c r="K441" s="87">
        <v>300</v>
      </c>
      <c r="L441" s="85">
        <f t="shared" si="66"/>
        <v>1239</v>
      </c>
      <c r="M441" s="86"/>
      <c r="N441" s="85">
        <f>75</f>
        <v>75</v>
      </c>
      <c r="O441" s="87">
        <v>240</v>
      </c>
      <c r="P441" s="87">
        <v>160</v>
      </c>
      <c r="Q441" s="87">
        <f t="shared" si="67"/>
        <v>195</v>
      </c>
      <c r="R441" s="87">
        <f t="shared" si="68"/>
        <v>100</v>
      </c>
      <c r="S441" s="85">
        <f t="shared" si="69"/>
        <v>695</v>
      </c>
      <c r="T441" s="85">
        <f>0</f>
        <v>0</v>
      </c>
      <c r="U441" s="83"/>
      <c r="V441" s="83"/>
      <c r="W441" s="83"/>
      <c r="X441" s="83"/>
      <c r="Y441" s="83"/>
      <c r="Z441" s="83"/>
      <c r="AA441" s="83"/>
      <c r="AB441" s="83"/>
      <c r="AC441" s="83"/>
      <c r="AD441" s="83"/>
    </row>
    <row r="442" spans="1:30" ht="15.75" x14ac:dyDescent="0.25">
      <c r="A442" s="14">
        <v>54026</v>
      </c>
      <c r="B442" s="95">
        <v>30</v>
      </c>
      <c r="C442" s="85">
        <f>122.58</f>
        <v>122.58</v>
      </c>
      <c r="D442" s="85">
        <f>297.941</f>
        <v>297.94099999999997</v>
      </c>
      <c r="E442" s="92">
        <f>89.177</f>
        <v>89.177000000000007</v>
      </c>
      <c r="F442" s="85">
        <f>240.302-40-60</f>
        <v>140.30199999999999</v>
      </c>
      <c r="G442" s="87">
        <v>40</v>
      </c>
      <c r="H442" s="85">
        <v>60</v>
      </c>
      <c r="I442" s="85">
        <f t="shared" si="63"/>
        <v>0</v>
      </c>
      <c r="J442" s="87">
        <v>100</v>
      </c>
      <c r="K442" s="87">
        <v>300</v>
      </c>
      <c r="L442" s="85">
        <f t="shared" si="66"/>
        <v>1150</v>
      </c>
      <c r="M442" s="86"/>
      <c r="N442" s="85">
        <f>100</f>
        <v>100</v>
      </c>
      <c r="O442" s="87">
        <v>240</v>
      </c>
      <c r="P442" s="87">
        <v>40</v>
      </c>
      <c r="Q442" s="87">
        <f t="shared" si="67"/>
        <v>315</v>
      </c>
      <c r="R442" s="87">
        <f t="shared" si="68"/>
        <v>100</v>
      </c>
      <c r="S442" s="85">
        <f t="shared" si="69"/>
        <v>695</v>
      </c>
      <c r="T442" s="85">
        <f>50</f>
        <v>50</v>
      </c>
      <c r="U442" s="83"/>
      <c r="V442" s="83"/>
      <c r="W442" s="83"/>
      <c r="X442" s="83"/>
      <c r="Y442" s="83"/>
      <c r="Z442" s="83"/>
      <c r="AA442" s="83"/>
      <c r="AB442" s="83"/>
      <c r="AC442" s="83"/>
      <c r="AD442" s="83"/>
    </row>
    <row r="443" spans="1:30" ht="15.75" x14ac:dyDescent="0.25">
      <c r="A443" s="14">
        <v>54057</v>
      </c>
      <c r="B443" s="95">
        <v>31</v>
      </c>
      <c r="C443" s="85">
        <f>122.58</f>
        <v>122.58</v>
      </c>
      <c r="D443" s="85">
        <f>297.941</f>
        <v>297.94099999999997</v>
      </c>
      <c r="E443" s="92">
        <f>89.177</f>
        <v>89.177000000000007</v>
      </c>
      <c r="F443" s="85">
        <f>240.302-40-60</f>
        <v>140.30199999999999</v>
      </c>
      <c r="G443" s="87">
        <v>40</v>
      </c>
      <c r="H443" s="85">
        <v>60</v>
      </c>
      <c r="I443" s="85">
        <f t="shared" si="63"/>
        <v>0</v>
      </c>
      <c r="J443" s="87">
        <v>100</v>
      </c>
      <c r="K443" s="87">
        <v>300</v>
      </c>
      <c r="L443" s="85">
        <f t="shared" si="66"/>
        <v>1150</v>
      </c>
      <c r="M443" s="86"/>
      <c r="N443" s="85">
        <f>100</f>
        <v>100</v>
      </c>
      <c r="O443" s="87">
        <v>240</v>
      </c>
      <c r="P443" s="87">
        <v>40</v>
      </c>
      <c r="Q443" s="87">
        <f t="shared" si="67"/>
        <v>315</v>
      </c>
      <c r="R443" s="87">
        <f t="shared" si="68"/>
        <v>100</v>
      </c>
      <c r="S443" s="85">
        <f t="shared" si="69"/>
        <v>695</v>
      </c>
      <c r="T443" s="85">
        <f>50</f>
        <v>50</v>
      </c>
      <c r="U443" s="83"/>
      <c r="V443" s="83"/>
      <c r="W443" s="83"/>
      <c r="X443" s="83"/>
      <c r="Y443" s="83"/>
      <c r="Z443" s="83"/>
      <c r="AA443" s="83"/>
      <c r="AB443" s="83"/>
      <c r="AC443" s="83"/>
      <c r="AD443" s="83"/>
    </row>
    <row r="444" spans="1:30" ht="15.75" x14ac:dyDescent="0.25">
      <c r="A444" s="14">
        <v>54088</v>
      </c>
      <c r="B444" s="95">
        <v>31</v>
      </c>
      <c r="C444" s="85">
        <f>122.58</f>
        <v>122.58</v>
      </c>
      <c r="D444" s="85">
        <f>297.941</f>
        <v>297.94099999999997</v>
      </c>
      <c r="E444" s="92">
        <f>89.177</f>
        <v>89.177000000000007</v>
      </c>
      <c r="F444" s="85">
        <f>240.302-40-60</f>
        <v>140.30199999999999</v>
      </c>
      <c r="G444" s="87">
        <v>40</v>
      </c>
      <c r="H444" s="85">
        <v>60</v>
      </c>
      <c r="I444" s="85">
        <f t="shared" si="63"/>
        <v>0</v>
      </c>
      <c r="J444" s="87">
        <v>100</v>
      </c>
      <c r="K444" s="87">
        <v>300</v>
      </c>
      <c r="L444" s="85">
        <f t="shared" si="66"/>
        <v>1150</v>
      </c>
      <c r="M444" s="86"/>
      <c r="N444" s="85">
        <f>100</f>
        <v>100</v>
      </c>
      <c r="O444" s="87">
        <v>240</v>
      </c>
      <c r="P444" s="87">
        <v>40</v>
      </c>
      <c r="Q444" s="87">
        <f t="shared" si="67"/>
        <v>315</v>
      </c>
      <c r="R444" s="87">
        <f t="shared" si="68"/>
        <v>100</v>
      </c>
      <c r="S444" s="85">
        <f t="shared" si="69"/>
        <v>695</v>
      </c>
      <c r="T444" s="85">
        <f>50</f>
        <v>50</v>
      </c>
      <c r="U444" s="83"/>
      <c r="V444" s="83"/>
      <c r="W444" s="83"/>
      <c r="X444" s="83"/>
      <c r="Y444" s="83"/>
      <c r="Z444" s="83"/>
      <c r="AA444" s="83"/>
      <c r="AB444" s="83"/>
      <c r="AC444" s="83"/>
      <c r="AD444" s="83"/>
    </row>
    <row r="445" spans="1:30" ht="15.75" x14ac:dyDescent="0.25">
      <c r="A445" s="14">
        <v>54116</v>
      </c>
      <c r="B445" s="95">
        <v>29</v>
      </c>
      <c r="C445" s="85">
        <f>122.58</f>
        <v>122.58</v>
      </c>
      <c r="D445" s="85">
        <f>297.941</f>
        <v>297.94099999999997</v>
      </c>
      <c r="E445" s="92">
        <f>89.177</f>
        <v>89.177000000000007</v>
      </c>
      <c r="F445" s="85">
        <f>240.302-40-60</f>
        <v>140.30199999999999</v>
      </c>
      <c r="G445" s="87">
        <v>40</v>
      </c>
      <c r="H445" s="85">
        <v>60</v>
      </c>
      <c r="I445" s="85">
        <f t="shared" si="63"/>
        <v>0</v>
      </c>
      <c r="J445" s="87">
        <v>100</v>
      </c>
      <c r="K445" s="87">
        <v>300</v>
      </c>
      <c r="L445" s="85">
        <f t="shared" si="66"/>
        <v>1150</v>
      </c>
      <c r="M445" s="86"/>
      <c r="N445" s="85">
        <f>100</f>
        <v>100</v>
      </c>
      <c r="O445" s="87">
        <v>240</v>
      </c>
      <c r="P445" s="87">
        <v>40</v>
      </c>
      <c r="Q445" s="87">
        <f t="shared" si="67"/>
        <v>315</v>
      </c>
      <c r="R445" s="87">
        <f t="shared" si="68"/>
        <v>100</v>
      </c>
      <c r="S445" s="85">
        <f t="shared" si="69"/>
        <v>695</v>
      </c>
      <c r="T445" s="85">
        <f>50</f>
        <v>50</v>
      </c>
      <c r="U445" s="83"/>
      <c r="V445" s="83"/>
      <c r="W445" s="83"/>
      <c r="X445" s="83"/>
      <c r="Y445" s="83"/>
      <c r="Z445" s="83"/>
      <c r="AA445" s="83"/>
      <c r="AB445" s="83"/>
      <c r="AC445" s="83"/>
      <c r="AD445" s="83"/>
    </row>
    <row r="446" spans="1:30" ht="15.75" x14ac:dyDescent="0.25">
      <c r="A446" s="14">
        <v>54148</v>
      </c>
      <c r="B446" s="95">
        <v>31</v>
      </c>
      <c r="C446" s="85">
        <f>122.58</f>
        <v>122.58</v>
      </c>
      <c r="D446" s="85">
        <f>297.941</f>
        <v>297.94099999999997</v>
      </c>
      <c r="E446" s="92">
        <f>89.177</f>
        <v>89.177000000000007</v>
      </c>
      <c r="F446" s="85">
        <f>240.302-40-60</f>
        <v>140.30199999999999</v>
      </c>
      <c r="G446" s="87">
        <v>40</v>
      </c>
      <c r="H446" s="85">
        <v>60</v>
      </c>
      <c r="I446" s="85">
        <f t="shared" si="63"/>
        <v>0</v>
      </c>
      <c r="J446" s="87">
        <v>100</v>
      </c>
      <c r="K446" s="87">
        <v>300</v>
      </c>
      <c r="L446" s="85">
        <f t="shared" si="66"/>
        <v>1150</v>
      </c>
      <c r="M446" s="86"/>
      <c r="N446" s="85">
        <f>100</f>
        <v>100</v>
      </c>
      <c r="O446" s="87">
        <v>240</v>
      </c>
      <c r="P446" s="87">
        <v>40</v>
      </c>
      <c r="Q446" s="87">
        <f t="shared" si="67"/>
        <v>315</v>
      </c>
      <c r="R446" s="87">
        <f t="shared" si="68"/>
        <v>100</v>
      </c>
      <c r="S446" s="85">
        <f t="shared" si="69"/>
        <v>695</v>
      </c>
      <c r="T446" s="85">
        <f>50</f>
        <v>50</v>
      </c>
      <c r="U446" s="83"/>
      <c r="V446" s="83"/>
      <c r="W446" s="83"/>
      <c r="X446" s="83"/>
      <c r="Y446" s="83"/>
      <c r="Z446" s="83"/>
      <c r="AA446" s="83"/>
      <c r="AB446" s="83"/>
      <c r="AC446" s="83"/>
      <c r="AD446" s="83"/>
    </row>
    <row r="447" spans="1:30" ht="15.75" x14ac:dyDescent="0.25">
      <c r="A447" s="14">
        <v>54178</v>
      </c>
      <c r="B447" s="95">
        <v>30</v>
      </c>
      <c r="C447" s="85">
        <f>141.293</f>
        <v>141.29300000000001</v>
      </c>
      <c r="D447" s="85">
        <f>267.993</f>
        <v>267.99299999999999</v>
      </c>
      <c r="E447" s="92">
        <f>115.016</f>
        <v>115.01600000000001</v>
      </c>
      <c r="F447" s="85">
        <f>314.698-40-25-60</f>
        <v>189.69799999999998</v>
      </c>
      <c r="G447" s="87">
        <v>40</v>
      </c>
      <c r="H447" s="85">
        <f t="shared" ref="H447:H453" si="73">25+60</f>
        <v>85</v>
      </c>
      <c r="I447" s="85">
        <f t="shared" si="63"/>
        <v>0</v>
      </c>
      <c r="J447" s="87">
        <v>100</v>
      </c>
      <c r="K447" s="87">
        <v>300</v>
      </c>
      <c r="L447" s="85">
        <f t="shared" si="66"/>
        <v>1239</v>
      </c>
      <c r="M447" s="86"/>
      <c r="N447" s="85">
        <f>100</f>
        <v>100</v>
      </c>
      <c r="O447" s="87">
        <v>240</v>
      </c>
      <c r="P447" s="87">
        <v>160</v>
      </c>
      <c r="Q447" s="87">
        <f t="shared" si="67"/>
        <v>195</v>
      </c>
      <c r="R447" s="87">
        <f t="shared" si="68"/>
        <v>100</v>
      </c>
      <c r="S447" s="85">
        <f t="shared" si="69"/>
        <v>695</v>
      </c>
      <c r="T447" s="85">
        <f>50</f>
        <v>50</v>
      </c>
      <c r="U447" s="83"/>
      <c r="V447" s="83"/>
      <c r="W447" s="83"/>
      <c r="X447" s="83"/>
      <c r="Y447" s="83"/>
      <c r="Z447" s="83"/>
      <c r="AA447" s="83"/>
      <c r="AB447" s="83"/>
      <c r="AC447" s="83"/>
      <c r="AD447" s="83"/>
    </row>
    <row r="448" spans="1:30" ht="15.75" x14ac:dyDescent="0.25">
      <c r="A448" s="14">
        <v>54209</v>
      </c>
      <c r="B448" s="95">
        <v>31</v>
      </c>
      <c r="C448" s="85">
        <f>194.205</f>
        <v>194.20500000000001</v>
      </c>
      <c r="D448" s="85">
        <f>267.466</f>
        <v>267.46600000000001</v>
      </c>
      <c r="E448" s="92">
        <f>133.845</f>
        <v>133.845</v>
      </c>
      <c r="F448" s="85">
        <f>278.484-40-25-60</f>
        <v>153.48399999999998</v>
      </c>
      <c r="G448" s="87">
        <v>40</v>
      </c>
      <c r="H448" s="85">
        <f t="shared" si="73"/>
        <v>85</v>
      </c>
      <c r="I448" s="85">
        <f t="shared" ref="I448:I511" si="74">400-J448-K448</f>
        <v>0</v>
      </c>
      <c r="J448" s="87">
        <v>100</v>
      </c>
      <c r="K448" s="87">
        <v>300</v>
      </c>
      <c r="L448" s="85">
        <f t="shared" si="66"/>
        <v>1274</v>
      </c>
      <c r="M448" s="86"/>
      <c r="N448" s="85">
        <f>75</f>
        <v>75</v>
      </c>
      <c r="O448" s="87">
        <v>240</v>
      </c>
      <c r="P448" s="87">
        <v>160</v>
      </c>
      <c r="Q448" s="87">
        <f t="shared" si="67"/>
        <v>195</v>
      </c>
      <c r="R448" s="87">
        <f t="shared" si="68"/>
        <v>100</v>
      </c>
      <c r="S448" s="85">
        <f t="shared" si="69"/>
        <v>695</v>
      </c>
      <c r="T448" s="85">
        <f>50</f>
        <v>50</v>
      </c>
      <c r="U448" s="83"/>
      <c r="V448" s="83"/>
      <c r="W448" s="83"/>
      <c r="X448" s="83"/>
      <c r="Y448" s="83"/>
      <c r="Z448" s="83"/>
      <c r="AA448" s="83"/>
      <c r="AB448" s="83"/>
      <c r="AC448" s="83"/>
      <c r="AD448" s="83"/>
    </row>
    <row r="449" spans="1:30" ht="15.75" x14ac:dyDescent="0.25">
      <c r="A449" s="14">
        <v>54239</v>
      </c>
      <c r="B449" s="95">
        <v>30</v>
      </c>
      <c r="C449" s="85">
        <f>194.205</f>
        <v>194.20500000000001</v>
      </c>
      <c r="D449" s="85">
        <f>267.466</f>
        <v>267.46600000000001</v>
      </c>
      <c r="E449" s="92">
        <f>133.845</f>
        <v>133.845</v>
      </c>
      <c r="F449" s="85">
        <f>278.484-40-25-60</f>
        <v>153.48399999999998</v>
      </c>
      <c r="G449" s="87">
        <v>40</v>
      </c>
      <c r="H449" s="85">
        <f t="shared" si="73"/>
        <v>85</v>
      </c>
      <c r="I449" s="85">
        <f t="shared" si="74"/>
        <v>0</v>
      </c>
      <c r="J449" s="87">
        <v>100</v>
      </c>
      <c r="K449" s="87">
        <v>300</v>
      </c>
      <c r="L449" s="85">
        <f t="shared" si="66"/>
        <v>1274</v>
      </c>
      <c r="M449" s="86"/>
      <c r="N449" s="85">
        <f>30</f>
        <v>30</v>
      </c>
      <c r="O449" s="87">
        <v>240</v>
      </c>
      <c r="P449" s="87">
        <v>160</v>
      </c>
      <c r="Q449" s="87">
        <f t="shared" si="67"/>
        <v>195</v>
      </c>
      <c r="R449" s="87">
        <f t="shared" si="68"/>
        <v>100</v>
      </c>
      <c r="S449" s="85">
        <f t="shared" si="69"/>
        <v>695</v>
      </c>
      <c r="T449" s="85">
        <f>50</f>
        <v>50</v>
      </c>
      <c r="U449" s="83"/>
      <c r="V449" s="83"/>
      <c r="W449" s="83"/>
      <c r="X449" s="83"/>
      <c r="Y449" s="83"/>
      <c r="Z449" s="83"/>
      <c r="AA449" s="83"/>
      <c r="AB449" s="83"/>
      <c r="AC449" s="83"/>
      <c r="AD449" s="83"/>
    </row>
    <row r="450" spans="1:30" ht="15.75" x14ac:dyDescent="0.25">
      <c r="A450" s="14">
        <v>54270</v>
      </c>
      <c r="B450" s="95">
        <v>31</v>
      </c>
      <c r="C450" s="85">
        <f>194.205</f>
        <v>194.20500000000001</v>
      </c>
      <c r="D450" s="85">
        <f>267.466</f>
        <v>267.46600000000001</v>
      </c>
      <c r="E450" s="92">
        <f>133.845</f>
        <v>133.845</v>
      </c>
      <c r="F450" s="85">
        <f>278.484-40-25-60</f>
        <v>153.48399999999998</v>
      </c>
      <c r="G450" s="87">
        <v>40</v>
      </c>
      <c r="H450" s="85">
        <f t="shared" si="73"/>
        <v>85</v>
      </c>
      <c r="I450" s="85">
        <f t="shared" si="74"/>
        <v>0</v>
      </c>
      <c r="J450" s="87">
        <v>100</v>
      </c>
      <c r="K450" s="87">
        <v>300</v>
      </c>
      <c r="L450" s="85">
        <f t="shared" si="66"/>
        <v>1274</v>
      </c>
      <c r="M450" s="86"/>
      <c r="N450" s="85">
        <f>30</f>
        <v>30</v>
      </c>
      <c r="O450" s="87">
        <v>240</v>
      </c>
      <c r="P450" s="87">
        <v>160</v>
      </c>
      <c r="Q450" s="87">
        <f t="shared" si="67"/>
        <v>195</v>
      </c>
      <c r="R450" s="87">
        <f t="shared" si="68"/>
        <v>100</v>
      </c>
      <c r="S450" s="85">
        <f t="shared" si="69"/>
        <v>695</v>
      </c>
      <c r="T450" s="85">
        <f>0</f>
        <v>0</v>
      </c>
      <c r="U450" s="83"/>
      <c r="V450" s="83"/>
      <c r="W450" s="83"/>
      <c r="X450" s="83"/>
      <c r="Y450" s="83"/>
      <c r="Z450" s="83"/>
      <c r="AA450" s="83"/>
      <c r="AB450" s="83"/>
      <c r="AC450" s="83"/>
      <c r="AD450" s="83"/>
    </row>
    <row r="451" spans="1:30" ht="15.75" x14ac:dyDescent="0.25">
      <c r="A451" s="14">
        <v>54301</v>
      </c>
      <c r="B451" s="95">
        <v>31</v>
      </c>
      <c r="C451" s="85">
        <f>194.205</f>
        <v>194.20500000000001</v>
      </c>
      <c r="D451" s="85">
        <f>267.466</f>
        <v>267.46600000000001</v>
      </c>
      <c r="E451" s="92">
        <f>133.845</f>
        <v>133.845</v>
      </c>
      <c r="F451" s="85">
        <f>278.484-40-25-60</f>
        <v>153.48399999999998</v>
      </c>
      <c r="G451" s="87">
        <v>40</v>
      </c>
      <c r="H451" s="85">
        <f t="shared" si="73"/>
        <v>85</v>
      </c>
      <c r="I451" s="85">
        <f t="shared" si="74"/>
        <v>0</v>
      </c>
      <c r="J451" s="87">
        <v>100</v>
      </c>
      <c r="K451" s="87">
        <v>300</v>
      </c>
      <c r="L451" s="85">
        <f t="shared" si="66"/>
        <v>1274</v>
      </c>
      <c r="M451" s="86"/>
      <c r="N451" s="85">
        <f>30</f>
        <v>30</v>
      </c>
      <c r="O451" s="87">
        <v>240</v>
      </c>
      <c r="P451" s="87">
        <v>160</v>
      </c>
      <c r="Q451" s="87">
        <f t="shared" si="67"/>
        <v>195</v>
      </c>
      <c r="R451" s="87">
        <f t="shared" si="68"/>
        <v>100</v>
      </c>
      <c r="S451" s="85">
        <f t="shared" si="69"/>
        <v>695</v>
      </c>
      <c r="T451" s="85">
        <f>0</f>
        <v>0</v>
      </c>
      <c r="U451" s="83"/>
      <c r="V451" s="83"/>
      <c r="W451" s="83"/>
      <c r="X451" s="83"/>
      <c r="Y451" s="83"/>
      <c r="Z451" s="83"/>
      <c r="AA451" s="83"/>
      <c r="AB451" s="83"/>
      <c r="AC451" s="83"/>
      <c r="AD451" s="83"/>
    </row>
    <row r="452" spans="1:30" ht="15.75" x14ac:dyDescent="0.25">
      <c r="A452" s="14">
        <v>54331</v>
      </c>
      <c r="B452" s="95">
        <v>30</v>
      </c>
      <c r="C452" s="85">
        <f>194.205</f>
        <v>194.20500000000001</v>
      </c>
      <c r="D452" s="85">
        <f>267.466</f>
        <v>267.46600000000001</v>
      </c>
      <c r="E452" s="92">
        <f>133.845</f>
        <v>133.845</v>
      </c>
      <c r="F452" s="85">
        <f>278.484-40-25-60</f>
        <v>153.48399999999998</v>
      </c>
      <c r="G452" s="87">
        <v>40</v>
      </c>
      <c r="H452" s="85">
        <f t="shared" si="73"/>
        <v>85</v>
      </c>
      <c r="I452" s="85">
        <f t="shared" si="74"/>
        <v>0</v>
      </c>
      <c r="J452" s="87">
        <v>100</v>
      </c>
      <c r="K452" s="87">
        <v>300</v>
      </c>
      <c r="L452" s="85">
        <f t="shared" si="66"/>
        <v>1274</v>
      </c>
      <c r="M452" s="86"/>
      <c r="N452" s="85">
        <f>30</f>
        <v>30</v>
      </c>
      <c r="O452" s="87">
        <v>240</v>
      </c>
      <c r="P452" s="87">
        <v>160</v>
      </c>
      <c r="Q452" s="87">
        <f t="shared" si="67"/>
        <v>195</v>
      </c>
      <c r="R452" s="87">
        <f t="shared" si="68"/>
        <v>100</v>
      </c>
      <c r="S452" s="85">
        <f t="shared" si="69"/>
        <v>695</v>
      </c>
      <c r="T452" s="85">
        <f>0</f>
        <v>0</v>
      </c>
      <c r="U452" s="83"/>
      <c r="V452" s="83"/>
      <c r="W452" s="83"/>
      <c r="X452" s="83"/>
      <c r="Y452" s="83"/>
      <c r="Z452" s="83"/>
      <c r="AA452" s="83"/>
      <c r="AB452" s="83"/>
      <c r="AC452" s="83"/>
      <c r="AD452" s="83"/>
    </row>
    <row r="453" spans="1:30" ht="15.75" x14ac:dyDescent="0.25">
      <c r="A453" s="14">
        <v>54362</v>
      </c>
      <c r="B453" s="95">
        <v>31</v>
      </c>
      <c r="C453" s="85">
        <f>131.881</f>
        <v>131.881</v>
      </c>
      <c r="D453" s="85">
        <f>277.167</f>
        <v>277.16699999999997</v>
      </c>
      <c r="E453" s="92">
        <f>79.08</f>
        <v>79.08</v>
      </c>
      <c r="F453" s="85">
        <f>350.872-40-25-60</f>
        <v>225.87200000000001</v>
      </c>
      <c r="G453" s="87">
        <v>40</v>
      </c>
      <c r="H453" s="85">
        <f t="shared" si="73"/>
        <v>85</v>
      </c>
      <c r="I453" s="85">
        <f t="shared" si="74"/>
        <v>0</v>
      </c>
      <c r="J453" s="87">
        <v>100</v>
      </c>
      <c r="K453" s="87">
        <v>300</v>
      </c>
      <c r="L453" s="85">
        <f t="shared" si="66"/>
        <v>1239</v>
      </c>
      <c r="M453" s="86"/>
      <c r="N453" s="85">
        <f>75</f>
        <v>75</v>
      </c>
      <c r="O453" s="87">
        <v>240</v>
      </c>
      <c r="P453" s="87">
        <v>160</v>
      </c>
      <c r="Q453" s="87">
        <f t="shared" si="67"/>
        <v>195</v>
      </c>
      <c r="R453" s="87">
        <f t="shared" si="68"/>
        <v>100</v>
      </c>
      <c r="S453" s="85">
        <f t="shared" si="69"/>
        <v>695</v>
      </c>
      <c r="T453" s="85">
        <f>0</f>
        <v>0</v>
      </c>
      <c r="U453" s="83"/>
      <c r="V453" s="83"/>
      <c r="W453" s="83"/>
      <c r="X453" s="83"/>
      <c r="Y453" s="83"/>
      <c r="Z453" s="83"/>
      <c r="AA453" s="83"/>
      <c r="AB453" s="83"/>
      <c r="AC453" s="83"/>
      <c r="AD453" s="83"/>
    </row>
    <row r="454" spans="1:30" ht="15.75" x14ac:dyDescent="0.25">
      <c r="A454" s="14">
        <v>54392</v>
      </c>
      <c r="B454" s="95">
        <v>30</v>
      </c>
      <c r="C454" s="85">
        <f>122.58</f>
        <v>122.58</v>
      </c>
      <c r="D454" s="85">
        <f>297.941</f>
        <v>297.94099999999997</v>
      </c>
      <c r="E454" s="92">
        <f>89.177</f>
        <v>89.177000000000007</v>
      </c>
      <c r="F454" s="85">
        <f>240.302-40-60</f>
        <v>140.30199999999999</v>
      </c>
      <c r="G454" s="87">
        <v>40</v>
      </c>
      <c r="H454" s="85">
        <v>60</v>
      </c>
      <c r="I454" s="85">
        <f t="shared" si="74"/>
        <v>0</v>
      </c>
      <c r="J454" s="87">
        <v>100</v>
      </c>
      <c r="K454" s="87">
        <v>300</v>
      </c>
      <c r="L454" s="85">
        <f t="shared" si="66"/>
        <v>1150</v>
      </c>
      <c r="M454" s="86"/>
      <c r="N454" s="85">
        <f>100</f>
        <v>100</v>
      </c>
      <c r="O454" s="87">
        <v>240</v>
      </c>
      <c r="P454" s="87">
        <v>40</v>
      </c>
      <c r="Q454" s="87">
        <f t="shared" si="67"/>
        <v>315</v>
      </c>
      <c r="R454" s="87">
        <f t="shared" si="68"/>
        <v>100</v>
      </c>
      <c r="S454" s="85">
        <f t="shared" si="69"/>
        <v>695</v>
      </c>
      <c r="T454" s="85">
        <f>50</f>
        <v>50</v>
      </c>
      <c r="U454" s="83"/>
      <c r="V454" s="83"/>
      <c r="W454" s="83"/>
      <c r="X454" s="83"/>
      <c r="Y454" s="83"/>
      <c r="Z454" s="83"/>
      <c r="AA454" s="83"/>
      <c r="AB454" s="83"/>
      <c r="AC454" s="83"/>
      <c r="AD454" s="83"/>
    </row>
    <row r="455" spans="1:30" ht="15.75" x14ac:dyDescent="0.25">
      <c r="A455" s="14">
        <v>54423</v>
      </c>
      <c r="B455" s="95">
        <v>31</v>
      </c>
      <c r="C455" s="85">
        <f>122.58</f>
        <v>122.58</v>
      </c>
      <c r="D455" s="85">
        <f>297.941</f>
        <v>297.94099999999997</v>
      </c>
      <c r="E455" s="92">
        <f>89.177</f>
        <v>89.177000000000007</v>
      </c>
      <c r="F455" s="85">
        <f>240.302-40-60</f>
        <v>140.30199999999999</v>
      </c>
      <c r="G455" s="87">
        <v>40</v>
      </c>
      <c r="H455" s="85">
        <v>60</v>
      </c>
      <c r="I455" s="85">
        <f t="shared" si="74"/>
        <v>0</v>
      </c>
      <c r="J455" s="87">
        <v>100</v>
      </c>
      <c r="K455" s="87">
        <v>300</v>
      </c>
      <c r="L455" s="85">
        <f t="shared" si="66"/>
        <v>1150</v>
      </c>
      <c r="M455" s="86"/>
      <c r="N455" s="85">
        <f>100</f>
        <v>100</v>
      </c>
      <c r="O455" s="87">
        <v>240</v>
      </c>
      <c r="P455" s="87">
        <v>40</v>
      </c>
      <c r="Q455" s="87">
        <f t="shared" si="67"/>
        <v>315</v>
      </c>
      <c r="R455" s="87">
        <f t="shared" si="68"/>
        <v>100</v>
      </c>
      <c r="S455" s="85">
        <f t="shared" si="69"/>
        <v>695</v>
      </c>
      <c r="T455" s="85">
        <f>50</f>
        <v>50</v>
      </c>
      <c r="U455" s="83"/>
      <c r="V455" s="83"/>
      <c r="W455" s="83"/>
      <c r="X455" s="83"/>
      <c r="Y455" s="83"/>
      <c r="Z455" s="83"/>
      <c r="AA455" s="83"/>
      <c r="AB455" s="83"/>
      <c r="AC455" s="83"/>
      <c r="AD455" s="83"/>
    </row>
    <row r="456" spans="1:30" ht="15.75" x14ac:dyDescent="0.25">
      <c r="A456" s="14">
        <v>54454</v>
      </c>
      <c r="B456" s="95">
        <v>31</v>
      </c>
      <c r="C456" s="85">
        <f>122.58</f>
        <v>122.58</v>
      </c>
      <c r="D456" s="85">
        <f>297.941</f>
        <v>297.94099999999997</v>
      </c>
      <c r="E456" s="92">
        <f>89.177</f>
        <v>89.177000000000007</v>
      </c>
      <c r="F456" s="85">
        <f>240.302-40-60</f>
        <v>140.30199999999999</v>
      </c>
      <c r="G456" s="87">
        <v>40</v>
      </c>
      <c r="H456" s="85">
        <v>60</v>
      </c>
      <c r="I456" s="85">
        <f t="shared" si="74"/>
        <v>0</v>
      </c>
      <c r="J456" s="87">
        <v>100</v>
      </c>
      <c r="K456" s="87">
        <v>300</v>
      </c>
      <c r="L456" s="85">
        <f t="shared" si="66"/>
        <v>1150</v>
      </c>
      <c r="M456" s="86"/>
      <c r="N456" s="85">
        <f>100</f>
        <v>100</v>
      </c>
      <c r="O456" s="87">
        <v>240</v>
      </c>
      <c r="P456" s="87">
        <v>40</v>
      </c>
      <c r="Q456" s="87">
        <f t="shared" si="67"/>
        <v>315</v>
      </c>
      <c r="R456" s="87">
        <f t="shared" si="68"/>
        <v>100</v>
      </c>
      <c r="S456" s="85">
        <f t="shared" si="69"/>
        <v>695</v>
      </c>
      <c r="T456" s="85">
        <f>50</f>
        <v>50</v>
      </c>
      <c r="U456" s="83"/>
      <c r="V456" s="83"/>
      <c r="W456" s="83"/>
      <c r="X456" s="83"/>
      <c r="Y456" s="83"/>
      <c r="Z456" s="83"/>
      <c r="AA456" s="83"/>
      <c r="AB456" s="83"/>
      <c r="AC456" s="83"/>
      <c r="AD456" s="83"/>
    </row>
    <row r="457" spans="1:30" ht="15.75" x14ac:dyDescent="0.25">
      <c r="A457" s="14">
        <v>54482</v>
      </c>
      <c r="B457" s="95">
        <v>28</v>
      </c>
      <c r="C457" s="85">
        <f>122.58</f>
        <v>122.58</v>
      </c>
      <c r="D457" s="85">
        <f>297.941</f>
        <v>297.94099999999997</v>
      </c>
      <c r="E457" s="92">
        <f>89.177</f>
        <v>89.177000000000007</v>
      </c>
      <c r="F457" s="85">
        <f>240.302-40-60</f>
        <v>140.30199999999999</v>
      </c>
      <c r="G457" s="87">
        <v>40</v>
      </c>
      <c r="H457" s="85">
        <v>60</v>
      </c>
      <c r="I457" s="85">
        <f t="shared" si="74"/>
        <v>0</v>
      </c>
      <c r="J457" s="87">
        <v>100</v>
      </c>
      <c r="K457" s="87">
        <v>300</v>
      </c>
      <c r="L457" s="85">
        <f t="shared" si="66"/>
        <v>1150</v>
      </c>
      <c r="M457" s="86"/>
      <c r="N457" s="85">
        <f>100</f>
        <v>100</v>
      </c>
      <c r="O457" s="87">
        <v>240</v>
      </c>
      <c r="P457" s="87">
        <v>40</v>
      </c>
      <c r="Q457" s="87">
        <f t="shared" si="67"/>
        <v>315</v>
      </c>
      <c r="R457" s="87">
        <f t="shared" si="68"/>
        <v>100</v>
      </c>
      <c r="S457" s="85">
        <f t="shared" si="69"/>
        <v>695</v>
      </c>
      <c r="T457" s="85">
        <f>50</f>
        <v>50</v>
      </c>
      <c r="U457" s="83"/>
      <c r="V457" s="83"/>
      <c r="W457" s="83"/>
      <c r="X457" s="83"/>
      <c r="Y457" s="83"/>
      <c r="Z457" s="83"/>
      <c r="AA457" s="83"/>
      <c r="AB457" s="83"/>
      <c r="AC457" s="83"/>
      <c r="AD457" s="83"/>
    </row>
    <row r="458" spans="1:30" ht="15.75" x14ac:dyDescent="0.25">
      <c r="A458" s="14">
        <v>54513</v>
      </c>
      <c r="B458" s="95">
        <v>31</v>
      </c>
      <c r="C458" s="85">
        <f>122.58</f>
        <v>122.58</v>
      </c>
      <c r="D458" s="85">
        <f>297.941</f>
        <v>297.94099999999997</v>
      </c>
      <c r="E458" s="92">
        <f>89.177</f>
        <v>89.177000000000007</v>
      </c>
      <c r="F458" s="85">
        <f>240.302-40-60</f>
        <v>140.30199999999999</v>
      </c>
      <c r="G458" s="87">
        <v>40</v>
      </c>
      <c r="H458" s="85">
        <v>60</v>
      </c>
      <c r="I458" s="85">
        <f t="shared" si="74"/>
        <v>0</v>
      </c>
      <c r="J458" s="87">
        <v>100</v>
      </c>
      <c r="K458" s="87">
        <v>300</v>
      </c>
      <c r="L458" s="85">
        <f t="shared" si="66"/>
        <v>1150</v>
      </c>
      <c r="M458" s="86"/>
      <c r="N458" s="85">
        <f>100</f>
        <v>100</v>
      </c>
      <c r="O458" s="87">
        <v>240</v>
      </c>
      <c r="P458" s="87">
        <v>40</v>
      </c>
      <c r="Q458" s="87">
        <f t="shared" si="67"/>
        <v>315</v>
      </c>
      <c r="R458" s="87">
        <f t="shared" si="68"/>
        <v>100</v>
      </c>
      <c r="S458" s="85">
        <f t="shared" si="69"/>
        <v>695</v>
      </c>
      <c r="T458" s="85">
        <f>50</f>
        <v>50</v>
      </c>
      <c r="U458" s="83"/>
      <c r="V458" s="83"/>
      <c r="W458" s="83"/>
      <c r="X458" s="83"/>
      <c r="Y458" s="83"/>
      <c r="Z458" s="83"/>
      <c r="AA458" s="83"/>
      <c r="AB458" s="83"/>
      <c r="AC458" s="83"/>
      <c r="AD458" s="83"/>
    </row>
    <row r="459" spans="1:30" ht="15.75" x14ac:dyDescent="0.25">
      <c r="A459" s="14">
        <v>54543</v>
      </c>
      <c r="B459" s="95">
        <v>30</v>
      </c>
      <c r="C459" s="85">
        <f>141.293</f>
        <v>141.29300000000001</v>
      </c>
      <c r="D459" s="85">
        <f>267.993</f>
        <v>267.99299999999999</v>
      </c>
      <c r="E459" s="92">
        <f>115.016</f>
        <v>115.01600000000001</v>
      </c>
      <c r="F459" s="85">
        <f>314.698-40-25-60</f>
        <v>189.69799999999998</v>
      </c>
      <c r="G459" s="87">
        <v>40</v>
      </c>
      <c r="H459" s="85">
        <f t="shared" ref="H459:H465" si="75">25+60</f>
        <v>85</v>
      </c>
      <c r="I459" s="85">
        <f t="shared" si="74"/>
        <v>0</v>
      </c>
      <c r="J459" s="87">
        <v>100</v>
      </c>
      <c r="K459" s="87">
        <v>300</v>
      </c>
      <c r="L459" s="85">
        <f t="shared" si="66"/>
        <v>1239</v>
      </c>
      <c r="M459" s="86"/>
      <c r="N459" s="85">
        <f>100</f>
        <v>100</v>
      </c>
      <c r="O459" s="87">
        <v>240</v>
      </c>
      <c r="P459" s="87">
        <v>160</v>
      </c>
      <c r="Q459" s="87">
        <f t="shared" si="67"/>
        <v>195</v>
      </c>
      <c r="R459" s="87">
        <f t="shared" si="68"/>
        <v>100</v>
      </c>
      <c r="S459" s="85">
        <f t="shared" si="69"/>
        <v>695</v>
      </c>
      <c r="T459" s="85">
        <f>50</f>
        <v>50</v>
      </c>
      <c r="U459" s="83"/>
      <c r="V459" s="83"/>
      <c r="W459" s="83"/>
      <c r="X459" s="83"/>
      <c r="Y459" s="83"/>
      <c r="Z459" s="83"/>
      <c r="AA459" s="83"/>
      <c r="AB459" s="83"/>
      <c r="AC459" s="83"/>
      <c r="AD459" s="83"/>
    </row>
    <row r="460" spans="1:30" ht="15.75" x14ac:dyDescent="0.25">
      <c r="A460" s="14">
        <v>54574</v>
      </c>
      <c r="B460" s="95">
        <v>31</v>
      </c>
      <c r="C460" s="85">
        <f>194.205</f>
        <v>194.20500000000001</v>
      </c>
      <c r="D460" s="85">
        <f>267.466</f>
        <v>267.46600000000001</v>
      </c>
      <c r="E460" s="92">
        <f>133.845</f>
        <v>133.845</v>
      </c>
      <c r="F460" s="85">
        <f>278.484-40-25-60</f>
        <v>153.48399999999998</v>
      </c>
      <c r="G460" s="87">
        <v>40</v>
      </c>
      <c r="H460" s="85">
        <f t="shared" si="75"/>
        <v>85</v>
      </c>
      <c r="I460" s="85">
        <f t="shared" si="74"/>
        <v>0</v>
      </c>
      <c r="J460" s="87">
        <v>100</v>
      </c>
      <c r="K460" s="87">
        <v>300</v>
      </c>
      <c r="L460" s="85">
        <f t="shared" si="66"/>
        <v>1274</v>
      </c>
      <c r="M460" s="86"/>
      <c r="N460" s="85">
        <f>75</f>
        <v>75</v>
      </c>
      <c r="O460" s="87">
        <v>240</v>
      </c>
      <c r="P460" s="87">
        <v>160</v>
      </c>
      <c r="Q460" s="87">
        <f t="shared" si="67"/>
        <v>195</v>
      </c>
      <c r="R460" s="87">
        <f t="shared" si="68"/>
        <v>100</v>
      </c>
      <c r="S460" s="85">
        <f t="shared" si="69"/>
        <v>695</v>
      </c>
      <c r="T460" s="85">
        <f>50</f>
        <v>50</v>
      </c>
      <c r="U460" s="83"/>
      <c r="V460" s="83"/>
      <c r="W460" s="83"/>
      <c r="X460" s="83"/>
      <c r="Y460" s="83"/>
      <c r="Z460" s="83"/>
      <c r="AA460" s="83"/>
      <c r="AB460" s="83"/>
      <c r="AC460" s="83"/>
      <c r="AD460" s="83"/>
    </row>
    <row r="461" spans="1:30" ht="15.75" x14ac:dyDescent="0.25">
      <c r="A461" s="14">
        <v>54604</v>
      </c>
      <c r="B461" s="95">
        <v>30</v>
      </c>
      <c r="C461" s="85">
        <f>194.205</f>
        <v>194.20500000000001</v>
      </c>
      <c r="D461" s="85">
        <f>267.466</f>
        <v>267.46600000000001</v>
      </c>
      <c r="E461" s="92">
        <f>133.845</f>
        <v>133.845</v>
      </c>
      <c r="F461" s="85">
        <f>278.484-40-25-60</f>
        <v>153.48399999999998</v>
      </c>
      <c r="G461" s="87">
        <v>40</v>
      </c>
      <c r="H461" s="85">
        <f t="shared" si="75"/>
        <v>85</v>
      </c>
      <c r="I461" s="85">
        <f t="shared" si="74"/>
        <v>0</v>
      </c>
      <c r="J461" s="87">
        <v>100</v>
      </c>
      <c r="K461" s="87">
        <v>300</v>
      </c>
      <c r="L461" s="85">
        <f t="shared" si="66"/>
        <v>1274</v>
      </c>
      <c r="M461" s="86"/>
      <c r="N461" s="85">
        <f>30</f>
        <v>30</v>
      </c>
      <c r="O461" s="87">
        <v>240</v>
      </c>
      <c r="P461" s="87">
        <v>160</v>
      </c>
      <c r="Q461" s="87">
        <f t="shared" si="67"/>
        <v>195</v>
      </c>
      <c r="R461" s="87">
        <f t="shared" si="68"/>
        <v>100</v>
      </c>
      <c r="S461" s="85">
        <f t="shared" si="69"/>
        <v>695</v>
      </c>
      <c r="T461" s="85">
        <f>50</f>
        <v>50</v>
      </c>
      <c r="U461" s="83"/>
      <c r="V461" s="83"/>
      <c r="W461" s="83"/>
      <c r="X461" s="83"/>
      <c r="Y461" s="83"/>
      <c r="Z461" s="83"/>
      <c r="AA461" s="83"/>
      <c r="AB461" s="83"/>
      <c r="AC461" s="83"/>
      <c r="AD461" s="83"/>
    </row>
    <row r="462" spans="1:30" ht="15.75" x14ac:dyDescent="0.25">
      <c r="A462" s="14">
        <v>54635</v>
      </c>
      <c r="B462" s="95">
        <v>31</v>
      </c>
      <c r="C462" s="85">
        <f>194.205</f>
        <v>194.20500000000001</v>
      </c>
      <c r="D462" s="85">
        <f>267.466</f>
        <v>267.46600000000001</v>
      </c>
      <c r="E462" s="92">
        <f>133.845</f>
        <v>133.845</v>
      </c>
      <c r="F462" s="85">
        <f>278.484-40-25-60</f>
        <v>153.48399999999998</v>
      </c>
      <c r="G462" s="87">
        <v>40</v>
      </c>
      <c r="H462" s="85">
        <f t="shared" si="75"/>
        <v>85</v>
      </c>
      <c r="I462" s="85">
        <f t="shared" si="74"/>
        <v>0</v>
      </c>
      <c r="J462" s="87">
        <v>100</v>
      </c>
      <c r="K462" s="87">
        <v>300</v>
      </c>
      <c r="L462" s="85">
        <f t="shared" si="66"/>
        <v>1274</v>
      </c>
      <c r="M462" s="86"/>
      <c r="N462" s="85">
        <f>30</f>
        <v>30</v>
      </c>
      <c r="O462" s="87">
        <v>240</v>
      </c>
      <c r="P462" s="87">
        <v>160</v>
      </c>
      <c r="Q462" s="87">
        <f t="shared" si="67"/>
        <v>195</v>
      </c>
      <c r="R462" s="87">
        <f t="shared" si="68"/>
        <v>100</v>
      </c>
      <c r="S462" s="85">
        <f t="shared" si="69"/>
        <v>695</v>
      </c>
      <c r="T462" s="85">
        <f>0</f>
        <v>0</v>
      </c>
      <c r="U462" s="83"/>
      <c r="V462" s="83"/>
      <c r="W462" s="83"/>
      <c r="X462" s="83"/>
      <c r="Y462" s="83"/>
      <c r="Z462" s="83"/>
      <c r="AA462" s="83"/>
      <c r="AB462" s="83"/>
      <c r="AC462" s="83"/>
      <c r="AD462" s="83"/>
    </row>
    <row r="463" spans="1:30" ht="15.75" x14ac:dyDescent="0.25">
      <c r="A463" s="14">
        <v>54666</v>
      </c>
      <c r="B463" s="95">
        <v>31</v>
      </c>
      <c r="C463" s="85">
        <f>194.205</f>
        <v>194.20500000000001</v>
      </c>
      <c r="D463" s="85">
        <f>267.466</f>
        <v>267.46600000000001</v>
      </c>
      <c r="E463" s="92">
        <f>133.845</f>
        <v>133.845</v>
      </c>
      <c r="F463" s="85">
        <f>278.484-40-25-60</f>
        <v>153.48399999999998</v>
      </c>
      <c r="G463" s="87">
        <v>40</v>
      </c>
      <c r="H463" s="85">
        <f t="shared" si="75"/>
        <v>85</v>
      </c>
      <c r="I463" s="85">
        <f t="shared" si="74"/>
        <v>0</v>
      </c>
      <c r="J463" s="87">
        <v>100</v>
      </c>
      <c r="K463" s="87">
        <v>300</v>
      </c>
      <c r="L463" s="85">
        <f t="shared" si="66"/>
        <v>1274</v>
      </c>
      <c r="M463" s="86"/>
      <c r="N463" s="85">
        <f>30</f>
        <v>30</v>
      </c>
      <c r="O463" s="87">
        <v>240</v>
      </c>
      <c r="P463" s="87">
        <v>160</v>
      </c>
      <c r="Q463" s="87">
        <f t="shared" si="67"/>
        <v>195</v>
      </c>
      <c r="R463" s="87">
        <f t="shared" si="68"/>
        <v>100</v>
      </c>
      <c r="S463" s="85">
        <f t="shared" si="69"/>
        <v>695</v>
      </c>
      <c r="T463" s="85">
        <f>0</f>
        <v>0</v>
      </c>
      <c r="U463" s="83"/>
      <c r="V463" s="83"/>
      <c r="W463" s="83"/>
      <c r="X463" s="83"/>
      <c r="Y463" s="83"/>
      <c r="Z463" s="83"/>
      <c r="AA463" s="83"/>
      <c r="AB463" s="83"/>
      <c r="AC463" s="83"/>
      <c r="AD463" s="83"/>
    </row>
    <row r="464" spans="1:30" ht="15.75" x14ac:dyDescent="0.25">
      <c r="A464" s="14">
        <v>54696</v>
      </c>
      <c r="B464" s="95">
        <v>30</v>
      </c>
      <c r="C464" s="85">
        <f>194.205</f>
        <v>194.20500000000001</v>
      </c>
      <c r="D464" s="85">
        <f>267.466</f>
        <v>267.46600000000001</v>
      </c>
      <c r="E464" s="92">
        <f>133.845</f>
        <v>133.845</v>
      </c>
      <c r="F464" s="85">
        <f>278.484-40-25-60</f>
        <v>153.48399999999998</v>
      </c>
      <c r="G464" s="87">
        <v>40</v>
      </c>
      <c r="H464" s="85">
        <f t="shared" si="75"/>
        <v>85</v>
      </c>
      <c r="I464" s="85">
        <f t="shared" si="74"/>
        <v>0</v>
      </c>
      <c r="J464" s="87">
        <v>100</v>
      </c>
      <c r="K464" s="87">
        <v>300</v>
      </c>
      <c r="L464" s="85">
        <f t="shared" si="66"/>
        <v>1274</v>
      </c>
      <c r="M464" s="86"/>
      <c r="N464" s="85">
        <f>30</f>
        <v>30</v>
      </c>
      <c r="O464" s="87">
        <v>240</v>
      </c>
      <c r="P464" s="87">
        <v>160</v>
      </c>
      <c r="Q464" s="87">
        <f t="shared" si="67"/>
        <v>195</v>
      </c>
      <c r="R464" s="87">
        <f t="shared" si="68"/>
        <v>100</v>
      </c>
      <c r="S464" s="85">
        <f t="shared" si="69"/>
        <v>695</v>
      </c>
      <c r="T464" s="85">
        <f>0</f>
        <v>0</v>
      </c>
      <c r="U464" s="83"/>
      <c r="V464" s="83"/>
      <c r="W464" s="83"/>
      <c r="X464" s="83"/>
      <c r="Y464" s="83"/>
      <c r="Z464" s="83"/>
      <c r="AA464" s="83"/>
      <c r="AB464" s="83"/>
      <c r="AC464" s="83"/>
      <c r="AD464" s="83"/>
    </row>
    <row r="465" spans="1:30" ht="15.75" x14ac:dyDescent="0.25">
      <c r="A465" s="14">
        <v>54727</v>
      </c>
      <c r="B465" s="95">
        <v>31</v>
      </c>
      <c r="C465" s="85">
        <f>131.881</f>
        <v>131.881</v>
      </c>
      <c r="D465" s="85">
        <f>277.167</f>
        <v>277.16699999999997</v>
      </c>
      <c r="E465" s="92">
        <f>79.08</f>
        <v>79.08</v>
      </c>
      <c r="F465" s="85">
        <f>350.872-40-25-60</f>
        <v>225.87200000000001</v>
      </c>
      <c r="G465" s="87">
        <v>40</v>
      </c>
      <c r="H465" s="85">
        <f t="shared" si="75"/>
        <v>85</v>
      </c>
      <c r="I465" s="85">
        <f t="shared" si="74"/>
        <v>0</v>
      </c>
      <c r="J465" s="87">
        <v>100</v>
      </c>
      <c r="K465" s="87">
        <v>300</v>
      </c>
      <c r="L465" s="85">
        <f t="shared" si="66"/>
        <v>1239</v>
      </c>
      <c r="M465" s="86"/>
      <c r="N465" s="85">
        <f>75</f>
        <v>75</v>
      </c>
      <c r="O465" s="87">
        <v>240</v>
      </c>
      <c r="P465" s="87">
        <v>160</v>
      </c>
      <c r="Q465" s="87">
        <f t="shared" si="67"/>
        <v>195</v>
      </c>
      <c r="R465" s="87">
        <f t="shared" si="68"/>
        <v>100</v>
      </c>
      <c r="S465" s="85">
        <f t="shared" si="69"/>
        <v>695</v>
      </c>
      <c r="T465" s="85">
        <f>0</f>
        <v>0</v>
      </c>
      <c r="U465" s="83"/>
      <c r="V465" s="83"/>
      <c r="W465" s="83"/>
      <c r="X465" s="83"/>
      <c r="Y465" s="83"/>
      <c r="Z465" s="83"/>
      <c r="AA465" s="83"/>
      <c r="AB465" s="83"/>
      <c r="AC465" s="83"/>
      <c r="AD465" s="83"/>
    </row>
    <row r="466" spans="1:30" ht="15.75" x14ac:dyDescent="0.25">
      <c r="A466" s="14">
        <v>54757</v>
      </c>
      <c r="B466" s="95">
        <v>30</v>
      </c>
      <c r="C466" s="85">
        <f>122.58</f>
        <v>122.58</v>
      </c>
      <c r="D466" s="85">
        <f>297.941</f>
        <v>297.94099999999997</v>
      </c>
      <c r="E466" s="92">
        <f>89.177</f>
        <v>89.177000000000007</v>
      </c>
      <c r="F466" s="85">
        <f>240.302-40-60</f>
        <v>140.30199999999999</v>
      </c>
      <c r="G466" s="87">
        <v>40</v>
      </c>
      <c r="H466" s="85">
        <v>60</v>
      </c>
      <c r="I466" s="85">
        <f t="shared" si="74"/>
        <v>0</v>
      </c>
      <c r="J466" s="87">
        <v>100</v>
      </c>
      <c r="K466" s="87">
        <v>300</v>
      </c>
      <c r="L466" s="85">
        <f t="shared" si="66"/>
        <v>1150</v>
      </c>
      <c r="M466" s="86"/>
      <c r="N466" s="85">
        <f>100</f>
        <v>100</v>
      </c>
      <c r="O466" s="87">
        <v>240</v>
      </c>
      <c r="P466" s="87">
        <v>40</v>
      </c>
      <c r="Q466" s="87">
        <f t="shared" si="67"/>
        <v>315</v>
      </c>
      <c r="R466" s="87">
        <f t="shared" si="68"/>
        <v>100</v>
      </c>
      <c r="S466" s="85">
        <f t="shared" si="69"/>
        <v>695</v>
      </c>
      <c r="T466" s="85">
        <f>50</f>
        <v>50</v>
      </c>
      <c r="U466" s="83"/>
      <c r="V466" s="83"/>
      <c r="W466" s="83"/>
      <c r="X466" s="83"/>
      <c r="Y466" s="83"/>
      <c r="Z466" s="83"/>
      <c r="AA466" s="83"/>
      <c r="AB466" s="83"/>
      <c r="AC466" s="83"/>
      <c r="AD466" s="83"/>
    </row>
    <row r="467" spans="1:30" ht="15.75" x14ac:dyDescent="0.25">
      <c r="A467" s="14">
        <v>54788</v>
      </c>
      <c r="B467" s="95">
        <v>31</v>
      </c>
      <c r="C467" s="85">
        <f>122.58</f>
        <v>122.58</v>
      </c>
      <c r="D467" s="85">
        <f>297.941</f>
        <v>297.94099999999997</v>
      </c>
      <c r="E467" s="92">
        <f>89.177</f>
        <v>89.177000000000007</v>
      </c>
      <c r="F467" s="85">
        <f>240.302-40-60</f>
        <v>140.30199999999999</v>
      </c>
      <c r="G467" s="87">
        <v>40</v>
      </c>
      <c r="H467" s="85">
        <v>60</v>
      </c>
      <c r="I467" s="85">
        <f t="shared" si="74"/>
        <v>0</v>
      </c>
      <c r="J467" s="87">
        <v>100</v>
      </c>
      <c r="K467" s="87">
        <v>300</v>
      </c>
      <c r="L467" s="85">
        <f t="shared" si="66"/>
        <v>1150</v>
      </c>
      <c r="M467" s="86"/>
      <c r="N467" s="85">
        <f>100</f>
        <v>100</v>
      </c>
      <c r="O467" s="87">
        <v>240</v>
      </c>
      <c r="P467" s="87">
        <v>40</v>
      </c>
      <c r="Q467" s="87">
        <f t="shared" si="67"/>
        <v>315</v>
      </c>
      <c r="R467" s="87">
        <f t="shared" si="68"/>
        <v>100</v>
      </c>
      <c r="S467" s="85">
        <f t="shared" si="69"/>
        <v>695</v>
      </c>
      <c r="T467" s="85">
        <f>50</f>
        <v>50</v>
      </c>
      <c r="U467" s="83"/>
      <c r="V467" s="83"/>
      <c r="W467" s="83"/>
      <c r="X467" s="83"/>
      <c r="Y467" s="83"/>
      <c r="Z467" s="83"/>
      <c r="AA467" s="83"/>
      <c r="AB467" s="83"/>
      <c r="AC467" s="83"/>
      <c r="AD467" s="83"/>
    </row>
    <row r="468" spans="1:30" ht="15.75" x14ac:dyDescent="0.25">
      <c r="A468" s="14">
        <v>54819</v>
      </c>
      <c r="B468" s="95">
        <v>31</v>
      </c>
      <c r="C468" s="85">
        <f>122.58</f>
        <v>122.58</v>
      </c>
      <c r="D468" s="85">
        <f>297.941</f>
        <v>297.94099999999997</v>
      </c>
      <c r="E468" s="92">
        <f>89.177</f>
        <v>89.177000000000007</v>
      </c>
      <c r="F468" s="85">
        <f>240.302-40-60</f>
        <v>140.30199999999999</v>
      </c>
      <c r="G468" s="87">
        <v>40</v>
      </c>
      <c r="H468" s="85">
        <v>60</v>
      </c>
      <c r="I468" s="85">
        <f t="shared" si="74"/>
        <v>0</v>
      </c>
      <c r="J468" s="87">
        <v>100</v>
      </c>
      <c r="K468" s="87">
        <v>300</v>
      </c>
      <c r="L468" s="85">
        <f t="shared" si="66"/>
        <v>1150</v>
      </c>
      <c r="M468" s="86"/>
      <c r="N468" s="85">
        <f>100</f>
        <v>100</v>
      </c>
      <c r="O468" s="87">
        <v>240</v>
      </c>
      <c r="P468" s="87">
        <v>40</v>
      </c>
      <c r="Q468" s="87">
        <f t="shared" si="67"/>
        <v>315</v>
      </c>
      <c r="R468" s="87">
        <f t="shared" si="68"/>
        <v>100</v>
      </c>
      <c r="S468" s="85">
        <f t="shared" si="69"/>
        <v>695</v>
      </c>
      <c r="T468" s="85">
        <f>50</f>
        <v>50</v>
      </c>
      <c r="U468" s="83"/>
      <c r="V468" s="83"/>
      <c r="W468" s="83"/>
      <c r="X468" s="83"/>
      <c r="Y468" s="83"/>
      <c r="Z468" s="83"/>
      <c r="AA468" s="83"/>
      <c r="AB468" s="83"/>
      <c r="AC468" s="83"/>
      <c r="AD468" s="83"/>
    </row>
    <row r="469" spans="1:30" ht="15.75" x14ac:dyDescent="0.25">
      <c r="A469" s="14">
        <v>54847</v>
      </c>
      <c r="B469" s="95">
        <v>28</v>
      </c>
      <c r="C469" s="85">
        <f>122.58</f>
        <v>122.58</v>
      </c>
      <c r="D469" s="85">
        <f>297.941</f>
        <v>297.94099999999997</v>
      </c>
      <c r="E469" s="92">
        <f>89.177</f>
        <v>89.177000000000007</v>
      </c>
      <c r="F469" s="85">
        <f>240.302-40-60</f>
        <v>140.30199999999999</v>
      </c>
      <c r="G469" s="87">
        <v>40</v>
      </c>
      <c r="H469" s="85">
        <v>60</v>
      </c>
      <c r="I469" s="85">
        <f t="shared" si="74"/>
        <v>0</v>
      </c>
      <c r="J469" s="87">
        <v>100</v>
      </c>
      <c r="K469" s="87">
        <v>300</v>
      </c>
      <c r="L469" s="85">
        <f t="shared" si="66"/>
        <v>1150</v>
      </c>
      <c r="M469" s="86"/>
      <c r="N469" s="85">
        <f>100</f>
        <v>100</v>
      </c>
      <c r="O469" s="87">
        <v>240</v>
      </c>
      <c r="P469" s="87">
        <v>40</v>
      </c>
      <c r="Q469" s="87">
        <f t="shared" si="67"/>
        <v>315</v>
      </c>
      <c r="R469" s="87">
        <f t="shared" si="68"/>
        <v>100</v>
      </c>
      <c r="S469" s="85">
        <f t="shared" si="69"/>
        <v>695</v>
      </c>
      <c r="T469" s="85">
        <f>50</f>
        <v>50</v>
      </c>
      <c r="U469" s="83"/>
      <c r="V469" s="83"/>
      <c r="W469" s="83"/>
      <c r="X469" s="83"/>
      <c r="Y469" s="83"/>
      <c r="Z469" s="83"/>
      <c r="AA469" s="83"/>
      <c r="AB469" s="83"/>
      <c r="AC469" s="83"/>
      <c r="AD469" s="83"/>
    </row>
    <row r="470" spans="1:30" ht="15.75" x14ac:dyDescent="0.25">
      <c r="A470" s="14">
        <v>54878</v>
      </c>
      <c r="B470" s="95">
        <v>31</v>
      </c>
      <c r="C470" s="85">
        <f>122.58</f>
        <v>122.58</v>
      </c>
      <c r="D470" s="85">
        <f>297.941</f>
        <v>297.94099999999997</v>
      </c>
      <c r="E470" s="92">
        <f>89.177</f>
        <v>89.177000000000007</v>
      </c>
      <c r="F470" s="85">
        <f>240.302-40-60</f>
        <v>140.30199999999999</v>
      </c>
      <c r="G470" s="87">
        <v>40</v>
      </c>
      <c r="H470" s="85">
        <v>60</v>
      </c>
      <c r="I470" s="85">
        <f t="shared" si="74"/>
        <v>0</v>
      </c>
      <c r="J470" s="87">
        <v>100</v>
      </c>
      <c r="K470" s="87">
        <v>300</v>
      </c>
      <c r="L470" s="85">
        <f t="shared" si="66"/>
        <v>1150</v>
      </c>
      <c r="M470" s="86"/>
      <c r="N470" s="85">
        <f>100</f>
        <v>100</v>
      </c>
      <c r="O470" s="87">
        <v>240</v>
      </c>
      <c r="P470" s="87">
        <v>40</v>
      </c>
      <c r="Q470" s="87">
        <f t="shared" si="67"/>
        <v>315</v>
      </c>
      <c r="R470" s="87">
        <f t="shared" si="68"/>
        <v>100</v>
      </c>
      <c r="S470" s="85">
        <f t="shared" si="69"/>
        <v>695</v>
      </c>
      <c r="T470" s="85">
        <f>50</f>
        <v>50</v>
      </c>
      <c r="U470" s="83"/>
      <c r="V470" s="83"/>
      <c r="W470" s="83"/>
      <c r="X470" s="83"/>
      <c r="Y470" s="83"/>
      <c r="Z470" s="83"/>
      <c r="AA470" s="83"/>
      <c r="AB470" s="83"/>
      <c r="AC470" s="83"/>
      <c r="AD470" s="83"/>
    </row>
    <row r="471" spans="1:30" ht="15.75" x14ac:dyDescent="0.25">
      <c r="A471" s="14">
        <v>54908</v>
      </c>
      <c r="B471" s="95">
        <v>30</v>
      </c>
      <c r="C471" s="85">
        <f>141.293</f>
        <v>141.29300000000001</v>
      </c>
      <c r="D471" s="85">
        <f>267.993</f>
        <v>267.99299999999999</v>
      </c>
      <c r="E471" s="92">
        <f>115.016</f>
        <v>115.01600000000001</v>
      </c>
      <c r="F471" s="85">
        <f>314.698-40-25-60</f>
        <v>189.69799999999998</v>
      </c>
      <c r="G471" s="87">
        <v>40</v>
      </c>
      <c r="H471" s="85">
        <f t="shared" ref="H471:H477" si="76">25+60</f>
        <v>85</v>
      </c>
      <c r="I471" s="85">
        <f t="shared" si="74"/>
        <v>0</v>
      </c>
      <c r="J471" s="87">
        <v>100</v>
      </c>
      <c r="K471" s="87">
        <v>300</v>
      </c>
      <c r="L471" s="85">
        <f t="shared" si="66"/>
        <v>1239</v>
      </c>
      <c r="M471" s="86"/>
      <c r="N471" s="85">
        <f>100</f>
        <v>100</v>
      </c>
      <c r="O471" s="87">
        <v>240</v>
      </c>
      <c r="P471" s="87">
        <v>160</v>
      </c>
      <c r="Q471" s="87">
        <f t="shared" si="67"/>
        <v>195</v>
      </c>
      <c r="R471" s="87">
        <f t="shared" si="68"/>
        <v>100</v>
      </c>
      <c r="S471" s="85">
        <f t="shared" si="69"/>
        <v>695</v>
      </c>
      <c r="T471" s="85">
        <f>50</f>
        <v>50</v>
      </c>
      <c r="U471" s="83"/>
      <c r="V471" s="83"/>
      <c r="W471" s="83"/>
      <c r="X471" s="83"/>
      <c r="Y471" s="83"/>
      <c r="Z471" s="83"/>
      <c r="AA471" s="83"/>
      <c r="AB471" s="83"/>
      <c r="AC471" s="83"/>
      <c r="AD471" s="83"/>
    </row>
    <row r="472" spans="1:30" ht="15.75" x14ac:dyDescent="0.25">
      <c r="A472" s="14">
        <v>54939</v>
      </c>
      <c r="B472" s="95">
        <v>31</v>
      </c>
      <c r="C472" s="85">
        <f>194.205</f>
        <v>194.20500000000001</v>
      </c>
      <c r="D472" s="85">
        <f>267.466</f>
        <v>267.46600000000001</v>
      </c>
      <c r="E472" s="92">
        <f>133.845</f>
        <v>133.845</v>
      </c>
      <c r="F472" s="85">
        <f>278.484-40-25-60</f>
        <v>153.48399999999998</v>
      </c>
      <c r="G472" s="87">
        <v>40</v>
      </c>
      <c r="H472" s="85">
        <f t="shared" si="76"/>
        <v>85</v>
      </c>
      <c r="I472" s="85">
        <f t="shared" si="74"/>
        <v>0</v>
      </c>
      <c r="J472" s="87">
        <v>100</v>
      </c>
      <c r="K472" s="87">
        <v>300</v>
      </c>
      <c r="L472" s="85">
        <f t="shared" ref="L472:L535" si="77">SUM(C472:K472)</f>
        <v>1274</v>
      </c>
      <c r="M472" s="86"/>
      <c r="N472" s="85">
        <f>75</f>
        <v>75</v>
      </c>
      <c r="O472" s="87">
        <v>240</v>
      </c>
      <c r="P472" s="87">
        <v>160</v>
      </c>
      <c r="Q472" s="87">
        <f t="shared" ref="Q472:Q535" si="78">695-R472-O472-P472</f>
        <v>195</v>
      </c>
      <c r="R472" s="87">
        <f t="shared" ref="R472:R535" si="79">200-J472</f>
        <v>100</v>
      </c>
      <c r="S472" s="85">
        <f t="shared" ref="S472:S535" si="80">SUM(O472:R472)</f>
        <v>695</v>
      </c>
      <c r="T472" s="85">
        <f>50</f>
        <v>50</v>
      </c>
      <c r="U472" s="83"/>
      <c r="V472" s="83"/>
      <c r="W472" s="83"/>
      <c r="X472" s="83"/>
      <c r="Y472" s="83"/>
      <c r="Z472" s="83"/>
      <c r="AA472" s="83"/>
      <c r="AB472" s="83"/>
      <c r="AC472" s="83"/>
      <c r="AD472" s="83"/>
    </row>
    <row r="473" spans="1:30" ht="15.75" x14ac:dyDescent="0.25">
      <c r="A473" s="14">
        <v>54969</v>
      </c>
      <c r="B473" s="95">
        <v>30</v>
      </c>
      <c r="C473" s="85">
        <f>194.205</f>
        <v>194.20500000000001</v>
      </c>
      <c r="D473" s="85">
        <f>267.466</f>
        <v>267.46600000000001</v>
      </c>
      <c r="E473" s="92">
        <f>133.845</f>
        <v>133.845</v>
      </c>
      <c r="F473" s="85">
        <f>278.484-40-25-60</f>
        <v>153.48399999999998</v>
      </c>
      <c r="G473" s="87">
        <v>40</v>
      </c>
      <c r="H473" s="85">
        <f t="shared" si="76"/>
        <v>85</v>
      </c>
      <c r="I473" s="85">
        <f t="shared" si="74"/>
        <v>0</v>
      </c>
      <c r="J473" s="87">
        <v>100</v>
      </c>
      <c r="K473" s="87">
        <v>300</v>
      </c>
      <c r="L473" s="85">
        <f t="shared" si="77"/>
        <v>1274</v>
      </c>
      <c r="M473" s="86"/>
      <c r="N473" s="85">
        <f>30</f>
        <v>30</v>
      </c>
      <c r="O473" s="87">
        <v>240</v>
      </c>
      <c r="P473" s="87">
        <v>160</v>
      </c>
      <c r="Q473" s="87">
        <f t="shared" si="78"/>
        <v>195</v>
      </c>
      <c r="R473" s="87">
        <f t="shared" si="79"/>
        <v>100</v>
      </c>
      <c r="S473" s="85">
        <f t="shared" si="80"/>
        <v>695</v>
      </c>
      <c r="T473" s="85">
        <f>50</f>
        <v>50</v>
      </c>
      <c r="U473" s="83"/>
      <c r="V473" s="83"/>
      <c r="W473" s="83"/>
      <c r="X473" s="83"/>
      <c r="Y473" s="83"/>
      <c r="Z473" s="83"/>
      <c r="AA473" s="83"/>
      <c r="AB473" s="83"/>
      <c r="AC473" s="83"/>
      <c r="AD473" s="83"/>
    </row>
    <row r="474" spans="1:30" ht="15.75" x14ac:dyDescent="0.25">
      <c r="A474" s="14">
        <v>55000</v>
      </c>
      <c r="B474" s="95">
        <v>31</v>
      </c>
      <c r="C474" s="85">
        <f>194.205</f>
        <v>194.20500000000001</v>
      </c>
      <c r="D474" s="85">
        <f>267.466</f>
        <v>267.46600000000001</v>
      </c>
      <c r="E474" s="92">
        <f>133.845</f>
        <v>133.845</v>
      </c>
      <c r="F474" s="85">
        <f>278.484-40-25-60</f>
        <v>153.48399999999998</v>
      </c>
      <c r="G474" s="87">
        <v>40</v>
      </c>
      <c r="H474" s="85">
        <f t="shared" si="76"/>
        <v>85</v>
      </c>
      <c r="I474" s="85">
        <f t="shared" si="74"/>
        <v>0</v>
      </c>
      <c r="J474" s="87">
        <v>100</v>
      </c>
      <c r="K474" s="87">
        <v>300</v>
      </c>
      <c r="L474" s="85">
        <f t="shared" si="77"/>
        <v>1274</v>
      </c>
      <c r="M474" s="86"/>
      <c r="N474" s="85">
        <f>30</f>
        <v>30</v>
      </c>
      <c r="O474" s="87">
        <v>240</v>
      </c>
      <c r="P474" s="87">
        <v>160</v>
      </c>
      <c r="Q474" s="87">
        <f t="shared" si="78"/>
        <v>195</v>
      </c>
      <c r="R474" s="87">
        <f t="shared" si="79"/>
        <v>100</v>
      </c>
      <c r="S474" s="85">
        <f t="shared" si="80"/>
        <v>695</v>
      </c>
      <c r="T474" s="85">
        <f>0</f>
        <v>0</v>
      </c>
      <c r="U474" s="83"/>
      <c r="V474" s="83"/>
      <c r="W474" s="83"/>
      <c r="X474" s="83"/>
      <c r="Y474" s="83"/>
      <c r="Z474" s="83"/>
      <c r="AA474" s="83"/>
      <c r="AB474" s="83"/>
      <c r="AC474" s="83"/>
      <c r="AD474" s="83"/>
    </row>
    <row r="475" spans="1:30" ht="15.75" x14ac:dyDescent="0.25">
      <c r="A475" s="14">
        <v>55031</v>
      </c>
      <c r="B475" s="95">
        <v>31</v>
      </c>
      <c r="C475" s="85">
        <f>194.205</f>
        <v>194.20500000000001</v>
      </c>
      <c r="D475" s="85">
        <f>267.466</f>
        <v>267.46600000000001</v>
      </c>
      <c r="E475" s="92">
        <f>133.845</f>
        <v>133.845</v>
      </c>
      <c r="F475" s="85">
        <f>278.484-40-25-60</f>
        <v>153.48399999999998</v>
      </c>
      <c r="G475" s="87">
        <v>40</v>
      </c>
      <c r="H475" s="85">
        <f t="shared" si="76"/>
        <v>85</v>
      </c>
      <c r="I475" s="85">
        <f t="shared" si="74"/>
        <v>0</v>
      </c>
      <c r="J475" s="87">
        <v>100</v>
      </c>
      <c r="K475" s="87">
        <v>300</v>
      </c>
      <c r="L475" s="85">
        <f t="shared" si="77"/>
        <v>1274</v>
      </c>
      <c r="M475" s="86"/>
      <c r="N475" s="85">
        <f>30</f>
        <v>30</v>
      </c>
      <c r="O475" s="87">
        <v>240</v>
      </c>
      <c r="P475" s="87">
        <v>160</v>
      </c>
      <c r="Q475" s="87">
        <f t="shared" si="78"/>
        <v>195</v>
      </c>
      <c r="R475" s="87">
        <f t="shared" si="79"/>
        <v>100</v>
      </c>
      <c r="S475" s="85">
        <f t="shared" si="80"/>
        <v>695</v>
      </c>
      <c r="T475" s="85">
        <f>0</f>
        <v>0</v>
      </c>
      <c r="U475" s="83"/>
      <c r="V475" s="83"/>
      <c r="W475" s="83"/>
      <c r="X475" s="83"/>
      <c r="Y475" s="83"/>
      <c r="Z475" s="83"/>
      <c r="AA475" s="83"/>
      <c r="AB475" s="83"/>
      <c r="AC475" s="83"/>
      <c r="AD475" s="83"/>
    </row>
    <row r="476" spans="1:30" ht="15.75" x14ac:dyDescent="0.25">
      <c r="A476" s="14">
        <v>55061</v>
      </c>
      <c r="B476" s="95">
        <v>30</v>
      </c>
      <c r="C476" s="85">
        <f>194.205</f>
        <v>194.20500000000001</v>
      </c>
      <c r="D476" s="85">
        <f>267.466</f>
        <v>267.46600000000001</v>
      </c>
      <c r="E476" s="92">
        <f>133.845</f>
        <v>133.845</v>
      </c>
      <c r="F476" s="85">
        <f>278.484-40-25-60</f>
        <v>153.48399999999998</v>
      </c>
      <c r="G476" s="87">
        <v>40</v>
      </c>
      <c r="H476" s="85">
        <f t="shared" si="76"/>
        <v>85</v>
      </c>
      <c r="I476" s="85">
        <f t="shared" si="74"/>
        <v>0</v>
      </c>
      <c r="J476" s="87">
        <v>100</v>
      </c>
      <c r="K476" s="87">
        <v>300</v>
      </c>
      <c r="L476" s="85">
        <f t="shared" si="77"/>
        <v>1274</v>
      </c>
      <c r="M476" s="86"/>
      <c r="N476" s="85">
        <f>30</f>
        <v>30</v>
      </c>
      <c r="O476" s="87">
        <v>240</v>
      </c>
      <c r="P476" s="87">
        <v>160</v>
      </c>
      <c r="Q476" s="87">
        <f t="shared" si="78"/>
        <v>195</v>
      </c>
      <c r="R476" s="87">
        <f t="shared" si="79"/>
        <v>100</v>
      </c>
      <c r="S476" s="85">
        <f t="shared" si="80"/>
        <v>695</v>
      </c>
      <c r="T476" s="85">
        <f>0</f>
        <v>0</v>
      </c>
      <c r="U476" s="83"/>
      <c r="V476" s="83"/>
      <c r="W476" s="83"/>
      <c r="X476" s="83"/>
      <c r="Y476" s="83"/>
      <c r="Z476" s="83"/>
      <c r="AA476" s="83"/>
      <c r="AB476" s="83"/>
      <c r="AC476" s="83"/>
      <c r="AD476" s="83"/>
    </row>
    <row r="477" spans="1:30" ht="15.75" x14ac:dyDescent="0.25">
      <c r="A477" s="14">
        <v>55092</v>
      </c>
      <c r="B477" s="95">
        <v>31</v>
      </c>
      <c r="C477" s="85">
        <f>131.881</f>
        <v>131.881</v>
      </c>
      <c r="D477" s="85">
        <f>277.167</f>
        <v>277.16699999999997</v>
      </c>
      <c r="E477" s="92">
        <f>79.08</f>
        <v>79.08</v>
      </c>
      <c r="F477" s="85">
        <f>350.872-40-25-60</f>
        <v>225.87200000000001</v>
      </c>
      <c r="G477" s="87">
        <v>40</v>
      </c>
      <c r="H477" s="85">
        <f t="shared" si="76"/>
        <v>85</v>
      </c>
      <c r="I477" s="85">
        <f t="shared" si="74"/>
        <v>0</v>
      </c>
      <c r="J477" s="87">
        <v>100</v>
      </c>
      <c r="K477" s="87">
        <v>300</v>
      </c>
      <c r="L477" s="85">
        <f t="shared" si="77"/>
        <v>1239</v>
      </c>
      <c r="M477" s="86"/>
      <c r="N477" s="85">
        <f>75</f>
        <v>75</v>
      </c>
      <c r="O477" s="87">
        <v>240</v>
      </c>
      <c r="P477" s="87">
        <v>160</v>
      </c>
      <c r="Q477" s="87">
        <f t="shared" si="78"/>
        <v>195</v>
      </c>
      <c r="R477" s="87">
        <f t="shared" si="79"/>
        <v>100</v>
      </c>
      <c r="S477" s="85">
        <f t="shared" si="80"/>
        <v>695</v>
      </c>
      <c r="T477" s="85">
        <f>0</f>
        <v>0</v>
      </c>
      <c r="U477" s="83"/>
      <c r="V477" s="83"/>
      <c r="W477" s="83"/>
      <c r="X477" s="83"/>
      <c r="Y477" s="83"/>
      <c r="Z477" s="83"/>
      <c r="AA477" s="83"/>
      <c r="AB477" s="83"/>
      <c r="AC477" s="83"/>
      <c r="AD477" s="83"/>
    </row>
    <row r="478" spans="1:30" ht="15.75" x14ac:dyDescent="0.25">
      <c r="A478" s="14">
        <v>55122</v>
      </c>
      <c r="B478" s="95">
        <v>30</v>
      </c>
      <c r="C478" s="85">
        <f>122.58</f>
        <v>122.58</v>
      </c>
      <c r="D478" s="85">
        <f>297.941</f>
        <v>297.94099999999997</v>
      </c>
      <c r="E478" s="92">
        <f>89.177</f>
        <v>89.177000000000007</v>
      </c>
      <c r="F478" s="85">
        <f>240.302-40-60</f>
        <v>140.30199999999999</v>
      </c>
      <c r="G478" s="87">
        <v>40</v>
      </c>
      <c r="H478" s="85">
        <v>60</v>
      </c>
      <c r="I478" s="85">
        <f t="shared" si="74"/>
        <v>0</v>
      </c>
      <c r="J478" s="87">
        <v>100</v>
      </c>
      <c r="K478" s="87">
        <v>300</v>
      </c>
      <c r="L478" s="85">
        <f t="shared" si="77"/>
        <v>1150</v>
      </c>
      <c r="M478" s="86"/>
      <c r="N478" s="85">
        <f>100</f>
        <v>100</v>
      </c>
      <c r="O478" s="87">
        <v>240</v>
      </c>
      <c r="P478" s="87">
        <v>40</v>
      </c>
      <c r="Q478" s="87">
        <f t="shared" si="78"/>
        <v>315</v>
      </c>
      <c r="R478" s="87">
        <f t="shared" si="79"/>
        <v>100</v>
      </c>
      <c r="S478" s="85">
        <f t="shared" si="80"/>
        <v>695</v>
      </c>
      <c r="T478" s="85">
        <f>50</f>
        <v>50</v>
      </c>
      <c r="U478" s="83"/>
      <c r="V478" s="83"/>
      <c r="W478" s="83"/>
      <c r="X478" s="83"/>
      <c r="Y478" s="83"/>
      <c r="Z478" s="83"/>
      <c r="AA478" s="83"/>
      <c r="AB478" s="83"/>
      <c r="AC478" s="83"/>
      <c r="AD478" s="83"/>
    </row>
    <row r="479" spans="1:30" ht="15.75" x14ac:dyDescent="0.25">
      <c r="A479" s="14">
        <v>55153</v>
      </c>
      <c r="B479" s="95">
        <v>31</v>
      </c>
      <c r="C479" s="85">
        <f>122.58</f>
        <v>122.58</v>
      </c>
      <c r="D479" s="85">
        <f>297.941</f>
        <v>297.94099999999997</v>
      </c>
      <c r="E479" s="92">
        <f>89.177</f>
        <v>89.177000000000007</v>
      </c>
      <c r="F479" s="85">
        <f>240.302-40-60</f>
        <v>140.30199999999999</v>
      </c>
      <c r="G479" s="87">
        <v>40</v>
      </c>
      <c r="H479" s="85">
        <v>60</v>
      </c>
      <c r="I479" s="85">
        <f t="shared" si="74"/>
        <v>0</v>
      </c>
      <c r="J479" s="87">
        <v>100</v>
      </c>
      <c r="K479" s="87">
        <v>300</v>
      </c>
      <c r="L479" s="85">
        <f t="shared" si="77"/>
        <v>1150</v>
      </c>
      <c r="M479" s="86"/>
      <c r="N479" s="85">
        <f>100</f>
        <v>100</v>
      </c>
      <c r="O479" s="87">
        <v>240</v>
      </c>
      <c r="P479" s="87">
        <v>40</v>
      </c>
      <c r="Q479" s="87">
        <f t="shared" si="78"/>
        <v>315</v>
      </c>
      <c r="R479" s="87">
        <f t="shared" si="79"/>
        <v>100</v>
      </c>
      <c r="S479" s="85">
        <f t="shared" si="80"/>
        <v>695</v>
      </c>
      <c r="T479" s="85">
        <f>50</f>
        <v>50</v>
      </c>
      <c r="U479" s="83"/>
      <c r="V479" s="83"/>
      <c r="W479" s="83"/>
      <c r="X479" s="83"/>
      <c r="Y479" s="83"/>
      <c r="Z479" s="83"/>
      <c r="AA479" s="83"/>
      <c r="AB479" s="83"/>
      <c r="AC479" s="83"/>
      <c r="AD479" s="83"/>
    </row>
    <row r="480" spans="1:30" ht="15.75" x14ac:dyDescent="0.25">
      <c r="A480" s="14">
        <v>55184</v>
      </c>
      <c r="B480" s="95">
        <v>31</v>
      </c>
      <c r="C480" s="85">
        <f>122.58</f>
        <v>122.58</v>
      </c>
      <c r="D480" s="85">
        <f>297.941</f>
        <v>297.94099999999997</v>
      </c>
      <c r="E480" s="92">
        <f>89.177</f>
        <v>89.177000000000007</v>
      </c>
      <c r="F480" s="85">
        <f>240.302-40-60</f>
        <v>140.30199999999999</v>
      </c>
      <c r="G480" s="87">
        <v>40</v>
      </c>
      <c r="H480" s="85">
        <v>60</v>
      </c>
      <c r="I480" s="85">
        <f t="shared" si="74"/>
        <v>0</v>
      </c>
      <c r="J480" s="87">
        <v>100</v>
      </c>
      <c r="K480" s="87">
        <v>300</v>
      </c>
      <c r="L480" s="85">
        <f t="shared" si="77"/>
        <v>1150</v>
      </c>
      <c r="M480" s="86"/>
      <c r="N480" s="85">
        <f>100</f>
        <v>100</v>
      </c>
      <c r="O480" s="87">
        <v>240</v>
      </c>
      <c r="P480" s="87">
        <v>40</v>
      </c>
      <c r="Q480" s="87">
        <f t="shared" si="78"/>
        <v>315</v>
      </c>
      <c r="R480" s="87">
        <f t="shared" si="79"/>
        <v>100</v>
      </c>
      <c r="S480" s="85">
        <f t="shared" si="80"/>
        <v>695</v>
      </c>
      <c r="T480" s="85">
        <f>50</f>
        <v>50</v>
      </c>
      <c r="U480" s="83"/>
      <c r="V480" s="83"/>
      <c r="W480" s="83"/>
      <c r="X480" s="83"/>
      <c r="Y480" s="83"/>
      <c r="Z480" s="83"/>
      <c r="AA480" s="83"/>
      <c r="AB480" s="83"/>
      <c r="AC480" s="83"/>
      <c r="AD480" s="83"/>
    </row>
    <row r="481" spans="1:30" ht="15.75" x14ac:dyDescent="0.25">
      <c r="A481" s="14">
        <v>55212</v>
      </c>
      <c r="B481" s="95">
        <v>28</v>
      </c>
      <c r="C481" s="85">
        <f>122.58</f>
        <v>122.58</v>
      </c>
      <c r="D481" s="85">
        <f>297.941</f>
        <v>297.94099999999997</v>
      </c>
      <c r="E481" s="92">
        <f>89.177</f>
        <v>89.177000000000007</v>
      </c>
      <c r="F481" s="85">
        <f>240.302-40-60</f>
        <v>140.30199999999999</v>
      </c>
      <c r="G481" s="87">
        <v>40</v>
      </c>
      <c r="H481" s="85">
        <v>60</v>
      </c>
      <c r="I481" s="85">
        <f t="shared" si="74"/>
        <v>0</v>
      </c>
      <c r="J481" s="87">
        <v>100</v>
      </c>
      <c r="K481" s="87">
        <v>300</v>
      </c>
      <c r="L481" s="85">
        <f t="shared" si="77"/>
        <v>1150</v>
      </c>
      <c r="M481" s="86"/>
      <c r="N481" s="85">
        <f>100</f>
        <v>100</v>
      </c>
      <c r="O481" s="87">
        <v>240</v>
      </c>
      <c r="P481" s="87">
        <v>40</v>
      </c>
      <c r="Q481" s="87">
        <f t="shared" si="78"/>
        <v>315</v>
      </c>
      <c r="R481" s="87">
        <f t="shared" si="79"/>
        <v>100</v>
      </c>
      <c r="S481" s="85">
        <f t="shared" si="80"/>
        <v>695</v>
      </c>
      <c r="T481" s="85">
        <f>50</f>
        <v>50</v>
      </c>
      <c r="U481" s="83"/>
      <c r="V481" s="83"/>
      <c r="W481" s="83"/>
      <c r="X481" s="83"/>
      <c r="Y481" s="83"/>
      <c r="Z481" s="83"/>
      <c r="AA481" s="83"/>
      <c r="AB481" s="83"/>
      <c r="AC481" s="83"/>
      <c r="AD481" s="83"/>
    </row>
    <row r="482" spans="1:30" ht="15.75" x14ac:dyDescent="0.25">
      <c r="A482" s="14">
        <v>55243</v>
      </c>
      <c r="B482" s="95">
        <v>31</v>
      </c>
      <c r="C482" s="85">
        <f>122.58</f>
        <v>122.58</v>
      </c>
      <c r="D482" s="85">
        <f>297.941</f>
        <v>297.94099999999997</v>
      </c>
      <c r="E482" s="92">
        <f>89.177</f>
        <v>89.177000000000007</v>
      </c>
      <c r="F482" s="85">
        <f>240.302-40-60</f>
        <v>140.30199999999999</v>
      </c>
      <c r="G482" s="87">
        <v>40</v>
      </c>
      <c r="H482" s="85">
        <v>60</v>
      </c>
      <c r="I482" s="85">
        <f t="shared" si="74"/>
        <v>0</v>
      </c>
      <c r="J482" s="87">
        <v>100</v>
      </c>
      <c r="K482" s="87">
        <v>300</v>
      </c>
      <c r="L482" s="85">
        <f t="shared" si="77"/>
        <v>1150</v>
      </c>
      <c r="M482" s="86"/>
      <c r="N482" s="85">
        <f>100</f>
        <v>100</v>
      </c>
      <c r="O482" s="87">
        <v>240</v>
      </c>
      <c r="P482" s="87">
        <v>40</v>
      </c>
      <c r="Q482" s="87">
        <f t="shared" si="78"/>
        <v>315</v>
      </c>
      <c r="R482" s="87">
        <f t="shared" si="79"/>
        <v>100</v>
      </c>
      <c r="S482" s="85">
        <f t="shared" si="80"/>
        <v>695</v>
      </c>
      <c r="T482" s="85">
        <f>50</f>
        <v>50</v>
      </c>
      <c r="U482" s="83"/>
      <c r="V482" s="83"/>
      <c r="W482" s="83"/>
      <c r="X482" s="83"/>
      <c r="Y482" s="83"/>
      <c r="Z482" s="83"/>
      <c r="AA482" s="83"/>
      <c r="AB482" s="83"/>
      <c r="AC482" s="83"/>
      <c r="AD482" s="83"/>
    </row>
    <row r="483" spans="1:30" ht="15.75" x14ac:dyDescent="0.25">
      <c r="A483" s="14">
        <v>55273</v>
      </c>
      <c r="B483" s="95">
        <v>30</v>
      </c>
      <c r="C483" s="85">
        <f>141.293</f>
        <v>141.29300000000001</v>
      </c>
      <c r="D483" s="85">
        <f>267.993</f>
        <v>267.99299999999999</v>
      </c>
      <c r="E483" s="92">
        <f>115.016</f>
        <v>115.01600000000001</v>
      </c>
      <c r="F483" s="85">
        <f>314.698-40-25-60</f>
        <v>189.69799999999998</v>
      </c>
      <c r="G483" s="87">
        <v>40</v>
      </c>
      <c r="H483" s="85">
        <f t="shared" ref="H483:H489" si="81">25+60</f>
        <v>85</v>
      </c>
      <c r="I483" s="85">
        <f t="shared" si="74"/>
        <v>0</v>
      </c>
      <c r="J483" s="87">
        <v>100</v>
      </c>
      <c r="K483" s="87">
        <v>300</v>
      </c>
      <c r="L483" s="85">
        <f t="shared" si="77"/>
        <v>1239</v>
      </c>
      <c r="M483" s="86"/>
      <c r="N483" s="85">
        <f>100</f>
        <v>100</v>
      </c>
      <c r="O483" s="87">
        <v>240</v>
      </c>
      <c r="P483" s="87">
        <v>160</v>
      </c>
      <c r="Q483" s="87">
        <f t="shared" si="78"/>
        <v>195</v>
      </c>
      <c r="R483" s="87">
        <f t="shared" si="79"/>
        <v>100</v>
      </c>
      <c r="S483" s="85">
        <f t="shared" si="80"/>
        <v>695</v>
      </c>
      <c r="T483" s="85">
        <f>50</f>
        <v>50</v>
      </c>
      <c r="U483" s="83"/>
      <c r="V483" s="83"/>
      <c r="W483" s="83"/>
      <c r="X483" s="83"/>
      <c r="Y483" s="83"/>
      <c r="Z483" s="83"/>
      <c r="AA483" s="83"/>
      <c r="AB483" s="83"/>
      <c r="AC483" s="83"/>
      <c r="AD483" s="83"/>
    </row>
    <row r="484" spans="1:30" ht="15.75" x14ac:dyDescent="0.25">
      <c r="A484" s="14">
        <v>55304</v>
      </c>
      <c r="B484" s="95">
        <v>31</v>
      </c>
      <c r="C484" s="85">
        <f>194.205</f>
        <v>194.20500000000001</v>
      </c>
      <c r="D484" s="85">
        <f>267.466</f>
        <v>267.46600000000001</v>
      </c>
      <c r="E484" s="92">
        <f>133.845</f>
        <v>133.845</v>
      </c>
      <c r="F484" s="85">
        <f>278.484-40-25-60</f>
        <v>153.48399999999998</v>
      </c>
      <c r="G484" s="87">
        <v>40</v>
      </c>
      <c r="H484" s="85">
        <f t="shared" si="81"/>
        <v>85</v>
      </c>
      <c r="I484" s="85">
        <f t="shared" si="74"/>
        <v>0</v>
      </c>
      <c r="J484" s="87">
        <v>100</v>
      </c>
      <c r="K484" s="87">
        <v>300</v>
      </c>
      <c r="L484" s="85">
        <f t="shared" si="77"/>
        <v>1274</v>
      </c>
      <c r="M484" s="86"/>
      <c r="N484" s="85">
        <f>75</f>
        <v>75</v>
      </c>
      <c r="O484" s="87">
        <v>240</v>
      </c>
      <c r="P484" s="87">
        <v>160</v>
      </c>
      <c r="Q484" s="87">
        <f t="shared" si="78"/>
        <v>195</v>
      </c>
      <c r="R484" s="87">
        <f t="shared" si="79"/>
        <v>100</v>
      </c>
      <c r="S484" s="85">
        <f t="shared" si="80"/>
        <v>695</v>
      </c>
      <c r="T484" s="85">
        <f>50</f>
        <v>50</v>
      </c>
      <c r="U484" s="83"/>
      <c r="V484" s="83"/>
      <c r="W484" s="83"/>
      <c r="X484" s="83"/>
      <c r="Y484" s="83"/>
      <c r="Z484" s="83"/>
      <c r="AA484" s="83"/>
      <c r="AB484" s="83"/>
      <c r="AC484" s="83"/>
      <c r="AD484" s="83"/>
    </row>
    <row r="485" spans="1:30" ht="15.75" x14ac:dyDescent="0.25">
      <c r="A485" s="14">
        <v>55334</v>
      </c>
      <c r="B485" s="95">
        <v>30</v>
      </c>
      <c r="C485" s="85">
        <f>194.205</f>
        <v>194.20500000000001</v>
      </c>
      <c r="D485" s="85">
        <f>267.466</f>
        <v>267.46600000000001</v>
      </c>
      <c r="E485" s="92">
        <f>133.845</f>
        <v>133.845</v>
      </c>
      <c r="F485" s="85">
        <f>278.484-40-25-60</f>
        <v>153.48399999999998</v>
      </c>
      <c r="G485" s="87">
        <v>40</v>
      </c>
      <c r="H485" s="85">
        <f t="shared" si="81"/>
        <v>85</v>
      </c>
      <c r="I485" s="85">
        <f t="shared" si="74"/>
        <v>0</v>
      </c>
      <c r="J485" s="87">
        <v>100</v>
      </c>
      <c r="K485" s="87">
        <v>300</v>
      </c>
      <c r="L485" s="85">
        <f t="shared" si="77"/>
        <v>1274</v>
      </c>
      <c r="M485" s="86"/>
      <c r="N485" s="85">
        <f>30</f>
        <v>30</v>
      </c>
      <c r="O485" s="87">
        <v>240</v>
      </c>
      <c r="P485" s="87">
        <v>160</v>
      </c>
      <c r="Q485" s="87">
        <f t="shared" si="78"/>
        <v>195</v>
      </c>
      <c r="R485" s="87">
        <f t="shared" si="79"/>
        <v>100</v>
      </c>
      <c r="S485" s="85">
        <f t="shared" si="80"/>
        <v>695</v>
      </c>
      <c r="T485" s="85">
        <f>50</f>
        <v>50</v>
      </c>
      <c r="U485" s="83"/>
      <c r="V485" s="83"/>
      <c r="W485" s="83"/>
      <c r="X485" s="83"/>
      <c r="Y485" s="83"/>
      <c r="Z485" s="83"/>
      <c r="AA485" s="83"/>
      <c r="AB485" s="83"/>
      <c r="AC485" s="83"/>
      <c r="AD485" s="83"/>
    </row>
    <row r="486" spans="1:30" ht="15.75" x14ac:dyDescent="0.25">
      <c r="A486" s="14">
        <v>55365</v>
      </c>
      <c r="B486" s="95">
        <v>31</v>
      </c>
      <c r="C486" s="85">
        <f>194.205</f>
        <v>194.20500000000001</v>
      </c>
      <c r="D486" s="85">
        <f>267.466</f>
        <v>267.46600000000001</v>
      </c>
      <c r="E486" s="92">
        <f>133.845</f>
        <v>133.845</v>
      </c>
      <c r="F486" s="85">
        <f>278.484-40-25-60</f>
        <v>153.48399999999998</v>
      </c>
      <c r="G486" s="87">
        <v>40</v>
      </c>
      <c r="H486" s="85">
        <f t="shared" si="81"/>
        <v>85</v>
      </c>
      <c r="I486" s="85">
        <f t="shared" si="74"/>
        <v>0</v>
      </c>
      <c r="J486" s="87">
        <v>100</v>
      </c>
      <c r="K486" s="87">
        <v>300</v>
      </c>
      <c r="L486" s="85">
        <f t="shared" si="77"/>
        <v>1274</v>
      </c>
      <c r="M486" s="86"/>
      <c r="N486" s="85">
        <f>30</f>
        <v>30</v>
      </c>
      <c r="O486" s="87">
        <v>240</v>
      </c>
      <c r="P486" s="87">
        <v>160</v>
      </c>
      <c r="Q486" s="87">
        <f t="shared" si="78"/>
        <v>195</v>
      </c>
      <c r="R486" s="87">
        <f t="shared" si="79"/>
        <v>100</v>
      </c>
      <c r="S486" s="85">
        <f t="shared" si="80"/>
        <v>695</v>
      </c>
      <c r="T486" s="85">
        <f>0</f>
        <v>0</v>
      </c>
      <c r="U486" s="83"/>
      <c r="V486" s="83"/>
      <c r="W486" s="83"/>
      <c r="X486" s="83"/>
      <c r="Y486" s="83"/>
      <c r="Z486" s="83"/>
      <c r="AA486" s="83"/>
      <c r="AB486" s="83"/>
      <c r="AC486" s="83"/>
      <c r="AD486" s="83"/>
    </row>
    <row r="487" spans="1:30" ht="15.75" x14ac:dyDescent="0.25">
      <c r="A487" s="14">
        <v>55396</v>
      </c>
      <c r="B487" s="95">
        <v>31</v>
      </c>
      <c r="C487" s="85">
        <f>194.205</f>
        <v>194.20500000000001</v>
      </c>
      <c r="D487" s="85">
        <f>267.466</f>
        <v>267.46600000000001</v>
      </c>
      <c r="E487" s="92">
        <f>133.845</f>
        <v>133.845</v>
      </c>
      <c r="F487" s="85">
        <f>278.484-40-25-60</f>
        <v>153.48399999999998</v>
      </c>
      <c r="G487" s="87">
        <v>40</v>
      </c>
      <c r="H487" s="85">
        <f t="shared" si="81"/>
        <v>85</v>
      </c>
      <c r="I487" s="85">
        <f t="shared" si="74"/>
        <v>0</v>
      </c>
      <c r="J487" s="87">
        <v>100</v>
      </c>
      <c r="K487" s="87">
        <v>300</v>
      </c>
      <c r="L487" s="85">
        <f t="shared" si="77"/>
        <v>1274</v>
      </c>
      <c r="M487" s="86"/>
      <c r="N487" s="85">
        <f>30</f>
        <v>30</v>
      </c>
      <c r="O487" s="87">
        <v>240</v>
      </c>
      <c r="P487" s="87">
        <v>160</v>
      </c>
      <c r="Q487" s="87">
        <f t="shared" si="78"/>
        <v>195</v>
      </c>
      <c r="R487" s="87">
        <f t="shared" si="79"/>
        <v>100</v>
      </c>
      <c r="S487" s="85">
        <f t="shared" si="80"/>
        <v>695</v>
      </c>
      <c r="T487" s="85">
        <f>0</f>
        <v>0</v>
      </c>
      <c r="U487" s="83"/>
      <c r="V487" s="83"/>
      <c r="W487" s="83"/>
      <c r="X487" s="83"/>
      <c r="Y487" s="83"/>
      <c r="Z487" s="83"/>
      <c r="AA487" s="83"/>
      <c r="AB487" s="83"/>
      <c r="AC487" s="83"/>
      <c r="AD487" s="83"/>
    </row>
    <row r="488" spans="1:30" ht="15.75" x14ac:dyDescent="0.25">
      <c r="A488" s="14">
        <v>55426</v>
      </c>
      <c r="B488" s="95">
        <v>30</v>
      </c>
      <c r="C488" s="85">
        <f>194.205</f>
        <v>194.20500000000001</v>
      </c>
      <c r="D488" s="85">
        <f>267.466</f>
        <v>267.46600000000001</v>
      </c>
      <c r="E488" s="92">
        <f>133.845</f>
        <v>133.845</v>
      </c>
      <c r="F488" s="85">
        <f>278.484-40-25-60</f>
        <v>153.48399999999998</v>
      </c>
      <c r="G488" s="87">
        <v>40</v>
      </c>
      <c r="H488" s="85">
        <f t="shared" si="81"/>
        <v>85</v>
      </c>
      <c r="I488" s="85">
        <f t="shared" si="74"/>
        <v>0</v>
      </c>
      <c r="J488" s="87">
        <v>100</v>
      </c>
      <c r="K488" s="87">
        <v>300</v>
      </c>
      <c r="L488" s="85">
        <f t="shared" si="77"/>
        <v>1274</v>
      </c>
      <c r="M488" s="86"/>
      <c r="N488" s="85">
        <f>30</f>
        <v>30</v>
      </c>
      <c r="O488" s="87">
        <v>240</v>
      </c>
      <c r="P488" s="87">
        <v>160</v>
      </c>
      <c r="Q488" s="87">
        <f t="shared" si="78"/>
        <v>195</v>
      </c>
      <c r="R488" s="87">
        <f t="shared" si="79"/>
        <v>100</v>
      </c>
      <c r="S488" s="85">
        <f t="shared" si="80"/>
        <v>695</v>
      </c>
      <c r="T488" s="85">
        <f>0</f>
        <v>0</v>
      </c>
      <c r="U488" s="83"/>
      <c r="V488" s="83"/>
      <c r="W488" s="83"/>
      <c r="X488" s="83"/>
      <c r="Y488" s="83"/>
      <c r="Z488" s="83"/>
      <c r="AA488" s="83"/>
      <c r="AB488" s="83"/>
      <c r="AC488" s="83"/>
      <c r="AD488" s="83"/>
    </row>
    <row r="489" spans="1:30" ht="15.75" x14ac:dyDescent="0.25">
      <c r="A489" s="14">
        <v>55457</v>
      </c>
      <c r="B489" s="95">
        <v>31</v>
      </c>
      <c r="C489" s="85">
        <f>131.881</f>
        <v>131.881</v>
      </c>
      <c r="D489" s="85">
        <f>277.167</f>
        <v>277.16699999999997</v>
      </c>
      <c r="E489" s="92">
        <f>79.08</f>
        <v>79.08</v>
      </c>
      <c r="F489" s="85">
        <f>350.872-40-25-60</f>
        <v>225.87200000000001</v>
      </c>
      <c r="G489" s="87">
        <v>40</v>
      </c>
      <c r="H489" s="85">
        <f t="shared" si="81"/>
        <v>85</v>
      </c>
      <c r="I489" s="85">
        <f t="shared" si="74"/>
        <v>0</v>
      </c>
      <c r="J489" s="87">
        <v>100</v>
      </c>
      <c r="K489" s="87">
        <v>300</v>
      </c>
      <c r="L489" s="85">
        <f t="shared" si="77"/>
        <v>1239</v>
      </c>
      <c r="M489" s="86"/>
      <c r="N489" s="85">
        <f>75</f>
        <v>75</v>
      </c>
      <c r="O489" s="87">
        <v>240</v>
      </c>
      <c r="P489" s="87">
        <v>160</v>
      </c>
      <c r="Q489" s="87">
        <f t="shared" si="78"/>
        <v>195</v>
      </c>
      <c r="R489" s="87">
        <f t="shared" si="79"/>
        <v>100</v>
      </c>
      <c r="S489" s="85">
        <f t="shared" si="80"/>
        <v>695</v>
      </c>
      <c r="T489" s="85">
        <f>0</f>
        <v>0</v>
      </c>
      <c r="U489" s="83"/>
      <c r="V489" s="83"/>
      <c r="W489" s="83"/>
      <c r="X489" s="83"/>
      <c r="Y489" s="83"/>
      <c r="Z489" s="83"/>
      <c r="AA489" s="83"/>
      <c r="AB489" s="83"/>
      <c r="AC489" s="83"/>
      <c r="AD489" s="83"/>
    </row>
    <row r="490" spans="1:30" ht="15.75" x14ac:dyDescent="0.25">
      <c r="A490" s="14">
        <v>55487</v>
      </c>
      <c r="B490" s="95">
        <v>30</v>
      </c>
      <c r="C490" s="85">
        <f>122.58</f>
        <v>122.58</v>
      </c>
      <c r="D490" s="85">
        <f>297.941</f>
        <v>297.94099999999997</v>
      </c>
      <c r="E490" s="92">
        <f>89.177</f>
        <v>89.177000000000007</v>
      </c>
      <c r="F490" s="85">
        <f>240.302-40-60</f>
        <v>140.30199999999999</v>
      </c>
      <c r="G490" s="87">
        <v>40</v>
      </c>
      <c r="H490" s="85">
        <v>60</v>
      </c>
      <c r="I490" s="85">
        <f t="shared" si="74"/>
        <v>0</v>
      </c>
      <c r="J490" s="87">
        <v>100</v>
      </c>
      <c r="K490" s="87">
        <v>300</v>
      </c>
      <c r="L490" s="85">
        <f t="shared" si="77"/>
        <v>1150</v>
      </c>
      <c r="M490" s="86"/>
      <c r="N490" s="85">
        <f>100</f>
        <v>100</v>
      </c>
      <c r="O490" s="87">
        <v>240</v>
      </c>
      <c r="P490" s="87">
        <v>40</v>
      </c>
      <c r="Q490" s="87">
        <f t="shared" si="78"/>
        <v>315</v>
      </c>
      <c r="R490" s="87">
        <f t="shared" si="79"/>
        <v>100</v>
      </c>
      <c r="S490" s="85">
        <f t="shared" si="80"/>
        <v>695</v>
      </c>
      <c r="T490" s="85">
        <f>50</f>
        <v>50</v>
      </c>
      <c r="U490" s="83"/>
      <c r="V490" s="83"/>
      <c r="W490" s="83"/>
      <c r="X490" s="83"/>
      <c r="Y490" s="83"/>
      <c r="Z490" s="83"/>
      <c r="AA490" s="83"/>
      <c r="AB490" s="83"/>
      <c r="AC490" s="83"/>
      <c r="AD490" s="83"/>
    </row>
    <row r="491" spans="1:30" ht="15.75" x14ac:dyDescent="0.25">
      <c r="A491" s="14">
        <v>55518</v>
      </c>
      <c r="B491" s="95">
        <v>31</v>
      </c>
      <c r="C491" s="85">
        <f>122.58</f>
        <v>122.58</v>
      </c>
      <c r="D491" s="85">
        <f>297.941</f>
        <v>297.94099999999997</v>
      </c>
      <c r="E491" s="92">
        <f>89.177</f>
        <v>89.177000000000007</v>
      </c>
      <c r="F491" s="85">
        <f>240.302-40-60</f>
        <v>140.30199999999999</v>
      </c>
      <c r="G491" s="87">
        <v>40</v>
      </c>
      <c r="H491" s="85">
        <v>60</v>
      </c>
      <c r="I491" s="85">
        <f t="shared" si="74"/>
        <v>0</v>
      </c>
      <c r="J491" s="87">
        <v>100</v>
      </c>
      <c r="K491" s="87">
        <v>300</v>
      </c>
      <c r="L491" s="85">
        <f t="shared" si="77"/>
        <v>1150</v>
      </c>
      <c r="M491" s="86"/>
      <c r="N491" s="85">
        <f>100</f>
        <v>100</v>
      </c>
      <c r="O491" s="87">
        <v>240</v>
      </c>
      <c r="P491" s="87">
        <v>40</v>
      </c>
      <c r="Q491" s="87">
        <f t="shared" si="78"/>
        <v>315</v>
      </c>
      <c r="R491" s="87">
        <f t="shared" si="79"/>
        <v>100</v>
      </c>
      <c r="S491" s="85">
        <f t="shared" si="80"/>
        <v>695</v>
      </c>
      <c r="T491" s="85">
        <f>50</f>
        <v>50</v>
      </c>
      <c r="U491" s="83"/>
      <c r="V491" s="83"/>
      <c r="W491" s="83"/>
      <c r="X491" s="83"/>
      <c r="Y491" s="83"/>
      <c r="Z491" s="83"/>
      <c r="AA491" s="83"/>
      <c r="AB491" s="83"/>
      <c r="AC491" s="83"/>
      <c r="AD491" s="83"/>
    </row>
    <row r="492" spans="1:30" ht="15.75" x14ac:dyDescent="0.25">
      <c r="A492" s="14">
        <v>55549</v>
      </c>
      <c r="B492" s="95">
        <v>31</v>
      </c>
      <c r="C492" s="85">
        <f>122.58</f>
        <v>122.58</v>
      </c>
      <c r="D492" s="85">
        <f>297.941</f>
        <v>297.94099999999997</v>
      </c>
      <c r="E492" s="92">
        <f>89.177</f>
        <v>89.177000000000007</v>
      </c>
      <c r="F492" s="85">
        <f>240.302-40-60</f>
        <v>140.30199999999999</v>
      </c>
      <c r="G492" s="87">
        <v>40</v>
      </c>
      <c r="H492" s="85">
        <v>60</v>
      </c>
      <c r="I492" s="85">
        <f t="shared" si="74"/>
        <v>0</v>
      </c>
      <c r="J492" s="87">
        <v>100</v>
      </c>
      <c r="K492" s="87">
        <v>300</v>
      </c>
      <c r="L492" s="85">
        <f t="shared" si="77"/>
        <v>1150</v>
      </c>
      <c r="M492" s="86"/>
      <c r="N492" s="85">
        <f>100</f>
        <v>100</v>
      </c>
      <c r="O492" s="87">
        <v>240</v>
      </c>
      <c r="P492" s="87">
        <v>40</v>
      </c>
      <c r="Q492" s="87">
        <f t="shared" si="78"/>
        <v>315</v>
      </c>
      <c r="R492" s="87">
        <f t="shared" si="79"/>
        <v>100</v>
      </c>
      <c r="S492" s="85">
        <f t="shared" si="80"/>
        <v>695</v>
      </c>
      <c r="T492" s="85">
        <f>50</f>
        <v>50</v>
      </c>
      <c r="U492" s="83"/>
      <c r="V492" s="83"/>
      <c r="W492" s="83"/>
      <c r="X492" s="83"/>
      <c r="Y492" s="83"/>
      <c r="Z492" s="83"/>
      <c r="AA492" s="83"/>
      <c r="AB492" s="83"/>
      <c r="AC492" s="83"/>
      <c r="AD492" s="83"/>
    </row>
    <row r="493" spans="1:30" ht="15.75" x14ac:dyDescent="0.25">
      <c r="A493" s="14">
        <v>55577</v>
      </c>
      <c r="B493" s="95">
        <v>29</v>
      </c>
      <c r="C493" s="85">
        <f>122.58</f>
        <v>122.58</v>
      </c>
      <c r="D493" s="85">
        <f>297.941</f>
        <v>297.94099999999997</v>
      </c>
      <c r="E493" s="92">
        <f>89.177</f>
        <v>89.177000000000007</v>
      </c>
      <c r="F493" s="85">
        <f>240.302-40-60</f>
        <v>140.30199999999999</v>
      </c>
      <c r="G493" s="87">
        <v>40</v>
      </c>
      <c r="H493" s="85">
        <v>60</v>
      </c>
      <c r="I493" s="85">
        <f t="shared" si="74"/>
        <v>0</v>
      </c>
      <c r="J493" s="87">
        <v>100</v>
      </c>
      <c r="K493" s="87">
        <v>300</v>
      </c>
      <c r="L493" s="85">
        <f t="shared" si="77"/>
        <v>1150</v>
      </c>
      <c r="M493" s="86"/>
      <c r="N493" s="85">
        <f>100</f>
        <v>100</v>
      </c>
      <c r="O493" s="87">
        <v>240</v>
      </c>
      <c r="P493" s="87">
        <v>40</v>
      </c>
      <c r="Q493" s="87">
        <f t="shared" si="78"/>
        <v>315</v>
      </c>
      <c r="R493" s="87">
        <f t="shared" si="79"/>
        <v>100</v>
      </c>
      <c r="S493" s="85">
        <f t="shared" si="80"/>
        <v>695</v>
      </c>
      <c r="T493" s="85">
        <f>50</f>
        <v>50</v>
      </c>
      <c r="U493" s="83"/>
      <c r="V493" s="83"/>
      <c r="W493" s="83"/>
      <c r="X493" s="83"/>
      <c r="Y493" s="83"/>
      <c r="Z493" s="83"/>
      <c r="AA493" s="83"/>
      <c r="AB493" s="83"/>
      <c r="AC493" s="83"/>
      <c r="AD493" s="83"/>
    </row>
    <row r="494" spans="1:30" ht="15.75" x14ac:dyDescent="0.25">
      <c r="A494" s="14">
        <v>55609</v>
      </c>
      <c r="B494" s="95">
        <v>31</v>
      </c>
      <c r="C494" s="85">
        <f>122.58</f>
        <v>122.58</v>
      </c>
      <c r="D494" s="85">
        <f>297.941</f>
        <v>297.94099999999997</v>
      </c>
      <c r="E494" s="92">
        <f>89.177</f>
        <v>89.177000000000007</v>
      </c>
      <c r="F494" s="85">
        <f>240.302-40-60</f>
        <v>140.30199999999999</v>
      </c>
      <c r="G494" s="87">
        <v>40</v>
      </c>
      <c r="H494" s="85">
        <v>60</v>
      </c>
      <c r="I494" s="85">
        <f t="shared" si="74"/>
        <v>0</v>
      </c>
      <c r="J494" s="87">
        <v>100</v>
      </c>
      <c r="K494" s="87">
        <v>300</v>
      </c>
      <c r="L494" s="85">
        <f t="shared" si="77"/>
        <v>1150</v>
      </c>
      <c r="M494" s="86"/>
      <c r="N494" s="85">
        <f>100</f>
        <v>100</v>
      </c>
      <c r="O494" s="87">
        <v>240</v>
      </c>
      <c r="P494" s="87">
        <v>40</v>
      </c>
      <c r="Q494" s="87">
        <f t="shared" si="78"/>
        <v>315</v>
      </c>
      <c r="R494" s="87">
        <f t="shared" si="79"/>
        <v>100</v>
      </c>
      <c r="S494" s="85">
        <f t="shared" si="80"/>
        <v>695</v>
      </c>
      <c r="T494" s="85">
        <f>50</f>
        <v>50</v>
      </c>
      <c r="U494" s="83"/>
      <c r="V494" s="83"/>
      <c r="W494" s="83"/>
      <c r="X494" s="83"/>
      <c r="Y494" s="83"/>
      <c r="Z494" s="83"/>
      <c r="AA494" s="83"/>
      <c r="AB494" s="83"/>
      <c r="AC494" s="83"/>
      <c r="AD494" s="83"/>
    </row>
    <row r="495" spans="1:30" ht="15.75" x14ac:dyDescent="0.25">
      <c r="A495" s="14">
        <v>55639</v>
      </c>
      <c r="B495" s="95">
        <v>30</v>
      </c>
      <c r="C495" s="85">
        <f>141.293</f>
        <v>141.29300000000001</v>
      </c>
      <c r="D495" s="85">
        <f>267.993</f>
        <v>267.99299999999999</v>
      </c>
      <c r="E495" s="92">
        <f>115.016</f>
        <v>115.01600000000001</v>
      </c>
      <c r="F495" s="85">
        <f>314.698-40-25-60</f>
        <v>189.69799999999998</v>
      </c>
      <c r="G495" s="87">
        <v>40</v>
      </c>
      <c r="H495" s="85">
        <f t="shared" ref="H495:H501" si="82">25+60</f>
        <v>85</v>
      </c>
      <c r="I495" s="85">
        <f t="shared" si="74"/>
        <v>0</v>
      </c>
      <c r="J495" s="87">
        <v>100</v>
      </c>
      <c r="K495" s="87">
        <v>300</v>
      </c>
      <c r="L495" s="85">
        <f t="shared" si="77"/>
        <v>1239</v>
      </c>
      <c r="M495" s="86"/>
      <c r="N495" s="85">
        <f>100</f>
        <v>100</v>
      </c>
      <c r="O495" s="87">
        <v>240</v>
      </c>
      <c r="P495" s="87">
        <v>160</v>
      </c>
      <c r="Q495" s="87">
        <f t="shared" si="78"/>
        <v>195</v>
      </c>
      <c r="R495" s="87">
        <f t="shared" si="79"/>
        <v>100</v>
      </c>
      <c r="S495" s="85">
        <f t="shared" si="80"/>
        <v>695</v>
      </c>
      <c r="T495" s="85">
        <f>50</f>
        <v>50</v>
      </c>
      <c r="U495" s="83"/>
      <c r="V495" s="83"/>
      <c r="W495" s="83"/>
      <c r="X495" s="83"/>
      <c r="Y495" s="83"/>
      <c r="Z495" s="83"/>
      <c r="AA495" s="83"/>
      <c r="AB495" s="83"/>
      <c r="AC495" s="83"/>
      <c r="AD495" s="83"/>
    </row>
    <row r="496" spans="1:30" ht="15.75" x14ac:dyDescent="0.25">
      <c r="A496" s="14">
        <v>55670</v>
      </c>
      <c r="B496" s="95">
        <v>31</v>
      </c>
      <c r="C496" s="85">
        <f>194.205</f>
        <v>194.20500000000001</v>
      </c>
      <c r="D496" s="85">
        <f>267.466</f>
        <v>267.46600000000001</v>
      </c>
      <c r="E496" s="92">
        <f>133.845</f>
        <v>133.845</v>
      </c>
      <c r="F496" s="85">
        <f>278.484-40-25-60</f>
        <v>153.48399999999998</v>
      </c>
      <c r="G496" s="87">
        <v>40</v>
      </c>
      <c r="H496" s="85">
        <f t="shared" si="82"/>
        <v>85</v>
      </c>
      <c r="I496" s="85">
        <f t="shared" si="74"/>
        <v>0</v>
      </c>
      <c r="J496" s="87">
        <v>100</v>
      </c>
      <c r="K496" s="87">
        <v>300</v>
      </c>
      <c r="L496" s="85">
        <f t="shared" si="77"/>
        <v>1274</v>
      </c>
      <c r="M496" s="86"/>
      <c r="N496" s="85">
        <f>75</f>
        <v>75</v>
      </c>
      <c r="O496" s="87">
        <v>240</v>
      </c>
      <c r="P496" s="87">
        <v>160</v>
      </c>
      <c r="Q496" s="87">
        <f t="shared" si="78"/>
        <v>195</v>
      </c>
      <c r="R496" s="87">
        <f t="shared" si="79"/>
        <v>100</v>
      </c>
      <c r="S496" s="85">
        <f t="shared" si="80"/>
        <v>695</v>
      </c>
      <c r="T496" s="85">
        <f>50</f>
        <v>50</v>
      </c>
      <c r="U496" s="83"/>
      <c r="V496" s="83"/>
      <c r="W496" s="83"/>
      <c r="X496" s="83"/>
      <c r="Y496" s="83"/>
      <c r="Z496" s="83"/>
      <c r="AA496" s="83"/>
      <c r="AB496" s="83"/>
      <c r="AC496" s="83"/>
      <c r="AD496" s="83"/>
    </row>
    <row r="497" spans="1:30" ht="15.75" x14ac:dyDescent="0.25">
      <c r="A497" s="14">
        <v>55700</v>
      </c>
      <c r="B497" s="95">
        <v>30</v>
      </c>
      <c r="C497" s="85">
        <f>194.205</f>
        <v>194.20500000000001</v>
      </c>
      <c r="D497" s="85">
        <f>267.466</f>
        <v>267.46600000000001</v>
      </c>
      <c r="E497" s="92">
        <f>133.845</f>
        <v>133.845</v>
      </c>
      <c r="F497" s="85">
        <f>278.484-40-25-60</f>
        <v>153.48399999999998</v>
      </c>
      <c r="G497" s="87">
        <v>40</v>
      </c>
      <c r="H497" s="85">
        <f t="shared" si="82"/>
        <v>85</v>
      </c>
      <c r="I497" s="85">
        <f t="shared" si="74"/>
        <v>0</v>
      </c>
      <c r="J497" s="87">
        <v>100</v>
      </c>
      <c r="K497" s="87">
        <v>300</v>
      </c>
      <c r="L497" s="85">
        <f t="shared" si="77"/>
        <v>1274</v>
      </c>
      <c r="M497" s="86"/>
      <c r="N497" s="85">
        <f>30</f>
        <v>30</v>
      </c>
      <c r="O497" s="87">
        <v>240</v>
      </c>
      <c r="P497" s="87">
        <v>160</v>
      </c>
      <c r="Q497" s="87">
        <f t="shared" si="78"/>
        <v>195</v>
      </c>
      <c r="R497" s="87">
        <f t="shared" si="79"/>
        <v>100</v>
      </c>
      <c r="S497" s="85">
        <f t="shared" si="80"/>
        <v>695</v>
      </c>
      <c r="T497" s="85">
        <f>50</f>
        <v>50</v>
      </c>
      <c r="U497" s="83"/>
      <c r="V497" s="83"/>
      <c r="W497" s="83"/>
      <c r="X497" s="83"/>
      <c r="Y497" s="83"/>
      <c r="Z497" s="83"/>
      <c r="AA497" s="83"/>
      <c r="AB497" s="83"/>
      <c r="AC497" s="83"/>
      <c r="AD497" s="83"/>
    </row>
    <row r="498" spans="1:30" ht="15.75" x14ac:dyDescent="0.25">
      <c r="A498" s="14">
        <v>55731</v>
      </c>
      <c r="B498" s="95">
        <v>31</v>
      </c>
      <c r="C498" s="85">
        <f>194.205</f>
        <v>194.20500000000001</v>
      </c>
      <c r="D498" s="85">
        <f>267.466</f>
        <v>267.46600000000001</v>
      </c>
      <c r="E498" s="92">
        <f>133.845</f>
        <v>133.845</v>
      </c>
      <c r="F498" s="85">
        <f>278.484-40-25-60</f>
        <v>153.48399999999998</v>
      </c>
      <c r="G498" s="87">
        <v>40</v>
      </c>
      <c r="H498" s="85">
        <f t="shared" si="82"/>
        <v>85</v>
      </c>
      <c r="I498" s="85">
        <f t="shared" si="74"/>
        <v>0</v>
      </c>
      <c r="J498" s="87">
        <v>100</v>
      </c>
      <c r="K498" s="87">
        <v>300</v>
      </c>
      <c r="L498" s="85">
        <f t="shared" si="77"/>
        <v>1274</v>
      </c>
      <c r="M498" s="86"/>
      <c r="N498" s="85">
        <f>30</f>
        <v>30</v>
      </c>
      <c r="O498" s="87">
        <v>240</v>
      </c>
      <c r="P498" s="87">
        <v>160</v>
      </c>
      <c r="Q498" s="87">
        <f t="shared" si="78"/>
        <v>195</v>
      </c>
      <c r="R498" s="87">
        <f t="shared" si="79"/>
        <v>100</v>
      </c>
      <c r="S498" s="85">
        <f t="shared" si="80"/>
        <v>695</v>
      </c>
      <c r="T498" s="85">
        <f>0</f>
        <v>0</v>
      </c>
      <c r="U498" s="83"/>
      <c r="V498" s="83"/>
      <c r="W498" s="83"/>
      <c r="X498" s="83"/>
      <c r="Y498" s="83"/>
      <c r="Z498" s="83"/>
      <c r="AA498" s="83"/>
      <c r="AB498" s="83"/>
      <c r="AC498" s="83"/>
      <c r="AD498" s="83"/>
    </row>
    <row r="499" spans="1:30" ht="15.75" x14ac:dyDescent="0.25">
      <c r="A499" s="14">
        <v>55762</v>
      </c>
      <c r="B499" s="95">
        <v>31</v>
      </c>
      <c r="C499" s="85">
        <f>194.205</f>
        <v>194.20500000000001</v>
      </c>
      <c r="D499" s="85">
        <f>267.466</f>
        <v>267.46600000000001</v>
      </c>
      <c r="E499" s="92">
        <f>133.845</f>
        <v>133.845</v>
      </c>
      <c r="F499" s="85">
        <f>278.484-40-25-60</f>
        <v>153.48399999999998</v>
      </c>
      <c r="G499" s="87">
        <v>40</v>
      </c>
      <c r="H499" s="85">
        <f t="shared" si="82"/>
        <v>85</v>
      </c>
      <c r="I499" s="85">
        <f t="shared" si="74"/>
        <v>0</v>
      </c>
      <c r="J499" s="87">
        <v>100</v>
      </c>
      <c r="K499" s="87">
        <v>300</v>
      </c>
      <c r="L499" s="85">
        <f t="shared" si="77"/>
        <v>1274</v>
      </c>
      <c r="M499" s="86"/>
      <c r="N499" s="85">
        <f>30</f>
        <v>30</v>
      </c>
      <c r="O499" s="87">
        <v>240</v>
      </c>
      <c r="P499" s="87">
        <v>160</v>
      </c>
      <c r="Q499" s="87">
        <f t="shared" si="78"/>
        <v>195</v>
      </c>
      <c r="R499" s="87">
        <f t="shared" si="79"/>
        <v>100</v>
      </c>
      <c r="S499" s="85">
        <f t="shared" si="80"/>
        <v>695</v>
      </c>
      <c r="T499" s="85">
        <f>0</f>
        <v>0</v>
      </c>
      <c r="U499" s="83"/>
      <c r="V499" s="83"/>
      <c r="W499" s="83"/>
      <c r="X499" s="83"/>
      <c r="Y499" s="83"/>
      <c r="Z499" s="83"/>
      <c r="AA499" s="83"/>
      <c r="AB499" s="83"/>
      <c r="AC499" s="83"/>
      <c r="AD499" s="83"/>
    </row>
    <row r="500" spans="1:30" ht="15.75" x14ac:dyDescent="0.25">
      <c r="A500" s="14">
        <v>55792</v>
      </c>
      <c r="B500" s="95">
        <v>30</v>
      </c>
      <c r="C500" s="85">
        <f>194.205</f>
        <v>194.20500000000001</v>
      </c>
      <c r="D500" s="85">
        <f>267.466</f>
        <v>267.46600000000001</v>
      </c>
      <c r="E500" s="92">
        <f>133.845</f>
        <v>133.845</v>
      </c>
      <c r="F500" s="85">
        <f>278.484-40-25-60</f>
        <v>153.48399999999998</v>
      </c>
      <c r="G500" s="87">
        <v>40</v>
      </c>
      <c r="H500" s="85">
        <f t="shared" si="82"/>
        <v>85</v>
      </c>
      <c r="I500" s="85">
        <f t="shared" si="74"/>
        <v>0</v>
      </c>
      <c r="J500" s="87">
        <v>100</v>
      </c>
      <c r="K500" s="87">
        <v>300</v>
      </c>
      <c r="L500" s="85">
        <f t="shared" si="77"/>
        <v>1274</v>
      </c>
      <c r="M500" s="86"/>
      <c r="N500" s="85">
        <f>30</f>
        <v>30</v>
      </c>
      <c r="O500" s="87">
        <v>240</v>
      </c>
      <c r="P500" s="87">
        <v>160</v>
      </c>
      <c r="Q500" s="87">
        <f t="shared" si="78"/>
        <v>195</v>
      </c>
      <c r="R500" s="87">
        <f t="shared" si="79"/>
        <v>100</v>
      </c>
      <c r="S500" s="85">
        <f t="shared" si="80"/>
        <v>695</v>
      </c>
      <c r="T500" s="85">
        <f>0</f>
        <v>0</v>
      </c>
      <c r="U500" s="83"/>
      <c r="V500" s="83"/>
      <c r="W500" s="83"/>
      <c r="X500" s="83"/>
      <c r="Y500" s="83"/>
      <c r="Z500" s="83"/>
      <c r="AA500" s="83"/>
      <c r="AB500" s="83"/>
      <c r="AC500" s="83"/>
      <c r="AD500" s="83"/>
    </row>
    <row r="501" spans="1:30" ht="15.75" x14ac:dyDescent="0.25">
      <c r="A501" s="14">
        <v>55823</v>
      </c>
      <c r="B501" s="95">
        <v>31</v>
      </c>
      <c r="C501" s="85">
        <f>131.881</f>
        <v>131.881</v>
      </c>
      <c r="D501" s="85">
        <f>277.167</f>
        <v>277.16699999999997</v>
      </c>
      <c r="E501" s="92">
        <f>79.08</f>
        <v>79.08</v>
      </c>
      <c r="F501" s="85">
        <f>350.872-40-25-60</f>
        <v>225.87200000000001</v>
      </c>
      <c r="G501" s="87">
        <v>40</v>
      </c>
      <c r="H501" s="85">
        <f t="shared" si="82"/>
        <v>85</v>
      </c>
      <c r="I501" s="85">
        <f t="shared" si="74"/>
        <v>0</v>
      </c>
      <c r="J501" s="87">
        <v>100</v>
      </c>
      <c r="K501" s="87">
        <v>300</v>
      </c>
      <c r="L501" s="85">
        <f t="shared" si="77"/>
        <v>1239</v>
      </c>
      <c r="M501" s="86"/>
      <c r="N501" s="85">
        <f>75</f>
        <v>75</v>
      </c>
      <c r="O501" s="87">
        <v>240</v>
      </c>
      <c r="P501" s="87">
        <v>160</v>
      </c>
      <c r="Q501" s="87">
        <f t="shared" si="78"/>
        <v>195</v>
      </c>
      <c r="R501" s="87">
        <f t="shared" si="79"/>
        <v>100</v>
      </c>
      <c r="S501" s="85">
        <f t="shared" si="80"/>
        <v>695</v>
      </c>
      <c r="T501" s="85">
        <f>0</f>
        <v>0</v>
      </c>
      <c r="U501" s="83"/>
      <c r="V501" s="83"/>
      <c r="W501" s="83"/>
      <c r="X501" s="83"/>
      <c r="Y501" s="83"/>
      <c r="Z501" s="83"/>
      <c r="AA501" s="83"/>
      <c r="AB501" s="83"/>
      <c r="AC501" s="83"/>
      <c r="AD501" s="83"/>
    </row>
    <row r="502" spans="1:30" ht="15.75" x14ac:dyDescent="0.25">
      <c r="A502" s="14">
        <v>55853</v>
      </c>
      <c r="B502" s="95">
        <v>30</v>
      </c>
      <c r="C502" s="85">
        <f>122.58</f>
        <v>122.58</v>
      </c>
      <c r="D502" s="85">
        <f>297.941</f>
        <v>297.94099999999997</v>
      </c>
      <c r="E502" s="92">
        <f>89.177</f>
        <v>89.177000000000007</v>
      </c>
      <c r="F502" s="85">
        <f>240.302-40-60</f>
        <v>140.30199999999999</v>
      </c>
      <c r="G502" s="87">
        <v>40</v>
      </c>
      <c r="H502" s="85">
        <v>60</v>
      </c>
      <c r="I502" s="85">
        <f t="shared" si="74"/>
        <v>0</v>
      </c>
      <c r="J502" s="87">
        <v>100</v>
      </c>
      <c r="K502" s="87">
        <v>300</v>
      </c>
      <c r="L502" s="85">
        <f t="shared" si="77"/>
        <v>1150</v>
      </c>
      <c r="M502" s="86"/>
      <c r="N502" s="85">
        <f>100</f>
        <v>100</v>
      </c>
      <c r="O502" s="87">
        <v>240</v>
      </c>
      <c r="P502" s="87">
        <v>40</v>
      </c>
      <c r="Q502" s="87">
        <f t="shared" si="78"/>
        <v>315</v>
      </c>
      <c r="R502" s="87">
        <f t="shared" si="79"/>
        <v>100</v>
      </c>
      <c r="S502" s="85">
        <f t="shared" si="80"/>
        <v>695</v>
      </c>
      <c r="T502" s="85">
        <f>50</f>
        <v>50</v>
      </c>
      <c r="U502" s="83"/>
      <c r="V502" s="83"/>
      <c r="W502" s="83"/>
      <c r="X502" s="83"/>
      <c r="Y502" s="83"/>
      <c r="Z502" s="83"/>
      <c r="AA502" s="83"/>
      <c r="AB502" s="83"/>
      <c r="AC502" s="83"/>
      <c r="AD502" s="83"/>
    </row>
    <row r="503" spans="1:30" ht="15.75" x14ac:dyDescent="0.25">
      <c r="A503" s="14">
        <v>55884</v>
      </c>
      <c r="B503" s="95">
        <v>31</v>
      </c>
      <c r="C503" s="85">
        <f>122.58</f>
        <v>122.58</v>
      </c>
      <c r="D503" s="85">
        <f>297.941</f>
        <v>297.94099999999997</v>
      </c>
      <c r="E503" s="92">
        <f>89.177</f>
        <v>89.177000000000007</v>
      </c>
      <c r="F503" s="85">
        <f>240.302-40-60</f>
        <v>140.30199999999999</v>
      </c>
      <c r="G503" s="87">
        <v>40</v>
      </c>
      <c r="H503" s="85">
        <v>60</v>
      </c>
      <c r="I503" s="85">
        <f t="shared" si="74"/>
        <v>0</v>
      </c>
      <c r="J503" s="87">
        <v>100</v>
      </c>
      <c r="K503" s="87">
        <v>300</v>
      </c>
      <c r="L503" s="85">
        <f t="shared" si="77"/>
        <v>1150</v>
      </c>
      <c r="M503" s="86"/>
      <c r="N503" s="85">
        <f>100</f>
        <v>100</v>
      </c>
      <c r="O503" s="87">
        <v>240</v>
      </c>
      <c r="P503" s="87">
        <v>40</v>
      </c>
      <c r="Q503" s="87">
        <f t="shared" si="78"/>
        <v>315</v>
      </c>
      <c r="R503" s="87">
        <f t="shared" si="79"/>
        <v>100</v>
      </c>
      <c r="S503" s="85">
        <f t="shared" si="80"/>
        <v>695</v>
      </c>
      <c r="T503" s="85">
        <f>50</f>
        <v>50</v>
      </c>
      <c r="U503" s="83"/>
      <c r="V503" s="83"/>
      <c r="W503" s="83"/>
      <c r="X503" s="83"/>
      <c r="Y503" s="83"/>
      <c r="Z503" s="83"/>
      <c r="AA503" s="83"/>
      <c r="AB503" s="83"/>
      <c r="AC503" s="83"/>
      <c r="AD503" s="83"/>
    </row>
    <row r="504" spans="1:30" ht="15.75" x14ac:dyDescent="0.25">
      <c r="A504" s="14">
        <v>55915</v>
      </c>
      <c r="B504" s="95">
        <v>31</v>
      </c>
      <c r="C504" s="85">
        <f>122.58</f>
        <v>122.58</v>
      </c>
      <c r="D504" s="85">
        <f>297.941</f>
        <v>297.94099999999997</v>
      </c>
      <c r="E504" s="92">
        <f>89.177</f>
        <v>89.177000000000007</v>
      </c>
      <c r="F504" s="85">
        <f>240.302-40-60</f>
        <v>140.30199999999999</v>
      </c>
      <c r="G504" s="87">
        <v>40</v>
      </c>
      <c r="H504" s="85">
        <v>60</v>
      </c>
      <c r="I504" s="85">
        <f t="shared" si="74"/>
        <v>0</v>
      </c>
      <c r="J504" s="87">
        <v>100</v>
      </c>
      <c r="K504" s="87">
        <v>300</v>
      </c>
      <c r="L504" s="85">
        <f t="shared" si="77"/>
        <v>1150</v>
      </c>
      <c r="M504" s="86"/>
      <c r="N504" s="85">
        <f>100</f>
        <v>100</v>
      </c>
      <c r="O504" s="87">
        <v>240</v>
      </c>
      <c r="P504" s="87">
        <v>40</v>
      </c>
      <c r="Q504" s="87">
        <f t="shared" si="78"/>
        <v>315</v>
      </c>
      <c r="R504" s="87">
        <f t="shared" si="79"/>
        <v>100</v>
      </c>
      <c r="S504" s="85">
        <f t="shared" si="80"/>
        <v>695</v>
      </c>
      <c r="T504" s="85">
        <f>50</f>
        <v>50</v>
      </c>
      <c r="U504" s="83"/>
      <c r="V504" s="83"/>
      <c r="W504" s="83"/>
      <c r="X504" s="83"/>
      <c r="Y504" s="83"/>
      <c r="Z504" s="83"/>
      <c r="AA504" s="83"/>
      <c r="AB504" s="83"/>
      <c r="AC504" s="83"/>
      <c r="AD504" s="83"/>
    </row>
    <row r="505" spans="1:30" ht="15.75" x14ac:dyDescent="0.25">
      <c r="A505" s="14">
        <v>55943</v>
      </c>
      <c r="B505" s="95">
        <v>28</v>
      </c>
      <c r="C505" s="85">
        <f>122.58</f>
        <v>122.58</v>
      </c>
      <c r="D505" s="85">
        <f>297.941</f>
        <v>297.94099999999997</v>
      </c>
      <c r="E505" s="92">
        <f>89.177</f>
        <v>89.177000000000007</v>
      </c>
      <c r="F505" s="85">
        <f>240.302-40-60</f>
        <v>140.30199999999999</v>
      </c>
      <c r="G505" s="87">
        <v>40</v>
      </c>
      <c r="H505" s="85">
        <v>60</v>
      </c>
      <c r="I505" s="85">
        <f t="shared" si="74"/>
        <v>0</v>
      </c>
      <c r="J505" s="87">
        <v>100</v>
      </c>
      <c r="K505" s="87">
        <v>300</v>
      </c>
      <c r="L505" s="85">
        <f t="shared" si="77"/>
        <v>1150</v>
      </c>
      <c r="M505" s="86"/>
      <c r="N505" s="85">
        <f>100</f>
        <v>100</v>
      </c>
      <c r="O505" s="87">
        <v>240</v>
      </c>
      <c r="P505" s="87">
        <v>40</v>
      </c>
      <c r="Q505" s="87">
        <f t="shared" si="78"/>
        <v>315</v>
      </c>
      <c r="R505" s="87">
        <f t="shared" si="79"/>
        <v>100</v>
      </c>
      <c r="S505" s="85">
        <f t="shared" si="80"/>
        <v>695</v>
      </c>
      <c r="T505" s="85">
        <f>50</f>
        <v>50</v>
      </c>
      <c r="U505" s="83"/>
      <c r="V505" s="83"/>
      <c r="W505" s="83"/>
      <c r="X505" s="83"/>
      <c r="Y505" s="83"/>
      <c r="Z505" s="83"/>
      <c r="AA505" s="83"/>
      <c r="AB505" s="83"/>
      <c r="AC505" s="83"/>
      <c r="AD505" s="83"/>
    </row>
    <row r="506" spans="1:30" ht="15.75" x14ac:dyDescent="0.25">
      <c r="A506" s="14">
        <v>55974</v>
      </c>
      <c r="B506" s="95">
        <v>31</v>
      </c>
      <c r="C506" s="85">
        <f>122.58</f>
        <v>122.58</v>
      </c>
      <c r="D506" s="85">
        <f>297.941</f>
        <v>297.94099999999997</v>
      </c>
      <c r="E506" s="92">
        <f>89.177</f>
        <v>89.177000000000007</v>
      </c>
      <c r="F506" s="85">
        <f>240.302-40-60</f>
        <v>140.30199999999999</v>
      </c>
      <c r="G506" s="87">
        <v>40</v>
      </c>
      <c r="H506" s="85">
        <v>60</v>
      </c>
      <c r="I506" s="85">
        <f t="shared" si="74"/>
        <v>0</v>
      </c>
      <c r="J506" s="87">
        <v>100</v>
      </c>
      <c r="K506" s="87">
        <v>300</v>
      </c>
      <c r="L506" s="85">
        <f t="shared" si="77"/>
        <v>1150</v>
      </c>
      <c r="M506" s="86"/>
      <c r="N506" s="85">
        <f>100</f>
        <v>100</v>
      </c>
      <c r="O506" s="87">
        <v>240</v>
      </c>
      <c r="P506" s="87">
        <v>40</v>
      </c>
      <c r="Q506" s="87">
        <f t="shared" si="78"/>
        <v>315</v>
      </c>
      <c r="R506" s="87">
        <f t="shared" si="79"/>
        <v>100</v>
      </c>
      <c r="S506" s="85">
        <f t="shared" si="80"/>
        <v>695</v>
      </c>
      <c r="T506" s="85">
        <f>50</f>
        <v>50</v>
      </c>
      <c r="U506" s="83"/>
      <c r="V506" s="83"/>
      <c r="W506" s="83"/>
      <c r="X506" s="83"/>
      <c r="Y506" s="83"/>
      <c r="Z506" s="83"/>
      <c r="AA506" s="83"/>
      <c r="AB506" s="83"/>
      <c r="AC506" s="83"/>
      <c r="AD506" s="83"/>
    </row>
    <row r="507" spans="1:30" ht="15.75" x14ac:dyDescent="0.25">
      <c r="A507" s="14">
        <v>56004</v>
      </c>
      <c r="B507" s="95">
        <v>30</v>
      </c>
      <c r="C507" s="85">
        <f>141.293</f>
        <v>141.29300000000001</v>
      </c>
      <c r="D507" s="85">
        <f>267.993</f>
        <v>267.99299999999999</v>
      </c>
      <c r="E507" s="92">
        <f>115.016</f>
        <v>115.01600000000001</v>
      </c>
      <c r="F507" s="85">
        <f>314.698-40-25-60</f>
        <v>189.69799999999998</v>
      </c>
      <c r="G507" s="87">
        <v>40</v>
      </c>
      <c r="H507" s="85">
        <f t="shared" ref="H507:H513" si="83">25+60</f>
        <v>85</v>
      </c>
      <c r="I507" s="85">
        <f t="shared" si="74"/>
        <v>0</v>
      </c>
      <c r="J507" s="87">
        <v>100</v>
      </c>
      <c r="K507" s="87">
        <v>300</v>
      </c>
      <c r="L507" s="85">
        <f t="shared" si="77"/>
        <v>1239</v>
      </c>
      <c r="M507" s="86"/>
      <c r="N507" s="85">
        <f>100</f>
        <v>100</v>
      </c>
      <c r="O507" s="87">
        <v>240</v>
      </c>
      <c r="P507" s="87">
        <v>160</v>
      </c>
      <c r="Q507" s="87">
        <f t="shared" si="78"/>
        <v>195</v>
      </c>
      <c r="R507" s="87">
        <f t="shared" si="79"/>
        <v>100</v>
      </c>
      <c r="S507" s="85">
        <f t="shared" si="80"/>
        <v>695</v>
      </c>
      <c r="T507" s="85">
        <f>50</f>
        <v>50</v>
      </c>
      <c r="U507" s="83"/>
      <c r="V507" s="83"/>
      <c r="W507" s="83"/>
      <c r="X507" s="83"/>
      <c r="Y507" s="83"/>
      <c r="Z507" s="83"/>
      <c r="AA507" s="83"/>
      <c r="AB507" s="83"/>
      <c r="AC507" s="83"/>
      <c r="AD507" s="83"/>
    </row>
    <row r="508" spans="1:30" ht="15.75" x14ac:dyDescent="0.25">
      <c r="A508" s="14">
        <v>56035</v>
      </c>
      <c r="B508" s="95">
        <v>31</v>
      </c>
      <c r="C508" s="85">
        <f>194.205</f>
        <v>194.20500000000001</v>
      </c>
      <c r="D508" s="85">
        <f>267.466</f>
        <v>267.46600000000001</v>
      </c>
      <c r="E508" s="92">
        <f>133.845</f>
        <v>133.845</v>
      </c>
      <c r="F508" s="85">
        <f>278.484-40-25-60</f>
        <v>153.48399999999998</v>
      </c>
      <c r="G508" s="87">
        <v>40</v>
      </c>
      <c r="H508" s="85">
        <f t="shared" si="83"/>
        <v>85</v>
      </c>
      <c r="I508" s="85">
        <f t="shared" si="74"/>
        <v>0</v>
      </c>
      <c r="J508" s="87">
        <v>100</v>
      </c>
      <c r="K508" s="87">
        <v>300</v>
      </c>
      <c r="L508" s="85">
        <f t="shared" si="77"/>
        <v>1274</v>
      </c>
      <c r="M508" s="86"/>
      <c r="N508" s="85">
        <f>75</f>
        <v>75</v>
      </c>
      <c r="O508" s="87">
        <v>240</v>
      </c>
      <c r="P508" s="87">
        <v>160</v>
      </c>
      <c r="Q508" s="87">
        <f t="shared" si="78"/>
        <v>195</v>
      </c>
      <c r="R508" s="87">
        <f t="shared" si="79"/>
        <v>100</v>
      </c>
      <c r="S508" s="85">
        <f t="shared" si="80"/>
        <v>695</v>
      </c>
      <c r="T508" s="85">
        <f>50</f>
        <v>50</v>
      </c>
      <c r="U508" s="83"/>
      <c r="V508" s="83"/>
      <c r="W508" s="83"/>
      <c r="X508" s="83"/>
      <c r="Y508" s="83"/>
      <c r="Z508" s="83"/>
      <c r="AA508" s="83"/>
      <c r="AB508" s="83"/>
      <c r="AC508" s="83"/>
      <c r="AD508" s="83"/>
    </row>
    <row r="509" spans="1:30" ht="15.75" x14ac:dyDescent="0.25">
      <c r="A509" s="14">
        <v>56065</v>
      </c>
      <c r="B509" s="95">
        <v>30</v>
      </c>
      <c r="C509" s="85">
        <f>194.205</f>
        <v>194.20500000000001</v>
      </c>
      <c r="D509" s="85">
        <f>267.466</f>
        <v>267.46600000000001</v>
      </c>
      <c r="E509" s="92">
        <f>133.845</f>
        <v>133.845</v>
      </c>
      <c r="F509" s="85">
        <f>278.484-40-25-60</f>
        <v>153.48399999999998</v>
      </c>
      <c r="G509" s="87">
        <v>40</v>
      </c>
      <c r="H509" s="85">
        <f t="shared" si="83"/>
        <v>85</v>
      </c>
      <c r="I509" s="85">
        <f t="shared" si="74"/>
        <v>0</v>
      </c>
      <c r="J509" s="87">
        <v>100</v>
      </c>
      <c r="K509" s="87">
        <v>300</v>
      </c>
      <c r="L509" s="85">
        <f t="shared" si="77"/>
        <v>1274</v>
      </c>
      <c r="M509" s="86"/>
      <c r="N509" s="85">
        <f>30</f>
        <v>30</v>
      </c>
      <c r="O509" s="87">
        <v>240</v>
      </c>
      <c r="P509" s="87">
        <v>160</v>
      </c>
      <c r="Q509" s="87">
        <f t="shared" si="78"/>
        <v>195</v>
      </c>
      <c r="R509" s="87">
        <f t="shared" si="79"/>
        <v>100</v>
      </c>
      <c r="S509" s="85">
        <f t="shared" si="80"/>
        <v>695</v>
      </c>
      <c r="T509" s="85">
        <f>50</f>
        <v>50</v>
      </c>
      <c r="U509" s="83"/>
      <c r="V509" s="83"/>
      <c r="W509" s="83"/>
      <c r="X509" s="83"/>
      <c r="Y509" s="83"/>
      <c r="Z509" s="83"/>
      <c r="AA509" s="83"/>
      <c r="AB509" s="83"/>
      <c r="AC509" s="83"/>
      <c r="AD509" s="83"/>
    </row>
    <row r="510" spans="1:30" ht="15.75" x14ac:dyDescent="0.25">
      <c r="A510" s="14">
        <v>56096</v>
      </c>
      <c r="B510" s="95">
        <v>31</v>
      </c>
      <c r="C510" s="85">
        <f>194.205</f>
        <v>194.20500000000001</v>
      </c>
      <c r="D510" s="85">
        <f>267.466</f>
        <v>267.46600000000001</v>
      </c>
      <c r="E510" s="92">
        <f>133.845</f>
        <v>133.845</v>
      </c>
      <c r="F510" s="85">
        <f>278.484-40-25-60</f>
        <v>153.48399999999998</v>
      </c>
      <c r="G510" s="87">
        <v>40</v>
      </c>
      <c r="H510" s="85">
        <f t="shared" si="83"/>
        <v>85</v>
      </c>
      <c r="I510" s="85">
        <f t="shared" si="74"/>
        <v>0</v>
      </c>
      <c r="J510" s="87">
        <v>100</v>
      </c>
      <c r="K510" s="87">
        <v>300</v>
      </c>
      <c r="L510" s="85">
        <f t="shared" si="77"/>
        <v>1274</v>
      </c>
      <c r="M510" s="86"/>
      <c r="N510" s="85">
        <f>30</f>
        <v>30</v>
      </c>
      <c r="O510" s="87">
        <v>240</v>
      </c>
      <c r="P510" s="87">
        <v>160</v>
      </c>
      <c r="Q510" s="87">
        <f t="shared" si="78"/>
        <v>195</v>
      </c>
      <c r="R510" s="87">
        <f t="shared" si="79"/>
        <v>100</v>
      </c>
      <c r="S510" s="85">
        <f t="shared" si="80"/>
        <v>695</v>
      </c>
      <c r="T510" s="85">
        <f>0</f>
        <v>0</v>
      </c>
      <c r="U510" s="83"/>
      <c r="V510" s="83"/>
      <c r="W510" s="83"/>
      <c r="X510" s="83"/>
      <c r="Y510" s="83"/>
      <c r="Z510" s="83"/>
      <c r="AA510" s="83"/>
      <c r="AB510" s="83"/>
      <c r="AC510" s="83"/>
      <c r="AD510" s="83"/>
    </row>
    <row r="511" spans="1:30" ht="15.75" x14ac:dyDescent="0.25">
      <c r="A511" s="14">
        <v>56127</v>
      </c>
      <c r="B511" s="95">
        <v>31</v>
      </c>
      <c r="C511" s="85">
        <f>194.205</f>
        <v>194.20500000000001</v>
      </c>
      <c r="D511" s="85">
        <f>267.466</f>
        <v>267.46600000000001</v>
      </c>
      <c r="E511" s="92">
        <f>133.845</f>
        <v>133.845</v>
      </c>
      <c r="F511" s="85">
        <f>278.484-40-25-60</f>
        <v>153.48399999999998</v>
      </c>
      <c r="G511" s="87">
        <v>40</v>
      </c>
      <c r="H511" s="85">
        <f t="shared" si="83"/>
        <v>85</v>
      </c>
      <c r="I511" s="85">
        <f t="shared" si="74"/>
        <v>0</v>
      </c>
      <c r="J511" s="87">
        <v>100</v>
      </c>
      <c r="K511" s="87">
        <v>300</v>
      </c>
      <c r="L511" s="85">
        <f t="shared" si="77"/>
        <v>1274</v>
      </c>
      <c r="M511" s="86"/>
      <c r="N511" s="85">
        <f>30</f>
        <v>30</v>
      </c>
      <c r="O511" s="87">
        <v>240</v>
      </c>
      <c r="P511" s="87">
        <v>160</v>
      </c>
      <c r="Q511" s="87">
        <f t="shared" si="78"/>
        <v>195</v>
      </c>
      <c r="R511" s="87">
        <f t="shared" si="79"/>
        <v>100</v>
      </c>
      <c r="S511" s="85">
        <f t="shared" si="80"/>
        <v>695</v>
      </c>
      <c r="T511" s="85">
        <f>0</f>
        <v>0</v>
      </c>
      <c r="U511" s="83"/>
      <c r="V511" s="83"/>
      <c r="W511" s="83"/>
      <c r="X511" s="83"/>
      <c r="Y511" s="83"/>
      <c r="Z511" s="83"/>
      <c r="AA511" s="83"/>
      <c r="AB511" s="83"/>
      <c r="AC511" s="83"/>
      <c r="AD511" s="83"/>
    </row>
    <row r="512" spans="1:30" ht="15.75" x14ac:dyDescent="0.25">
      <c r="A512" s="14">
        <v>56157</v>
      </c>
      <c r="B512" s="95">
        <v>30</v>
      </c>
      <c r="C512" s="85">
        <f>194.205</f>
        <v>194.20500000000001</v>
      </c>
      <c r="D512" s="85">
        <f>267.466</f>
        <v>267.46600000000001</v>
      </c>
      <c r="E512" s="92">
        <f>133.845</f>
        <v>133.845</v>
      </c>
      <c r="F512" s="85">
        <f>278.484-40-25-60</f>
        <v>153.48399999999998</v>
      </c>
      <c r="G512" s="87">
        <v>40</v>
      </c>
      <c r="H512" s="85">
        <f t="shared" si="83"/>
        <v>85</v>
      </c>
      <c r="I512" s="85">
        <f t="shared" ref="I512:I575" si="84">400-J512-K512</f>
        <v>0</v>
      </c>
      <c r="J512" s="87">
        <v>100</v>
      </c>
      <c r="K512" s="87">
        <v>300</v>
      </c>
      <c r="L512" s="85">
        <f t="shared" si="77"/>
        <v>1274</v>
      </c>
      <c r="M512" s="86"/>
      <c r="N512" s="85">
        <f>30</f>
        <v>30</v>
      </c>
      <c r="O512" s="87">
        <v>240</v>
      </c>
      <c r="P512" s="87">
        <v>160</v>
      </c>
      <c r="Q512" s="87">
        <f t="shared" si="78"/>
        <v>195</v>
      </c>
      <c r="R512" s="87">
        <f t="shared" si="79"/>
        <v>100</v>
      </c>
      <c r="S512" s="85">
        <f t="shared" si="80"/>
        <v>695</v>
      </c>
      <c r="T512" s="85">
        <f>0</f>
        <v>0</v>
      </c>
      <c r="U512" s="83"/>
      <c r="V512" s="83"/>
      <c r="W512" s="83"/>
      <c r="X512" s="83"/>
      <c r="Y512" s="83"/>
      <c r="Z512" s="83"/>
      <c r="AA512" s="83"/>
      <c r="AB512" s="83"/>
      <c r="AC512" s="83"/>
      <c r="AD512" s="83"/>
    </row>
    <row r="513" spans="1:30" ht="15.75" x14ac:dyDescent="0.25">
      <c r="A513" s="14">
        <v>56188</v>
      </c>
      <c r="B513" s="95">
        <v>31</v>
      </c>
      <c r="C513" s="85">
        <f>131.881</f>
        <v>131.881</v>
      </c>
      <c r="D513" s="85">
        <f>277.167</f>
        <v>277.16699999999997</v>
      </c>
      <c r="E513" s="92">
        <f>79.08</f>
        <v>79.08</v>
      </c>
      <c r="F513" s="85">
        <f>350.872-40-25-60</f>
        <v>225.87200000000001</v>
      </c>
      <c r="G513" s="87">
        <v>40</v>
      </c>
      <c r="H513" s="85">
        <f t="shared" si="83"/>
        <v>85</v>
      </c>
      <c r="I513" s="85">
        <f t="shared" si="84"/>
        <v>0</v>
      </c>
      <c r="J513" s="87">
        <v>100</v>
      </c>
      <c r="K513" s="87">
        <v>300</v>
      </c>
      <c r="L513" s="85">
        <f t="shared" si="77"/>
        <v>1239</v>
      </c>
      <c r="M513" s="86"/>
      <c r="N513" s="85">
        <f>75</f>
        <v>75</v>
      </c>
      <c r="O513" s="87">
        <v>240</v>
      </c>
      <c r="P513" s="87">
        <v>160</v>
      </c>
      <c r="Q513" s="87">
        <f t="shared" si="78"/>
        <v>195</v>
      </c>
      <c r="R513" s="87">
        <f t="shared" si="79"/>
        <v>100</v>
      </c>
      <c r="S513" s="85">
        <f t="shared" si="80"/>
        <v>695</v>
      </c>
      <c r="T513" s="85">
        <f>0</f>
        <v>0</v>
      </c>
      <c r="U513" s="83"/>
      <c r="V513" s="83"/>
      <c r="W513" s="83"/>
      <c r="X513" s="83"/>
      <c r="Y513" s="83"/>
      <c r="Z513" s="83"/>
      <c r="AA513" s="83"/>
      <c r="AB513" s="83"/>
      <c r="AC513" s="83"/>
      <c r="AD513" s="83"/>
    </row>
    <row r="514" spans="1:30" ht="15.75" x14ac:dyDescent="0.25">
      <c r="A514" s="14">
        <v>56218</v>
      </c>
      <c r="B514" s="95">
        <v>30</v>
      </c>
      <c r="C514" s="85">
        <f>122.58</f>
        <v>122.58</v>
      </c>
      <c r="D514" s="85">
        <f>297.941</f>
        <v>297.94099999999997</v>
      </c>
      <c r="E514" s="92">
        <f>89.177</f>
        <v>89.177000000000007</v>
      </c>
      <c r="F514" s="85">
        <f>240.302-40-60</f>
        <v>140.30199999999999</v>
      </c>
      <c r="G514" s="87">
        <v>40</v>
      </c>
      <c r="H514" s="85">
        <v>60</v>
      </c>
      <c r="I514" s="85">
        <f t="shared" si="84"/>
        <v>0</v>
      </c>
      <c r="J514" s="87">
        <v>100</v>
      </c>
      <c r="K514" s="87">
        <v>300</v>
      </c>
      <c r="L514" s="85">
        <f t="shared" si="77"/>
        <v>1150</v>
      </c>
      <c r="M514" s="86"/>
      <c r="N514" s="85">
        <f>100</f>
        <v>100</v>
      </c>
      <c r="O514" s="87">
        <v>240</v>
      </c>
      <c r="P514" s="87">
        <v>40</v>
      </c>
      <c r="Q514" s="87">
        <f t="shared" si="78"/>
        <v>315</v>
      </c>
      <c r="R514" s="87">
        <f t="shared" si="79"/>
        <v>100</v>
      </c>
      <c r="S514" s="85">
        <f t="shared" si="80"/>
        <v>695</v>
      </c>
      <c r="T514" s="85">
        <f>50</f>
        <v>50</v>
      </c>
      <c r="U514" s="83"/>
      <c r="V514" s="83"/>
      <c r="W514" s="83"/>
      <c r="X514" s="83"/>
      <c r="Y514" s="83"/>
      <c r="Z514" s="83"/>
      <c r="AA514" s="83"/>
      <c r="AB514" s="83"/>
      <c r="AC514" s="83"/>
      <c r="AD514" s="83"/>
    </row>
    <row r="515" spans="1:30" ht="15.75" x14ac:dyDescent="0.25">
      <c r="A515" s="14">
        <v>56249</v>
      </c>
      <c r="B515" s="95">
        <v>31</v>
      </c>
      <c r="C515" s="85">
        <f>122.58</f>
        <v>122.58</v>
      </c>
      <c r="D515" s="85">
        <f>297.941</f>
        <v>297.94099999999997</v>
      </c>
      <c r="E515" s="92">
        <f>89.177</f>
        <v>89.177000000000007</v>
      </c>
      <c r="F515" s="85">
        <f>240.302-40-60</f>
        <v>140.30199999999999</v>
      </c>
      <c r="G515" s="87">
        <v>40</v>
      </c>
      <c r="H515" s="85">
        <v>60</v>
      </c>
      <c r="I515" s="85">
        <f t="shared" si="84"/>
        <v>0</v>
      </c>
      <c r="J515" s="87">
        <v>100</v>
      </c>
      <c r="K515" s="87">
        <v>300</v>
      </c>
      <c r="L515" s="85">
        <f t="shared" si="77"/>
        <v>1150</v>
      </c>
      <c r="M515" s="86"/>
      <c r="N515" s="85">
        <f>100</f>
        <v>100</v>
      </c>
      <c r="O515" s="87">
        <v>240</v>
      </c>
      <c r="P515" s="87">
        <v>40</v>
      </c>
      <c r="Q515" s="87">
        <f t="shared" si="78"/>
        <v>315</v>
      </c>
      <c r="R515" s="87">
        <f t="shared" si="79"/>
        <v>100</v>
      </c>
      <c r="S515" s="85">
        <f t="shared" si="80"/>
        <v>695</v>
      </c>
      <c r="T515" s="85">
        <f>50</f>
        <v>50</v>
      </c>
      <c r="U515" s="83"/>
      <c r="V515" s="83"/>
      <c r="W515" s="83"/>
      <c r="X515" s="83"/>
      <c r="Y515" s="83"/>
      <c r="Z515" s="83"/>
      <c r="AA515" s="83"/>
      <c r="AB515" s="83"/>
      <c r="AC515" s="83"/>
      <c r="AD515" s="83"/>
    </row>
    <row r="516" spans="1:30" ht="15.75" x14ac:dyDescent="0.25">
      <c r="A516" s="14">
        <v>56280</v>
      </c>
      <c r="B516" s="95">
        <v>31</v>
      </c>
      <c r="C516" s="85">
        <f>122.58</f>
        <v>122.58</v>
      </c>
      <c r="D516" s="85">
        <f>297.941</f>
        <v>297.94099999999997</v>
      </c>
      <c r="E516" s="92">
        <f>89.177</f>
        <v>89.177000000000007</v>
      </c>
      <c r="F516" s="85">
        <f>240.302-40-60</f>
        <v>140.30199999999999</v>
      </c>
      <c r="G516" s="87">
        <v>40</v>
      </c>
      <c r="H516" s="85">
        <v>60</v>
      </c>
      <c r="I516" s="85">
        <f t="shared" si="84"/>
        <v>0</v>
      </c>
      <c r="J516" s="87">
        <v>100</v>
      </c>
      <c r="K516" s="87">
        <v>300</v>
      </c>
      <c r="L516" s="85">
        <f t="shared" si="77"/>
        <v>1150</v>
      </c>
      <c r="M516" s="86"/>
      <c r="N516" s="85">
        <f>100</f>
        <v>100</v>
      </c>
      <c r="O516" s="87">
        <v>240</v>
      </c>
      <c r="P516" s="87">
        <v>40</v>
      </c>
      <c r="Q516" s="87">
        <f t="shared" si="78"/>
        <v>315</v>
      </c>
      <c r="R516" s="87">
        <f t="shared" si="79"/>
        <v>100</v>
      </c>
      <c r="S516" s="85">
        <f t="shared" si="80"/>
        <v>695</v>
      </c>
      <c r="T516" s="85">
        <f>50</f>
        <v>50</v>
      </c>
      <c r="U516" s="83"/>
      <c r="V516" s="83"/>
      <c r="W516" s="83"/>
      <c r="X516" s="83"/>
      <c r="Y516" s="83"/>
      <c r="Z516" s="83"/>
      <c r="AA516" s="83"/>
      <c r="AB516" s="83"/>
      <c r="AC516" s="83"/>
      <c r="AD516" s="83"/>
    </row>
    <row r="517" spans="1:30" ht="15.75" x14ac:dyDescent="0.25">
      <c r="A517" s="14">
        <v>56308</v>
      </c>
      <c r="B517" s="95">
        <v>28</v>
      </c>
      <c r="C517" s="85">
        <f>122.58</f>
        <v>122.58</v>
      </c>
      <c r="D517" s="85">
        <f>297.941</f>
        <v>297.94099999999997</v>
      </c>
      <c r="E517" s="92">
        <f>89.177</f>
        <v>89.177000000000007</v>
      </c>
      <c r="F517" s="85">
        <f>240.302-40-60</f>
        <v>140.30199999999999</v>
      </c>
      <c r="G517" s="87">
        <v>40</v>
      </c>
      <c r="H517" s="85">
        <v>60</v>
      </c>
      <c r="I517" s="85">
        <f t="shared" si="84"/>
        <v>0</v>
      </c>
      <c r="J517" s="87">
        <v>100</v>
      </c>
      <c r="K517" s="87">
        <v>300</v>
      </c>
      <c r="L517" s="85">
        <f t="shared" si="77"/>
        <v>1150</v>
      </c>
      <c r="M517" s="86"/>
      <c r="N517" s="85">
        <f>100</f>
        <v>100</v>
      </c>
      <c r="O517" s="87">
        <v>240</v>
      </c>
      <c r="P517" s="87">
        <v>40</v>
      </c>
      <c r="Q517" s="87">
        <f t="shared" si="78"/>
        <v>315</v>
      </c>
      <c r="R517" s="87">
        <f t="shared" si="79"/>
        <v>100</v>
      </c>
      <c r="S517" s="85">
        <f t="shared" si="80"/>
        <v>695</v>
      </c>
      <c r="T517" s="85">
        <f>50</f>
        <v>50</v>
      </c>
      <c r="U517" s="83"/>
      <c r="V517" s="83"/>
      <c r="W517" s="83"/>
      <c r="X517" s="83"/>
      <c r="Y517" s="83"/>
      <c r="Z517" s="83"/>
      <c r="AA517" s="83"/>
      <c r="AB517" s="83"/>
      <c r="AC517" s="83"/>
      <c r="AD517" s="83"/>
    </row>
    <row r="518" spans="1:30" ht="15.75" x14ac:dyDescent="0.25">
      <c r="A518" s="14">
        <v>56339</v>
      </c>
      <c r="B518" s="95">
        <v>31</v>
      </c>
      <c r="C518" s="85">
        <f>122.58</f>
        <v>122.58</v>
      </c>
      <c r="D518" s="85">
        <f>297.941</f>
        <v>297.94099999999997</v>
      </c>
      <c r="E518" s="92">
        <f>89.177</f>
        <v>89.177000000000007</v>
      </c>
      <c r="F518" s="85">
        <f>240.302-40-60</f>
        <v>140.30199999999999</v>
      </c>
      <c r="G518" s="87">
        <v>40</v>
      </c>
      <c r="H518" s="85">
        <v>60</v>
      </c>
      <c r="I518" s="85">
        <f t="shared" si="84"/>
        <v>0</v>
      </c>
      <c r="J518" s="87">
        <v>100</v>
      </c>
      <c r="K518" s="87">
        <v>300</v>
      </c>
      <c r="L518" s="85">
        <f t="shared" si="77"/>
        <v>1150</v>
      </c>
      <c r="M518" s="86"/>
      <c r="N518" s="85">
        <f>100</f>
        <v>100</v>
      </c>
      <c r="O518" s="87">
        <v>240</v>
      </c>
      <c r="P518" s="87">
        <v>40</v>
      </c>
      <c r="Q518" s="87">
        <f t="shared" si="78"/>
        <v>315</v>
      </c>
      <c r="R518" s="87">
        <f t="shared" si="79"/>
        <v>100</v>
      </c>
      <c r="S518" s="85">
        <f t="shared" si="80"/>
        <v>695</v>
      </c>
      <c r="T518" s="85">
        <f>50</f>
        <v>50</v>
      </c>
      <c r="U518" s="83"/>
      <c r="V518" s="83"/>
      <c r="W518" s="83"/>
      <c r="X518" s="83"/>
      <c r="Y518" s="83"/>
      <c r="Z518" s="83"/>
      <c r="AA518" s="83"/>
      <c r="AB518" s="83"/>
      <c r="AC518" s="83"/>
      <c r="AD518" s="83"/>
    </row>
    <row r="519" spans="1:30" ht="15.75" x14ac:dyDescent="0.25">
      <c r="A519" s="14">
        <v>56369</v>
      </c>
      <c r="B519" s="95">
        <v>30</v>
      </c>
      <c r="C519" s="85">
        <f>141.293</f>
        <v>141.29300000000001</v>
      </c>
      <c r="D519" s="85">
        <f>267.993</f>
        <v>267.99299999999999</v>
      </c>
      <c r="E519" s="92">
        <f>115.016</f>
        <v>115.01600000000001</v>
      </c>
      <c r="F519" s="85">
        <f>314.698-40-25-60</f>
        <v>189.69799999999998</v>
      </c>
      <c r="G519" s="87">
        <v>40</v>
      </c>
      <c r="H519" s="85">
        <f t="shared" ref="H519:H525" si="85">25+60</f>
        <v>85</v>
      </c>
      <c r="I519" s="85">
        <f t="shared" si="84"/>
        <v>0</v>
      </c>
      <c r="J519" s="87">
        <v>100</v>
      </c>
      <c r="K519" s="87">
        <v>300</v>
      </c>
      <c r="L519" s="85">
        <f t="shared" si="77"/>
        <v>1239</v>
      </c>
      <c r="M519" s="86"/>
      <c r="N519" s="85">
        <f>100</f>
        <v>100</v>
      </c>
      <c r="O519" s="87">
        <v>240</v>
      </c>
      <c r="P519" s="87">
        <v>160</v>
      </c>
      <c r="Q519" s="87">
        <f t="shared" si="78"/>
        <v>195</v>
      </c>
      <c r="R519" s="87">
        <f t="shared" si="79"/>
        <v>100</v>
      </c>
      <c r="S519" s="85">
        <f t="shared" si="80"/>
        <v>695</v>
      </c>
      <c r="T519" s="85">
        <f>50</f>
        <v>50</v>
      </c>
      <c r="U519" s="83"/>
      <c r="V519" s="83"/>
      <c r="W519" s="83"/>
      <c r="X519" s="83"/>
      <c r="Y519" s="83"/>
      <c r="Z519" s="83"/>
      <c r="AA519" s="83"/>
      <c r="AB519" s="83"/>
      <c r="AC519" s="83"/>
      <c r="AD519" s="83"/>
    </row>
    <row r="520" spans="1:30" ht="15.75" x14ac:dyDescent="0.25">
      <c r="A520" s="14">
        <v>56400</v>
      </c>
      <c r="B520" s="95">
        <v>31</v>
      </c>
      <c r="C520" s="85">
        <f>194.205</f>
        <v>194.20500000000001</v>
      </c>
      <c r="D520" s="85">
        <f>267.466</f>
        <v>267.46600000000001</v>
      </c>
      <c r="E520" s="92">
        <f>133.845</f>
        <v>133.845</v>
      </c>
      <c r="F520" s="85">
        <f>278.484-40-25-60</f>
        <v>153.48399999999998</v>
      </c>
      <c r="G520" s="87">
        <v>40</v>
      </c>
      <c r="H520" s="85">
        <f t="shared" si="85"/>
        <v>85</v>
      </c>
      <c r="I520" s="85">
        <f t="shared" si="84"/>
        <v>0</v>
      </c>
      <c r="J520" s="87">
        <v>100</v>
      </c>
      <c r="K520" s="87">
        <v>300</v>
      </c>
      <c r="L520" s="85">
        <f t="shared" si="77"/>
        <v>1274</v>
      </c>
      <c r="M520" s="86"/>
      <c r="N520" s="85">
        <f>75</f>
        <v>75</v>
      </c>
      <c r="O520" s="87">
        <v>240</v>
      </c>
      <c r="P520" s="87">
        <v>160</v>
      </c>
      <c r="Q520" s="87">
        <f t="shared" si="78"/>
        <v>195</v>
      </c>
      <c r="R520" s="87">
        <f t="shared" si="79"/>
        <v>100</v>
      </c>
      <c r="S520" s="85">
        <f t="shared" si="80"/>
        <v>695</v>
      </c>
      <c r="T520" s="85">
        <f>50</f>
        <v>50</v>
      </c>
      <c r="U520" s="83"/>
      <c r="V520" s="83"/>
      <c r="W520" s="83"/>
      <c r="X520" s="83"/>
      <c r="Y520" s="83"/>
      <c r="Z520" s="83"/>
      <c r="AA520" s="83"/>
      <c r="AB520" s="83"/>
      <c r="AC520" s="83"/>
      <c r="AD520" s="83"/>
    </row>
    <row r="521" spans="1:30" ht="15.75" x14ac:dyDescent="0.25">
      <c r="A521" s="14">
        <v>56430</v>
      </c>
      <c r="B521" s="95">
        <v>30</v>
      </c>
      <c r="C521" s="85">
        <f>194.205</f>
        <v>194.20500000000001</v>
      </c>
      <c r="D521" s="85">
        <f>267.466</f>
        <v>267.46600000000001</v>
      </c>
      <c r="E521" s="92">
        <f>133.845</f>
        <v>133.845</v>
      </c>
      <c r="F521" s="85">
        <f>278.484-40-25-60</f>
        <v>153.48399999999998</v>
      </c>
      <c r="G521" s="87">
        <v>40</v>
      </c>
      <c r="H521" s="85">
        <f t="shared" si="85"/>
        <v>85</v>
      </c>
      <c r="I521" s="85">
        <f t="shared" si="84"/>
        <v>0</v>
      </c>
      <c r="J521" s="87">
        <v>100</v>
      </c>
      <c r="K521" s="87">
        <v>300</v>
      </c>
      <c r="L521" s="85">
        <f t="shared" si="77"/>
        <v>1274</v>
      </c>
      <c r="M521" s="86"/>
      <c r="N521" s="85">
        <f>30</f>
        <v>30</v>
      </c>
      <c r="O521" s="87">
        <v>240</v>
      </c>
      <c r="P521" s="87">
        <v>160</v>
      </c>
      <c r="Q521" s="87">
        <f t="shared" si="78"/>
        <v>195</v>
      </c>
      <c r="R521" s="87">
        <f t="shared" si="79"/>
        <v>100</v>
      </c>
      <c r="S521" s="85">
        <f t="shared" si="80"/>
        <v>695</v>
      </c>
      <c r="T521" s="85">
        <f>50</f>
        <v>50</v>
      </c>
      <c r="U521" s="83"/>
      <c r="V521" s="83"/>
      <c r="W521" s="83"/>
      <c r="X521" s="83"/>
      <c r="Y521" s="83"/>
      <c r="Z521" s="83"/>
      <c r="AA521" s="83"/>
      <c r="AB521" s="83"/>
      <c r="AC521" s="83"/>
      <c r="AD521" s="83"/>
    </row>
    <row r="522" spans="1:30" ht="15.75" x14ac:dyDescent="0.25">
      <c r="A522" s="14">
        <v>56461</v>
      </c>
      <c r="B522" s="95">
        <v>31</v>
      </c>
      <c r="C522" s="85">
        <f>194.205</f>
        <v>194.20500000000001</v>
      </c>
      <c r="D522" s="85">
        <f>267.466</f>
        <v>267.46600000000001</v>
      </c>
      <c r="E522" s="92">
        <f>133.845</f>
        <v>133.845</v>
      </c>
      <c r="F522" s="85">
        <f>278.484-40-25-60</f>
        <v>153.48399999999998</v>
      </c>
      <c r="G522" s="87">
        <v>40</v>
      </c>
      <c r="H522" s="85">
        <f t="shared" si="85"/>
        <v>85</v>
      </c>
      <c r="I522" s="85">
        <f t="shared" si="84"/>
        <v>0</v>
      </c>
      <c r="J522" s="87">
        <v>100</v>
      </c>
      <c r="K522" s="87">
        <v>300</v>
      </c>
      <c r="L522" s="85">
        <f t="shared" si="77"/>
        <v>1274</v>
      </c>
      <c r="M522" s="86"/>
      <c r="N522" s="85">
        <f>30</f>
        <v>30</v>
      </c>
      <c r="O522" s="87">
        <v>240</v>
      </c>
      <c r="P522" s="87">
        <v>160</v>
      </c>
      <c r="Q522" s="87">
        <f t="shared" si="78"/>
        <v>195</v>
      </c>
      <c r="R522" s="87">
        <f t="shared" si="79"/>
        <v>100</v>
      </c>
      <c r="S522" s="85">
        <f t="shared" si="80"/>
        <v>695</v>
      </c>
      <c r="T522" s="85">
        <f>0</f>
        <v>0</v>
      </c>
      <c r="U522" s="83"/>
      <c r="V522" s="83"/>
      <c r="W522" s="83"/>
      <c r="X522" s="83"/>
      <c r="Y522" s="83"/>
      <c r="Z522" s="83"/>
      <c r="AA522" s="83"/>
      <c r="AB522" s="83"/>
      <c r="AC522" s="83"/>
      <c r="AD522" s="83"/>
    </row>
    <row r="523" spans="1:30" ht="15.75" x14ac:dyDescent="0.25">
      <c r="A523" s="14">
        <v>56492</v>
      </c>
      <c r="B523" s="95">
        <v>31</v>
      </c>
      <c r="C523" s="85">
        <f>194.205</f>
        <v>194.20500000000001</v>
      </c>
      <c r="D523" s="85">
        <f>267.466</f>
        <v>267.46600000000001</v>
      </c>
      <c r="E523" s="92">
        <f>133.845</f>
        <v>133.845</v>
      </c>
      <c r="F523" s="85">
        <f>278.484-40-25-60</f>
        <v>153.48399999999998</v>
      </c>
      <c r="G523" s="87">
        <v>40</v>
      </c>
      <c r="H523" s="85">
        <f t="shared" si="85"/>
        <v>85</v>
      </c>
      <c r="I523" s="85">
        <f t="shared" si="84"/>
        <v>0</v>
      </c>
      <c r="J523" s="87">
        <v>100</v>
      </c>
      <c r="K523" s="87">
        <v>300</v>
      </c>
      <c r="L523" s="85">
        <f t="shared" si="77"/>
        <v>1274</v>
      </c>
      <c r="M523" s="86"/>
      <c r="N523" s="85">
        <f>30</f>
        <v>30</v>
      </c>
      <c r="O523" s="87">
        <v>240</v>
      </c>
      <c r="P523" s="87">
        <v>160</v>
      </c>
      <c r="Q523" s="87">
        <f t="shared" si="78"/>
        <v>195</v>
      </c>
      <c r="R523" s="87">
        <f t="shared" si="79"/>
        <v>100</v>
      </c>
      <c r="S523" s="85">
        <f t="shared" si="80"/>
        <v>695</v>
      </c>
      <c r="T523" s="85">
        <f>0</f>
        <v>0</v>
      </c>
      <c r="U523" s="83"/>
      <c r="V523" s="83"/>
      <c r="W523" s="83"/>
      <c r="X523" s="83"/>
      <c r="Y523" s="83"/>
      <c r="Z523" s="83"/>
      <c r="AA523" s="83"/>
      <c r="AB523" s="83"/>
      <c r="AC523" s="83"/>
      <c r="AD523" s="83"/>
    </row>
    <row r="524" spans="1:30" ht="15.75" x14ac:dyDescent="0.25">
      <c r="A524" s="14">
        <v>56522</v>
      </c>
      <c r="B524" s="95">
        <v>30</v>
      </c>
      <c r="C524" s="85">
        <f>194.205</f>
        <v>194.20500000000001</v>
      </c>
      <c r="D524" s="85">
        <f>267.466</f>
        <v>267.46600000000001</v>
      </c>
      <c r="E524" s="92">
        <f>133.845</f>
        <v>133.845</v>
      </c>
      <c r="F524" s="85">
        <f>278.484-40-25-60</f>
        <v>153.48399999999998</v>
      </c>
      <c r="G524" s="87">
        <v>40</v>
      </c>
      <c r="H524" s="85">
        <f t="shared" si="85"/>
        <v>85</v>
      </c>
      <c r="I524" s="85">
        <f t="shared" si="84"/>
        <v>0</v>
      </c>
      <c r="J524" s="87">
        <v>100</v>
      </c>
      <c r="K524" s="87">
        <v>300</v>
      </c>
      <c r="L524" s="85">
        <f t="shared" si="77"/>
        <v>1274</v>
      </c>
      <c r="M524" s="86"/>
      <c r="N524" s="85">
        <f>30</f>
        <v>30</v>
      </c>
      <c r="O524" s="87">
        <v>240</v>
      </c>
      <c r="P524" s="87">
        <v>160</v>
      </c>
      <c r="Q524" s="87">
        <f t="shared" si="78"/>
        <v>195</v>
      </c>
      <c r="R524" s="87">
        <f t="shared" si="79"/>
        <v>100</v>
      </c>
      <c r="S524" s="85">
        <f t="shared" si="80"/>
        <v>695</v>
      </c>
      <c r="T524" s="85">
        <f>0</f>
        <v>0</v>
      </c>
      <c r="U524" s="83"/>
      <c r="V524" s="83"/>
      <c r="W524" s="83"/>
      <c r="X524" s="83"/>
      <c r="Y524" s="83"/>
      <c r="Z524" s="83"/>
      <c r="AA524" s="83"/>
      <c r="AB524" s="83"/>
      <c r="AC524" s="83"/>
      <c r="AD524" s="83"/>
    </row>
    <row r="525" spans="1:30" ht="15.75" x14ac:dyDescent="0.25">
      <c r="A525" s="14">
        <v>56553</v>
      </c>
      <c r="B525" s="95">
        <v>31</v>
      </c>
      <c r="C525" s="85">
        <f>131.881</f>
        <v>131.881</v>
      </c>
      <c r="D525" s="85">
        <f>277.167</f>
        <v>277.16699999999997</v>
      </c>
      <c r="E525" s="92">
        <f>79.08</f>
        <v>79.08</v>
      </c>
      <c r="F525" s="85">
        <f>350.872-40-25-60</f>
        <v>225.87200000000001</v>
      </c>
      <c r="G525" s="87">
        <v>40</v>
      </c>
      <c r="H525" s="85">
        <f t="shared" si="85"/>
        <v>85</v>
      </c>
      <c r="I525" s="85">
        <f t="shared" si="84"/>
        <v>0</v>
      </c>
      <c r="J525" s="87">
        <v>100</v>
      </c>
      <c r="K525" s="87">
        <v>300</v>
      </c>
      <c r="L525" s="85">
        <f t="shared" si="77"/>
        <v>1239</v>
      </c>
      <c r="M525" s="86"/>
      <c r="N525" s="85">
        <f>75</f>
        <v>75</v>
      </c>
      <c r="O525" s="87">
        <v>240</v>
      </c>
      <c r="P525" s="87">
        <v>160</v>
      </c>
      <c r="Q525" s="87">
        <f t="shared" si="78"/>
        <v>195</v>
      </c>
      <c r="R525" s="87">
        <f t="shared" si="79"/>
        <v>100</v>
      </c>
      <c r="S525" s="85">
        <f t="shared" si="80"/>
        <v>695</v>
      </c>
      <c r="T525" s="85">
        <f>0</f>
        <v>0</v>
      </c>
      <c r="U525" s="83"/>
      <c r="V525" s="83"/>
      <c r="W525" s="83"/>
      <c r="X525" s="83"/>
      <c r="Y525" s="83"/>
      <c r="Z525" s="83"/>
      <c r="AA525" s="83"/>
      <c r="AB525" s="83"/>
      <c r="AC525" s="83"/>
      <c r="AD525" s="83"/>
    </row>
    <row r="526" spans="1:30" ht="15.75" x14ac:dyDescent="0.25">
      <c r="A526" s="14">
        <v>56583</v>
      </c>
      <c r="B526" s="95">
        <v>30</v>
      </c>
      <c r="C526" s="85">
        <f>122.58</f>
        <v>122.58</v>
      </c>
      <c r="D526" s="85">
        <f>297.941</f>
        <v>297.94099999999997</v>
      </c>
      <c r="E526" s="92">
        <f>89.177</f>
        <v>89.177000000000007</v>
      </c>
      <c r="F526" s="85">
        <f>240.302-40-60</f>
        <v>140.30199999999999</v>
      </c>
      <c r="G526" s="87">
        <v>40</v>
      </c>
      <c r="H526" s="85">
        <v>60</v>
      </c>
      <c r="I526" s="85">
        <f t="shared" si="84"/>
        <v>0</v>
      </c>
      <c r="J526" s="87">
        <v>100</v>
      </c>
      <c r="K526" s="87">
        <v>300</v>
      </c>
      <c r="L526" s="85">
        <f t="shared" si="77"/>
        <v>1150</v>
      </c>
      <c r="M526" s="86"/>
      <c r="N526" s="85">
        <f>100</f>
        <v>100</v>
      </c>
      <c r="O526" s="87">
        <v>240</v>
      </c>
      <c r="P526" s="87">
        <v>40</v>
      </c>
      <c r="Q526" s="87">
        <f t="shared" si="78"/>
        <v>315</v>
      </c>
      <c r="R526" s="87">
        <f t="shared" si="79"/>
        <v>100</v>
      </c>
      <c r="S526" s="85">
        <f t="shared" si="80"/>
        <v>695</v>
      </c>
      <c r="T526" s="85">
        <f>50</f>
        <v>50</v>
      </c>
      <c r="U526" s="83"/>
      <c r="V526" s="83"/>
      <c r="W526" s="83"/>
      <c r="X526" s="83"/>
      <c r="Y526" s="83"/>
      <c r="Z526" s="83"/>
      <c r="AA526" s="83"/>
      <c r="AB526" s="83"/>
      <c r="AC526" s="83"/>
      <c r="AD526" s="83"/>
    </row>
    <row r="527" spans="1:30" ht="15.75" x14ac:dyDescent="0.25">
      <c r="A527" s="14">
        <v>56614</v>
      </c>
      <c r="B527" s="95">
        <v>31</v>
      </c>
      <c r="C527" s="85">
        <f>122.58</f>
        <v>122.58</v>
      </c>
      <c r="D527" s="85">
        <f>297.941</f>
        <v>297.94099999999997</v>
      </c>
      <c r="E527" s="92">
        <f>89.177</f>
        <v>89.177000000000007</v>
      </c>
      <c r="F527" s="85">
        <f>240.302-40-60</f>
        <v>140.30199999999999</v>
      </c>
      <c r="G527" s="87">
        <v>40</v>
      </c>
      <c r="H527" s="85">
        <v>60</v>
      </c>
      <c r="I527" s="85">
        <f t="shared" si="84"/>
        <v>0</v>
      </c>
      <c r="J527" s="87">
        <v>100</v>
      </c>
      <c r="K527" s="87">
        <v>300</v>
      </c>
      <c r="L527" s="85">
        <f t="shared" si="77"/>
        <v>1150</v>
      </c>
      <c r="M527" s="86"/>
      <c r="N527" s="85">
        <f>100</f>
        <v>100</v>
      </c>
      <c r="O527" s="87">
        <v>240</v>
      </c>
      <c r="P527" s="87">
        <v>40</v>
      </c>
      <c r="Q527" s="87">
        <f t="shared" si="78"/>
        <v>315</v>
      </c>
      <c r="R527" s="87">
        <f t="shared" si="79"/>
        <v>100</v>
      </c>
      <c r="S527" s="85">
        <f t="shared" si="80"/>
        <v>695</v>
      </c>
      <c r="T527" s="85">
        <f>50</f>
        <v>50</v>
      </c>
      <c r="U527" s="83"/>
      <c r="V527" s="83"/>
      <c r="W527" s="83"/>
      <c r="X527" s="83"/>
      <c r="Y527" s="83"/>
      <c r="Z527" s="83"/>
      <c r="AA527" s="83"/>
      <c r="AB527" s="83"/>
      <c r="AC527" s="83"/>
      <c r="AD527" s="83"/>
    </row>
    <row r="528" spans="1:30" ht="15.75" x14ac:dyDescent="0.25">
      <c r="A528" s="13">
        <v>56645</v>
      </c>
      <c r="B528" s="94">
        <v>31</v>
      </c>
      <c r="C528" s="85">
        <f>122.58</f>
        <v>122.58</v>
      </c>
      <c r="D528" s="85">
        <f>297.941</f>
        <v>297.94099999999997</v>
      </c>
      <c r="E528" s="92">
        <f>89.177</f>
        <v>89.177000000000007</v>
      </c>
      <c r="F528" s="85">
        <f>240.302-40-60</f>
        <v>140.30199999999999</v>
      </c>
      <c r="G528" s="87">
        <v>40</v>
      </c>
      <c r="H528" s="85">
        <v>60</v>
      </c>
      <c r="I528" s="85">
        <f t="shared" si="84"/>
        <v>0</v>
      </c>
      <c r="J528" s="87">
        <v>100</v>
      </c>
      <c r="K528" s="87">
        <v>300</v>
      </c>
      <c r="L528" s="85">
        <f t="shared" si="77"/>
        <v>1150</v>
      </c>
      <c r="M528" s="86"/>
      <c r="N528" s="85">
        <f>100</f>
        <v>100</v>
      </c>
      <c r="O528" s="87">
        <v>240</v>
      </c>
      <c r="P528" s="87">
        <v>40</v>
      </c>
      <c r="Q528" s="87">
        <f t="shared" si="78"/>
        <v>315</v>
      </c>
      <c r="R528" s="87">
        <f t="shared" si="79"/>
        <v>100</v>
      </c>
      <c r="S528" s="85">
        <f t="shared" si="80"/>
        <v>695</v>
      </c>
      <c r="T528" s="85">
        <f>50</f>
        <v>50</v>
      </c>
      <c r="U528" s="83"/>
      <c r="V528" s="83"/>
      <c r="W528" s="83"/>
      <c r="X528" s="83"/>
      <c r="Y528" s="83"/>
      <c r="Z528" s="83"/>
      <c r="AA528" s="83"/>
      <c r="AB528" s="83"/>
      <c r="AC528" s="83"/>
      <c r="AD528" s="83"/>
    </row>
    <row r="529" spans="1:30" ht="15.75" x14ac:dyDescent="0.25">
      <c r="A529" s="13">
        <v>56673</v>
      </c>
      <c r="B529" s="94">
        <v>28</v>
      </c>
      <c r="C529" s="85">
        <f>122.58</f>
        <v>122.58</v>
      </c>
      <c r="D529" s="85">
        <f>297.941</f>
        <v>297.94099999999997</v>
      </c>
      <c r="E529" s="92">
        <f>89.177</f>
        <v>89.177000000000007</v>
      </c>
      <c r="F529" s="85">
        <f>240.302-40-60</f>
        <v>140.30199999999999</v>
      </c>
      <c r="G529" s="87">
        <v>40</v>
      </c>
      <c r="H529" s="85">
        <v>60</v>
      </c>
      <c r="I529" s="85">
        <f t="shared" si="84"/>
        <v>0</v>
      </c>
      <c r="J529" s="87">
        <v>100</v>
      </c>
      <c r="K529" s="87">
        <v>300</v>
      </c>
      <c r="L529" s="85">
        <f t="shared" si="77"/>
        <v>1150</v>
      </c>
      <c r="M529" s="86"/>
      <c r="N529" s="85">
        <f>100</f>
        <v>100</v>
      </c>
      <c r="O529" s="87">
        <v>240</v>
      </c>
      <c r="P529" s="87">
        <v>40</v>
      </c>
      <c r="Q529" s="87">
        <f t="shared" si="78"/>
        <v>315</v>
      </c>
      <c r="R529" s="87">
        <f t="shared" si="79"/>
        <v>100</v>
      </c>
      <c r="S529" s="85">
        <f t="shared" si="80"/>
        <v>695</v>
      </c>
      <c r="T529" s="85">
        <f>50</f>
        <v>50</v>
      </c>
      <c r="U529" s="83"/>
      <c r="V529" s="83"/>
      <c r="W529" s="83"/>
      <c r="X529" s="83"/>
      <c r="Y529" s="83"/>
      <c r="Z529" s="83"/>
      <c r="AA529" s="83"/>
      <c r="AB529" s="83"/>
      <c r="AC529" s="83"/>
      <c r="AD529" s="83"/>
    </row>
    <row r="530" spans="1:30" ht="15.75" x14ac:dyDescent="0.25">
      <c r="A530" s="13">
        <v>56704</v>
      </c>
      <c r="B530" s="94">
        <v>31</v>
      </c>
      <c r="C530" s="85">
        <f>122.58</f>
        <v>122.58</v>
      </c>
      <c r="D530" s="85">
        <f>297.941</f>
        <v>297.94099999999997</v>
      </c>
      <c r="E530" s="92">
        <f>89.177</f>
        <v>89.177000000000007</v>
      </c>
      <c r="F530" s="85">
        <f>240.302-40-60</f>
        <v>140.30199999999999</v>
      </c>
      <c r="G530" s="87">
        <v>40</v>
      </c>
      <c r="H530" s="85">
        <v>60</v>
      </c>
      <c r="I530" s="85">
        <f t="shared" si="84"/>
        <v>0</v>
      </c>
      <c r="J530" s="87">
        <v>100</v>
      </c>
      <c r="K530" s="87">
        <v>300</v>
      </c>
      <c r="L530" s="85">
        <f t="shared" si="77"/>
        <v>1150</v>
      </c>
      <c r="M530" s="86"/>
      <c r="N530" s="85">
        <f>100</f>
        <v>100</v>
      </c>
      <c r="O530" s="87">
        <v>240</v>
      </c>
      <c r="P530" s="87">
        <v>40</v>
      </c>
      <c r="Q530" s="87">
        <f t="shared" si="78"/>
        <v>315</v>
      </c>
      <c r="R530" s="87">
        <f t="shared" si="79"/>
        <v>100</v>
      </c>
      <c r="S530" s="85">
        <f t="shared" si="80"/>
        <v>695</v>
      </c>
      <c r="T530" s="85">
        <f>50</f>
        <v>50</v>
      </c>
      <c r="U530" s="83"/>
      <c r="V530" s="83"/>
      <c r="W530" s="83"/>
      <c r="X530" s="83"/>
      <c r="Y530" s="83"/>
      <c r="Z530" s="83"/>
      <c r="AA530" s="83"/>
      <c r="AB530" s="83"/>
      <c r="AC530" s="83"/>
      <c r="AD530" s="83"/>
    </row>
    <row r="531" spans="1:30" ht="15.75" x14ac:dyDescent="0.25">
      <c r="A531" s="13">
        <v>56734</v>
      </c>
      <c r="B531" s="94">
        <v>30</v>
      </c>
      <c r="C531" s="85">
        <f>141.293</f>
        <v>141.29300000000001</v>
      </c>
      <c r="D531" s="85">
        <f>267.993</f>
        <v>267.99299999999999</v>
      </c>
      <c r="E531" s="92">
        <f>115.016</f>
        <v>115.01600000000001</v>
      </c>
      <c r="F531" s="85">
        <f>314.698-40-25-60</f>
        <v>189.69799999999998</v>
      </c>
      <c r="G531" s="87">
        <v>40</v>
      </c>
      <c r="H531" s="85">
        <f t="shared" ref="H531:H537" si="86">25+60</f>
        <v>85</v>
      </c>
      <c r="I531" s="85">
        <f t="shared" si="84"/>
        <v>0</v>
      </c>
      <c r="J531" s="87">
        <v>100</v>
      </c>
      <c r="K531" s="87">
        <v>300</v>
      </c>
      <c r="L531" s="85">
        <f t="shared" si="77"/>
        <v>1239</v>
      </c>
      <c r="M531" s="86"/>
      <c r="N531" s="85">
        <f>100</f>
        <v>100</v>
      </c>
      <c r="O531" s="87">
        <v>240</v>
      </c>
      <c r="P531" s="87">
        <v>160</v>
      </c>
      <c r="Q531" s="87">
        <f t="shared" si="78"/>
        <v>195</v>
      </c>
      <c r="R531" s="87">
        <f t="shared" si="79"/>
        <v>100</v>
      </c>
      <c r="S531" s="85">
        <f t="shared" si="80"/>
        <v>695</v>
      </c>
      <c r="T531" s="85">
        <f>50</f>
        <v>50</v>
      </c>
      <c r="U531" s="83"/>
      <c r="V531" s="83"/>
      <c r="W531" s="83"/>
      <c r="X531" s="83"/>
      <c r="Y531" s="83"/>
      <c r="Z531" s="83"/>
      <c r="AA531" s="83"/>
      <c r="AB531" s="83"/>
      <c r="AC531" s="83"/>
      <c r="AD531" s="83"/>
    </row>
    <row r="532" spans="1:30" ht="15.75" x14ac:dyDescent="0.25">
      <c r="A532" s="13">
        <v>56765</v>
      </c>
      <c r="B532" s="94">
        <v>31</v>
      </c>
      <c r="C532" s="85">
        <f>194.205</f>
        <v>194.20500000000001</v>
      </c>
      <c r="D532" s="85">
        <f>267.466</f>
        <v>267.46600000000001</v>
      </c>
      <c r="E532" s="92">
        <f>133.845</f>
        <v>133.845</v>
      </c>
      <c r="F532" s="85">
        <f>278.484-40-25-60</f>
        <v>153.48399999999998</v>
      </c>
      <c r="G532" s="87">
        <v>40</v>
      </c>
      <c r="H532" s="85">
        <f t="shared" si="86"/>
        <v>85</v>
      </c>
      <c r="I532" s="85">
        <f t="shared" si="84"/>
        <v>0</v>
      </c>
      <c r="J532" s="87">
        <v>100</v>
      </c>
      <c r="K532" s="87">
        <v>300</v>
      </c>
      <c r="L532" s="85">
        <f t="shared" si="77"/>
        <v>1274</v>
      </c>
      <c r="M532" s="86"/>
      <c r="N532" s="85">
        <f>75</f>
        <v>75</v>
      </c>
      <c r="O532" s="87">
        <v>240</v>
      </c>
      <c r="P532" s="87">
        <v>160</v>
      </c>
      <c r="Q532" s="87">
        <f t="shared" si="78"/>
        <v>195</v>
      </c>
      <c r="R532" s="87">
        <f t="shared" si="79"/>
        <v>100</v>
      </c>
      <c r="S532" s="85">
        <f t="shared" si="80"/>
        <v>695</v>
      </c>
      <c r="T532" s="85">
        <f>50</f>
        <v>50</v>
      </c>
      <c r="U532" s="83"/>
      <c r="V532" s="83"/>
      <c r="W532" s="83"/>
      <c r="X532" s="83"/>
      <c r="Y532" s="83"/>
      <c r="Z532" s="83"/>
      <c r="AA532" s="83"/>
      <c r="AB532" s="83"/>
      <c r="AC532" s="83"/>
      <c r="AD532" s="83"/>
    </row>
    <row r="533" spans="1:30" ht="15.75" x14ac:dyDescent="0.25">
      <c r="A533" s="13">
        <v>56795</v>
      </c>
      <c r="B533" s="94">
        <v>30</v>
      </c>
      <c r="C533" s="85">
        <f>194.205</f>
        <v>194.20500000000001</v>
      </c>
      <c r="D533" s="85">
        <f>267.466</f>
        <v>267.46600000000001</v>
      </c>
      <c r="E533" s="92">
        <f>133.845</f>
        <v>133.845</v>
      </c>
      <c r="F533" s="85">
        <f>278.484-40-25-60</f>
        <v>153.48399999999998</v>
      </c>
      <c r="G533" s="87">
        <v>40</v>
      </c>
      <c r="H533" s="85">
        <f t="shared" si="86"/>
        <v>85</v>
      </c>
      <c r="I533" s="85">
        <f t="shared" si="84"/>
        <v>0</v>
      </c>
      <c r="J533" s="87">
        <v>100</v>
      </c>
      <c r="K533" s="87">
        <v>300</v>
      </c>
      <c r="L533" s="85">
        <f t="shared" si="77"/>
        <v>1274</v>
      </c>
      <c r="M533" s="86"/>
      <c r="N533" s="85">
        <f>30</f>
        <v>30</v>
      </c>
      <c r="O533" s="87">
        <v>240</v>
      </c>
      <c r="P533" s="87">
        <v>160</v>
      </c>
      <c r="Q533" s="87">
        <f t="shared" si="78"/>
        <v>195</v>
      </c>
      <c r="R533" s="87">
        <f t="shared" si="79"/>
        <v>100</v>
      </c>
      <c r="S533" s="85">
        <f t="shared" si="80"/>
        <v>695</v>
      </c>
      <c r="T533" s="85">
        <f>50</f>
        <v>50</v>
      </c>
      <c r="U533" s="83"/>
      <c r="V533" s="83"/>
      <c r="W533" s="83"/>
      <c r="X533" s="83"/>
      <c r="Y533" s="83"/>
      <c r="Z533" s="83"/>
      <c r="AA533" s="83"/>
      <c r="AB533" s="83"/>
      <c r="AC533" s="83"/>
      <c r="AD533" s="83"/>
    </row>
    <row r="534" spans="1:30" ht="15.75" x14ac:dyDescent="0.25">
      <c r="A534" s="13">
        <v>56826</v>
      </c>
      <c r="B534" s="94">
        <v>31</v>
      </c>
      <c r="C534" s="85">
        <f>194.205</f>
        <v>194.20500000000001</v>
      </c>
      <c r="D534" s="85">
        <f>267.466</f>
        <v>267.46600000000001</v>
      </c>
      <c r="E534" s="92">
        <f>133.845</f>
        <v>133.845</v>
      </c>
      <c r="F534" s="85">
        <f>278.484-40-25-60</f>
        <v>153.48399999999998</v>
      </c>
      <c r="G534" s="87">
        <v>40</v>
      </c>
      <c r="H534" s="85">
        <f t="shared" si="86"/>
        <v>85</v>
      </c>
      <c r="I534" s="85">
        <f t="shared" si="84"/>
        <v>0</v>
      </c>
      <c r="J534" s="87">
        <v>100</v>
      </c>
      <c r="K534" s="87">
        <v>300</v>
      </c>
      <c r="L534" s="85">
        <f t="shared" si="77"/>
        <v>1274</v>
      </c>
      <c r="M534" s="86"/>
      <c r="N534" s="85">
        <f>30</f>
        <v>30</v>
      </c>
      <c r="O534" s="87">
        <v>240</v>
      </c>
      <c r="P534" s="87">
        <v>160</v>
      </c>
      <c r="Q534" s="87">
        <f t="shared" si="78"/>
        <v>195</v>
      </c>
      <c r="R534" s="87">
        <f t="shared" si="79"/>
        <v>100</v>
      </c>
      <c r="S534" s="85">
        <f t="shared" si="80"/>
        <v>695</v>
      </c>
      <c r="T534" s="85">
        <f>0</f>
        <v>0</v>
      </c>
      <c r="U534" s="83"/>
      <c r="V534" s="83"/>
      <c r="W534" s="83"/>
      <c r="X534" s="83"/>
      <c r="Y534" s="83"/>
      <c r="Z534" s="83"/>
      <c r="AA534" s="83"/>
      <c r="AB534" s="83"/>
      <c r="AC534" s="83"/>
      <c r="AD534" s="83"/>
    </row>
    <row r="535" spans="1:30" ht="15.75" x14ac:dyDescent="0.25">
      <c r="A535" s="13">
        <v>56857</v>
      </c>
      <c r="B535" s="94">
        <v>31</v>
      </c>
      <c r="C535" s="85">
        <f>194.205</f>
        <v>194.20500000000001</v>
      </c>
      <c r="D535" s="85">
        <f>267.466</f>
        <v>267.46600000000001</v>
      </c>
      <c r="E535" s="92">
        <f>133.845</f>
        <v>133.845</v>
      </c>
      <c r="F535" s="85">
        <f>278.484-40-25-60</f>
        <v>153.48399999999998</v>
      </c>
      <c r="G535" s="87">
        <v>40</v>
      </c>
      <c r="H535" s="85">
        <f t="shared" si="86"/>
        <v>85</v>
      </c>
      <c r="I535" s="85">
        <f t="shared" si="84"/>
        <v>0</v>
      </c>
      <c r="J535" s="87">
        <v>100</v>
      </c>
      <c r="K535" s="87">
        <v>300</v>
      </c>
      <c r="L535" s="85">
        <f t="shared" si="77"/>
        <v>1274</v>
      </c>
      <c r="M535" s="86"/>
      <c r="N535" s="85">
        <f>30</f>
        <v>30</v>
      </c>
      <c r="O535" s="87">
        <v>240</v>
      </c>
      <c r="P535" s="87">
        <v>160</v>
      </c>
      <c r="Q535" s="87">
        <f t="shared" si="78"/>
        <v>195</v>
      </c>
      <c r="R535" s="87">
        <f t="shared" si="79"/>
        <v>100</v>
      </c>
      <c r="S535" s="85">
        <f t="shared" si="80"/>
        <v>695</v>
      </c>
      <c r="T535" s="85">
        <f>0</f>
        <v>0</v>
      </c>
      <c r="U535" s="83"/>
      <c r="V535" s="83"/>
      <c r="W535" s="83"/>
      <c r="X535" s="83"/>
      <c r="Y535" s="83"/>
      <c r="Z535" s="83"/>
      <c r="AA535" s="83"/>
      <c r="AB535" s="83"/>
      <c r="AC535" s="83"/>
      <c r="AD535" s="83"/>
    </row>
    <row r="536" spans="1:30" ht="15.75" x14ac:dyDescent="0.25">
      <c r="A536" s="13">
        <v>56887</v>
      </c>
      <c r="B536" s="94">
        <v>30</v>
      </c>
      <c r="C536" s="85">
        <f>194.205</f>
        <v>194.20500000000001</v>
      </c>
      <c r="D536" s="85">
        <f>267.466</f>
        <v>267.46600000000001</v>
      </c>
      <c r="E536" s="92">
        <f>133.845</f>
        <v>133.845</v>
      </c>
      <c r="F536" s="85">
        <f>278.484-40-25-60</f>
        <v>153.48399999999998</v>
      </c>
      <c r="G536" s="87">
        <v>40</v>
      </c>
      <c r="H536" s="85">
        <f t="shared" si="86"/>
        <v>85</v>
      </c>
      <c r="I536" s="85">
        <f t="shared" si="84"/>
        <v>0</v>
      </c>
      <c r="J536" s="87">
        <v>100</v>
      </c>
      <c r="K536" s="87">
        <v>300</v>
      </c>
      <c r="L536" s="85">
        <f t="shared" ref="L536:L599" si="87">SUM(C536:K536)</f>
        <v>1274</v>
      </c>
      <c r="M536" s="86"/>
      <c r="N536" s="85">
        <f>30</f>
        <v>30</v>
      </c>
      <c r="O536" s="87">
        <v>240</v>
      </c>
      <c r="P536" s="87">
        <v>160</v>
      </c>
      <c r="Q536" s="87">
        <f t="shared" ref="Q536:Q599" si="88">695-R536-O536-P536</f>
        <v>195</v>
      </c>
      <c r="R536" s="87">
        <f t="shared" ref="R536:R599" si="89">200-J536</f>
        <v>100</v>
      </c>
      <c r="S536" s="85">
        <f t="shared" ref="S536:S599" si="90">SUM(O536:R536)</f>
        <v>695</v>
      </c>
      <c r="T536" s="85">
        <f>0</f>
        <v>0</v>
      </c>
      <c r="U536" s="83"/>
      <c r="V536" s="83"/>
      <c r="W536" s="83"/>
      <c r="X536" s="83"/>
      <c r="Y536" s="83"/>
      <c r="Z536" s="83"/>
      <c r="AA536" s="83"/>
      <c r="AB536" s="83"/>
      <c r="AC536" s="83"/>
      <c r="AD536" s="83"/>
    </row>
    <row r="537" spans="1:30" ht="15.75" x14ac:dyDescent="0.25">
      <c r="A537" s="13">
        <v>56918</v>
      </c>
      <c r="B537" s="94">
        <v>31</v>
      </c>
      <c r="C537" s="85">
        <f>131.881</f>
        <v>131.881</v>
      </c>
      <c r="D537" s="85">
        <f>277.167</f>
        <v>277.16699999999997</v>
      </c>
      <c r="E537" s="92">
        <f>79.08</f>
        <v>79.08</v>
      </c>
      <c r="F537" s="85">
        <f>350.872-40-25-60</f>
        <v>225.87200000000001</v>
      </c>
      <c r="G537" s="87">
        <v>40</v>
      </c>
      <c r="H537" s="85">
        <f t="shared" si="86"/>
        <v>85</v>
      </c>
      <c r="I537" s="85">
        <f t="shared" si="84"/>
        <v>0</v>
      </c>
      <c r="J537" s="87">
        <v>100</v>
      </c>
      <c r="K537" s="87">
        <v>300</v>
      </c>
      <c r="L537" s="85">
        <f t="shared" si="87"/>
        <v>1239</v>
      </c>
      <c r="M537" s="86"/>
      <c r="N537" s="85">
        <f>75</f>
        <v>75</v>
      </c>
      <c r="O537" s="87">
        <v>240</v>
      </c>
      <c r="P537" s="87">
        <v>160</v>
      </c>
      <c r="Q537" s="87">
        <f t="shared" si="88"/>
        <v>195</v>
      </c>
      <c r="R537" s="87">
        <f t="shared" si="89"/>
        <v>100</v>
      </c>
      <c r="S537" s="85">
        <f t="shared" si="90"/>
        <v>695</v>
      </c>
      <c r="T537" s="85">
        <f>0</f>
        <v>0</v>
      </c>
      <c r="U537" s="83"/>
      <c r="V537" s="83"/>
      <c r="W537" s="83"/>
      <c r="X537" s="83"/>
      <c r="Y537" s="83"/>
      <c r="Z537" s="83"/>
      <c r="AA537" s="83"/>
      <c r="AB537" s="83"/>
      <c r="AC537" s="83"/>
      <c r="AD537" s="83"/>
    </row>
    <row r="538" spans="1:30" ht="15.75" x14ac:dyDescent="0.25">
      <c r="A538" s="13">
        <v>56948</v>
      </c>
      <c r="B538" s="94">
        <v>30</v>
      </c>
      <c r="C538" s="85">
        <f>122.58</f>
        <v>122.58</v>
      </c>
      <c r="D538" s="85">
        <f>297.941</f>
        <v>297.94099999999997</v>
      </c>
      <c r="E538" s="92">
        <f>89.177</f>
        <v>89.177000000000007</v>
      </c>
      <c r="F538" s="85">
        <f>240.302-40-60</f>
        <v>140.30199999999999</v>
      </c>
      <c r="G538" s="87">
        <v>40</v>
      </c>
      <c r="H538" s="85">
        <v>60</v>
      </c>
      <c r="I538" s="85">
        <f t="shared" si="84"/>
        <v>0</v>
      </c>
      <c r="J538" s="87">
        <v>100</v>
      </c>
      <c r="K538" s="87">
        <v>300</v>
      </c>
      <c r="L538" s="85">
        <f t="shared" si="87"/>
        <v>1150</v>
      </c>
      <c r="M538" s="86"/>
      <c r="N538" s="85">
        <f>100</f>
        <v>100</v>
      </c>
      <c r="O538" s="87">
        <v>240</v>
      </c>
      <c r="P538" s="87">
        <v>40</v>
      </c>
      <c r="Q538" s="87">
        <f t="shared" si="88"/>
        <v>315</v>
      </c>
      <c r="R538" s="87">
        <f t="shared" si="89"/>
        <v>100</v>
      </c>
      <c r="S538" s="85">
        <f t="shared" si="90"/>
        <v>695</v>
      </c>
      <c r="T538" s="85">
        <f>50</f>
        <v>50</v>
      </c>
      <c r="U538" s="83"/>
      <c r="V538" s="83"/>
      <c r="W538" s="83"/>
      <c r="X538" s="83"/>
      <c r="Y538" s="83"/>
      <c r="Z538" s="83"/>
      <c r="AA538" s="83"/>
      <c r="AB538" s="83"/>
      <c r="AC538" s="83"/>
      <c r="AD538" s="83"/>
    </row>
    <row r="539" spans="1:30" ht="15.75" x14ac:dyDescent="0.25">
      <c r="A539" s="13">
        <v>56979</v>
      </c>
      <c r="B539" s="94">
        <v>31</v>
      </c>
      <c r="C539" s="85">
        <f>122.58</f>
        <v>122.58</v>
      </c>
      <c r="D539" s="85">
        <f>297.941</f>
        <v>297.94099999999997</v>
      </c>
      <c r="E539" s="92">
        <f>89.177</f>
        <v>89.177000000000007</v>
      </c>
      <c r="F539" s="85">
        <f>240.302-40-60</f>
        <v>140.30199999999999</v>
      </c>
      <c r="G539" s="87">
        <v>40</v>
      </c>
      <c r="H539" s="85">
        <v>60</v>
      </c>
      <c r="I539" s="85">
        <f t="shared" si="84"/>
        <v>0</v>
      </c>
      <c r="J539" s="87">
        <v>100</v>
      </c>
      <c r="K539" s="87">
        <v>300</v>
      </c>
      <c r="L539" s="85">
        <f t="shared" si="87"/>
        <v>1150</v>
      </c>
      <c r="M539" s="86"/>
      <c r="N539" s="85">
        <f>100</f>
        <v>100</v>
      </c>
      <c r="O539" s="87">
        <v>240</v>
      </c>
      <c r="P539" s="87">
        <v>40</v>
      </c>
      <c r="Q539" s="87">
        <f t="shared" si="88"/>
        <v>315</v>
      </c>
      <c r="R539" s="87">
        <f t="shared" si="89"/>
        <v>100</v>
      </c>
      <c r="S539" s="85">
        <f t="shared" si="90"/>
        <v>695</v>
      </c>
      <c r="T539" s="85">
        <f>50</f>
        <v>50</v>
      </c>
      <c r="U539" s="83"/>
      <c r="V539" s="83"/>
      <c r="W539" s="83"/>
      <c r="X539" s="83"/>
      <c r="Y539" s="83"/>
      <c r="Z539" s="83"/>
      <c r="AA539" s="83"/>
      <c r="AB539" s="83"/>
      <c r="AC539" s="83"/>
      <c r="AD539" s="83"/>
    </row>
    <row r="540" spans="1:30" ht="15.75" x14ac:dyDescent="0.25">
      <c r="A540" s="13">
        <v>57010</v>
      </c>
      <c r="B540" s="94">
        <v>31</v>
      </c>
      <c r="C540" s="85">
        <f>122.58</f>
        <v>122.58</v>
      </c>
      <c r="D540" s="85">
        <f>297.941</f>
        <v>297.94099999999997</v>
      </c>
      <c r="E540" s="92">
        <f>89.177</f>
        <v>89.177000000000007</v>
      </c>
      <c r="F540" s="85">
        <f>240.302-40-60</f>
        <v>140.30199999999999</v>
      </c>
      <c r="G540" s="87">
        <v>40</v>
      </c>
      <c r="H540" s="85">
        <v>60</v>
      </c>
      <c r="I540" s="85">
        <f t="shared" si="84"/>
        <v>0</v>
      </c>
      <c r="J540" s="87">
        <v>100</v>
      </c>
      <c r="K540" s="87">
        <v>300</v>
      </c>
      <c r="L540" s="85">
        <f t="shared" si="87"/>
        <v>1150</v>
      </c>
      <c r="M540" s="86"/>
      <c r="N540" s="85">
        <f>100</f>
        <v>100</v>
      </c>
      <c r="O540" s="87">
        <v>240</v>
      </c>
      <c r="P540" s="87">
        <v>40</v>
      </c>
      <c r="Q540" s="87">
        <f t="shared" si="88"/>
        <v>315</v>
      </c>
      <c r="R540" s="87">
        <f t="shared" si="89"/>
        <v>100</v>
      </c>
      <c r="S540" s="85">
        <f t="shared" si="90"/>
        <v>695</v>
      </c>
      <c r="T540" s="85">
        <f>50</f>
        <v>50</v>
      </c>
      <c r="U540" s="83"/>
      <c r="V540" s="83"/>
      <c r="W540" s="83"/>
      <c r="X540" s="83"/>
      <c r="Y540" s="83"/>
      <c r="Z540" s="83"/>
      <c r="AA540" s="83"/>
      <c r="AB540" s="83"/>
      <c r="AC540" s="83"/>
      <c r="AD540" s="83"/>
    </row>
    <row r="541" spans="1:30" ht="15.75" x14ac:dyDescent="0.25">
      <c r="A541" s="13">
        <v>57038</v>
      </c>
      <c r="B541" s="94">
        <v>29</v>
      </c>
      <c r="C541" s="85">
        <f>122.58</f>
        <v>122.58</v>
      </c>
      <c r="D541" s="85">
        <f>297.941</f>
        <v>297.94099999999997</v>
      </c>
      <c r="E541" s="92">
        <f>89.177</f>
        <v>89.177000000000007</v>
      </c>
      <c r="F541" s="85">
        <f>240.302-40-60</f>
        <v>140.30199999999999</v>
      </c>
      <c r="G541" s="87">
        <v>40</v>
      </c>
      <c r="H541" s="85">
        <v>60</v>
      </c>
      <c r="I541" s="85">
        <f t="shared" si="84"/>
        <v>0</v>
      </c>
      <c r="J541" s="87">
        <v>100</v>
      </c>
      <c r="K541" s="87">
        <v>300</v>
      </c>
      <c r="L541" s="85">
        <f t="shared" si="87"/>
        <v>1150</v>
      </c>
      <c r="M541" s="86"/>
      <c r="N541" s="85">
        <f>100</f>
        <v>100</v>
      </c>
      <c r="O541" s="87">
        <v>240</v>
      </c>
      <c r="P541" s="87">
        <v>40</v>
      </c>
      <c r="Q541" s="87">
        <f t="shared" si="88"/>
        <v>315</v>
      </c>
      <c r="R541" s="87">
        <f t="shared" si="89"/>
        <v>100</v>
      </c>
      <c r="S541" s="85">
        <f t="shared" si="90"/>
        <v>695</v>
      </c>
      <c r="T541" s="85">
        <f>50</f>
        <v>50</v>
      </c>
      <c r="U541" s="83"/>
      <c r="V541" s="83"/>
      <c r="W541" s="83"/>
      <c r="X541" s="83"/>
      <c r="Y541" s="83"/>
      <c r="Z541" s="83"/>
      <c r="AA541" s="83"/>
      <c r="AB541" s="83"/>
      <c r="AC541" s="83"/>
      <c r="AD541" s="83"/>
    </row>
    <row r="542" spans="1:30" ht="15.75" x14ac:dyDescent="0.25">
      <c r="A542" s="13">
        <v>57070</v>
      </c>
      <c r="B542" s="94">
        <v>31</v>
      </c>
      <c r="C542" s="85">
        <f>122.58</f>
        <v>122.58</v>
      </c>
      <c r="D542" s="85">
        <f>297.941</f>
        <v>297.94099999999997</v>
      </c>
      <c r="E542" s="92">
        <f>89.177</f>
        <v>89.177000000000007</v>
      </c>
      <c r="F542" s="85">
        <f>240.302-40-60</f>
        <v>140.30199999999999</v>
      </c>
      <c r="G542" s="87">
        <v>40</v>
      </c>
      <c r="H542" s="85">
        <v>60</v>
      </c>
      <c r="I542" s="85">
        <f t="shared" si="84"/>
        <v>0</v>
      </c>
      <c r="J542" s="87">
        <v>100</v>
      </c>
      <c r="K542" s="87">
        <v>300</v>
      </c>
      <c r="L542" s="85">
        <f t="shared" si="87"/>
        <v>1150</v>
      </c>
      <c r="M542" s="86"/>
      <c r="N542" s="85">
        <f>100</f>
        <v>100</v>
      </c>
      <c r="O542" s="87">
        <v>240</v>
      </c>
      <c r="P542" s="87">
        <v>40</v>
      </c>
      <c r="Q542" s="87">
        <f t="shared" si="88"/>
        <v>315</v>
      </c>
      <c r="R542" s="87">
        <f t="shared" si="89"/>
        <v>100</v>
      </c>
      <c r="S542" s="85">
        <f t="shared" si="90"/>
        <v>695</v>
      </c>
      <c r="T542" s="85">
        <f>50</f>
        <v>50</v>
      </c>
      <c r="U542" s="83"/>
      <c r="V542" s="83"/>
      <c r="W542" s="83"/>
      <c r="X542" s="83"/>
      <c r="Y542" s="83"/>
      <c r="Z542" s="83"/>
      <c r="AA542" s="83"/>
      <c r="AB542" s="83"/>
      <c r="AC542" s="83"/>
      <c r="AD542" s="83"/>
    </row>
    <row r="543" spans="1:30" ht="15.75" x14ac:dyDescent="0.25">
      <c r="A543" s="13">
        <v>57100</v>
      </c>
      <c r="B543" s="94">
        <v>30</v>
      </c>
      <c r="C543" s="85">
        <f>141.293</f>
        <v>141.29300000000001</v>
      </c>
      <c r="D543" s="85">
        <f>267.993</f>
        <v>267.99299999999999</v>
      </c>
      <c r="E543" s="92">
        <f>115.016</f>
        <v>115.01600000000001</v>
      </c>
      <c r="F543" s="85">
        <f>314.698-40-25-60</f>
        <v>189.69799999999998</v>
      </c>
      <c r="G543" s="87">
        <v>40</v>
      </c>
      <c r="H543" s="85">
        <f t="shared" ref="H543:H549" si="91">25+60</f>
        <v>85</v>
      </c>
      <c r="I543" s="85">
        <f t="shared" si="84"/>
        <v>0</v>
      </c>
      <c r="J543" s="87">
        <v>100</v>
      </c>
      <c r="K543" s="87">
        <v>300</v>
      </c>
      <c r="L543" s="85">
        <f t="shared" si="87"/>
        <v>1239</v>
      </c>
      <c r="M543" s="86"/>
      <c r="N543" s="85">
        <f>100</f>
        <v>100</v>
      </c>
      <c r="O543" s="87">
        <v>240</v>
      </c>
      <c r="P543" s="87">
        <v>160</v>
      </c>
      <c r="Q543" s="87">
        <f t="shared" si="88"/>
        <v>195</v>
      </c>
      <c r="R543" s="87">
        <f t="shared" si="89"/>
        <v>100</v>
      </c>
      <c r="S543" s="85">
        <f t="shared" si="90"/>
        <v>695</v>
      </c>
      <c r="T543" s="85">
        <f>50</f>
        <v>50</v>
      </c>
      <c r="U543" s="83"/>
      <c r="V543" s="83"/>
      <c r="W543" s="83"/>
      <c r="X543" s="83"/>
      <c r="Y543" s="83"/>
      <c r="Z543" s="83"/>
      <c r="AA543" s="83"/>
      <c r="AB543" s="83"/>
      <c r="AC543" s="83"/>
      <c r="AD543" s="83"/>
    </row>
    <row r="544" spans="1:30" ht="15.75" x14ac:dyDescent="0.25">
      <c r="A544" s="13">
        <v>57131</v>
      </c>
      <c r="B544" s="94">
        <v>31</v>
      </c>
      <c r="C544" s="85">
        <f>194.205</f>
        <v>194.20500000000001</v>
      </c>
      <c r="D544" s="85">
        <f>267.466</f>
        <v>267.46600000000001</v>
      </c>
      <c r="E544" s="92">
        <f>133.845</f>
        <v>133.845</v>
      </c>
      <c r="F544" s="85">
        <f>278.484-40-25-60</f>
        <v>153.48399999999998</v>
      </c>
      <c r="G544" s="87">
        <v>40</v>
      </c>
      <c r="H544" s="85">
        <f t="shared" si="91"/>
        <v>85</v>
      </c>
      <c r="I544" s="85">
        <f t="shared" si="84"/>
        <v>0</v>
      </c>
      <c r="J544" s="87">
        <v>100</v>
      </c>
      <c r="K544" s="87">
        <v>300</v>
      </c>
      <c r="L544" s="85">
        <f t="shared" si="87"/>
        <v>1274</v>
      </c>
      <c r="M544" s="86"/>
      <c r="N544" s="85">
        <f>75</f>
        <v>75</v>
      </c>
      <c r="O544" s="87">
        <v>240</v>
      </c>
      <c r="P544" s="87">
        <v>160</v>
      </c>
      <c r="Q544" s="87">
        <f t="shared" si="88"/>
        <v>195</v>
      </c>
      <c r="R544" s="87">
        <f t="shared" si="89"/>
        <v>100</v>
      </c>
      <c r="S544" s="85">
        <f t="shared" si="90"/>
        <v>695</v>
      </c>
      <c r="T544" s="85">
        <f>50</f>
        <v>50</v>
      </c>
      <c r="U544" s="83"/>
      <c r="V544" s="83"/>
      <c r="W544" s="83"/>
      <c r="X544" s="83"/>
      <c r="Y544" s="83"/>
      <c r="Z544" s="83"/>
      <c r="AA544" s="83"/>
      <c r="AB544" s="83"/>
      <c r="AC544" s="83"/>
      <c r="AD544" s="83"/>
    </row>
    <row r="545" spans="1:30" ht="15.75" x14ac:dyDescent="0.25">
      <c r="A545" s="13">
        <v>57161</v>
      </c>
      <c r="B545" s="94">
        <v>30</v>
      </c>
      <c r="C545" s="85">
        <f>194.205</f>
        <v>194.20500000000001</v>
      </c>
      <c r="D545" s="85">
        <f>267.466</f>
        <v>267.46600000000001</v>
      </c>
      <c r="E545" s="92">
        <f>133.845</f>
        <v>133.845</v>
      </c>
      <c r="F545" s="85">
        <f>278.484-40-25-60</f>
        <v>153.48399999999998</v>
      </c>
      <c r="G545" s="87">
        <v>40</v>
      </c>
      <c r="H545" s="85">
        <f t="shared" si="91"/>
        <v>85</v>
      </c>
      <c r="I545" s="85">
        <f t="shared" si="84"/>
        <v>0</v>
      </c>
      <c r="J545" s="87">
        <v>100</v>
      </c>
      <c r="K545" s="87">
        <v>300</v>
      </c>
      <c r="L545" s="85">
        <f t="shared" si="87"/>
        <v>1274</v>
      </c>
      <c r="M545" s="86"/>
      <c r="N545" s="85">
        <f>30</f>
        <v>30</v>
      </c>
      <c r="O545" s="87">
        <v>240</v>
      </c>
      <c r="P545" s="87">
        <v>160</v>
      </c>
      <c r="Q545" s="87">
        <f t="shared" si="88"/>
        <v>195</v>
      </c>
      <c r="R545" s="87">
        <f t="shared" si="89"/>
        <v>100</v>
      </c>
      <c r="S545" s="85">
        <f t="shared" si="90"/>
        <v>695</v>
      </c>
      <c r="T545" s="85">
        <f>50</f>
        <v>50</v>
      </c>
      <c r="U545" s="83"/>
      <c r="V545" s="83"/>
      <c r="W545" s="83"/>
      <c r="X545" s="83"/>
      <c r="Y545" s="83"/>
      <c r="Z545" s="83"/>
      <c r="AA545" s="83"/>
      <c r="AB545" s="83"/>
      <c r="AC545" s="83"/>
      <c r="AD545" s="83"/>
    </row>
    <row r="546" spans="1:30" ht="15.75" x14ac:dyDescent="0.25">
      <c r="A546" s="13">
        <v>57192</v>
      </c>
      <c r="B546" s="94">
        <v>31</v>
      </c>
      <c r="C546" s="85">
        <f>194.205</f>
        <v>194.20500000000001</v>
      </c>
      <c r="D546" s="85">
        <f>267.466</f>
        <v>267.46600000000001</v>
      </c>
      <c r="E546" s="92">
        <f>133.845</f>
        <v>133.845</v>
      </c>
      <c r="F546" s="85">
        <f>278.484-40-25-60</f>
        <v>153.48399999999998</v>
      </c>
      <c r="G546" s="87">
        <v>40</v>
      </c>
      <c r="H546" s="85">
        <f t="shared" si="91"/>
        <v>85</v>
      </c>
      <c r="I546" s="85">
        <f t="shared" si="84"/>
        <v>0</v>
      </c>
      <c r="J546" s="87">
        <v>100</v>
      </c>
      <c r="K546" s="87">
        <v>300</v>
      </c>
      <c r="L546" s="85">
        <f t="shared" si="87"/>
        <v>1274</v>
      </c>
      <c r="M546" s="86"/>
      <c r="N546" s="85">
        <f>30</f>
        <v>30</v>
      </c>
      <c r="O546" s="87">
        <v>240</v>
      </c>
      <c r="P546" s="87">
        <v>160</v>
      </c>
      <c r="Q546" s="87">
        <f t="shared" si="88"/>
        <v>195</v>
      </c>
      <c r="R546" s="87">
        <f t="shared" si="89"/>
        <v>100</v>
      </c>
      <c r="S546" s="85">
        <f t="shared" si="90"/>
        <v>695</v>
      </c>
      <c r="T546" s="85">
        <f>0</f>
        <v>0</v>
      </c>
      <c r="U546" s="83"/>
      <c r="V546" s="83"/>
      <c r="W546" s="83"/>
      <c r="X546" s="83"/>
      <c r="Y546" s="83"/>
      <c r="Z546" s="83"/>
      <c r="AA546" s="83"/>
      <c r="AB546" s="83"/>
      <c r="AC546" s="83"/>
      <c r="AD546" s="83"/>
    </row>
    <row r="547" spans="1:30" ht="15.75" x14ac:dyDescent="0.25">
      <c r="A547" s="13">
        <v>57223</v>
      </c>
      <c r="B547" s="94">
        <v>31</v>
      </c>
      <c r="C547" s="85">
        <f>194.205</f>
        <v>194.20500000000001</v>
      </c>
      <c r="D547" s="85">
        <f>267.466</f>
        <v>267.46600000000001</v>
      </c>
      <c r="E547" s="92">
        <f>133.845</f>
        <v>133.845</v>
      </c>
      <c r="F547" s="85">
        <f>278.484-40-25-60</f>
        <v>153.48399999999998</v>
      </c>
      <c r="G547" s="87">
        <v>40</v>
      </c>
      <c r="H547" s="85">
        <f t="shared" si="91"/>
        <v>85</v>
      </c>
      <c r="I547" s="85">
        <f t="shared" si="84"/>
        <v>0</v>
      </c>
      <c r="J547" s="87">
        <v>100</v>
      </c>
      <c r="K547" s="87">
        <v>300</v>
      </c>
      <c r="L547" s="85">
        <f t="shared" si="87"/>
        <v>1274</v>
      </c>
      <c r="M547" s="86"/>
      <c r="N547" s="85">
        <f>30</f>
        <v>30</v>
      </c>
      <c r="O547" s="87">
        <v>240</v>
      </c>
      <c r="P547" s="87">
        <v>160</v>
      </c>
      <c r="Q547" s="87">
        <f t="shared" si="88"/>
        <v>195</v>
      </c>
      <c r="R547" s="87">
        <f t="shared" si="89"/>
        <v>100</v>
      </c>
      <c r="S547" s="85">
        <f t="shared" si="90"/>
        <v>695</v>
      </c>
      <c r="T547" s="85">
        <f>0</f>
        <v>0</v>
      </c>
      <c r="U547" s="83"/>
      <c r="V547" s="83"/>
      <c r="W547" s="83"/>
      <c r="X547" s="83"/>
      <c r="Y547" s="83"/>
      <c r="Z547" s="83"/>
      <c r="AA547" s="83"/>
      <c r="AB547" s="83"/>
      <c r="AC547" s="83"/>
      <c r="AD547" s="83"/>
    </row>
    <row r="548" spans="1:30" ht="15.75" x14ac:dyDescent="0.25">
      <c r="A548" s="13">
        <v>57253</v>
      </c>
      <c r="B548" s="94">
        <v>30</v>
      </c>
      <c r="C548" s="85">
        <f>194.205</f>
        <v>194.20500000000001</v>
      </c>
      <c r="D548" s="85">
        <f>267.466</f>
        <v>267.46600000000001</v>
      </c>
      <c r="E548" s="92">
        <f>133.845</f>
        <v>133.845</v>
      </c>
      <c r="F548" s="85">
        <f>278.484-40-25-60</f>
        <v>153.48399999999998</v>
      </c>
      <c r="G548" s="87">
        <v>40</v>
      </c>
      <c r="H548" s="85">
        <f t="shared" si="91"/>
        <v>85</v>
      </c>
      <c r="I548" s="85">
        <f t="shared" si="84"/>
        <v>0</v>
      </c>
      <c r="J548" s="87">
        <v>100</v>
      </c>
      <c r="K548" s="87">
        <v>300</v>
      </c>
      <c r="L548" s="85">
        <f t="shared" si="87"/>
        <v>1274</v>
      </c>
      <c r="M548" s="86"/>
      <c r="N548" s="85">
        <f>30</f>
        <v>30</v>
      </c>
      <c r="O548" s="87">
        <v>240</v>
      </c>
      <c r="P548" s="87">
        <v>160</v>
      </c>
      <c r="Q548" s="87">
        <f t="shared" si="88"/>
        <v>195</v>
      </c>
      <c r="R548" s="87">
        <f t="shared" si="89"/>
        <v>100</v>
      </c>
      <c r="S548" s="85">
        <f t="shared" si="90"/>
        <v>695</v>
      </c>
      <c r="T548" s="85">
        <f>0</f>
        <v>0</v>
      </c>
      <c r="U548" s="83"/>
      <c r="V548" s="83"/>
      <c r="W548" s="83"/>
      <c r="X548" s="83"/>
      <c r="Y548" s="83"/>
      <c r="Z548" s="83"/>
      <c r="AA548" s="83"/>
      <c r="AB548" s="83"/>
      <c r="AC548" s="83"/>
      <c r="AD548" s="83"/>
    </row>
    <row r="549" spans="1:30" ht="15.75" x14ac:dyDescent="0.25">
      <c r="A549" s="13">
        <v>57284</v>
      </c>
      <c r="B549" s="94">
        <v>31</v>
      </c>
      <c r="C549" s="85">
        <f>131.881</f>
        <v>131.881</v>
      </c>
      <c r="D549" s="85">
        <f>277.167</f>
        <v>277.16699999999997</v>
      </c>
      <c r="E549" s="92">
        <f>79.08</f>
        <v>79.08</v>
      </c>
      <c r="F549" s="85">
        <f>350.872-40-25-60</f>
        <v>225.87200000000001</v>
      </c>
      <c r="G549" s="87">
        <v>40</v>
      </c>
      <c r="H549" s="85">
        <f t="shared" si="91"/>
        <v>85</v>
      </c>
      <c r="I549" s="85">
        <f t="shared" si="84"/>
        <v>0</v>
      </c>
      <c r="J549" s="87">
        <v>100</v>
      </c>
      <c r="K549" s="87">
        <v>300</v>
      </c>
      <c r="L549" s="85">
        <f t="shared" si="87"/>
        <v>1239</v>
      </c>
      <c r="M549" s="86"/>
      <c r="N549" s="85">
        <f>75</f>
        <v>75</v>
      </c>
      <c r="O549" s="87">
        <v>240</v>
      </c>
      <c r="P549" s="87">
        <v>160</v>
      </c>
      <c r="Q549" s="87">
        <f t="shared" si="88"/>
        <v>195</v>
      </c>
      <c r="R549" s="87">
        <f t="shared" si="89"/>
        <v>100</v>
      </c>
      <c r="S549" s="85">
        <f t="shared" si="90"/>
        <v>695</v>
      </c>
      <c r="T549" s="85">
        <f>0</f>
        <v>0</v>
      </c>
      <c r="U549" s="83"/>
      <c r="V549" s="83"/>
      <c r="W549" s="83"/>
      <c r="X549" s="83"/>
      <c r="Y549" s="83"/>
      <c r="Z549" s="83"/>
      <c r="AA549" s="83"/>
      <c r="AB549" s="83"/>
      <c r="AC549" s="83"/>
      <c r="AD549" s="83"/>
    </row>
    <row r="550" spans="1:30" ht="15.75" x14ac:dyDescent="0.25">
      <c r="A550" s="13">
        <v>57314</v>
      </c>
      <c r="B550" s="94">
        <v>30</v>
      </c>
      <c r="C550" s="85">
        <f>122.58</f>
        <v>122.58</v>
      </c>
      <c r="D550" s="85">
        <f>297.941</f>
        <v>297.94099999999997</v>
      </c>
      <c r="E550" s="92">
        <f>89.177</f>
        <v>89.177000000000007</v>
      </c>
      <c r="F550" s="85">
        <f>240.302-40-60</f>
        <v>140.30199999999999</v>
      </c>
      <c r="G550" s="87">
        <v>40</v>
      </c>
      <c r="H550" s="85">
        <v>60</v>
      </c>
      <c r="I550" s="85">
        <f t="shared" si="84"/>
        <v>0</v>
      </c>
      <c r="J550" s="87">
        <v>100</v>
      </c>
      <c r="K550" s="87">
        <v>300</v>
      </c>
      <c r="L550" s="85">
        <f t="shared" si="87"/>
        <v>1150</v>
      </c>
      <c r="M550" s="86"/>
      <c r="N550" s="85">
        <f>100</f>
        <v>100</v>
      </c>
      <c r="O550" s="87">
        <v>240</v>
      </c>
      <c r="P550" s="87">
        <v>40</v>
      </c>
      <c r="Q550" s="87">
        <f t="shared" si="88"/>
        <v>315</v>
      </c>
      <c r="R550" s="87">
        <f t="shared" si="89"/>
        <v>100</v>
      </c>
      <c r="S550" s="85">
        <f t="shared" si="90"/>
        <v>695</v>
      </c>
      <c r="T550" s="85">
        <f>50</f>
        <v>50</v>
      </c>
      <c r="U550" s="83"/>
      <c r="V550" s="83"/>
      <c r="W550" s="83"/>
      <c r="X550" s="83"/>
      <c r="Y550" s="83"/>
      <c r="Z550" s="83"/>
      <c r="AA550" s="83"/>
      <c r="AB550" s="83"/>
      <c r="AC550" s="83"/>
      <c r="AD550" s="83"/>
    </row>
    <row r="551" spans="1:30" ht="15.75" x14ac:dyDescent="0.25">
      <c r="A551" s="13">
        <v>57345</v>
      </c>
      <c r="B551" s="94">
        <v>31</v>
      </c>
      <c r="C551" s="85">
        <f>122.58</f>
        <v>122.58</v>
      </c>
      <c r="D551" s="85">
        <f>297.941</f>
        <v>297.94099999999997</v>
      </c>
      <c r="E551" s="92">
        <f>89.177</f>
        <v>89.177000000000007</v>
      </c>
      <c r="F551" s="85">
        <f>240.302-40-60</f>
        <v>140.30199999999999</v>
      </c>
      <c r="G551" s="87">
        <v>40</v>
      </c>
      <c r="H551" s="85">
        <v>60</v>
      </c>
      <c r="I551" s="85">
        <f t="shared" si="84"/>
        <v>0</v>
      </c>
      <c r="J551" s="87">
        <v>100</v>
      </c>
      <c r="K551" s="87">
        <v>300</v>
      </c>
      <c r="L551" s="85">
        <f t="shared" si="87"/>
        <v>1150</v>
      </c>
      <c r="M551" s="86"/>
      <c r="N551" s="85">
        <f>100</f>
        <v>100</v>
      </c>
      <c r="O551" s="87">
        <v>240</v>
      </c>
      <c r="P551" s="87">
        <v>40</v>
      </c>
      <c r="Q551" s="87">
        <f t="shared" si="88"/>
        <v>315</v>
      </c>
      <c r="R551" s="87">
        <f t="shared" si="89"/>
        <v>100</v>
      </c>
      <c r="S551" s="85">
        <f t="shared" si="90"/>
        <v>695</v>
      </c>
      <c r="T551" s="85">
        <f>50</f>
        <v>50</v>
      </c>
      <c r="U551" s="83"/>
      <c r="V551" s="83"/>
      <c r="W551" s="83"/>
      <c r="X551" s="83"/>
      <c r="Y551" s="83"/>
      <c r="Z551" s="83"/>
      <c r="AA551" s="83"/>
      <c r="AB551" s="83"/>
      <c r="AC551" s="83"/>
      <c r="AD551" s="83"/>
    </row>
    <row r="552" spans="1:30" ht="15.75" x14ac:dyDescent="0.25">
      <c r="A552" s="13">
        <v>57376</v>
      </c>
      <c r="B552" s="94">
        <v>31</v>
      </c>
      <c r="C552" s="85">
        <f>122.58</f>
        <v>122.58</v>
      </c>
      <c r="D552" s="85">
        <f>297.941</f>
        <v>297.94099999999997</v>
      </c>
      <c r="E552" s="92">
        <f>89.177</f>
        <v>89.177000000000007</v>
      </c>
      <c r="F552" s="85">
        <f>240.302-40-60</f>
        <v>140.30199999999999</v>
      </c>
      <c r="G552" s="87">
        <v>40</v>
      </c>
      <c r="H552" s="85">
        <v>60</v>
      </c>
      <c r="I552" s="85">
        <f t="shared" si="84"/>
        <v>0</v>
      </c>
      <c r="J552" s="87">
        <v>100</v>
      </c>
      <c r="K552" s="87">
        <v>300</v>
      </c>
      <c r="L552" s="85">
        <f t="shared" si="87"/>
        <v>1150</v>
      </c>
      <c r="M552" s="86"/>
      <c r="N552" s="85">
        <f>100</f>
        <v>100</v>
      </c>
      <c r="O552" s="87">
        <v>240</v>
      </c>
      <c r="P552" s="87">
        <v>40</v>
      </c>
      <c r="Q552" s="87">
        <f t="shared" si="88"/>
        <v>315</v>
      </c>
      <c r="R552" s="87">
        <f t="shared" si="89"/>
        <v>100</v>
      </c>
      <c r="S552" s="85">
        <f t="shared" si="90"/>
        <v>695</v>
      </c>
      <c r="T552" s="85">
        <f>50</f>
        <v>50</v>
      </c>
      <c r="U552" s="83"/>
      <c r="V552" s="83"/>
      <c r="W552" s="83"/>
      <c r="X552" s="83"/>
      <c r="Y552" s="83"/>
      <c r="Z552" s="83"/>
      <c r="AA552" s="83"/>
      <c r="AB552" s="83"/>
      <c r="AC552" s="83"/>
      <c r="AD552" s="83"/>
    </row>
    <row r="553" spans="1:30" ht="15.75" x14ac:dyDescent="0.25">
      <c r="A553" s="13">
        <v>57404</v>
      </c>
      <c r="B553" s="94">
        <v>28</v>
      </c>
      <c r="C553" s="85">
        <f>122.58</f>
        <v>122.58</v>
      </c>
      <c r="D553" s="85">
        <f>297.941</f>
        <v>297.94099999999997</v>
      </c>
      <c r="E553" s="92">
        <f>89.177</f>
        <v>89.177000000000007</v>
      </c>
      <c r="F553" s="85">
        <f>240.302-40-60</f>
        <v>140.30199999999999</v>
      </c>
      <c r="G553" s="87">
        <v>40</v>
      </c>
      <c r="H553" s="85">
        <v>60</v>
      </c>
      <c r="I553" s="85">
        <f t="shared" si="84"/>
        <v>0</v>
      </c>
      <c r="J553" s="87">
        <v>100</v>
      </c>
      <c r="K553" s="87">
        <v>300</v>
      </c>
      <c r="L553" s="85">
        <f t="shared" si="87"/>
        <v>1150</v>
      </c>
      <c r="M553" s="86"/>
      <c r="N553" s="85">
        <f>100</f>
        <v>100</v>
      </c>
      <c r="O553" s="87">
        <v>240</v>
      </c>
      <c r="P553" s="87">
        <v>40</v>
      </c>
      <c r="Q553" s="87">
        <f t="shared" si="88"/>
        <v>315</v>
      </c>
      <c r="R553" s="87">
        <f t="shared" si="89"/>
        <v>100</v>
      </c>
      <c r="S553" s="85">
        <f t="shared" si="90"/>
        <v>695</v>
      </c>
      <c r="T553" s="85">
        <f>50</f>
        <v>50</v>
      </c>
      <c r="U553" s="83"/>
      <c r="V553" s="83"/>
      <c r="W553" s="83"/>
      <c r="X553" s="83"/>
      <c r="Y553" s="83"/>
      <c r="Z553" s="83"/>
      <c r="AA553" s="83"/>
      <c r="AB553" s="83"/>
      <c r="AC553" s="83"/>
      <c r="AD553" s="83"/>
    </row>
    <row r="554" spans="1:30" ht="15.75" x14ac:dyDescent="0.25">
      <c r="A554" s="13">
        <v>57435</v>
      </c>
      <c r="B554" s="94">
        <v>31</v>
      </c>
      <c r="C554" s="85">
        <f>122.58</f>
        <v>122.58</v>
      </c>
      <c r="D554" s="85">
        <f>297.941</f>
        <v>297.94099999999997</v>
      </c>
      <c r="E554" s="92">
        <f>89.177</f>
        <v>89.177000000000007</v>
      </c>
      <c r="F554" s="85">
        <f>240.302-40-60</f>
        <v>140.30199999999999</v>
      </c>
      <c r="G554" s="87">
        <v>40</v>
      </c>
      <c r="H554" s="85">
        <v>60</v>
      </c>
      <c r="I554" s="85">
        <f t="shared" si="84"/>
        <v>0</v>
      </c>
      <c r="J554" s="87">
        <v>100</v>
      </c>
      <c r="K554" s="87">
        <v>300</v>
      </c>
      <c r="L554" s="85">
        <f t="shared" si="87"/>
        <v>1150</v>
      </c>
      <c r="M554" s="86"/>
      <c r="N554" s="85">
        <f>100</f>
        <v>100</v>
      </c>
      <c r="O554" s="87">
        <v>240</v>
      </c>
      <c r="P554" s="87">
        <v>40</v>
      </c>
      <c r="Q554" s="87">
        <f t="shared" si="88"/>
        <v>315</v>
      </c>
      <c r="R554" s="87">
        <f t="shared" si="89"/>
        <v>100</v>
      </c>
      <c r="S554" s="85">
        <f t="shared" si="90"/>
        <v>695</v>
      </c>
      <c r="T554" s="85">
        <f>50</f>
        <v>50</v>
      </c>
      <c r="U554" s="83"/>
      <c r="V554" s="83"/>
      <c r="W554" s="83"/>
      <c r="X554" s="83"/>
      <c r="Y554" s="83"/>
      <c r="Z554" s="83"/>
      <c r="AA554" s="83"/>
      <c r="AB554" s="83"/>
      <c r="AC554" s="83"/>
      <c r="AD554" s="83"/>
    </row>
    <row r="555" spans="1:30" ht="15.75" x14ac:dyDescent="0.25">
      <c r="A555" s="13">
        <v>57465</v>
      </c>
      <c r="B555" s="94">
        <v>30</v>
      </c>
      <c r="C555" s="85">
        <f>141.293</f>
        <v>141.29300000000001</v>
      </c>
      <c r="D555" s="85">
        <f>267.993</f>
        <v>267.99299999999999</v>
      </c>
      <c r="E555" s="92">
        <f>115.016</f>
        <v>115.01600000000001</v>
      </c>
      <c r="F555" s="85">
        <f>314.698-40-25-60</f>
        <v>189.69799999999998</v>
      </c>
      <c r="G555" s="87">
        <v>40</v>
      </c>
      <c r="H555" s="85">
        <f t="shared" ref="H555:H561" si="92">25+60</f>
        <v>85</v>
      </c>
      <c r="I555" s="85">
        <f t="shared" si="84"/>
        <v>0</v>
      </c>
      <c r="J555" s="87">
        <v>100</v>
      </c>
      <c r="K555" s="87">
        <v>300</v>
      </c>
      <c r="L555" s="85">
        <f t="shared" si="87"/>
        <v>1239</v>
      </c>
      <c r="M555" s="86"/>
      <c r="N555" s="85">
        <f>100</f>
        <v>100</v>
      </c>
      <c r="O555" s="87">
        <v>240</v>
      </c>
      <c r="P555" s="87">
        <v>160</v>
      </c>
      <c r="Q555" s="87">
        <f t="shared" si="88"/>
        <v>195</v>
      </c>
      <c r="R555" s="87">
        <f t="shared" si="89"/>
        <v>100</v>
      </c>
      <c r="S555" s="85">
        <f t="shared" si="90"/>
        <v>695</v>
      </c>
      <c r="T555" s="85">
        <f>50</f>
        <v>50</v>
      </c>
      <c r="U555" s="83"/>
      <c r="V555" s="83"/>
      <c r="W555" s="83"/>
      <c r="X555" s="83"/>
      <c r="Y555" s="83"/>
      <c r="Z555" s="83"/>
      <c r="AA555" s="83"/>
      <c r="AB555" s="83"/>
      <c r="AC555" s="83"/>
      <c r="AD555" s="83"/>
    </row>
    <row r="556" spans="1:30" ht="15.75" x14ac:dyDescent="0.25">
      <c r="A556" s="13">
        <v>57496</v>
      </c>
      <c r="B556" s="94">
        <v>31</v>
      </c>
      <c r="C556" s="85">
        <f>194.205</f>
        <v>194.20500000000001</v>
      </c>
      <c r="D556" s="85">
        <f>267.466</f>
        <v>267.46600000000001</v>
      </c>
      <c r="E556" s="92">
        <f>133.845</f>
        <v>133.845</v>
      </c>
      <c r="F556" s="85">
        <f>278.484-40-25-60</f>
        <v>153.48399999999998</v>
      </c>
      <c r="G556" s="87">
        <v>40</v>
      </c>
      <c r="H556" s="85">
        <f t="shared" si="92"/>
        <v>85</v>
      </c>
      <c r="I556" s="85">
        <f t="shared" si="84"/>
        <v>0</v>
      </c>
      <c r="J556" s="87">
        <v>100</v>
      </c>
      <c r="K556" s="87">
        <v>300</v>
      </c>
      <c r="L556" s="85">
        <f t="shared" si="87"/>
        <v>1274</v>
      </c>
      <c r="M556" s="86"/>
      <c r="N556" s="85">
        <f>75</f>
        <v>75</v>
      </c>
      <c r="O556" s="87">
        <v>240</v>
      </c>
      <c r="P556" s="87">
        <v>160</v>
      </c>
      <c r="Q556" s="87">
        <f t="shared" si="88"/>
        <v>195</v>
      </c>
      <c r="R556" s="87">
        <f t="shared" si="89"/>
        <v>100</v>
      </c>
      <c r="S556" s="85">
        <f t="shared" si="90"/>
        <v>695</v>
      </c>
      <c r="T556" s="85">
        <f>50</f>
        <v>50</v>
      </c>
      <c r="U556" s="83"/>
      <c r="V556" s="83"/>
      <c r="W556" s="83"/>
      <c r="X556" s="83"/>
      <c r="Y556" s="83"/>
      <c r="Z556" s="83"/>
      <c r="AA556" s="83"/>
      <c r="AB556" s="83"/>
      <c r="AC556" s="83"/>
      <c r="AD556" s="83"/>
    </row>
    <row r="557" spans="1:30" ht="15.75" x14ac:dyDescent="0.25">
      <c r="A557" s="13">
        <v>57526</v>
      </c>
      <c r="B557" s="94">
        <v>30</v>
      </c>
      <c r="C557" s="85">
        <f>194.205</f>
        <v>194.20500000000001</v>
      </c>
      <c r="D557" s="85">
        <f>267.466</f>
        <v>267.46600000000001</v>
      </c>
      <c r="E557" s="92">
        <f>133.845</f>
        <v>133.845</v>
      </c>
      <c r="F557" s="85">
        <f>278.484-40-25-60</f>
        <v>153.48399999999998</v>
      </c>
      <c r="G557" s="87">
        <v>40</v>
      </c>
      <c r="H557" s="85">
        <f t="shared" si="92"/>
        <v>85</v>
      </c>
      <c r="I557" s="85">
        <f t="shared" si="84"/>
        <v>0</v>
      </c>
      <c r="J557" s="87">
        <v>100</v>
      </c>
      <c r="K557" s="87">
        <v>300</v>
      </c>
      <c r="L557" s="85">
        <f t="shared" si="87"/>
        <v>1274</v>
      </c>
      <c r="M557" s="86"/>
      <c r="N557" s="85">
        <f>30</f>
        <v>30</v>
      </c>
      <c r="O557" s="87">
        <v>240</v>
      </c>
      <c r="P557" s="87">
        <v>160</v>
      </c>
      <c r="Q557" s="87">
        <f t="shared" si="88"/>
        <v>195</v>
      </c>
      <c r="R557" s="87">
        <f t="shared" si="89"/>
        <v>100</v>
      </c>
      <c r="S557" s="85">
        <f t="shared" si="90"/>
        <v>695</v>
      </c>
      <c r="T557" s="85">
        <f>50</f>
        <v>50</v>
      </c>
      <c r="U557" s="83"/>
      <c r="V557" s="83"/>
      <c r="W557" s="83"/>
      <c r="X557" s="83"/>
      <c r="Y557" s="83"/>
      <c r="Z557" s="83"/>
      <c r="AA557" s="83"/>
      <c r="AB557" s="83"/>
      <c r="AC557" s="83"/>
      <c r="AD557" s="83"/>
    </row>
    <row r="558" spans="1:30" ht="15.75" x14ac:dyDescent="0.25">
      <c r="A558" s="13">
        <v>57557</v>
      </c>
      <c r="B558" s="94">
        <v>31</v>
      </c>
      <c r="C558" s="85">
        <f>194.205</f>
        <v>194.20500000000001</v>
      </c>
      <c r="D558" s="85">
        <f>267.466</f>
        <v>267.46600000000001</v>
      </c>
      <c r="E558" s="92">
        <f>133.845</f>
        <v>133.845</v>
      </c>
      <c r="F558" s="85">
        <f>278.484-40-25-60</f>
        <v>153.48399999999998</v>
      </c>
      <c r="G558" s="87">
        <v>40</v>
      </c>
      <c r="H558" s="85">
        <f t="shared" si="92"/>
        <v>85</v>
      </c>
      <c r="I558" s="85">
        <f t="shared" si="84"/>
        <v>0</v>
      </c>
      <c r="J558" s="87">
        <v>100</v>
      </c>
      <c r="K558" s="87">
        <v>300</v>
      </c>
      <c r="L558" s="85">
        <f t="shared" si="87"/>
        <v>1274</v>
      </c>
      <c r="M558" s="86"/>
      <c r="N558" s="85">
        <f>30</f>
        <v>30</v>
      </c>
      <c r="O558" s="87">
        <v>240</v>
      </c>
      <c r="P558" s="87">
        <v>160</v>
      </c>
      <c r="Q558" s="87">
        <f t="shared" si="88"/>
        <v>195</v>
      </c>
      <c r="R558" s="87">
        <f t="shared" si="89"/>
        <v>100</v>
      </c>
      <c r="S558" s="85">
        <f t="shared" si="90"/>
        <v>695</v>
      </c>
      <c r="T558" s="85">
        <f>0</f>
        <v>0</v>
      </c>
      <c r="U558" s="83"/>
      <c r="V558" s="83"/>
      <c r="W558" s="83"/>
      <c r="X558" s="83"/>
      <c r="Y558" s="83"/>
      <c r="Z558" s="83"/>
      <c r="AA558" s="83"/>
      <c r="AB558" s="83"/>
      <c r="AC558" s="83"/>
      <c r="AD558" s="83"/>
    </row>
    <row r="559" spans="1:30" ht="15.75" x14ac:dyDescent="0.25">
      <c r="A559" s="13">
        <v>57588</v>
      </c>
      <c r="B559" s="94">
        <v>31</v>
      </c>
      <c r="C559" s="85">
        <f>194.205</f>
        <v>194.20500000000001</v>
      </c>
      <c r="D559" s="85">
        <f>267.466</f>
        <v>267.46600000000001</v>
      </c>
      <c r="E559" s="92">
        <f>133.845</f>
        <v>133.845</v>
      </c>
      <c r="F559" s="85">
        <f>278.484-40-25-60</f>
        <v>153.48399999999998</v>
      </c>
      <c r="G559" s="87">
        <v>40</v>
      </c>
      <c r="H559" s="85">
        <f t="shared" si="92"/>
        <v>85</v>
      </c>
      <c r="I559" s="85">
        <f t="shared" si="84"/>
        <v>0</v>
      </c>
      <c r="J559" s="87">
        <v>100</v>
      </c>
      <c r="K559" s="87">
        <v>300</v>
      </c>
      <c r="L559" s="85">
        <f t="shared" si="87"/>
        <v>1274</v>
      </c>
      <c r="M559" s="86"/>
      <c r="N559" s="85">
        <f>30</f>
        <v>30</v>
      </c>
      <c r="O559" s="87">
        <v>240</v>
      </c>
      <c r="P559" s="87">
        <v>160</v>
      </c>
      <c r="Q559" s="87">
        <f t="shared" si="88"/>
        <v>195</v>
      </c>
      <c r="R559" s="87">
        <f t="shared" si="89"/>
        <v>100</v>
      </c>
      <c r="S559" s="85">
        <f t="shared" si="90"/>
        <v>695</v>
      </c>
      <c r="T559" s="85">
        <f>0</f>
        <v>0</v>
      </c>
      <c r="U559" s="83"/>
      <c r="V559" s="83"/>
      <c r="W559" s="83"/>
      <c r="X559" s="83"/>
      <c r="Y559" s="83"/>
      <c r="Z559" s="83"/>
      <c r="AA559" s="83"/>
      <c r="AB559" s="83"/>
      <c r="AC559" s="83"/>
      <c r="AD559" s="83"/>
    </row>
    <row r="560" spans="1:30" ht="15.75" x14ac:dyDescent="0.25">
      <c r="A560" s="13">
        <v>57618</v>
      </c>
      <c r="B560" s="94">
        <v>30</v>
      </c>
      <c r="C560" s="85">
        <f>194.205</f>
        <v>194.20500000000001</v>
      </c>
      <c r="D560" s="85">
        <f>267.466</f>
        <v>267.46600000000001</v>
      </c>
      <c r="E560" s="92">
        <f>133.845</f>
        <v>133.845</v>
      </c>
      <c r="F560" s="85">
        <f>278.484-40-25-60</f>
        <v>153.48399999999998</v>
      </c>
      <c r="G560" s="87">
        <v>40</v>
      </c>
      <c r="H560" s="85">
        <f t="shared" si="92"/>
        <v>85</v>
      </c>
      <c r="I560" s="85">
        <f t="shared" si="84"/>
        <v>0</v>
      </c>
      <c r="J560" s="87">
        <v>100</v>
      </c>
      <c r="K560" s="87">
        <v>300</v>
      </c>
      <c r="L560" s="85">
        <f t="shared" si="87"/>
        <v>1274</v>
      </c>
      <c r="M560" s="86"/>
      <c r="N560" s="85">
        <f>30</f>
        <v>30</v>
      </c>
      <c r="O560" s="87">
        <v>240</v>
      </c>
      <c r="P560" s="87">
        <v>160</v>
      </c>
      <c r="Q560" s="87">
        <f t="shared" si="88"/>
        <v>195</v>
      </c>
      <c r="R560" s="87">
        <f t="shared" si="89"/>
        <v>100</v>
      </c>
      <c r="S560" s="85">
        <f t="shared" si="90"/>
        <v>695</v>
      </c>
      <c r="T560" s="85">
        <f>0</f>
        <v>0</v>
      </c>
      <c r="U560" s="83"/>
      <c r="V560" s="83"/>
      <c r="W560" s="83"/>
      <c r="X560" s="83"/>
      <c r="Y560" s="83"/>
      <c r="Z560" s="83"/>
      <c r="AA560" s="83"/>
      <c r="AB560" s="83"/>
      <c r="AC560" s="83"/>
      <c r="AD560" s="83"/>
    </row>
    <row r="561" spans="1:30" ht="15.75" x14ac:dyDescent="0.25">
      <c r="A561" s="13">
        <v>57649</v>
      </c>
      <c r="B561" s="94">
        <v>31</v>
      </c>
      <c r="C561" s="85">
        <f>131.881</f>
        <v>131.881</v>
      </c>
      <c r="D561" s="85">
        <f>277.167</f>
        <v>277.16699999999997</v>
      </c>
      <c r="E561" s="92">
        <f>79.08</f>
        <v>79.08</v>
      </c>
      <c r="F561" s="85">
        <f>350.872-40-25-60</f>
        <v>225.87200000000001</v>
      </c>
      <c r="G561" s="87">
        <v>40</v>
      </c>
      <c r="H561" s="85">
        <f t="shared" si="92"/>
        <v>85</v>
      </c>
      <c r="I561" s="85">
        <f t="shared" si="84"/>
        <v>0</v>
      </c>
      <c r="J561" s="87">
        <v>100</v>
      </c>
      <c r="K561" s="87">
        <v>300</v>
      </c>
      <c r="L561" s="85">
        <f t="shared" si="87"/>
        <v>1239</v>
      </c>
      <c r="M561" s="86"/>
      <c r="N561" s="85">
        <f>75</f>
        <v>75</v>
      </c>
      <c r="O561" s="87">
        <v>240</v>
      </c>
      <c r="P561" s="87">
        <v>160</v>
      </c>
      <c r="Q561" s="87">
        <f t="shared" si="88"/>
        <v>195</v>
      </c>
      <c r="R561" s="87">
        <f t="shared" si="89"/>
        <v>100</v>
      </c>
      <c r="S561" s="85">
        <f t="shared" si="90"/>
        <v>695</v>
      </c>
      <c r="T561" s="85">
        <f>0</f>
        <v>0</v>
      </c>
      <c r="U561" s="83"/>
      <c r="V561" s="83"/>
      <c r="W561" s="83"/>
      <c r="X561" s="83"/>
      <c r="Y561" s="83"/>
      <c r="Z561" s="83"/>
      <c r="AA561" s="83"/>
      <c r="AB561" s="83"/>
      <c r="AC561" s="83"/>
      <c r="AD561" s="83"/>
    </row>
    <row r="562" spans="1:30" ht="15.75" x14ac:dyDescent="0.25">
      <c r="A562" s="13">
        <v>57679</v>
      </c>
      <c r="B562" s="94">
        <v>30</v>
      </c>
      <c r="C562" s="85">
        <f>122.58</f>
        <v>122.58</v>
      </c>
      <c r="D562" s="85">
        <f>297.941</f>
        <v>297.94099999999997</v>
      </c>
      <c r="E562" s="92">
        <f>89.177</f>
        <v>89.177000000000007</v>
      </c>
      <c r="F562" s="85">
        <f>240.302-40-60</f>
        <v>140.30199999999999</v>
      </c>
      <c r="G562" s="87">
        <v>40</v>
      </c>
      <c r="H562" s="85">
        <v>60</v>
      </c>
      <c r="I562" s="85">
        <f t="shared" si="84"/>
        <v>0</v>
      </c>
      <c r="J562" s="87">
        <v>100</v>
      </c>
      <c r="K562" s="87">
        <v>300</v>
      </c>
      <c r="L562" s="85">
        <f t="shared" si="87"/>
        <v>1150</v>
      </c>
      <c r="M562" s="86"/>
      <c r="N562" s="85">
        <f>100</f>
        <v>100</v>
      </c>
      <c r="O562" s="87">
        <v>240</v>
      </c>
      <c r="P562" s="87">
        <v>40</v>
      </c>
      <c r="Q562" s="87">
        <f t="shared" si="88"/>
        <v>315</v>
      </c>
      <c r="R562" s="87">
        <f t="shared" si="89"/>
        <v>100</v>
      </c>
      <c r="S562" s="85">
        <f t="shared" si="90"/>
        <v>695</v>
      </c>
      <c r="T562" s="85">
        <f>50</f>
        <v>50</v>
      </c>
      <c r="U562" s="83"/>
      <c r="V562" s="83"/>
      <c r="W562" s="83"/>
      <c r="X562" s="83"/>
      <c r="Y562" s="83"/>
      <c r="Z562" s="83"/>
      <c r="AA562" s="83"/>
      <c r="AB562" s="83"/>
      <c r="AC562" s="83"/>
      <c r="AD562" s="83"/>
    </row>
    <row r="563" spans="1:30" ht="15.75" x14ac:dyDescent="0.25">
      <c r="A563" s="13">
        <v>57710</v>
      </c>
      <c r="B563" s="94">
        <v>31</v>
      </c>
      <c r="C563" s="85">
        <f>122.58</f>
        <v>122.58</v>
      </c>
      <c r="D563" s="85">
        <f>297.941</f>
        <v>297.94099999999997</v>
      </c>
      <c r="E563" s="92">
        <f>89.177</f>
        <v>89.177000000000007</v>
      </c>
      <c r="F563" s="85">
        <f>240.302-40-60</f>
        <v>140.30199999999999</v>
      </c>
      <c r="G563" s="87">
        <v>40</v>
      </c>
      <c r="H563" s="85">
        <v>60</v>
      </c>
      <c r="I563" s="85">
        <f t="shared" si="84"/>
        <v>0</v>
      </c>
      <c r="J563" s="87">
        <v>100</v>
      </c>
      <c r="K563" s="87">
        <v>300</v>
      </c>
      <c r="L563" s="85">
        <f t="shared" si="87"/>
        <v>1150</v>
      </c>
      <c r="M563" s="86"/>
      <c r="N563" s="85">
        <f>100</f>
        <v>100</v>
      </c>
      <c r="O563" s="87">
        <v>240</v>
      </c>
      <c r="P563" s="87">
        <v>40</v>
      </c>
      <c r="Q563" s="87">
        <f t="shared" si="88"/>
        <v>315</v>
      </c>
      <c r="R563" s="87">
        <f t="shared" si="89"/>
        <v>100</v>
      </c>
      <c r="S563" s="85">
        <f t="shared" si="90"/>
        <v>695</v>
      </c>
      <c r="T563" s="85">
        <f>50</f>
        <v>50</v>
      </c>
      <c r="U563" s="83"/>
      <c r="V563" s="83"/>
      <c r="W563" s="83"/>
      <c r="X563" s="83"/>
      <c r="Y563" s="83"/>
      <c r="Z563" s="83"/>
      <c r="AA563" s="83"/>
      <c r="AB563" s="83"/>
      <c r="AC563" s="83"/>
      <c r="AD563" s="83"/>
    </row>
    <row r="564" spans="1:30" ht="15.75" x14ac:dyDescent="0.25">
      <c r="A564" s="13">
        <v>57741</v>
      </c>
      <c r="B564" s="94">
        <v>31</v>
      </c>
      <c r="C564" s="85">
        <f>122.58</f>
        <v>122.58</v>
      </c>
      <c r="D564" s="85">
        <f>297.941</f>
        <v>297.94099999999997</v>
      </c>
      <c r="E564" s="92">
        <f>89.177</f>
        <v>89.177000000000007</v>
      </c>
      <c r="F564" s="85">
        <f>240.302-40-60</f>
        <v>140.30199999999999</v>
      </c>
      <c r="G564" s="87">
        <v>40</v>
      </c>
      <c r="H564" s="85">
        <v>60</v>
      </c>
      <c r="I564" s="85">
        <f t="shared" si="84"/>
        <v>0</v>
      </c>
      <c r="J564" s="87">
        <v>100</v>
      </c>
      <c r="K564" s="87">
        <v>300</v>
      </c>
      <c r="L564" s="85">
        <f t="shared" si="87"/>
        <v>1150</v>
      </c>
      <c r="M564" s="86"/>
      <c r="N564" s="85">
        <f>100</f>
        <v>100</v>
      </c>
      <c r="O564" s="87">
        <v>240</v>
      </c>
      <c r="P564" s="87">
        <v>40</v>
      </c>
      <c r="Q564" s="87">
        <f t="shared" si="88"/>
        <v>315</v>
      </c>
      <c r="R564" s="87">
        <f t="shared" si="89"/>
        <v>100</v>
      </c>
      <c r="S564" s="85">
        <f t="shared" si="90"/>
        <v>695</v>
      </c>
      <c r="T564" s="85">
        <f>50</f>
        <v>50</v>
      </c>
      <c r="U564" s="83"/>
      <c r="V564" s="83"/>
      <c r="W564" s="83"/>
      <c r="X564" s="83"/>
      <c r="Y564" s="83"/>
      <c r="Z564" s="83"/>
      <c r="AA564" s="83"/>
      <c r="AB564" s="83"/>
      <c r="AC564" s="83"/>
      <c r="AD564" s="83"/>
    </row>
    <row r="565" spans="1:30" ht="15.75" x14ac:dyDescent="0.25">
      <c r="A565" s="13">
        <v>57769</v>
      </c>
      <c r="B565" s="94">
        <v>28</v>
      </c>
      <c r="C565" s="85">
        <f>122.58</f>
        <v>122.58</v>
      </c>
      <c r="D565" s="85">
        <f>297.941</f>
        <v>297.94099999999997</v>
      </c>
      <c r="E565" s="92">
        <f>89.177</f>
        <v>89.177000000000007</v>
      </c>
      <c r="F565" s="85">
        <f>240.302-40-60</f>
        <v>140.30199999999999</v>
      </c>
      <c r="G565" s="87">
        <v>40</v>
      </c>
      <c r="H565" s="85">
        <v>60</v>
      </c>
      <c r="I565" s="85">
        <f t="shared" si="84"/>
        <v>0</v>
      </c>
      <c r="J565" s="87">
        <v>100</v>
      </c>
      <c r="K565" s="87">
        <v>300</v>
      </c>
      <c r="L565" s="85">
        <f t="shared" si="87"/>
        <v>1150</v>
      </c>
      <c r="M565" s="86"/>
      <c r="N565" s="85">
        <f>100</f>
        <v>100</v>
      </c>
      <c r="O565" s="87">
        <v>240</v>
      </c>
      <c r="P565" s="87">
        <v>40</v>
      </c>
      <c r="Q565" s="87">
        <f t="shared" si="88"/>
        <v>315</v>
      </c>
      <c r="R565" s="87">
        <f t="shared" si="89"/>
        <v>100</v>
      </c>
      <c r="S565" s="85">
        <f t="shared" si="90"/>
        <v>695</v>
      </c>
      <c r="T565" s="85">
        <f>50</f>
        <v>50</v>
      </c>
      <c r="U565" s="83"/>
      <c r="V565" s="83"/>
      <c r="W565" s="83"/>
      <c r="X565" s="83"/>
      <c r="Y565" s="83"/>
      <c r="Z565" s="83"/>
      <c r="AA565" s="83"/>
      <c r="AB565" s="83"/>
      <c r="AC565" s="83"/>
      <c r="AD565" s="83"/>
    </row>
    <row r="566" spans="1:30" ht="15.75" x14ac:dyDescent="0.25">
      <c r="A566" s="13">
        <v>57800</v>
      </c>
      <c r="B566" s="94">
        <v>31</v>
      </c>
      <c r="C566" s="85">
        <f>122.58</f>
        <v>122.58</v>
      </c>
      <c r="D566" s="85">
        <f>297.941</f>
        <v>297.94099999999997</v>
      </c>
      <c r="E566" s="92">
        <f>89.177</f>
        <v>89.177000000000007</v>
      </c>
      <c r="F566" s="85">
        <f>240.302-40-60</f>
        <v>140.30199999999999</v>
      </c>
      <c r="G566" s="87">
        <v>40</v>
      </c>
      <c r="H566" s="85">
        <v>60</v>
      </c>
      <c r="I566" s="85">
        <f t="shared" si="84"/>
        <v>0</v>
      </c>
      <c r="J566" s="87">
        <v>100</v>
      </c>
      <c r="K566" s="87">
        <v>300</v>
      </c>
      <c r="L566" s="85">
        <f t="shared" si="87"/>
        <v>1150</v>
      </c>
      <c r="M566" s="86"/>
      <c r="N566" s="85">
        <f>100</f>
        <v>100</v>
      </c>
      <c r="O566" s="87">
        <v>240</v>
      </c>
      <c r="P566" s="87">
        <v>40</v>
      </c>
      <c r="Q566" s="87">
        <f t="shared" si="88"/>
        <v>315</v>
      </c>
      <c r="R566" s="87">
        <f t="shared" si="89"/>
        <v>100</v>
      </c>
      <c r="S566" s="85">
        <f t="shared" si="90"/>
        <v>695</v>
      </c>
      <c r="T566" s="85">
        <f>50</f>
        <v>50</v>
      </c>
      <c r="U566" s="83"/>
      <c r="V566" s="83"/>
      <c r="W566" s="83"/>
      <c r="X566" s="83"/>
      <c r="Y566" s="83"/>
      <c r="Z566" s="83"/>
      <c r="AA566" s="83"/>
      <c r="AB566" s="83"/>
      <c r="AC566" s="83"/>
      <c r="AD566" s="83"/>
    </row>
    <row r="567" spans="1:30" ht="15.75" x14ac:dyDescent="0.25">
      <c r="A567" s="13">
        <v>57830</v>
      </c>
      <c r="B567" s="94">
        <v>30</v>
      </c>
      <c r="C567" s="85">
        <f>141.293</f>
        <v>141.29300000000001</v>
      </c>
      <c r="D567" s="85">
        <f>267.993</f>
        <v>267.99299999999999</v>
      </c>
      <c r="E567" s="92">
        <f>115.016</f>
        <v>115.01600000000001</v>
      </c>
      <c r="F567" s="85">
        <f>314.698-40-25-60</f>
        <v>189.69799999999998</v>
      </c>
      <c r="G567" s="87">
        <v>40</v>
      </c>
      <c r="H567" s="85">
        <f t="shared" ref="H567:H573" si="93">25+60</f>
        <v>85</v>
      </c>
      <c r="I567" s="85">
        <f t="shared" si="84"/>
        <v>0</v>
      </c>
      <c r="J567" s="87">
        <v>100</v>
      </c>
      <c r="K567" s="87">
        <v>300</v>
      </c>
      <c r="L567" s="85">
        <f t="shared" si="87"/>
        <v>1239</v>
      </c>
      <c r="M567" s="86"/>
      <c r="N567" s="85">
        <f>100</f>
        <v>100</v>
      </c>
      <c r="O567" s="87">
        <v>240</v>
      </c>
      <c r="P567" s="87">
        <v>160</v>
      </c>
      <c r="Q567" s="87">
        <f t="shared" si="88"/>
        <v>195</v>
      </c>
      <c r="R567" s="87">
        <f t="shared" si="89"/>
        <v>100</v>
      </c>
      <c r="S567" s="85">
        <f t="shared" si="90"/>
        <v>695</v>
      </c>
      <c r="T567" s="85">
        <f>50</f>
        <v>50</v>
      </c>
      <c r="U567" s="83"/>
      <c r="V567" s="83"/>
      <c r="W567" s="83"/>
      <c r="X567" s="83"/>
      <c r="Y567" s="83"/>
      <c r="Z567" s="83"/>
      <c r="AA567" s="83"/>
      <c r="AB567" s="83"/>
      <c r="AC567" s="83"/>
      <c r="AD567" s="83"/>
    </row>
    <row r="568" spans="1:30" ht="15.75" x14ac:dyDescent="0.25">
      <c r="A568" s="13">
        <v>57861</v>
      </c>
      <c r="B568" s="94">
        <v>31</v>
      </c>
      <c r="C568" s="85">
        <f>194.205</f>
        <v>194.20500000000001</v>
      </c>
      <c r="D568" s="85">
        <f>267.466</f>
        <v>267.46600000000001</v>
      </c>
      <c r="E568" s="92">
        <f>133.845</f>
        <v>133.845</v>
      </c>
      <c r="F568" s="85">
        <f>278.484-40-25-60</f>
        <v>153.48399999999998</v>
      </c>
      <c r="G568" s="87">
        <v>40</v>
      </c>
      <c r="H568" s="85">
        <f t="shared" si="93"/>
        <v>85</v>
      </c>
      <c r="I568" s="85">
        <f t="shared" si="84"/>
        <v>0</v>
      </c>
      <c r="J568" s="87">
        <v>100</v>
      </c>
      <c r="K568" s="87">
        <v>300</v>
      </c>
      <c r="L568" s="85">
        <f t="shared" si="87"/>
        <v>1274</v>
      </c>
      <c r="M568" s="86"/>
      <c r="N568" s="85">
        <f>75</f>
        <v>75</v>
      </c>
      <c r="O568" s="87">
        <v>240</v>
      </c>
      <c r="P568" s="87">
        <v>160</v>
      </c>
      <c r="Q568" s="87">
        <f t="shared" si="88"/>
        <v>195</v>
      </c>
      <c r="R568" s="87">
        <f t="shared" si="89"/>
        <v>100</v>
      </c>
      <c r="S568" s="85">
        <f t="shared" si="90"/>
        <v>695</v>
      </c>
      <c r="T568" s="85">
        <f>50</f>
        <v>50</v>
      </c>
      <c r="U568" s="83"/>
      <c r="V568" s="83"/>
      <c r="W568" s="83"/>
      <c r="X568" s="83"/>
      <c r="Y568" s="83"/>
      <c r="Z568" s="83"/>
      <c r="AA568" s="83"/>
      <c r="AB568" s="83"/>
      <c r="AC568" s="83"/>
      <c r="AD568" s="83"/>
    </row>
    <row r="569" spans="1:30" ht="15.75" x14ac:dyDescent="0.25">
      <c r="A569" s="13">
        <v>57891</v>
      </c>
      <c r="B569" s="94">
        <v>30</v>
      </c>
      <c r="C569" s="85">
        <f>194.205</f>
        <v>194.20500000000001</v>
      </c>
      <c r="D569" s="85">
        <f>267.466</f>
        <v>267.46600000000001</v>
      </c>
      <c r="E569" s="92">
        <f>133.845</f>
        <v>133.845</v>
      </c>
      <c r="F569" s="85">
        <f>278.484-40-25-60</f>
        <v>153.48399999999998</v>
      </c>
      <c r="G569" s="87">
        <v>40</v>
      </c>
      <c r="H569" s="85">
        <f t="shared" si="93"/>
        <v>85</v>
      </c>
      <c r="I569" s="85">
        <f t="shared" si="84"/>
        <v>0</v>
      </c>
      <c r="J569" s="87">
        <v>100</v>
      </c>
      <c r="K569" s="87">
        <v>300</v>
      </c>
      <c r="L569" s="85">
        <f t="shared" si="87"/>
        <v>1274</v>
      </c>
      <c r="M569" s="86"/>
      <c r="N569" s="85">
        <f>30</f>
        <v>30</v>
      </c>
      <c r="O569" s="87">
        <v>240</v>
      </c>
      <c r="P569" s="87">
        <v>160</v>
      </c>
      <c r="Q569" s="87">
        <f t="shared" si="88"/>
        <v>195</v>
      </c>
      <c r="R569" s="87">
        <f t="shared" si="89"/>
        <v>100</v>
      </c>
      <c r="S569" s="85">
        <f t="shared" si="90"/>
        <v>695</v>
      </c>
      <c r="T569" s="85">
        <f>50</f>
        <v>50</v>
      </c>
      <c r="U569" s="83"/>
      <c r="V569" s="83"/>
      <c r="W569" s="83"/>
      <c r="X569" s="83"/>
      <c r="Y569" s="83"/>
      <c r="Z569" s="83"/>
      <c r="AA569" s="83"/>
      <c r="AB569" s="83"/>
      <c r="AC569" s="83"/>
      <c r="AD569" s="83"/>
    </row>
    <row r="570" spans="1:30" ht="15.75" x14ac:dyDescent="0.25">
      <c r="A570" s="13">
        <v>57922</v>
      </c>
      <c r="B570" s="94">
        <v>31</v>
      </c>
      <c r="C570" s="85">
        <f>194.205</f>
        <v>194.20500000000001</v>
      </c>
      <c r="D570" s="85">
        <f>267.466</f>
        <v>267.46600000000001</v>
      </c>
      <c r="E570" s="92">
        <f>133.845</f>
        <v>133.845</v>
      </c>
      <c r="F570" s="85">
        <f>278.484-40-25-60</f>
        <v>153.48399999999998</v>
      </c>
      <c r="G570" s="87">
        <v>40</v>
      </c>
      <c r="H570" s="85">
        <f t="shared" si="93"/>
        <v>85</v>
      </c>
      <c r="I570" s="85">
        <f t="shared" si="84"/>
        <v>0</v>
      </c>
      <c r="J570" s="87">
        <v>100</v>
      </c>
      <c r="K570" s="87">
        <v>300</v>
      </c>
      <c r="L570" s="85">
        <f t="shared" si="87"/>
        <v>1274</v>
      </c>
      <c r="M570" s="86"/>
      <c r="N570" s="85">
        <f>30</f>
        <v>30</v>
      </c>
      <c r="O570" s="87">
        <v>240</v>
      </c>
      <c r="P570" s="87">
        <v>160</v>
      </c>
      <c r="Q570" s="87">
        <f t="shared" si="88"/>
        <v>195</v>
      </c>
      <c r="R570" s="87">
        <f t="shared" si="89"/>
        <v>100</v>
      </c>
      <c r="S570" s="85">
        <f t="shared" si="90"/>
        <v>695</v>
      </c>
      <c r="T570" s="85">
        <f>0</f>
        <v>0</v>
      </c>
      <c r="U570" s="83"/>
      <c r="V570" s="83"/>
      <c r="W570" s="83"/>
      <c r="X570" s="83"/>
      <c r="Y570" s="83"/>
      <c r="Z570" s="83"/>
      <c r="AA570" s="83"/>
      <c r="AB570" s="83"/>
      <c r="AC570" s="83"/>
      <c r="AD570" s="83"/>
    </row>
    <row r="571" spans="1:30" ht="15.75" x14ac:dyDescent="0.25">
      <c r="A571" s="13">
        <v>57953</v>
      </c>
      <c r="B571" s="94">
        <v>31</v>
      </c>
      <c r="C571" s="85">
        <f>194.205</f>
        <v>194.20500000000001</v>
      </c>
      <c r="D571" s="85">
        <f>267.466</f>
        <v>267.46600000000001</v>
      </c>
      <c r="E571" s="92">
        <f>133.845</f>
        <v>133.845</v>
      </c>
      <c r="F571" s="85">
        <f>278.484-40-25-60</f>
        <v>153.48399999999998</v>
      </c>
      <c r="G571" s="87">
        <v>40</v>
      </c>
      <c r="H571" s="85">
        <f t="shared" si="93"/>
        <v>85</v>
      </c>
      <c r="I571" s="85">
        <f t="shared" si="84"/>
        <v>0</v>
      </c>
      <c r="J571" s="87">
        <v>100</v>
      </c>
      <c r="K571" s="87">
        <v>300</v>
      </c>
      <c r="L571" s="85">
        <f t="shared" si="87"/>
        <v>1274</v>
      </c>
      <c r="M571" s="86"/>
      <c r="N571" s="85">
        <f>30</f>
        <v>30</v>
      </c>
      <c r="O571" s="87">
        <v>240</v>
      </c>
      <c r="P571" s="87">
        <v>160</v>
      </c>
      <c r="Q571" s="87">
        <f t="shared" si="88"/>
        <v>195</v>
      </c>
      <c r="R571" s="87">
        <f t="shared" si="89"/>
        <v>100</v>
      </c>
      <c r="S571" s="85">
        <f t="shared" si="90"/>
        <v>695</v>
      </c>
      <c r="T571" s="85">
        <f>0</f>
        <v>0</v>
      </c>
      <c r="U571" s="83"/>
      <c r="V571" s="83"/>
      <c r="W571" s="83"/>
      <c r="X571" s="83"/>
      <c r="Y571" s="83"/>
      <c r="Z571" s="83"/>
      <c r="AA571" s="83"/>
      <c r="AB571" s="83"/>
      <c r="AC571" s="83"/>
      <c r="AD571" s="83"/>
    </row>
    <row r="572" spans="1:30" ht="15.75" x14ac:dyDescent="0.25">
      <c r="A572" s="13">
        <v>57983</v>
      </c>
      <c r="B572" s="94">
        <v>30</v>
      </c>
      <c r="C572" s="85">
        <f>194.205</f>
        <v>194.20500000000001</v>
      </c>
      <c r="D572" s="85">
        <f>267.466</f>
        <v>267.46600000000001</v>
      </c>
      <c r="E572" s="92">
        <f>133.845</f>
        <v>133.845</v>
      </c>
      <c r="F572" s="85">
        <f>278.484-40-25-60</f>
        <v>153.48399999999998</v>
      </c>
      <c r="G572" s="87">
        <v>40</v>
      </c>
      <c r="H572" s="85">
        <f t="shared" si="93"/>
        <v>85</v>
      </c>
      <c r="I572" s="85">
        <f t="shared" si="84"/>
        <v>0</v>
      </c>
      <c r="J572" s="87">
        <v>100</v>
      </c>
      <c r="K572" s="87">
        <v>300</v>
      </c>
      <c r="L572" s="85">
        <f t="shared" si="87"/>
        <v>1274</v>
      </c>
      <c r="M572" s="86"/>
      <c r="N572" s="85">
        <f>30</f>
        <v>30</v>
      </c>
      <c r="O572" s="87">
        <v>240</v>
      </c>
      <c r="P572" s="87">
        <v>160</v>
      </c>
      <c r="Q572" s="87">
        <f t="shared" si="88"/>
        <v>195</v>
      </c>
      <c r="R572" s="87">
        <f t="shared" si="89"/>
        <v>100</v>
      </c>
      <c r="S572" s="85">
        <f t="shared" si="90"/>
        <v>695</v>
      </c>
      <c r="T572" s="85">
        <f>0</f>
        <v>0</v>
      </c>
      <c r="U572" s="83"/>
      <c r="V572" s="83"/>
      <c r="W572" s="83"/>
      <c r="X572" s="83"/>
      <c r="Y572" s="83"/>
      <c r="Z572" s="83"/>
      <c r="AA572" s="83"/>
      <c r="AB572" s="83"/>
      <c r="AC572" s="83"/>
      <c r="AD572" s="83"/>
    </row>
    <row r="573" spans="1:30" ht="15.75" x14ac:dyDescent="0.25">
      <c r="A573" s="13">
        <v>58014</v>
      </c>
      <c r="B573" s="94">
        <v>31</v>
      </c>
      <c r="C573" s="85">
        <f>131.881</f>
        <v>131.881</v>
      </c>
      <c r="D573" s="85">
        <f>277.167</f>
        <v>277.16699999999997</v>
      </c>
      <c r="E573" s="92">
        <f>79.08</f>
        <v>79.08</v>
      </c>
      <c r="F573" s="85">
        <f>350.872-40-25-60</f>
        <v>225.87200000000001</v>
      </c>
      <c r="G573" s="87">
        <v>40</v>
      </c>
      <c r="H573" s="85">
        <f t="shared" si="93"/>
        <v>85</v>
      </c>
      <c r="I573" s="85">
        <f t="shared" si="84"/>
        <v>0</v>
      </c>
      <c r="J573" s="87">
        <v>100</v>
      </c>
      <c r="K573" s="87">
        <v>300</v>
      </c>
      <c r="L573" s="85">
        <f t="shared" si="87"/>
        <v>1239</v>
      </c>
      <c r="M573" s="86"/>
      <c r="N573" s="85">
        <f>75</f>
        <v>75</v>
      </c>
      <c r="O573" s="87">
        <v>240</v>
      </c>
      <c r="P573" s="87">
        <v>160</v>
      </c>
      <c r="Q573" s="87">
        <f t="shared" si="88"/>
        <v>195</v>
      </c>
      <c r="R573" s="87">
        <f t="shared" si="89"/>
        <v>100</v>
      </c>
      <c r="S573" s="85">
        <f t="shared" si="90"/>
        <v>695</v>
      </c>
      <c r="T573" s="85">
        <f>0</f>
        <v>0</v>
      </c>
      <c r="U573" s="83"/>
      <c r="V573" s="83"/>
      <c r="W573" s="83"/>
      <c r="X573" s="83"/>
      <c r="Y573" s="83"/>
      <c r="Z573" s="83"/>
      <c r="AA573" s="83"/>
      <c r="AB573" s="83"/>
      <c r="AC573" s="83"/>
      <c r="AD573" s="83"/>
    </row>
    <row r="574" spans="1:30" ht="15.75" x14ac:dyDescent="0.25">
      <c r="A574" s="13">
        <v>58044</v>
      </c>
      <c r="B574" s="94">
        <v>30</v>
      </c>
      <c r="C574" s="85">
        <f>122.58</f>
        <v>122.58</v>
      </c>
      <c r="D574" s="85">
        <f>297.941</f>
        <v>297.94099999999997</v>
      </c>
      <c r="E574" s="92">
        <f>89.177</f>
        <v>89.177000000000007</v>
      </c>
      <c r="F574" s="85">
        <f>240.302-40-60</f>
        <v>140.30199999999999</v>
      </c>
      <c r="G574" s="87">
        <v>40</v>
      </c>
      <c r="H574" s="85">
        <v>60</v>
      </c>
      <c r="I574" s="85">
        <f t="shared" si="84"/>
        <v>0</v>
      </c>
      <c r="J574" s="87">
        <v>100</v>
      </c>
      <c r="K574" s="87">
        <v>300</v>
      </c>
      <c r="L574" s="85">
        <f t="shared" si="87"/>
        <v>1150</v>
      </c>
      <c r="M574" s="86"/>
      <c r="N574" s="85">
        <f>100</f>
        <v>100</v>
      </c>
      <c r="O574" s="87">
        <v>240</v>
      </c>
      <c r="P574" s="87">
        <v>40</v>
      </c>
      <c r="Q574" s="87">
        <f t="shared" si="88"/>
        <v>315</v>
      </c>
      <c r="R574" s="87">
        <f t="shared" si="89"/>
        <v>100</v>
      </c>
      <c r="S574" s="85">
        <f t="shared" si="90"/>
        <v>695</v>
      </c>
      <c r="T574" s="85">
        <f>50</f>
        <v>50</v>
      </c>
      <c r="U574" s="83"/>
      <c r="V574" s="83"/>
      <c r="W574" s="83"/>
      <c r="X574" s="83"/>
      <c r="Y574" s="83"/>
      <c r="Z574" s="83"/>
      <c r="AA574" s="83"/>
      <c r="AB574" s="83"/>
      <c r="AC574" s="83"/>
      <c r="AD574" s="83"/>
    </row>
    <row r="575" spans="1:30" ht="15.75" x14ac:dyDescent="0.25">
      <c r="A575" s="13">
        <v>58075</v>
      </c>
      <c r="B575" s="94">
        <v>31</v>
      </c>
      <c r="C575" s="85">
        <f>122.58</f>
        <v>122.58</v>
      </c>
      <c r="D575" s="85">
        <f>297.941</f>
        <v>297.94099999999997</v>
      </c>
      <c r="E575" s="92">
        <f>89.177</f>
        <v>89.177000000000007</v>
      </c>
      <c r="F575" s="85">
        <f>240.302-40-60</f>
        <v>140.30199999999999</v>
      </c>
      <c r="G575" s="87">
        <v>40</v>
      </c>
      <c r="H575" s="85">
        <v>60</v>
      </c>
      <c r="I575" s="85">
        <f t="shared" si="84"/>
        <v>0</v>
      </c>
      <c r="J575" s="87">
        <v>100</v>
      </c>
      <c r="K575" s="87">
        <v>300</v>
      </c>
      <c r="L575" s="85">
        <f t="shared" si="87"/>
        <v>1150</v>
      </c>
      <c r="M575" s="86"/>
      <c r="N575" s="85">
        <f>100</f>
        <v>100</v>
      </c>
      <c r="O575" s="87">
        <v>240</v>
      </c>
      <c r="P575" s="87">
        <v>40</v>
      </c>
      <c r="Q575" s="87">
        <f t="shared" si="88"/>
        <v>315</v>
      </c>
      <c r="R575" s="87">
        <f t="shared" si="89"/>
        <v>100</v>
      </c>
      <c r="S575" s="85">
        <f t="shared" si="90"/>
        <v>695</v>
      </c>
      <c r="T575" s="85">
        <f>50</f>
        <v>50</v>
      </c>
      <c r="U575" s="83"/>
      <c r="V575" s="83"/>
      <c r="W575" s="83"/>
      <c r="X575" s="83"/>
      <c r="Y575" s="83"/>
      <c r="Z575" s="83"/>
      <c r="AA575" s="83"/>
      <c r="AB575" s="83"/>
      <c r="AC575" s="83"/>
      <c r="AD575" s="83"/>
    </row>
    <row r="576" spans="1:30" ht="15.75" x14ac:dyDescent="0.25">
      <c r="A576" s="13">
        <v>58106</v>
      </c>
      <c r="B576" s="94">
        <v>31</v>
      </c>
      <c r="C576" s="85">
        <f>122.58</f>
        <v>122.58</v>
      </c>
      <c r="D576" s="85">
        <f>297.941</f>
        <v>297.94099999999997</v>
      </c>
      <c r="E576" s="92">
        <f>89.177</f>
        <v>89.177000000000007</v>
      </c>
      <c r="F576" s="85">
        <f>240.302-40-60</f>
        <v>140.30199999999999</v>
      </c>
      <c r="G576" s="87">
        <v>40</v>
      </c>
      <c r="H576" s="85">
        <v>60</v>
      </c>
      <c r="I576" s="85">
        <f t="shared" ref="I576:I611" si="94">400-J576-K576</f>
        <v>0</v>
      </c>
      <c r="J576" s="87">
        <v>100</v>
      </c>
      <c r="K576" s="87">
        <v>300</v>
      </c>
      <c r="L576" s="85">
        <f t="shared" si="87"/>
        <v>1150</v>
      </c>
      <c r="M576" s="86"/>
      <c r="N576" s="85">
        <f>100</f>
        <v>100</v>
      </c>
      <c r="O576" s="87">
        <v>240</v>
      </c>
      <c r="P576" s="87">
        <v>40</v>
      </c>
      <c r="Q576" s="87">
        <f t="shared" si="88"/>
        <v>315</v>
      </c>
      <c r="R576" s="87">
        <f t="shared" si="89"/>
        <v>100</v>
      </c>
      <c r="S576" s="85">
        <f t="shared" si="90"/>
        <v>695</v>
      </c>
      <c r="T576" s="85">
        <f>50</f>
        <v>50</v>
      </c>
      <c r="U576" s="83"/>
      <c r="V576" s="83"/>
      <c r="W576" s="83"/>
      <c r="X576" s="83"/>
      <c r="Y576" s="83"/>
      <c r="Z576" s="83"/>
      <c r="AA576" s="83"/>
      <c r="AB576" s="83"/>
      <c r="AC576" s="83"/>
      <c r="AD576" s="83"/>
    </row>
    <row r="577" spans="1:30" ht="15.75" x14ac:dyDescent="0.25">
      <c r="A577" s="13">
        <v>58134</v>
      </c>
      <c r="B577" s="94">
        <v>28</v>
      </c>
      <c r="C577" s="85">
        <f>122.58</f>
        <v>122.58</v>
      </c>
      <c r="D577" s="85">
        <f>297.941</f>
        <v>297.94099999999997</v>
      </c>
      <c r="E577" s="92">
        <f>89.177</f>
        <v>89.177000000000007</v>
      </c>
      <c r="F577" s="85">
        <f>240.302-40-60</f>
        <v>140.30199999999999</v>
      </c>
      <c r="G577" s="87">
        <v>40</v>
      </c>
      <c r="H577" s="85">
        <v>60</v>
      </c>
      <c r="I577" s="85">
        <f t="shared" si="94"/>
        <v>0</v>
      </c>
      <c r="J577" s="87">
        <v>100</v>
      </c>
      <c r="K577" s="87">
        <v>300</v>
      </c>
      <c r="L577" s="85">
        <f t="shared" si="87"/>
        <v>1150</v>
      </c>
      <c r="M577" s="86"/>
      <c r="N577" s="85">
        <f>100</f>
        <v>100</v>
      </c>
      <c r="O577" s="87">
        <v>240</v>
      </c>
      <c r="P577" s="87">
        <v>40</v>
      </c>
      <c r="Q577" s="87">
        <f t="shared" si="88"/>
        <v>315</v>
      </c>
      <c r="R577" s="87">
        <f t="shared" si="89"/>
        <v>100</v>
      </c>
      <c r="S577" s="85">
        <f t="shared" si="90"/>
        <v>695</v>
      </c>
      <c r="T577" s="85">
        <f>50</f>
        <v>50</v>
      </c>
      <c r="U577" s="83"/>
      <c r="V577" s="83"/>
      <c r="W577" s="83"/>
      <c r="X577" s="83"/>
      <c r="Y577" s="83"/>
      <c r="Z577" s="83"/>
      <c r="AA577" s="83"/>
      <c r="AB577" s="83"/>
      <c r="AC577" s="83"/>
      <c r="AD577" s="83"/>
    </row>
    <row r="578" spans="1:30" ht="15.75" x14ac:dyDescent="0.25">
      <c r="A578" s="13">
        <v>58165</v>
      </c>
      <c r="B578" s="94">
        <v>31</v>
      </c>
      <c r="C578" s="85">
        <f>122.58</f>
        <v>122.58</v>
      </c>
      <c r="D578" s="85">
        <f>297.941</f>
        <v>297.94099999999997</v>
      </c>
      <c r="E578" s="92">
        <f>89.177</f>
        <v>89.177000000000007</v>
      </c>
      <c r="F578" s="85">
        <f>240.302-40-60</f>
        <v>140.30199999999999</v>
      </c>
      <c r="G578" s="87">
        <v>40</v>
      </c>
      <c r="H578" s="85">
        <v>60</v>
      </c>
      <c r="I578" s="85">
        <f t="shared" si="94"/>
        <v>0</v>
      </c>
      <c r="J578" s="87">
        <v>100</v>
      </c>
      <c r="K578" s="87">
        <v>300</v>
      </c>
      <c r="L578" s="85">
        <f t="shared" si="87"/>
        <v>1150</v>
      </c>
      <c r="M578" s="86"/>
      <c r="N578" s="85">
        <f>100</f>
        <v>100</v>
      </c>
      <c r="O578" s="87">
        <v>240</v>
      </c>
      <c r="P578" s="87">
        <v>40</v>
      </c>
      <c r="Q578" s="87">
        <f t="shared" si="88"/>
        <v>315</v>
      </c>
      <c r="R578" s="87">
        <f t="shared" si="89"/>
        <v>100</v>
      </c>
      <c r="S578" s="85">
        <f t="shared" si="90"/>
        <v>695</v>
      </c>
      <c r="T578" s="85">
        <f>50</f>
        <v>50</v>
      </c>
      <c r="U578" s="83"/>
      <c r="V578" s="83"/>
      <c r="W578" s="83"/>
      <c r="X578" s="83"/>
      <c r="Y578" s="83"/>
      <c r="Z578" s="83"/>
      <c r="AA578" s="83"/>
      <c r="AB578" s="83"/>
      <c r="AC578" s="83"/>
      <c r="AD578" s="83"/>
    </row>
    <row r="579" spans="1:30" ht="15.75" x14ac:dyDescent="0.25">
      <c r="A579" s="13">
        <v>58195</v>
      </c>
      <c r="B579" s="94">
        <v>30</v>
      </c>
      <c r="C579" s="85">
        <f>141.293</f>
        <v>141.29300000000001</v>
      </c>
      <c r="D579" s="85">
        <f>267.993</f>
        <v>267.99299999999999</v>
      </c>
      <c r="E579" s="92">
        <f>115.016</f>
        <v>115.01600000000001</v>
      </c>
      <c r="F579" s="85">
        <f>314.698-40-25-60</f>
        <v>189.69799999999998</v>
      </c>
      <c r="G579" s="87">
        <v>40</v>
      </c>
      <c r="H579" s="85">
        <f t="shared" ref="H579:H585" si="95">25+60</f>
        <v>85</v>
      </c>
      <c r="I579" s="85">
        <f t="shared" si="94"/>
        <v>0</v>
      </c>
      <c r="J579" s="87">
        <v>100</v>
      </c>
      <c r="K579" s="87">
        <v>300</v>
      </c>
      <c r="L579" s="85">
        <f t="shared" si="87"/>
        <v>1239</v>
      </c>
      <c r="M579" s="86"/>
      <c r="N579" s="85">
        <f>100</f>
        <v>100</v>
      </c>
      <c r="O579" s="87">
        <v>240</v>
      </c>
      <c r="P579" s="87">
        <v>160</v>
      </c>
      <c r="Q579" s="87">
        <f t="shared" si="88"/>
        <v>195</v>
      </c>
      <c r="R579" s="87">
        <f t="shared" si="89"/>
        <v>100</v>
      </c>
      <c r="S579" s="85">
        <f t="shared" si="90"/>
        <v>695</v>
      </c>
      <c r="T579" s="85">
        <f>50</f>
        <v>50</v>
      </c>
      <c r="U579" s="83"/>
      <c r="V579" s="83"/>
      <c r="W579" s="83"/>
      <c r="X579" s="83"/>
      <c r="Y579" s="83"/>
      <c r="Z579" s="83"/>
      <c r="AA579" s="83"/>
      <c r="AB579" s="83"/>
      <c r="AC579" s="83"/>
      <c r="AD579" s="83"/>
    </row>
    <row r="580" spans="1:30" ht="15.75" x14ac:dyDescent="0.25">
      <c r="A580" s="13">
        <v>58226</v>
      </c>
      <c r="B580" s="94">
        <v>31</v>
      </c>
      <c r="C580" s="85">
        <f>194.205</f>
        <v>194.20500000000001</v>
      </c>
      <c r="D580" s="85">
        <f>267.466</f>
        <v>267.46600000000001</v>
      </c>
      <c r="E580" s="92">
        <f>133.845</f>
        <v>133.845</v>
      </c>
      <c r="F580" s="85">
        <f>278.484-40-25-60</f>
        <v>153.48399999999998</v>
      </c>
      <c r="G580" s="87">
        <v>40</v>
      </c>
      <c r="H580" s="85">
        <f t="shared" si="95"/>
        <v>85</v>
      </c>
      <c r="I580" s="85">
        <f t="shared" si="94"/>
        <v>0</v>
      </c>
      <c r="J580" s="87">
        <v>100</v>
      </c>
      <c r="K580" s="87">
        <v>300</v>
      </c>
      <c r="L580" s="85">
        <f t="shared" si="87"/>
        <v>1274</v>
      </c>
      <c r="M580" s="86"/>
      <c r="N580" s="85">
        <f>75</f>
        <v>75</v>
      </c>
      <c r="O580" s="87">
        <v>240</v>
      </c>
      <c r="P580" s="87">
        <v>160</v>
      </c>
      <c r="Q580" s="87">
        <f t="shared" si="88"/>
        <v>195</v>
      </c>
      <c r="R580" s="87">
        <f t="shared" si="89"/>
        <v>100</v>
      </c>
      <c r="S580" s="85">
        <f t="shared" si="90"/>
        <v>695</v>
      </c>
      <c r="T580" s="85">
        <f>50</f>
        <v>50</v>
      </c>
      <c r="U580" s="83"/>
      <c r="V580" s="83"/>
      <c r="W580" s="83"/>
      <c r="X580" s="83"/>
      <c r="Y580" s="83"/>
      <c r="Z580" s="83"/>
      <c r="AA580" s="83"/>
      <c r="AB580" s="83"/>
      <c r="AC580" s="83"/>
      <c r="AD580" s="83"/>
    </row>
    <row r="581" spans="1:30" ht="15.75" x14ac:dyDescent="0.25">
      <c r="A581" s="13">
        <v>58256</v>
      </c>
      <c r="B581" s="94">
        <v>30</v>
      </c>
      <c r="C581" s="85">
        <f>194.205</f>
        <v>194.20500000000001</v>
      </c>
      <c r="D581" s="85">
        <f>267.466</f>
        <v>267.46600000000001</v>
      </c>
      <c r="E581" s="92">
        <f>133.845</f>
        <v>133.845</v>
      </c>
      <c r="F581" s="85">
        <f>278.484-40-25-60</f>
        <v>153.48399999999998</v>
      </c>
      <c r="G581" s="87">
        <v>40</v>
      </c>
      <c r="H581" s="85">
        <f t="shared" si="95"/>
        <v>85</v>
      </c>
      <c r="I581" s="85">
        <f t="shared" si="94"/>
        <v>0</v>
      </c>
      <c r="J581" s="87">
        <v>100</v>
      </c>
      <c r="K581" s="87">
        <v>300</v>
      </c>
      <c r="L581" s="85">
        <f t="shared" si="87"/>
        <v>1274</v>
      </c>
      <c r="M581" s="86"/>
      <c r="N581" s="85">
        <f>30</f>
        <v>30</v>
      </c>
      <c r="O581" s="87">
        <v>240</v>
      </c>
      <c r="P581" s="87">
        <v>160</v>
      </c>
      <c r="Q581" s="87">
        <f t="shared" si="88"/>
        <v>195</v>
      </c>
      <c r="R581" s="87">
        <f t="shared" si="89"/>
        <v>100</v>
      </c>
      <c r="S581" s="85">
        <f t="shared" si="90"/>
        <v>695</v>
      </c>
      <c r="T581" s="85">
        <f>50</f>
        <v>50</v>
      </c>
      <c r="U581" s="83"/>
      <c r="V581" s="83"/>
      <c r="W581" s="83"/>
      <c r="X581" s="83"/>
      <c r="Y581" s="83"/>
      <c r="Z581" s="83"/>
      <c r="AA581" s="83"/>
      <c r="AB581" s="83"/>
      <c r="AC581" s="83"/>
      <c r="AD581" s="83"/>
    </row>
    <row r="582" spans="1:30" ht="15.75" x14ac:dyDescent="0.25">
      <c r="A582" s="13">
        <v>58287</v>
      </c>
      <c r="B582" s="94">
        <v>31</v>
      </c>
      <c r="C582" s="85">
        <f>194.205</f>
        <v>194.20500000000001</v>
      </c>
      <c r="D582" s="85">
        <f>267.466</f>
        <v>267.46600000000001</v>
      </c>
      <c r="E582" s="92">
        <f>133.845</f>
        <v>133.845</v>
      </c>
      <c r="F582" s="85">
        <f>278.484-40-25-60</f>
        <v>153.48399999999998</v>
      </c>
      <c r="G582" s="87">
        <v>40</v>
      </c>
      <c r="H582" s="85">
        <f t="shared" si="95"/>
        <v>85</v>
      </c>
      <c r="I582" s="85">
        <f t="shared" si="94"/>
        <v>0</v>
      </c>
      <c r="J582" s="87">
        <v>100</v>
      </c>
      <c r="K582" s="87">
        <v>300</v>
      </c>
      <c r="L582" s="85">
        <f t="shared" si="87"/>
        <v>1274</v>
      </c>
      <c r="M582" s="86"/>
      <c r="N582" s="85">
        <f>30</f>
        <v>30</v>
      </c>
      <c r="O582" s="87">
        <v>240</v>
      </c>
      <c r="P582" s="87">
        <v>160</v>
      </c>
      <c r="Q582" s="87">
        <f t="shared" si="88"/>
        <v>195</v>
      </c>
      <c r="R582" s="87">
        <f t="shared" si="89"/>
        <v>100</v>
      </c>
      <c r="S582" s="85">
        <f t="shared" si="90"/>
        <v>695</v>
      </c>
      <c r="T582" s="85">
        <f>0</f>
        <v>0</v>
      </c>
      <c r="U582" s="83"/>
      <c r="V582" s="83"/>
      <c r="W582" s="83"/>
      <c r="X582" s="83"/>
      <c r="Y582" s="83"/>
      <c r="Z582" s="83"/>
      <c r="AA582" s="83"/>
      <c r="AB582" s="83"/>
      <c r="AC582" s="83"/>
      <c r="AD582" s="83"/>
    </row>
    <row r="583" spans="1:30" ht="15.75" x14ac:dyDescent="0.25">
      <c r="A583" s="13">
        <v>58318</v>
      </c>
      <c r="B583" s="94">
        <v>31</v>
      </c>
      <c r="C583" s="85">
        <f>194.205</f>
        <v>194.20500000000001</v>
      </c>
      <c r="D583" s="85">
        <f>267.466</f>
        <v>267.46600000000001</v>
      </c>
      <c r="E583" s="92">
        <f>133.845</f>
        <v>133.845</v>
      </c>
      <c r="F583" s="85">
        <f>278.484-40-25-60</f>
        <v>153.48399999999998</v>
      </c>
      <c r="G583" s="87">
        <v>40</v>
      </c>
      <c r="H583" s="85">
        <f t="shared" si="95"/>
        <v>85</v>
      </c>
      <c r="I583" s="85">
        <f t="shared" si="94"/>
        <v>0</v>
      </c>
      <c r="J583" s="87">
        <v>100</v>
      </c>
      <c r="K583" s="87">
        <v>300</v>
      </c>
      <c r="L583" s="85">
        <f t="shared" si="87"/>
        <v>1274</v>
      </c>
      <c r="M583" s="86"/>
      <c r="N583" s="85">
        <f>30</f>
        <v>30</v>
      </c>
      <c r="O583" s="87">
        <v>240</v>
      </c>
      <c r="P583" s="87">
        <v>160</v>
      </c>
      <c r="Q583" s="87">
        <f t="shared" si="88"/>
        <v>195</v>
      </c>
      <c r="R583" s="87">
        <f t="shared" si="89"/>
        <v>100</v>
      </c>
      <c r="S583" s="85">
        <f t="shared" si="90"/>
        <v>695</v>
      </c>
      <c r="T583" s="85">
        <f>0</f>
        <v>0</v>
      </c>
      <c r="U583" s="83"/>
      <c r="V583" s="83"/>
      <c r="W583" s="83"/>
      <c r="X583" s="83"/>
      <c r="Y583" s="83"/>
      <c r="Z583" s="83"/>
      <c r="AA583" s="83"/>
      <c r="AB583" s="83"/>
      <c r="AC583" s="83"/>
      <c r="AD583" s="83"/>
    </row>
    <row r="584" spans="1:30" ht="15.75" x14ac:dyDescent="0.25">
      <c r="A584" s="13">
        <v>58348</v>
      </c>
      <c r="B584" s="94">
        <v>30</v>
      </c>
      <c r="C584" s="85">
        <f>194.205</f>
        <v>194.20500000000001</v>
      </c>
      <c r="D584" s="85">
        <f>267.466</f>
        <v>267.46600000000001</v>
      </c>
      <c r="E584" s="92">
        <f>133.845</f>
        <v>133.845</v>
      </c>
      <c r="F584" s="85">
        <f>278.484-40-25-60</f>
        <v>153.48399999999998</v>
      </c>
      <c r="G584" s="87">
        <v>40</v>
      </c>
      <c r="H584" s="85">
        <f t="shared" si="95"/>
        <v>85</v>
      </c>
      <c r="I584" s="85">
        <f t="shared" si="94"/>
        <v>0</v>
      </c>
      <c r="J584" s="87">
        <v>100</v>
      </c>
      <c r="K584" s="87">
        <v>300</v>
      </c>
      <c r="L584" s="85">
        <f t="shared" si="87"/>
        <v>1274</v>
      </c>
      <c r="M584" s="86"/>
      <c r="N584" s="85">
        <f>30</f>
        <v>30</v>
      </c>
      <c r="O584" s="87">
        <v>240</v>
      </c>
      <c r="P584" s="87">
        <v>160</v>
      </c>
      <c r="Q584" s="87">
        <f t="shared" si="88"/>
        <v>195</v>
      </c>
      <c r="R584" s="87">
        <f t="shared" si="89"/>
        <v>100</v>
      </c>
      <c r="S584" s="85">
        <f t="shared" si="90"/>
        <v>695</v>
      </c>
      <c r="T584" s="85">
        <f>0</f>
        <v>0</v>
      </c>
      <c r="U584" s="83"/>
      <c r="V584" s="83"/>
      <c r="W584" s="83"/>
      <c r="X584" s="83"/>
      <c r="Y584" s="83"/>
      <c r="Z584" s="83"/>
      <c r="AA584" s="83"/>
      <c r="AB584" s="83"/>
      <c r="AC584" s="83"/>
      <c r="AD584" s="83"/>
    </row>
    <row r="585" spans="1:30" ht="15.75" x14ac:dyDescent="0.25">
      <c r="A585" s="13">
        <v>58379</v>
      </c>
      <c r="B585" s="94">
        <v>31</v>
      </c>
      <c r="C585" s="85">
        <f>131.881</f>
        <v>131.881</v>
      </c>
      <c r="D585" s="85">
        <f>277.167</f>
        <v>277.16699999999997</v>
      </c>
      <c r="E585" s="92">
        <f>79.08</f>
        <v>79.08</v>
      </c>
      <c r="F585" s="85">
        <f>350.872-40-25-60</f>
        <v>225.87200000000001</v>
      </c>
      <c r="G585" s="87">
        <v>40</v>
      </c>
      <c r="H585" s="85">
        <f t="shared" si="95"/>
        <v>85</v>
      </c>
      <c r="I585" s="85">
        <f t="shared" si="94"/>
        <v>0</v>
      </c>
      <c r="J585" s="87">
        <v>100</v>
      </c>
      <c r="K585" s="87">
        <v>300</v>
      </c>
      <c r="L585" s="85">
        <f t="shared" si="87"/>
        <v>1239</v>
      </c>
      <c r="M585" s="86"/>
      <c r="N585" s="85">
        <f>75</f>
        <v>75</v>
      </c>
      <c r="O585" s="87">
        <v>240</v>
      </c>
      <c r="P585" s="87">
        <v>160</v>
      </c>
      <c r="Q585" s="87">
        <f t="shared" si="88"/>
        <v>195</v>
      </c>
      <c r="R585" s="87">
        <f t="shared" si="89"/>
        <v>100</v>
      </c>
      <c r="S585" s="85">
        <f t="shared" si="90"/>
        <v>695</v>
      </c>
      <c r="T585" s="85">
        <f>0</f>
        <v>0</v>
      </c>
      <c r="U585" s="83"/>
      <c r="V585" s="83"/>
      <c r="W585" s="83"/>
      <c r="X585" s="83"/>
      <c r="Y585" s="83"/>
      <c r="Z585" s="83"/>
      <c r="AA585" s="83"/>
      <c r="AB585" s="83"/>
      <c r="AC585" s="83"/>
      <c r="AD585" s="83"/>
    </row>
    <row r="586" spans="1:30" ht="15.75" x14ac:dyDescent="0.25">
      <c r="A586" s="13">
        <v>58409</v>
      </c>
      <c r="B586" s="94">
        <v>30</v>
      </c>
      <c r="C586" s="85">
        <f>122.58</f>
        <v>122.58</v>
      </c>
      <c r="D586" s="85">
        <f>297.941</f>
        <v>297.94099999999997</v>
      </c>
      <c r="E586" s="92">
        <f>89.177</f>
        <v>89.177000000000007</v>
      </c>
      <c r="F586" s="85">
        <f>240.302-40-60</f>
        <v>140.30199999999999</v>
      </c>
      <c r="G586" s="87">
        <v>40</v>
      </c>
      <c r="H586" s="85">
        <v>60</v>
      </c>
      <c r="I586" s="85">
        <f t="shared" si="94"/>
        <v>0</v>
      </c>
      <c r="J586" s="87">
        <v>100</v>
      </c>
      <c r="K586" s="87">
        <v>300</v>
      </c>
      <c r="L586" s="85">
        <f t="shared" si="87"/>
        <v>1150</v>
      </c>
      <c r="M586" s="86"/>
      <c r="N586" s="85">
        <f>100</f>
        <v>100</v>
      </c>
      <c r="O586" s="87">
        <v>240</v>
      </c>
      <c r="P586" s="87">
        <v>40</v>
      </c>
      <c r="Q586" s="87">
        <f t="shared" si="88"/>
        <v>315</v>
      </c>
      <c r="R586" s="87">
        <f t="shared" si="89"/>
        <v>100</v>
      </c>
      <c r="S586" s="85">
        <f t="shared" si="90"/>
        <v>695</v>
      </c>
      <c r="T586" s="85">
        <f>50</f>
        <v>50</v>
      </c>
      <c r="U586" s="83"/>
      <c r="V586" s="83"/>
      <c r="W586" s="83"/>
      <c r="X586" s="83"/>
      <c r="Y586" s="83"/>
      <c r="Z586" s="83"/>
      <c r="AA586" s="83"/>
      <c r="AB586" s="83"/>
      <c r="AC586" s="83"/>
      <c r="AD586" s="83"/>
    </row>
    <row r="587" spans="1:30" ht="15.75" x14ac:dyDescent="0.25">
      <c r="A587" s="13">
        <v>58440</v>
      </c>
      <c r="B587" s="94">
        <v>31</v>
      </c>
      <c r="C587" s="85">
        <f>122.58</f>
        <v>122.58</v>
      </c>
      <c r="D587" s="85">
        <f>297.941</f>
        <v>297.94099999999997</v>
      </c>
      <c r="E587" s="92">
        <f>89.177</f>
        <v>89.177000000000007</v>
      </c>
      <c r="F587" s="85">
        <f>240.302-40-60</f>
        <v>140.30199999999999</v>
      </c>
      <c r="G587" s="87">
        <v>40</v>
      </c>
      <c r="H587" s="85">
        <v>60</v>
      </c>
      <c r="I587" s="85">
        <f t="shared" si="94"/>
        <v>0</v>
      </c>
      <c r="J587" s="87">
        <v>100</v>
      </c>
      <c r="K587" s="87">
        <v>300</v>
      </c>
      <c r="L587" s="85">
        <f t="shared" si="87"/>
        <v>1150</v>
      </c>
      <c r="M587" s="86"/>
      <c r="N587" s="85">
        <f>100</f>
        <v>100</v>
      </c>
      <c r="O587" s="87">
        <v>240</v>
      </c>
      <c r="P587" s="87">
        <v>40</v>
      </c>
      <c r="Q587" s="87">
        <f t="shared" si="88"/>
        <v>315</v>
      </c>
      <c r="R587" s="87">
        <f t="shared" si="89"/>
        <v>100</v>
      </c>
      <c r="S587" s="85">
        <f t="shared" si="90"/>
        <v>695</v>
      </c>
      <c r="T587" s="85">
        <f>50</f>
        <v>50</v>
      </c>
      <c r="U587" s="83"/>
      <c r="V587" s="83"/>
      <c r="W587" s="83"/>
      <c r="X587" s="83"/>
      <c r="Y587" s="83"/>
      <c r="Z587" s="83"/>
      <c r="AA587" s="83"/>
      <c r="AB587" s="83"/>
      <c r="AC587" s="83"/>
      <c r="AD587" s="83"/>
    </row>
    <row r="588" spans="1:30" ht="15.75" x14ac:dyDescent="0.25">
      <c r="A588" s="13">
        <v>58471</v>
      </c>
      <c r="B588" s="94">
        <v>31</v>
      </c>
      <c r="C588" s="85">
        <f>122.58</f>
        <v>122.58</v>
      </c>
      <c r="D588" s="85">
        <f>297.941</f>
        <v>297.94099999999997</v>
      </c>
      <c r="E588" s="92">
        <f>89.177</f>
        <v>89.177000000000007</v>
      </c>
      <c r="F588" s="85">
        <f>240.302-40-60</f>
        <v>140.30199999999999</v>
      </c>
      <c r="G588" s="87">
        <v>40</v>
      </c>
      <c r="H588" s="85">
        <v>60</v>
      </c>
      <c r="I588" s="85">
        <f t="shared" si="94"/>
        <v>0</v>
      </c>
      <c r="J588" s="87">
        <v>100</v>
      </c>
      <c r="K588" s="87">
        <v>300</v>
      </c>
      <c r="L588" s="85">
        <f t="shared" si="87"/>
        <v>1150</v>
      </c>
      <c r="M588" s="86"/>
      <c r="N588" s="85">
        <f>100</f>
        <v>100</v>
      </c>
      <c r="O588" s="87">
        <v>240</v>
      </c>
      <c r="P588" s="87">
        <v>40</v>
      </c>
      <c r="Q588" s="87">
        <f t="shared" si="88"/>
        <v>315</v>
      </c>
      <c r="R588" s="87">
        <f t="shared" si="89"/>
        <v>100</v>
      </c>
      <c r="S588" s="85">
        <f t="shared" si="90"/>
        <v>695</v>
      </c>
      <c r="T588" s="85">
        <f>50</f>
        <v>50</v>
      </c>
      <c r="U588" s="83"/>
      <c r="V588" s="83"/>
      <c r="W588" s="83"/>
      <c r="X588" s="83"/>
      <c r="Y588" s="83"/>
      <c r="Z588" s="83"/>
      <c r="AA588" s="83"/>
      <c r="AB588" s="83"/>
      <c r="AC588" s="83"/>
      <c r="AD588" s="83"/>
    </row>
    <row r="589" spans="1:30" ht="15.75" x14ac:dyDescent="0.25">
      <c r="A589" s="13">
        <v>58499</v>
      </c>
      <c r="B589" s="94">
        <v>29</v>
      </c>
      <c r="C589" s="85">
        <f>122.58</f>
        <v>122.58</v>
      </c>
      <c r="D589" s="85">
        <f>297.941</f>
        <v>297.94099999999997</v>
      </c>
      <c r="E589" s="92">
        <f>89.177</f>
        <v>89.177000000000007</v>
      </c>
      <c r="F589" s="85">
        <f>240.302-40-60</f>
        <v>140.30199999999999</v>
      </c>
      <c r="G589" s="87">
        <v>40</v>
      </c>
      <c r="H589" s="85">
        <v>60</v>
      </c>
      <c r="I589" s="85">
        <f t="shared" si="94"/>
        <v>0</v>
      </c>
      <c r="J589" s="87">
        <v>100</v>
      </c>
      <c r="K589" s="87">
        <v>300</v>
      </c>
      <c r="L589" s="85">
        <f t="shared" si="87"/>
        <v>1150</v>
      </c>
      <c r="M589" s="86"/>
      <c r="N589" s="85">
        <f>100</f>
        <v>100</v>
      </c>
      <c r="O589" s="87">
        <v>240</v>
      </c>
      <c r="P589" s="87">
        <v>40</v>
      </c>
      <c r="Q589" s="87">
        <f t="shared" si="88"/>
        <v>315</v>
      </c>
      <c r="R589" s="87">
        <f t="shared" si="89"/>
        <v>100</v>
      </c>
      <c r="S589" s="85">
        <f t="shared" si="90"/>
        <v>695</v>
      </c>
      <c r="T589" s="85">
        <f>50</f>
        <v>50</v>
      </c>
      <c r="U589" s="83"/>
      <c r="V589" s="83"/>
      <c r="W589" s="83"/>
      <c r="X589" s="83"/>
      <c r="Y589" s="83"/>
      <c r="Z589" s="83"/>
      <c r="AA589" s="83"/>
      <c r="AB589" s="83"/>
      <c r="AC589" s="83"/>
      <c r="AD589" s="83"/>
    </row>
    <row r="590" spans="1:30" ht="15.75" x14ac:dyDescent="0.25">
      <c r="A590" s="13">
        <v>58531</v>
      </c>
      <c r="B590" s="94">
        <v>31</v>
      </c>
      <c r="C590" s="85">
        <f>122.58</f>
        <v>122.58</v>
      </c>
      <c r="D590" s="85">
        <f>297.941</f>
        <v>297.94099999999997</v>
      </c>
      <c r="E590" s="92">
        <f>89.177</f>
        <v>89.177000000000007</v>
      </c>
      <c r="F590" s="85">
        <f>240.302-40-60</f>
        <v>140.30199999999999</v>
      </c>
      <c r="G590" s="87">
        <v>40</v>
      </c>
      <c r="H590" s="85">
        <v>60</v>
      </c>
      <c r="I590" s="85">
        <f t="shared" si="94"/>
        <v>0</v>
      </c>
      <c r="J590" s="87">
        <v>100</v>
      </c>
      <c r="K590" s="87">
        <v>300</v>
      </c>
      <c r="L590" s="85">
        <f t="shared" si="87"/>
        <v>1150</v>
      </c>
      <c r="M590" s="86"/>
      <c r="N590" s="85">
        <f>100</f>
        <v>100</v>
      </c>
      <c r="O590" s="87">
        <v>240</v>
      </c>
      <c r="P590" s="87">
        <v>40</v>
      </c>
      <c r="Q590" s="87">
        <f t="shared" si="88"/>
        <v>315</v>
      </c>
      <c r="R590" s="87">
        <f t="shared" si="89"/>
        <v>100</v>
      </c>
      <c r="S590" s="85">
        <f t="shared" si="90"/>
        <v>695</v>
      </c>
      <c r="T590" s="85">
        <f>50</f>
        <v>50</v>
      </c>
      <c r="U590" s="83"/>
      <c r="V590" s="83"/>
      <c r="W590" s="83"/>
      <c r="X590" s="83"/>
      <c r="Y590" s="83"/>
      <c r="Z590" s="83"/>
      <c r="AA590" s="83"/>
      <c r="AB590" s="83"/>
      <c r="AC590" s="83"/>
      <c r="AD590" s="83"/>
    </row>
    <row r="591" spans="1:30" ht="15.75" x14ac:dyDescent="0.25">
      <c r="A591" s="13">
        <v>58561</v>
      </c>
      <c r="B591" s="94">
        <v>30</v>
      </c>
      <c r="C591" s="85">
        <f>141.293</f>
        <v>141.29300000000001</v>
      </c>
      <c r="D591" s="85">
        <f>267.993</f>
        <v>267.99299999999999</v>
      </c>
      <c r="E591" s="92">
        <f>115.016</f>
        <v>115.01600000000001</v>
      </c>
      <c r="F591" s="85">
        <f>314.698-40-25-60</f>
        <v>189.69799999999998</v>
      </c>
      <c r="G591" s="87">
        <v>40</v>
      </c>
      <c r="H591" s="85">
        <f t="shared" ref="H591:H597" si="96">25+60</f>
        <v>85</v>
      </c>
      <c r="I591" s="85">
        <f t="shared" si="94"/>
        <v>0</v>
      </c>
      <c r="J591" s="87">
        <v>100</v>
      </c>
      <c r="K591" s="87">
        <v>300</v>
      </c>
      <c r="L591" s="85">
        <f t="shared" si="87"/>
        <v>1239</v>
      </c>
      <c r="M591" s="86"/>
      <c r="N591" s="85">
        <f>100</f>
        <v>100</v>
      </c>
      <c r="O591" s="87">
        <v>240</v>
      </c>
      <c r="P591" s="87">
        <v>160</v>
      </c>
      <c r="Q591" s="87">
        <f t="shared" si="88"/>
        <v>195</v>
      </c>
      <c r="R591" s="87">
        <f t="shared" si="89"/>
        <v>100</v>
      </c>
      <c r="S591" s="85">
        <f t="shared" si="90"/>
        <v>695</v>
      </c>
      <c r="T591" s="85">
        <f>50</f>
        <v>50</v>
      </c>
      <c r="U591" s="83"/>
      <c r="V591" s="83"/>
      <c r="W591" s="83"/>
      <c r="X591" s="83"/>
      <c r="Y591" s="83"/>
      <c r="Z591" s="83"/>
      <c r="AA591" s="83"/>
      <c r="AB591" s="83"/>
      <c r="AC591" s="83"/>
      <c r="AD591" s="83"/>
    </row>
    <row r="592" spans="1:30" ht="15.75" x14ac:dyDescent="0.25">
      <c r="A592" s="13">
        <v>58592</v>
      </c>
      <c r="B592" s="94">
        <v>31</v>
      </c>
      <c r="C592" s="85">
        <f>194.205</f>
        <v>194.20500000000001</v>
      </c>
      <c r="D592" s="85">
        <f>267.466</f>
        <v>267.46600000000001</v>
      </c>
      <c r="E592" s="92">
        <f>133.845</f>
        <v>133.845</v>
      </c>
      <c r="F592" s="85">
        <f>278.484-40-25-60</f>
        <v>153.48399999999998</v>
      </c>
      <c r="G592" s="87">
        <v>40</v>
      </c>
      <c r="H592" s="85">
        <f t="shared" si="96"/>
        <v>85</v>
      </c>
      <c r="I592" s="85">
        <f t="shared" si="94"/>
        <v>0</v>
      </c>
      <c r="J592" s="87">
        <v>100</v>
      </c>
      <c r="K592" s="87">
        <v>300</v>
      </c>
      <c r="L592" s="85">
        <f t="shared" si="87"/>
        <v>1274</v>
      </c>
      <c r="M592" s="86"/>
      <c r="N592" s="85">
        <f>75</f>
        <v>75</v>
      </c>
      <c r="O592" s="87">
        <v>240</v>
      </c>
      <c r="P592" s="87">
        <v>160</v>
      </c>
      <c r="Q592" s="87">
        <f t="shared" si="88"/>
        <v>195</v>
      </c>
      <c r="R592" s="87">
        <f t="shared" si="89"/>
        <v>100</v>
      </c>
      <c r="S592" s="85">
        <f t="shared" si="90"/>
        <v>695</v>
      </c>
      <c r="T592" s="85">
        <f>50</f>
        <v>50</v>
      </c>
      <c r="U592" s="83"/>
      <c r="V592" s="83"/>
      <c r="W592" s="83"/>
      <c r="X592" s="83"/>
      <c r="Y592" s="83"/>
      <c r="Z592" s="83"/>
      <c r="AA592" s="83"/>
      <c r="AB592" s="83"/>
      <c r="AC592" s="83"/>
      <c r="AD592" s="83"/>
    </row>
    <row r="593" spans="1:30" ht="15.75" x14ac:dyDescent="0.25">
      <c r="A593" s="13">
        <v>58622</v>
      </c>
      <c r="B593" s="94">
        <v>30</v>
      </c>
      <c r="C593" s="85">
        <f>194.205</f>
        <v>194.20500000000001</v>
      </c>
      <c r="D593" s="85">
        <f>267.466</f>
        <v>267.46600000000001</v>
      </c>
      <c r="E593" s="92">
        <f>133.845</f>
        <v>133.845</v>
      </c>
      <c r="F593" s="85">
        <f>278.484-40-25-60</f>
        <v>153.48399999999998</v>
      </c>
      <c r="G593" s="87">
        <v>40</v>
      </c>
      <c r="H593" s="85">
        <f t="shared" si="96"/>
        <v>85</v>
      </c>
      <c r="I593" s="85">
        <f t="shared" si="94"/>
        <v>0</v>
      </c>
      <c r="J593" s="87">
        <v>100</v>
      </c>
      <c r="K593" s="87">
        <v>300</v>
      </c>
      <c r="L593" s="85">
        <f t="shared" si="87"/>
        <v>1274</v>
      </c>
      <c r="M593" s="86"/>
      <c r="N593" s="85">
        <f>30</f>
        <v>30</v>
      </c>
      <c r="O593" s="87">
        <v>240</v>
      </c>
      <c r="P593" s="87">
        <v>160</v>
      </c>
      <c r="Q593" s="87">
        <f t="shared" si="88"/>
        <v>195</v>
      </c>
      <c r="R593" s="87">
        <f t="shared" si="89"/>
        <v>100</v>
      </c>
      <c r="S593" s="85">
        <f t="shared" si="90"/>
        <v>695</v>
      </c>
      <c r="T593" s="85">
        <f>50</f>
        <v>50</v>
      </c>
      <c r="U593" s="83"/>
      <c r="V593" s="83"/>
      <c r="W593" s="83"/>
      <c r="X593" s="83"/>
      <c r="Y593" s="83"/>
      <c r="Z593" s="83"/>
      <c r="AA593" s="83"/>
      <c r="AB593" s="83"/>
      <c r="AC593" s="83"/>
      <c r="AD593" s="83"/>
    </row>
    <row r="594" spans="1:30" ht="15.75" x14ac:dyDescent="0.25">
      <c r="A594" s="13">
        <v>58653</v>
      </c>
      <c r="B594" s="94">
        <v>31</v>
      </c>
      <c r="C594" s="85">
        <f>194.205</f>
        <v>194.20500000000001</v>
      </c>
      <c r="D594" s="85">
        <f>267.466</f>
        <v>267.46600000000001</v>
      </c>
      <c r="E594" s="92">
        <f>133.845</f>
        <v>133.845</v>
      </c>
      <c r="F594" s="85">
        <f>278.484-40-25-60</f>
        <v>153.48399999999998</v>
      </c>
      <c r="G594" s="87">
        <v>40</v>
      </c>
      <c r="H594" s="85">
        <f t="shared" si="96"/>
        <v>85</v>
      </c>
      <c r="I594" s="85">
        <f t="shared" si="94"/>
        <v>0</v>
      </c>
      <c r="J594" s="87">
        <v>100</v>
      </c>
      <c r="K594" s="87">
        <v>300</v>
      </c>
      <c r="L594" s="85">
        <f t="shared" si="87"/>
        <v>1274</v>
      </c>
      <c r="M594" s="86"/>
      <c r="N594" s="85">
        <f>30</f>
        <v>30</v>
      </c>
      <c r="O594" s="87">
        <v>240</v>
      </c>
      <c r="P594" s="87">
        <v>160</v>
      </c>
      <c r="Q594" s="87">
        <f t="shared" si="88"/>
        <v>195</v>
      </c>
      <c r="R594" s="87">
        <f t="shared" si="89"/>
        <v>100</v>
      </c>
      <c r="S594" s="85">
        <f t="shared" si="90"/>
        <v>695</v>
      </c>
      <c r="T594" s="85">
        <f>0</f>
        <v>0</v>
      </c>
      <c r="U594" s="83"/>
      <c r="V594" s="83"/>
      <c r="W594" s="83"/>
      <c r="X594" s="83"/>
      <c r="Y594" s="83"/>
      <c r="Z594" s="83"/>
      <c r="AA594" s="83"/>
      <c r="AB594" s="83"/>
      <c r="AC594" s="83"/>
      <c r="AD594" s="83"/>
    </row>
    <row r="595" spans="1:30" ht="15.75" x14ac:dyDescent="0.25">
      <c r="A595" s="13">
        <v>58684</v>
      </c>
      <c r="B595" s="94">
        <v>31</v>
      </c>
      <c r="C595" s="85">
        <f>194.205</f>
        <v>194.20500000000001</v>
      </c>
      <c r="D595" s="85">
        <f>267.466</f>
        <v>267.46600000000001</v>
      </c>
      <c r="E595" s="92">
        <f>133.845</f>
        <v>133.845</v>
      </c>
      <c r="F595" s="85">
        <f>278.484-40-25-60</f>
        <v>153.48399999999998</v>
      </c>
      <c r="G595" s="87">
        <v>40</v>
      </c>
      <c r="H595" s="85">
        <f t="shared" si="96"/>
        <v>85</v>
      </c>
      <c r="I595" s="85">
        <f t="shared" si="94"/>
        <v>0</v>
      </c>
      <c r="J595" s="87">
        <v>100</v>
      </c>
      <c r="K595" s="87">
        <v>300</v>
      </c>
      <c r="L595" s="85">
        <f t="shared" si="87"/>
        <v>1274</v>
      </c>
      <c r="M595" s="86"/>
      <c r="N595" s="85">
        <f>30</f>
        <v>30</v>
      </c>
      <c r="O595" s="87">
        <v>240</v>
      </c>
      <c r="P595" s="87">
        <v>160</v>
      </c>
      <c r="Q595" s="87">
        <f t="shared" si="88"/>
        <v>195</v>
      </c>
      <c r="R595" s="87">
        <f t="shared" si="89"/>
        <v>100</v>
      </c>
      <c r="S595" s="85">
        <f t="shared" si="90"/>
        <v>695</v>
      </c>
      <c r="T595" s="85">
        <f>0</f>
        <v>0</v>
      </c>
      <c r="U595" s="83"/>
      <c r="V595" s="83"/>
      <c r="W595" s="83"/>
      <c r="X595" s="83"/>
      <c r="Y595" s="83"/>
      <c r="Z595" s="83"/>
      <c r="AA595" s="83"/>
      <c r="AB595" s="83"/>
      <c r="AC595" s="83"/>
      <c r="AD595" s="83"/>
    </row>
    <row r="596" spans="1:30" ht="15.75" x14ac:dyDescent="0.25">
      <c r="A596" s="13">
        <v>58714</v>
      </c>
      <c r="B596" s="94">
        <v>30</v>
      </c>
      <c r="C596" s="85">
        <f>194.205</f>
        <v>194.20500000000001</v>
      </c>
      <c r="D596" s="85">
        <f>267.466</f>
        <v>267.46600000000001</v>
      </c>
      <c r="E596" s="92">
        <f>133.845</f>
        <v>133.845</v>
      </c>
      <c r="F596" s="85">
        <f>278.484-40-25-60</f>
        <v>153.48399999999998</v>
      </c>
      <c r="G596" s="87">
        <v>40</v>
      </c>
      <c r="H596" s="85">
        <f t="shared" si="96"/>
        <v>85</v>
      </c>
      <c r="I596" s="85">
        <f t="shared" si="94"/>
        <v>0</v>
      </c>
      <c r="J596" s="87">
        <v>100</v>
      </c>
      <c r="K596" s="87">
        <v>300</v>
      </c>
      <c r="L596" s="85">
        <f t="shared" si="87"/>
        <v>1274</v>
      </c>
      <c r="M596" s="86"/>
      <c r="N596" s="85">
        <f>30</f>
        <v>30</v>
      </c>
      <c r="O596" s="87">
        <v>240</v>
      </c>
      <c r="P596" s="87">
        <v>160</v>
      </c>
      <c r="Q596" s="87">
        <f t="shared" si="88"/>
        <v>195</v>
      </c>
      <c r="R596" s="87">
        <f t="shared" si="89"/>
        <v>100</v>
      </c>
      <c r="S596" s="85">
        <f t="shared" si="90"/>
        <v>695</v>
      </c>
      <c r="T596" s="85">
        <f>0</f>
        <v>0</v>
      </c>
      <c r="U596" s="83"/>
      <c r="V596" s="83"/>
      <c r="W596" s="83"/>
      <c r="X596" s="83"/>
      <c r="Y596" s="83"/>
      <c r="Z596" s="83"/>
      <c r="AA596" s="83"/>
      <c r="AB596" s="83"/>
      <c r="AC596" s="83"/>
      <c r="AD596" s="83"/>
    </row>
    <row r="597" spans="1:30" ht="15.75" x14ac:dyDescent="0.25">
      <c r="A597" s="13">
        <v>58745</v>
      </c>
      <c r="B597" s="94">
        <v>31</v>
      </c>
      <c r="C597" s="85">
        <f>131.881</f>
        <v>131.881</v>
      </c>
      <c r="D597" s="85">
        <f>277.167</f>
        <v>277.16699999999997</v>
      </c>
      <c r="E597" s="92">
        <f>79.08</f>
        <v>79.08</v>
      </c>
      <c r="F597" s="85">
        <f>350.872-40-25-60</f>
        <v>225.87200000000001</v>
      </c>
      <c r="G597" s="87">
        <v>40</v>
      </c>
      <c r="H597" s="85">
        <f t="shared" si="96"/>
        <v>85</v>
      </c>
      <c r="I597" s="85">
        <f t="shared" si="94"/>
        <v>0</v>
      </c>
      <c r="J597" s="87">
        <v>100</v>
      </c>
      <c r="K597" s="87">
        <v>300</v>
      </c>
      <c r="L597" s="85">
        <f t="shared" si="87"/>
        <v>1239</v>
      </c>
      <c r="M597" s="86"/>
      <c r="N597" s="85">
        <f>75</f>
        <v>75</v>
      </c>
      <c r="O597" s="87">
        <v>240</v>
      </c>
      <c r="P597" s="87">
        <v>160</v>
      </c>
      <c r="Q597" s="87">
        <f t="shared" si="88"/>
        <v>195</v>
      </c>
      <c r="R597" s="87">
        <f t="shared" si="89"/>
        <v>100</v>
      </c>
      <c r="S597" s="85">
        <f t="shared" si="90"/>
        <v>695</v>
      </c>
      <c r="T597" s="85">
        <f>0</f>
        <v>0</v>
      </c>
      <c r="U597" s="83"/>
      <c r="V597" s="83"/>
      <c r="W597" s="83"/>
      <c r="X597" s="83"/>
      <c r="Y597" s="83"/>
      <c r="Z597" s="83"/>
      <c r="AA597" s="83"/>
      <c r="AB597" s="83"/>
      <c r="AC597" s="83"/>
      <c r="AD597" s="83"/>
    </row>
    <row r="598" spans="1:30" ht="15.75" x14ac:dyDescent="0.25">
      <c r="A598" s="13">
        <v>58775</v>
      </c>
      <c r="B598" s="94">
        <v>30</v>
      </c>
      <c r="C598" s="85">
        <f>122.58</f>
        <v>122.58</v>
      </c>
      <c r="D598" s="85">
        <f>297.941</f>
        <v>297.94099999999997</v>
      </c>
      <c r="E598" s="92">
        <f>89.177</f>
        <v>89.177000000000007</v>
      </c>
      <c r="F598" s="85">
        <f>240.302-40-60</f>
        <v>140.30199999999999</v>
      </c>
      <c r="G598" s="87">
        <v>40</v>
      </c>
      <c r="H598" s="85">
        <v>60</v>
      </c>
      <c r="I598" s="85">
        <f t="shared" si="94"/>
        <v>0</v>
      </c>
      <c r="J598" s="87">
        <v>100</v>
      </c>
      <c r="K598" s="87">
        <v>300</v>
      </c>
      <c r="L598" s="85">
        <f t="shared" si="87"/>
        <v>1150</v>
      </c>
      <c r="M598" s="86"/>
      <c r="N598" s="85">
        <f>100</f>
        <v>100</v>
      </c>
      <c r="O598" s="87">
        <v>240</v>
      </c>
      <c r="P598" s="87">
        <v>40</v>
      </c>
      <c r="Q598" s="87">
        <f t="shared" si="88"/>
        <v>315</v>
      </c>
      <c r="R598" s="87">
        <f t="shared" si="89"/>
        <v>100</v>
      </c>
      <c r="S598" s="85">
        <f t="shared" si="90"/>
        <v>695</v>
      </c>
      <c r="T598" s="85">
        <f>50</f>
        <v>50</v>
      </c>
      <c r="U598" s="83"/>
      <c r="V598" s="83"/>
      <c r="W598" s="83"/>
      <c r="X598" s="83"/>
      <c r="Y598" s="83"/>
      <c r="Z598" s="83"/>
      <c r="AA598" s="83"/>
      <c r="AB598" s="83"/>
      <c r="AC598" s="83"/>
      <c r="AD598" s="83"/>
    </row>
    <row r="599" spans="1:30" ht="15.75" x14ac:dyDescent="0.25">
      <c r="A599" s="13">
        <v>58806</v>
      </c>
      <c r="B599" s="94">
        <v>31</v>
      </c>
      <c r="C599" s="85">
        <f>122.58</f>
        <v>122.58</v>
      </c>
      <c r="D599" s="85">
        <f>297.941</f>
        <v>297.94099999999997</v>
      </c>
      <c r="E599" s="92">
        <f>89.177</f>
        <v>89.177000000000007</v>
      </c>
      <c r="F599" s="85">
        <f>240.302-40-60</f>
        <v>140.30199999999999</v>
      </c>
      <c r="G599" s="87">
        <v>40</v>
      </c>
      <c r="H599" s="85">
        <v>60</v>
      </c>
      <c r="I599" s="85">
        <f t="shared" si="94"/>
        <v>0</v>
      </c>
      <c r="J599" s="87">
        <v>100</v>
      </c>
      <c r="K599" s="87">
        <v>300</v>
      </c>
      <c r="L599" s="85">
        <f t="shared" si="87"/>
        <v>1150</v>
      </c>
      <c r="M599" s="86"/>
      <c r="N599" s="85">
        <f>100</f>
        <v>100</v>
      </c>
      <c r="O599" s="87">
        <v>240</v>
      </c>
      <c r="P599" s="87">
        <v>40</v>
      </c>
      <c r="Q599" s="87">
        <f t="shared" si="88"/>
        <v>315</v>
      </c>
      <c r="R599" s="87">
        <f t="shared" si="89"/>
        <v>100</v>
      </c>
      <c r="S599" s="85">
        <f t="shared" si="90"/>
        <v>695</v>
      </c>
      <c r="T599" s="85">
        <f>50</f>
        <v>50</v>
      </c>
      <c r="U599" s="83"/>
      <c r="V599" s="83"/>
      <c r="W599" s="83"/>
      <c r="X599" s="83"/>
      <c r="Y599" s="83"/>
      <c r="Z599" s="83"/>
      <c r="AA599" s="83"/>
      <c r="AB599" s="83"/>
      <c r="AC599" s="83"/>
      <c r="AD599" s="83"/>
    </row>
    <row r="600" spans="1:30" ht="15.75" x14ac:dyDescent="0.25">
      <c r="A600" s="13">
        <v>58837</v>
      </c>
      <c r="B600" s="94">
        <v>31</v>
      </c>
      <c r="C600" s="85">
        <f>122.58</f>
        <v>122.58</v>
      </c>
      <c r="D600" s="85">
        <f>297.941</f>
        <v>297.94099999999997</v>
      </c>
      <c r="E600" s="92">
        <f>89.177</f>
        <v>89.177000000000007</v>
      </c>
      <c r="F600" s="85">
        <f>240.302-40-60</f>
        <v>140.30199999999999</v>
      </c>
      <c r="G600" s="87">
        <v>40</v>
      </c>
      <c r="H600" s="85">
        <v>60</v>
      </c>
      <c r="I600" s="85">
        <f t="shared" si="94"/>
        <v>0</v>
      </c>
      <c r="J600" s="87">
        <v>100</v>
      </c>
      <c r="K600" s="87">
        <v>300</v>
      </c>
      <c r="L600" s="85">
        <f t="shared" ref="L600:L611" si="97">SUM(C600:K600)</f>
        <v>1150</v>
      </c>
      <c r="M600" s="86"/>
      <c r="N600" s="85">
        <f>100</f>
        <v>100</v>
      </c>
      <c r="O600" s="87">
        <v>240</v>
      </c>
      <c r="P600" s="87">
        <v>40</v>
      </c>
      <c r="Q600" s="87">
        <f t="shared" ref="Q600:Q611" si="98">695-R600-O600-P600</f>
        <v>315</v>
      </c>
      <c r="R600" s="87">
        <f t="shared" ref="R600:R611" si="99">200-J600</f>
        <v>100</v>
      </c>
      <c r="S600" s="85">
        <f t="shared" ref="S600:S611" si="100">SUM(O600:R600)</f>
        <v>695</v>
      </c>
      <c r="T600" s="85">
        <f>50</f>
        <v>50</v>
      </c>
      <c r="U600" s="83"/>
      <c r="V600" s="83"/>
      <c r="W600" s="83"/>
      <c r="X600" s="83"/>
      <c r="Y600" s="83"/>
      <c r="Z600" s="83"/>
      <c r="AA600" s="83"/>
      <c r="AB600" s="83"/>
      <c r="AC600" s="83"/>
      <c r="AD600" s="83"/>
    </row>
    <row r="601" spans="1:30" ht="15.75" x14ac:dyDescent="0.25">
      <c r="A601" s="13">
        <v>58865</v>
      </c>
      <c r="B601" s="94">
        <v>28</v>
      </c>
      <c r="C601" s="85">
        <f>122.58</f>
        <v>122.58</v>
      </c>
      <c r="D601" s="85">
        <f>297.941</f>
        <v>297.94099999999997</v>
      </c>
      <c r="E601" s="92">
        <f>89.177</f>
        <v>89.177000000000007</v>
      </c>
      <c r="F601" s="85">
        <f>240.302-40-60</f>
        <v>140.30199999999999</v>
      </c>
      <c r="G601" s="87">
        <v>40</v>
      </c>
      <c r="H601" s="85">
        <v>60</v>
      </c>
      <c r="I601" s="85">
        <f t="shared" si="94"/>
        <v>0</v>
      </c>
      <c r="J601" s="87">
        <v>100</v>
      </c>
      <c r="K601" s="87">
        <v>300</v>
      </c>
      <c r="L601" s="85">
        <f t="shared" si="97"/>
        <v>1150</v>
      </c>
      <c r="M601" s="86"/>
      <c r="N601" s="85">
        <f>100</f>
        <v>100</v>
      </c>
      <c r="O601" s="87">
        <v>240</v>
      </c>
      <c r="P601" s="87">
        <v>40</v>
      </c>
      <c r="Q601" s="87">
        <f t="shared" si="98"/>
        <v>315</v>
      </c>
      <c r="R601" s="87">
        <f t="shared" si="99"/>
        <v>100</v>
      </c>
      <c r="S601" s="85">
        <f t="shared" si="100"/>
        <v>695</v>
      </c>
      <c r="T601" s="85">
        <f>50</f>
        <v>50</v>
      </c>
      <c r="U601" s="83"/>
      <c r="V601" s="83"/>
      <c r="W601" s="83"/>
      <c r="X601" s="83"/>
      <c r="Y601" s="83"/>
      <c r="Z601" s="83"/>
      <c r="AA601" s="83"/>
      <c r="AB601" s="83"/>
      <c r="AC601" s="83"/>
      <c r="AD601" s="83"/>
    </row>
    <row r="602" spans="1:30" ht="15.75" x14ac:dyDescent="0.25">
      <c r="A602" s="13">
        <v>58893</v>
      </c>
      <c r="B602" s="94">
        <v>31</v>
      </c>
      <c r="C602" s="85">
        <f>122.58</f>
        <v>122.58</v>
      </c>
      <c r="D602" s="85">
        <f>297.941</f>
        <v>297.94099999999997</v>
      </c>
      <c r="E602" s="92">
        <f>89.177</f>
        <v>89.177000000000007</v>
      </c>
      <c r="F602" s="85">
        <f>240.302-40-60</f>
        <v>140.30199999999999</v>
      </c>
      <c r="G602" s="87">
        <v>40</v>
      </c>
      <c r="H602" s="85">
        <v>60</v>
      </c>
      <c r="I602" s="85">
        <f t="shared" si="94"/>
        <v>0</v>
      </c>
      <c r="J602" s="87">
        <v>100</v>
      </c>
      <c r="K602" s="87">
        <v>300</v>
      </c>
      <c r="L602" s="85">
        <f t="shared" si="97"/>
        <v>1150</v>
      </c>
      <c r="M602" s="86"/>
      <c r="N602" s="85">
        <f>100</f>
        <v>100</v>
      </c>
      <c r="O602" s="87">
        <v>240</v>
      </c>
      <c r="P602" s="87">
        <v>40</v>
      </c>
      <c r="Q602" s="87">
        <f t="shared" si="98"/>
        <v>315</v>
      </c>
      <c r="R602" s="87">
        <f t="shared" si="99"/>
        <v>100</v>
      </c>
      <c r="S602" s="85">
        <f t="shared" si="100"/>
        <v>695</v>
      </c>
      <c r="T602" s="85">
        <f>50</f>
        <v>50</v>
      </c>
      <c r="U602" s="83"/>
      <c r="V602" s="83"/>
      <c r="W602" s="83"/>
      <c r="X602" s="83"/>
      <c r="Y602" s="83"/>
      <c r="Z602" s="83"/>
      <c r="AA602" s="83"/>
      <c r="AB602" s="83"/>
      <c r="AC602" s="83"/>
      <c r="AD602" s="83"/>
    </row>
    <row r="603" spans="1:30" ht="15.75" x14ac:dyDescent="0.25">
      <c r="A603" s="13">
        <v>58926</v>
      </c>
      <c r="B603" s="94">
        <v>30</v>
      </c>
      <c r="C603" s="85">
        <f>141.293</f>
        <v>141.29300000000001</v>
      </c>
      <c r="D603" s="85">
        <f>267.993</f>
        <v>267.99299999999999</v>
      </c>
      <c r="E603" s="92">
        <f>115.016</f>
        <v>115.01600000000001</v>
      </c>
      <c r="F603" s="85">
        <f>314.698-40-25-60</f>
        <v>189.69799999999998</v>
      </c>
      <c r="G603" s="87">
        <v>40</v>
      </c>
      <c r="H603" s="85">
        <f t="shared" ref="H603:H609" si="101">25+60</f>
        <v>85</v>
      </c>
      <c r="I603" s="85">
        <f t="shared" si="94"/>
        <v>0</v>
      </c>
      <c r="J603" s="87">
        <v>100</v>
      </c>
      <c r="K603" s="87">
        <v>300</v>
      </c>
      <c r="L603" s="85">
        <f t="shared" si="97"/>
        <v>1239</v>
      </c>
      <c r="M603" s="86"/>
      <c r="N603" s="85">
        <f>100</f>
        <v>100</v>
      </c>
      <c r="O603" s="87">
        <v>240</v>
      </c>
      <c r="P603" s="87">
        <v>160</v>
      </c>
      <c r="Q603" s="87">
        <f t="shared" si="98"/>
        <v>195</v>
      </c>
      <c r="R603" s="87">
        <f t="shared" si="99"/>
        <v>100</v>
      </c>
      <c r="S603" s="85">
        <f t="shared" si="100"/>
        <v>695</v>
      </c>
      <c r="T603" s="85">
        <f>50</f>
        <v>50</v>
      </c>
      <c r="U603" s="83"/>
      <c r="V603" s="83"/>
      <c r="W603" s="83"/>
      <c r="X603" s="83"/>
      <c r="Y603" s="83"/>
      <c r="Z603" s="83"/>
      <c r="AA603" s="83"/>
      <c r="AB603" s="83"/>
      <c r="AC603" s="83"/>
      <c r="AD603" s="83"/>
    </row>
    <row r="604" spans="1:30" ht="15.75" x14ac:dyDescent="0.25">
      <c r="A604" s="13">
        <v>58957</v>
      </c>
      <c r="B604" s="94">
        <v>31</v>
      </c>
      <c r="C604" s="85">
        <f>194.205</f>
        <v>194.20500000000001</v>
      </c>
      <c r="D604" s="85">
        <f>267.466</f>
        <v>267.46600000000001</v>
      </c>
      <c r="E604" s="92">
        <f>133.845</f>
        <v>133.845</v>
      </c>
      <c r="F604" s="85">
        <f>278.484-40-25-60</f>
        <v>153.48399999999998</v>
      </c>
      <c r="G604" s="87">
        <v>40</v>
      </c>
      <c r="H604" s="85">
        <f t="shared" si="101"/>
        <v>85</v>
      </c>
      <c r="I604" s="85">
        <f t="shared" si="94"/>
        <v>0</v>
      </c>
      <c r="J604" s="87">
        <v>100</v>
      </c>
      <c r="K604" s="87">
        <v>300</v>
      </c>
      <c r="L604" s="85">
        <f t="shared" si="97"/>
        <v>1274</v>
      </c>
      <c r="M604" s="86"/>
      <c r="N604" s="85">
        <f>75</f>
        <v>75</v>
      </c>
      <c r="O604" s="87">
        <v>240</v>
      </c>
      <c r="P604" s="87">
        <v>160</v>
      </c>
      <c r="Q604" s="87">
        <f t="shared" si="98"/>
        <v>195</v>
      </c>
      <c r="R604" s="87">
        <f t="shared" si="99"/>
        <v>100</v>
      </c>
      <c r="S604" s="85">
        <f t="shared" si="100"/>
        <v>695</v>
      </c>
      <c r="T604" s="85">
        <f>50</f>
        <v>50</v>
      </c>
      <c r="U604" s="83"/>
      <c r="V604" s="83"/>
      <c r="W604" s="83"/>
      <c r="X604" s="83"/>
      <c r="Y604" s="83"/>
      <c r="Z604" s="83"/>
      <c r="AA604" s="83"/>
      <c r="AB604" s="83"/>
      <c r="AC604" s="83"/>
      <c r="AD604" s="83"/>
    </row>
    <row r="605" spans="1:30" ht="15.75" x14ac:dyDescent="0.25">
      <c r="A605" s="13">
        <v>58987</v>
      </c>
      <c r="B605" s="94">
        <v>30</v>
      </c>
      <c r="C605" s="85">
        <f>194.205</f>
        <v>194.20500000000001</v>
      </c>
      <c r="D605" s="85">
        <f>267.466</f>
        <v>267.46600000000001</v>
      </c>
      <c r="E605" s="92">
        <f>133.845</f>
        <v>133.845</v>
      </c>
      <c r="F605" s="85">
        <f>278.484-40-25-60</f>
        <v>153.48399999999998</v>
      </c>
      <c r="G605" s="87">
        <v>40</v>
      </c>
      <c r="H605" s="85">
        <f t="shared" si="101"/>
        <v>85</v>
      </c>
      <c r="I605" s="85">
        <f t="shared" si="94"/>
        <v>0</v>
      </c>
      <c r="J605" s="87">
        <v>100</v>
      </c>
      <c r="K605" s="87">
        <v>300</v>
      </c>
      <c r="L605" s="85">
        <f t="shared" si="97"/>
        <v>1274</v>
      </c>
      <c r="M605" s="86"/>
      <c r="N605" s="85">
        <f>30</f>
        <v>30</v>
      </c>
      <c r="O605" s="87">
        <v>240</v>
      </c>
      <c r="P605" s="87">
        <v>160</v>
      </c>
      <c r="Q605" s="87">
        <f t="shared" si="98"/>
        <v>195</v>
      </c>
      <c r="R605" s="87">
        <f t="shared" si="99"/>
        <v>100</v>
      </c>
      <c r="S605" s="85">
        <f t="shared" si="100"/>
        <v>695</v>
      </c>
      <c r="T605" s="85">
        <f>50</f>
        <v>50</v>
      </c>
      <c r="U605" s="83"/>
      <c r="V605" s="83"/>
      <c r="W605" s="83"/>
      <c r="X605" s="83"/>
      <c r="Y605" s="83"/>
      <c r="Z605" s="83"/>
      <c r="AA605" s="83"/>
      <c r="AB605" s="83"/>
      <c r="AC605" s="83"/>
      <c r="AD605" s="83"/>
    </row>
    <row r="606" spans="1:30" ht="15.75" x14ac:dyDescent="0.25">
      <c r="A606" s="13">
        <v>59018</v>
      </c>
      <c r="B606" s="94">
        <v>31</v>
      </c>
      <c r="C606" s="85">
        <f>194.205</f>
        <v>194.20500000000001</v>
      </c>
      <c r="D606" s="85">
        <f>267.466</f>
        <v>267.46600000000001</v>
      </c>
      <c r="E606" s="92">
        <f>133.845</f>
        <v>133.845</v>
      </c>
      <c r="F606" s="85">
        <f>278.484-40-25-60</f>
        <v>153.48399999999998</v>
      </c>
      <c r="G606" s="87">
        <v>40</v>
      </c>
      <c r="H606" s="85">
        <f t="shared" si="101"/>
        <v>85</v>
      </c>
      <c r="I606" s="85">
        <f t="shared" si="94"/>
        <v>0</v>
      </c>
      <c r="J606" s="87">
        <v>100</v>
      </c>
      <c r="K606" s="87">
        <v>300</v>
      </c>
      <c r="L606" s="85">
        <f t="shared" si="97"/>
        <v>1274</v>
      </c>
      <c r="M606" s="86"/>
      <c r="N606" s="85">
        <f>30</f>
        <v>30</v>
      </c>
      <c r="O606" s="87">
        <v>240</v>
      </c>
      <c r="P606" s="87">
        <v>160</v>
      </c>
      <c r="Q606" s="87">
        <f t="shared" si="98"/>
        <v>195</v>
      </c>
      <c r="R606" s="87">
        <f t="shared" si="99"/>
        <v>100</v>
      </c>
      <c r="S606" s="85">
        <f t="shared" si="100"/>
        <v>695</v>
      </c>
      <c r="T606" s="85">
        <f>0</f>
        <v>0</v>
      </c>
      <c r="U606" s="83"/>
      <c r="V606" s="83"/>
      <c r="W606" s="83"/>
      <c r="X606" s="83"/>
      <c r="Y606" s="83"/>
      <c r="Z606" s="83"/>
      <c r="AA606" s="83"/>
      <c r="AB606" s="83"/>
      <c r="AC606" s="83"/>
      <c r="AD606" s="83"/>
    </row>
    <row r="607" spans="1:30" ht="15.75" x14ac:dyDescent="0.25">
      <c r="A607" s="13">
        <v>59049</v>
      </c>
      <c r="B607" s="94">
        <v>31</v>
      </c>
      <c r="C607" s="85">
        <f>194.205</f>
        <v>194.20500000000001</v>
      </c>
      <c r="D607" s="85">
        <f>267.466</f>
        <v>267.46600000000001</v>
      </c>
      <c r="E607" s="92">
        <f>133.845</f>
        <v>133.845</v>
      </c>
      <c r="F607" s="85">
        <f>278.484-40-25-60</f>
        <v>153.48399999999998</v>
      </c>
      <c r="G607" s="87">
        <v>40</v>
      </c>
      <c r="H607" s="85">
        <f t="shared" si="101"/>
        <v>85</v>
      </c>
      <c r="I607" s="85">
        <f t="shared" si="94"/>
        <v>0</v>
      </c>
      <c r="J607" s="87">
        <v>100</v>
      </c>
      <c r="K607" s="87">
        <v>300</v>
      </c>
      <c r="L607" s="85">
        <f t="shared" si="97"/>
        <v>1274</v>
      </c>
      <c r="M607" s="86"/>
      <c r="N607" s="85">
        <f>30</f>
        <v>30</v>
      </c>
      <c r="O607" s="87">
        <v>240</v>
      </c>
      <c r="P607" s="87">
        <v>160</v>
      </c>
      <c r="Q607" s="87">
        <f t="shared" si="98"/>
        <v>195</v>
      </c>
      <c r="R607" s="87">
        <f t="shared" si="99"/>
        <v>100</v>
      </c>
      <c r="S607" s="85">
        <f t="shared" si="100"/>
        <v>695</v>
      </c>
      <c r="T607" s="85">
        <f>0</f>
        <v>0</v>
      </c>
      <c r="U607" s="83"/>
      <c r="V607" s="83"/>
      <c r="W607" s="83"/>
      <c r="X607" s="83"/>
      <c r="Y607" s="83"/>
      <c r="Z607" s="83"/>
      <c r="AA607" s="83"/>
      <c r="AB607" s="83"/>
      <c r="AC607" s="83"/>
      <c r="AD607" s="83"/>
    </row>
    <row r="608" spans="1:30" ht="15.75" x14ac:dyDescent="0.25">
      <c r="A608" s="13">
        <v>59079</v>
      </c>
      <c r="B608" s="94">
        <v>30</v>
      </c>
      <c r="C608" s="85">
        <f>194.205</f>
        <v>194.20500000000001</v>
      </c>
      <c r="D608" s="85">
        <f>267.466</f>
        <v>267.46600000000001</v>
      </c>
      <c r="E608" s="92">
        <f>133.845</f>
        <v>133.845</v>
      </c>
      <c r="F608" s="85">
        <f>278.484-40-25-60</f>
        <v>153.48399999999998</v>
      </c>
      <c r="G608" s="87">
        <v>40</v>
      </c>
      <c r="H608" s="85">
        <f t="shared" si="101"/>
        <v>85</v>
      </c>
      <c r="I608" s="85">
        <f t="shared" si="94"/>
        <v>0</v>
      </c>
      <c r="J608" s="87">
        <v>100</v>
      </c>
      <c r="K608" s="87">
        <v>300</v>
      </c>
      <c r="L608" s="85">
        <f t="shared" si="97"/>
        <v>1274</v>
      </c>
      <c r="M608" s="86"/>
      <c r="N608" s="85">
        <f>30</f>
        <v>30</v>
      </c>
      <c r="O608" s="87">
        <v>240</v>
      </c>
      <c r="P608" s="87">
        <v>160</v>
      </c>
      <c r="Q608" s="87">
        <f t="shared" si="98"/>
        <v>195</v>
      </c>
      <c r="R608" s="87">
        <f t="shared" si="99"/>
        <v>100</v>
      </c>
      <c r="S608" s="85">
        <f t="shared" si="100"/>
        <v>695</v>
      </c>
      <c r="T608" s="85">
        <f>0</f>
        <v>0</v>
      </c>
      <c r="U608" s="83"/>
      <c r="V608" s="83"/>
      <c r="W608" s="83"/>
      <c r="X608" s="83"/>
      <c r="Y608" s="83"/>
      <c r="Z608" s="83"/>
      <c r="AA608" s="83"/>
      <c r="AB608" s="83"/>
      <c r="AC608" s="83"/>
      <c r="AD608" s="83"/>
    </row>
    <row r="609" spans="1:30" ht="15.75" x14ac:dyDescent="0.25">
      <c r="A609" s="13">
        <v>59110</v>
      </c>
      <c r="B609" s="94">
        <v>31</v>
      </c>
      <c r="C609" s="85">
        <f>131.881</f>
        <v>131.881</v>
      </c>
      <c r="D609" s="85">
        <f>277.167</f>
        <v>277.16699999999997</v>
      </c>
      <c r="E609" s="92">
        <f>79.08</f>
        <v>79.08</v>
      </c>
      <c r="F609" s="85">
        <f>350.872-40-25-60</f>
        <v>225.87200000000001</v>
      </c>
      <c r="G609" s="87">
        <v>40</v>
      </c>
      <c r="H609" s="85">
        <f t="shared" si="101"/>
        <v>85</v>
      </c>
      <c r="I609" s="85">
        <f t="shared" si="94"/>
        <v>0</v>
      </c>
      <c r="J609" s="87">
        <v>100</v>
      </c>
      <c r="K609" s="87">
        <v>300</v>
      </c>
      <c r="L609" s="85">
        <f t="shared" si="97"/>
        <v>1239</v>
      </c>
      <c r="M609" s="86"/>
      <c r="N609" s="85">
        <f>75</f>
        <v>75</v>
      </c>
      <c r="O609" s="87">
        <v>240</v>
      </c>
      <c r="P609" s="87">
        <v>160</v>
      </c>
      <c r="Q609" s="87">
        <f t="shared" si="98"/>
        <v>195</v>
      </c>
      <c r="R609" s="87">
        <f t="shared" si="99"/>
        <v>100</v>
      </c>
      <c r="S609" s="85">
        <f t="shared" si="100"/>
        <v>695</v>
      </c>
      <c r="T609" s="85">
        <f>0</f>
        <v>0</v>
      </c>
      <c r="U609" s="83"/>
      <c r="V609" s="83"/>
      <c r="W609" s="83"/>
      <c r="X609" s="83"/>
      <c r="Y609" s="83"/>
      <c r="Z609" s="83"/>
      <c r="AA609" s="83"/>
      <c r="AB609" s="83"/>
      <c r="AC609" s="83"/>
      <c r="AD609" s="83"/>
    </row>
    <row r="610" spans="1:30" ht="15.75" x14ac:dyDescent="0.25">
      <c r="A610" s="13">
        <v>59140</v>
      </c>
      <c r="B610" s="94">
        <v>30</v>
      </c>
      <c r="C610" s="85">
        <f>122.58</f>
        <v>122.58</v>
      </c>
      <c r="D610" s="85">
        <f>297.941</f>
        <v>297.94099999999997</v>
      </c>
      <c r="E610" s="92">
        <f>89.177</f>
        <v>89.177000000000007</v>
      </c>
      <c r="F610" s="85">
        <f>240.302-40-60</f>
        <v>140.30199999999999</v>
      </c>
      <c r="G610" s="87">
        <v>40</v>
      </c>
      <c r="H610" s="85">
        <v>60</v>
      </c>
      <c r="I610" s="85">
        <f t="shared" si="94"/>
        <v>0</v>
      </c>
      <c r="J610" s="87">
        <v>100</v>
      </c>
      <c r="K610" s="87">
        <v>300</v>
      </c>
      <c r="L610" s="85">
        <f t="shared" si="97"/>
        <v>1150</v>
      </c>
      <c r="M610" s="86"/>
      <c r="N610" s="85">
        <f>100</f>
        <v>100</v>
      </c>
      <c r="O610" s="87">
        <v>240</v>
      </c>
      <c r="P610" s="87">
        <v>40</v>
      </c>
      <c r="Q610" s="87">
        <f t="shared" si="98"/>
        <v>315</v>
      </c>
      <c r="R610" s="87">
        <f t="shared" si="99"/>
        <v>100</v>
      </c>
      <c r="S610" s="85">
        <f t="shared" si="100"/>
        <v>695</v>
      </c>
      <c r="T610" s="85">
        <f>50</f>
        <v>50</v>
      </c>
      <c r="U610" s="83"/>
      <c r="V610" s="83"/>
      <c r="W610" s="83"/>
      <c r="X610" s="83"/>
      <c r="Y610" s="83"/>
      <c r="Z610" s="83"/>
      <c r="AA610" s="83"/>
      <c r="AB610" s="83"/>
      <c r="AC610" s="83"/>
      <c r="AD610" s="83"/>
    </row>
    <row r="611" spans="1:30" ht="15.75" x14ac:dyDescent="0.25">
      <c r="A611" s="13">
        <v>59171</v>
      </c>
      <c r="B611" s="94">
        <v>31</v>
      </c>
      <c r="C611" s="85">
        <f>122.58</f>
        <v>122.58</v>
      </c>
      <c r="D611" s="85">
        <f>297.941</f>
        <v>297.94099999999997</v>
      </c>
      <c r="E611" s="92">
        <f>89.177</f>
        <v>89.177000000000007</v>
      </c>
      <c r="F611" s="85">
        <f>240.302-40-60</f>
        <v>140.30199999999999</v>
      </c>
      <c r="G611" s="87">
        <v>40</v>
      </c>
      <c r="H611" s="85">
        <v>60</v>
      </c>
      <c r="I611" s="85">
        <f t="shared" si="94"/>
        <v>0</v>
      </c>
      <c r="J611" s="87">
        <v>100</v>
      </c>
      <c r="K611" s="87">
        <v>300</v>
      </c>
      <c r="L611" s="85">
        <f t="shared" si="97"/>
        <v>1150</v>
      </c>
      <c r="M611" s="86"/>
      <c r="N611" s="85">
        <f>100</f>
        <v>100</v>
      </c>
      <c r="O611" s="87">
        <v>240</v>
      </c>
      <c r="P611" s="87">
        <v>40</v>
      </c>
      <c r="Q611" s="87">
        <f t="shared" si="98"/>
        <v>315</v>
      </c>
      <c r="R611" s="87">
        <f t="shared" si="99"/>
        <v>100</v>
      </c>
      <c r="S611" s="85">
        <f t="shared" si="100"/>
        <v>695</v>
      </c>
      <c r="T611" s="85">
        <f>50</f>
        <v>50</v>
      </c>
      <c r="U611" s="83"/>
      <c r="V611" s="83"/>
      <c r="W611" s="83"/>
      <c r="X611" s="83"/>
      <c r="Y611" s="83"/>
      <c r="Z611" s="83"/>
      <c r="AA611" s="83"/>
      <c r="AB611" s="83"/>
      <c r="AC611" s="83"/>
      <c r="AD611" s="83"/>
    </row>
    <row r="612" spans="1:30" ht="15" x14ac:dyDescent="0.2">
      <c r="A612" s="12"/>
      <c r="B612" s="93"/>
      <c r="C612" s="85"/>
      <c r="D612" s="85"/>
      <c r="E612" s="92"/>
      <c r="F612" s="85"/>
      <c r="G612" s="85"/>
      <c r="H612" s="85"/>
      <c r="I612" s="85"/>
      <c r="J612" s="85"/>
      <c r="K612" s="85"/>
      <c r="L612" s="85"/>
      <c r="M612" s="85"/>
      <c r="N612" s="85"/>
      <c r="O612" s="87"/>
      <c r="P612" s="87"/>
      <c r="Q612" s="87"/>
      <c r="R612" s="87"/>
      <c r="S612" s="85"/>
      <c r="T612" s="85"/>
      <c r="U612" s="83"/>
      <c r="V612" s="83"/>
      <c r="W612" s="83"/>
      <c r="X612" s="83"/>
      <c r="Y612" s="83"/>
      <c r="Z612" s="83"/>
      <c r="AA612" s="83"/>
      <c r="AB612" s="83"/>
      <c r="AC612" s="83"/>
      <c r="AD612" s="83"/>
    </row>
    <row r="613" spans="1:30" ht="15" x14ac:dyDescent="0.2">
      <c r="A613" s="11">
        <v>2012</v>
      </c>
      <c r="B613" s="11"/>
      <c r="C613" s="88">
        <f t="shared" ref="C613:L613" si="102">AVERAGE(C12:C23)</f>
        <v>154.75825</v>
      </c>
      <c r="D613" s="88">
        <f t="shared" si="102"/>
        <v>281.0162499999999</v>
      </c>
      <c r="E613" s="88">
        <f t="shared" si="102"/>
        <v>109.1005</v>
      </c>
      <c r="F613" s="88">
        <f t="shared" si="102"/>
        <v>231.625</v>
      </c>
      <c r="G613" s="88">
        <f t="shared" si="102"/>
        <v>40</v>
      </c>
      <c r="H613" s="88">
        <f t="shared" si="102"/>
        <v>0</v>
      </c>
      <c r="I613" s="88">
        <f t="shared" si="102"/>
        <v>0</v>
      </c>
      <c r="J613" s="88">
        <f t="shared" si="102"/>
        <v>100</v>
      </c>
      <c r="K613" s="88">
        <f t="shared" si="102"/>
        <v>300</v>
      </c>
      <c r="L613" s="88">
        <f t="shared" si="102"/>
        <v>1216.5</v>
      </c>
      <c r="M613" s="91"/>
      <c r="N613" s="88">
        <f t="shared" ref="N613:T613" si="103">AVERAGE(N12:N23)</f>
        <v>122.5</v>
      </c>
      <c r="O613" s="89">
        <f t="shared" si="103"/>
        <v>240</v>
      </c>
      <c r="P613" s="89">
        <f t="shared" si="103"/>
        <v>0</v>
      </c>
      <c r="Q613" s="89">
        <f t="shared" si="103"/>
        <v>355</v>
      </c>
      <c r="R613" s="89">
        <f t="shared" si="103"/>
        <v>100</v>
      </c>
      <c r="S613" s="88">
        <f t="shared" si="103"/>
        <v>695</v>
      </c>
      <c r="T613" s="88">
        <f t="shared" si="103"/>
        <v>33.333333333333336</v>
      </c>
      <c r="U613" s="83"/>
      <c r="V613" s="83"/>
      <c r="W613" s="83"/>
      <c r="X613" s="83"/>
      <c r="Y613" s="83"/>
      <c r="Z613" s="83"/>
      <c r="AA613" s="83"/>
      <c r="AB613" s="83"/>
      <c r="AC613" s="83"/>
      <c r="AD613" s="83"/>
    </row>
    <row r="614" spans="1:30" ht="15" x14ac:dyDescent="0.2">
      <c r="A614" s="11">
        <v>2013</v>
      </c>
      <c r="B614" s="11"/>
      <c r="C614" s="88">
        <f t="shared" ref="C614:L614" si="104">AVERAGE(C24:C35)</f>
        <v>154.75825</v>
      </c>
      <c r="D614" s="88">
        <f t="shared" si="104"/>
        <v>281.0162499999999</v>
      </c>
      <c r="E614" s="88">
        <f t="shared" si="104"/>
        <v>109.1005</v>
      </c>
      <c r="F614" s="88">
        <f t="shared" si="104"/>
        <v>217.04166666666666</v>
      </c>
      <c r="G614" s="88">
        <f t="shared" si="104"/>
        <v>40</v>
      </c>
      <c r="H614" s="88">
        <f t="shared" si="104"/>
        <v>14.583333333333334</v>
      </c>
      <c r="I614" s="88">
        <f t="shared" si="104"/>
        <v>12.5</v>
      </c>
      <c r="J614" s="88">
        <f t="shared" si="104"/>
        <v>100</v>
      </c>
      <c r="K614" s="88">
        <f t="shared" si="104"/>
        <v>300</v>
      </c>
      <c r="L614" s="88">
        <f t="shared" si="104"/>
        <v>1229</v>
      </c>
      <c r="M614" s="91"/>
      <c r="N614" s="88">
        <f t="shared" ref="N614:T614" si="105">AVERAGE(N24:N35)</f>
        <v>97.5</v>
      </c>
      <c r="O614" s="89">
        <f t="shared" si="105"/>
        <v>240</v>
      </c>
      <c r="P614" s="89">
        <f t="shared" si="105"/>
        <v>70</v>
      </c>
      <c r="Q614" s="89">
        <f t="shared" si="105"/>
        <v>285</v>
      </c>
      <c r="R614" s="89">
        <f t="shared" si="105"/>
        <v>100</v>
      </c>
      <c r="S614" s="88">
        <f t="shared" si="105"/>
        <v>695</v>
      </c>
      <c r="T614" s="88">
        <f t="shared" si="105"/>
        <v>33.333333333333336</v>
      </c>
      <c r="U614" s="83"/>
      <c r="V614" s="83"/>
      <c r="W614" s="83"/>
      <c r="X614" s="83"/>
      <c r="Y614" s="83"/>
      <c r="Z614" s="83"/>
      <c r="AA614" s="83"/>
      <c r="AB614" s="83"/>
      <c r="AC614" s="83"/>
      <c r="AD614" s="83"/>
    </row>
    <row r="615" spans="1:30" ht="15.75" x14ac:dyDescent="0.25">
      <c r="A615" s="11">
        <v>2014</v>
      </c>
      <c r="B615" s="11"/>
      <c r="C615" s="88">
        <f t="shared" ref="C615:L615" si="106">AVERAGE(C36:C47)</f>
        <v>154.75825</v>
      </c>
      <c r="D615" s="88">
        <f t="shared" si="106"/>
        <v>281.0162499999999</v>
      </c>
      <c r="E615" s="88">
        <f t="shared" si="106"/>
        <v>109.1005</v>
      </c>
      <c r="F615" s="88">
        <f t="shared" si="106"/>
        <v>217.04166666666666</v>
      </c>
      <c r="G615" s="88">
        <f t="shared" si="106"/>
        <v>40</v>
      </c>
      <c r="H615" s="88">
        <f t="shared" si="106"/>
        <v>14.583333333333334</v>
      </c>
      <c r="I615" s="88">
        <f t="shared" si="106"/>
        <v>20.833333333333332</v>
      </c>
      <c r="J615" s="88">
        <f t="shared" si="106"/>
        <v>100</v>
      </c>
      <c r="K615" s="88">
        <f t="shared" si="106"/>
        <v>300</v>
      </c>
      <c r="L615" s="88">
        <f t="shared" si="106"/>
        <v>1237.3333333333333</v>
      </c>
      <c r="M615" s="86"/>
      <c r="N615" s="88">
        <f t="shared" ref="N615:T615" si="107">AVERAGE(N36:N47)</f>
        <v>72.5</v>
      </c>
      <c r="O615" s="89">
        <f t="shared" si="107"/>
        <v>240</v>
      </c>
      <c r="P615" s="89">
        <f t="shared" si="107"/>
        <v>70</v>
      </c>
      <c r="Q615" s="89">
        <f t="shared" si="107"/>
        <v>285</v>
      </c>
      <c r="R615" s="89">
        <f t="shared" si="107"/>
        <v>100</v>
      </c>
      <c r="S615" s="88">
        <f t="shared" si="107"/>
        <v>695</v>
      </c>
      <c r="T615" s="88">
        <f t="shared" si="107"/>
        <v>33.333333333333336</v>
      </c>
      <c r="U615" s="83"/>
      <c r="V615" s="83"/>
      <c r="W615" s="83"/>
      <c r="X615" s="83"/>
      <c r="Y615" s="83"/>
      <c r="Z615" s="83"/>
      <c r="AA615" s="83"/>
      <c r="AB615" s="83"/>
      <c r="AC615" s="83"/>
      <c r="AD615" s="83"/>
    </row>
    <row r="616" spans="1:30" ht="15.75" x14ac:dyDescent="0.25">
      <c r="A616" s="11">
        <v>2015</v>
      </c>
      <c r="B616" s="11"/>
      <c r="C616" s="88">
        <f t="shared" ref="C616:L616" si="108">AVERAGE(C48:C59)</f>
        <v>154.75825</v>
      </c>
      <c r="D616" s="88">
        <f t="shared" si="108"/>
        <v>281.0162499999999</v>
      </c>
      <c r="E616" s="88">
        <f t="shared" si="108"/>
        <v>109.1005</v>
      </c>
      <c r="F616" s="88">
        <f t="shared" si="108"/>
        <v>172.04166666666663</v>
      </c>
      <c r="G616" s="88">
        <f t="shared" si="108"/>
        <v>40</v>
      </c>
      <c r="H616" s="88">
        <f t="shared" si="108"/>
        <v>59.583333333333336</v>
      </c>
      <c r="I616" s="88">
        <f t="shared" si="108"/>
        <v>20.833333333333332</v>
      </c>
      <c r="J616" s="88">
        <f t="shared" si="108"/>
        <v>100</v>
      </c>
      <c r="K616" s="88">
        <f t="shared" si="108"/>
        <v>300</v>
      </c>
      <c r="L616" s="88">
        <f t="shared" si="108"/>
        <v>1237.3333333333333</v>
      </c>
      <c r="M616" s="86"/>
      <c r="N616" s="88">
        <f t="shared" ref="N616:T616" si="109">AVERAGE(N48:N59)</f>
        <v>72.5</v>
      </c>
      <c r="O616" s="89">
        <f t="shared" si="109"/>
        <v>240</v>
      </c>
      <c r="P616" s="89">
        <f t="shared" si="109"/>
        <v>100</v>
      </c>
      <c r="Q616" s="89">
        <f t="shared" si="109"/>
        <v>255</v>
      </c>
      <c r="R616" s="89">
        <f t="shared" si="109"/>
        <v>100</v>
      </c>
      <c r="S616" s="88">
        <f t="shared" si="109"/>
        <v>695</v>
      </c>
      <c r="T616" s="88">
        <f t="shared" si="109"/>
        <v>33.333333333333336</v>
      </c>
      <c r="U616" s="83"/>
      <c r="V616" s="83"/>
      <c r="W616" s="83"/>
      <c r="X616" s="83"/>
      <c r="Y616" s="83"/>
      <c r="Z616" s="83"/>
      <c r="AA616" s="83"/>
      <c r="AB616" s="83"/>
      <c r="AC616" s="83"/>
      <c r="AD616" s="83"/>
    </row>
    <row r="617" spans="1:30" ht="15.75" x14ac:dyDescent="0.25">
      <c r="A617" s="11">
        <v>2016</v>
      </c>
      <c r="B617" s="11"/>
      <c r="C617" s="88">
        <f t="shared" ref="C617:L617" si="110">AVERAGE(C60:C71)</f>
        <v>154.75825</v>
      </c>
      <c r="D617" s="88">
        <f t="shared" si="110"/>
        <v>281.0162499999999</v>
      </c>
      <c r="E617" s="88">
        <f t="shared" si="110"/>
        <v>109.1005</v>
      </c>
      <c r="F617" s="88">
        <f t="shared" si="110"/>
        <v>157.04166666666663</v>
      </c>
      <c r="G617" s="88">
        <f t="shared" si="110"/>
        <v>40</v>
      </c>
      <c r="H617" s="88">
        <f t="shared" si="110"/>
        <v>74.583333333333329</v>
      </c>
      <c r="I617" s="88">
        <f t="shared" si="110"/>
        <v>0</v>
      </c>
      <c r="J617" s="88">
        <f t="shared" si="110"/>
        <v>100</v>
      </c>
      <c r="K617" s="88">
        <f t="shared" si="110"/>
        <v>300</v>
      </c>
      <c r="L617" s="88">
        <f t="shared" si="110"/>
        <v>1216.5</v>
      </c>
      <c r="M617" s="86"/>
      <c r="N617" s="88">
        <f t="shared" ref="N617:T617" si="111">AVERAGE(N60:N71)</f>
        <v>72.5</v>
      </c>
      <c r="O617" s="89">
        <f t="shared" si="111"/>
        <v>240</v>
      </c>
      <c r="P617" s="89">
        <f t="shared" si="111"/>
        <v>110</v>
      </c>
      <c r="Q617" s="89">
        <f t="shared" si="111"/>
        <v>245</v>
      </c>
      <c r="R617" s="89">
        <f t="shared" si="111"/>
        <v>100</v>
      </c>
      <c r="S617" s="88">
        <f t="shared" si="111"/>
        <v>695</v>
      </c>
      <c r="T617" s="88">
        <f t="shared" si="111"/>
        <v>33.333333333333336</v>
      </c>
      <c r="U617" s="83"/>
      <c r="V617" s="83"/>
      <c r="W617" s="83"/>
      <c r="X617" s="83"/>
      <c r="Y617" s="83"/>
      <c r="Z617" s="83"/>
      <c r="AA617" s="83"/>
      <c r="AB617" s="83"/>
      <c r="AC617" s="83"/>
      <c r="AD617" s="83"/>
    </row>
    <row r="618" spans="1:30" ht="15.75" x14ac:dyDescent="0.25">
      <c r="A618" s="11">
        <v>2017</v>
      </c>
      <c r="B618" s="11"/>
      <c r="C618" s="88">
        <f t="shared" ref="C618:L618" si="112">AVERAGE(C72:C83)</f>
        <v>154.75825</v>
      </c>
      <c r="D618" s="88">
        <f t="shared" si="112"/>
        <v>281.0162499999999</v>
      </c>
      <c r="E618" s="88">
        <f t="shared" si="112"/>
        <v>109.1005</v>
      </c>
      <c r="F618" s="88">
        <f t="shared" si="112"/>
        <v>157.04166666666663</v>
      </c>
      <c r="G618" s="88">
        <f t="shared" si="112"/>
        <v>40</v>
      </c>
      <c r="H618" s="88">
        <f t="shared" si="112"/>
        <v>74.583333333333329</v>
      </c>
      <c r="I618" s="88">
        <f t="shared" si="112"/>
        <v>0</v>
      </c>
      <c r="J618" s="88">
        <f t="shared" si="112"/>
        <v>100</v>
      </c>
      <c r="K618" s="88">
        <f t="shared" si="112"/>
        <v>300</v>
      </c>
      <c r="L618" s="88">
        <f t="shared" si="112"/>
        <v>1216.5</v>
      </c>
      <c r="M618" s="86"/>
      <c r="N618" s="88">
        <f t="shared" ref="N618:T618" si="113">AVERAGE(N72:N83)</f>
        <v>72.5</v>
      </c>
      <c r="O618" s="89">
        <f t="shared" si="113"/>
        <v>240</v>
      </c>
      <c r="P618" s="89">
        <f t="shared" si="113"/>
        <v>110</v>
      </c>
      <c r="Q618" s="89">
        <f t="shared" si="113"/>
        <v>245</v>
      </c>
      <c r="R618" s="89">
        <f t="shared" si="113"/>
        <v>100</v>
      </c>
      <c r="S618" s="88">
        <f t="shared" si="113"/>
        <v>695</v>
      </c>
      <c r="T618" s="88">
        <f t="shared" si="113"/>
        <v>33.333333333333336</v>
      </c>
      <c r="U618" s="83"/>
      <c r="V618" s="83"/>
      <c r="W618" s="83"/>
      <c r="X618" s="83"/>
      <c r="Y618" s="83"/>
      <c r="Z618" s="83"/>
      <c r="AA618" s="83"/>
      <c r="AB618" s="83"/>
      <c r="AC618" s="83"/>
      <c r="AD618" s="83"/>
    </row>
    <row r="619" spans="1:30" ht="15.75" x14ac:dyDescent="0.25">
      <c r="A619" s="11">
        <v>2018</v>
      </c>
      <c r="B619" s="11"/>
      <c r="C619" s="88">
        <f t="shared" ref="C619:L619" si="114">AVERAGE(C84:C95)</f>
        <v>154.75825</v>
      </c>
      <c r="D619" s="88">
        <f t="shared" si="114"/>
        <v>281.0162499999999</v>
      </c>
      <c r="E619" s="88">
        <f t="shared" si="114"/>
        <v>109.1005</v>
      </c>
      <c r="F619" s="88">
        <f t="shared" si="114"/>
        <v>157.04166666666663</v>
      </c>
      <c r="G619" s="88">
        <f t="shared" si="114"/>
        <v>40</v>
      </c>
      <c r="H619" s="88">
        <f t="shared" si="114"/>
        <v>74.583333333333329</v>
      </c>
      <c r="I619" s="88">
        <f t="shared" si="114"/>
        <v>0</v>
      </c>
      <c r="J619" s="88">
        <f t="shared" si="114"/>
        <v>100</v>
      </c>
      <c r="K619" s="88">
        <f t="shared" si="114"/>
        <v>300</v>
      </c>
      <c r="L619" s="88">
        <f t="shared" si="114"/>
        <v>1216.5</v>
      </c>
      <c r="M619" s="86"/>
      <c r="N619" s="88">
        <f t="shared" ref="N619:T619" si="115">AVERAGE(N84:N95)</f>
        <v>72.5</v>
      </c>
      <c r="O619" s="89">
        <f t="shared" si="115"/>
        <v>240</v>
      </c>
      <c r="P619" s="89">
        <f t="shared" si="115"/>
        <v>110</v>
      </c>
      <c r="Q619" s="89">
        <f t="shared" si="115"/>
        <v>245</v>
      </c>
      <c r="R619" s="89">
        <f t="shared" si="115"/>
        <v>100</v>
      </c>
      <c r="S619" s="88">
        <f t="shared" si="115"/>
        <v>695</v>
      </c>
      <c r="T619" s="88">
        <f t="shared" si="115"/>
        <v>33.333333333333336</v>
      </c>
      <c r="U619" s="83"/>
      <c r="V619" s="83"/>
      <c r="W619" s="83"/>
      <c r="X619" s="83"/>
      <c r="Y619" s="83"/>
      <c r="Z619" s="83"/>
      <c r="AA619" s="83"/>
      <c r="AB619" s="83"/>
      <c r="AC619" s="83"/>
      <c r="AD619" s="83"/>
    </row>
    <row r="620" spans="1:30" ht="15.75" x14ac:dyDescent="0.25">
      <c r="A620" s="11">
        <v>2019</v>
      </c>
      <c r="B620" s="11"/>
      <c r="C620" s="88">
        <f t="shared" ref="C620:L620" si="116">AVERAGE(C96:C107)</f>
        <v>154.75825</v>
      </c>
      <c r="D620" s="88">
        <f t="shared" si="116"/>
        <v>281.0162499999999</v>
      </c>
      <c r="E620" s="88">
        <f t="shared" si="116"/>
        <v>109.1005</v>
      </c>
      <c r="F620" s="88">
        <f t="shared" si="116"/>
        <v>157.04166666666663</v>
      </c>
      <c r="G620" s="88">
        <f t="shared" si="116"/>
        <v>40</v>
      </c>
      <c r="H620" s="88">
        <f t="shared" si="116"/>
        <v>74.583333333333329</v>
      </c>
      <c r="I620" s="88">
        <f t="shared" si="116"/>
        <v>0</v>
      </c>
      <c r="J620" s="88">
        <f t="shared" si="116"/>
        <v>100</v>
      </c>
      <c r="K620" s="88">
        <f t="shared" si="116"/>
        <v>300</v>
      </c>
      <c r="L620" s="88">
        <f t="shared" si="116"/>
        <v>1216.5</v>
      </c>
      <c r="M620" s="86"/>
      <c r="N620" s="88">
        <f t="shared" ref="N620:T620" si="117">AVERAGE(N96:N107)</f>
        <v>72.5</v>
      </c>
      <c r="O620" s="89">
        <f t="shared" si="117"/>
        <v>240</v>
      </c>
      <c r="P620" s="89">
        <f t="shared" si="117"/>
        <v>110</v>
      </c>
      <c r="Q620" s="89">
        <f t="shared" si="117"/>
        <v>245</v>
      </c>
      <c r="R620" s="89">
        <f t="shared" si="117"/>
        <v>100</v>
      </c>
      <c r="S620" s="88">
        <f t="shared" si="117"/>
        <v>695</v>
      </c>
      <c r="T620" s="88">
        <f t="shared" si="117"/>
        <v>33.333333333333336</v>
      </c>
      <c r="U620" s="83"/>
      <c r="V620" s="83"/>
      <c r="W620" s="83"/>
      <c r="X620" s="83"/>
      <c r="Y620" s="83"/>
      <c r="Z620" s="83"/>
      <c r="AA620" s="83"/>
      <c r="AB620" s="83"/>
      <c r="AC620" s="83"/>
      <c r="AD620" s="83"/>
    </row>
    <row r="621" spans="1:30" ht="15.75" x14ac:dyDescent="0.25">
      <c r="A621" s="11">
        <v>2020</v>
      </c>
      <c r="B621" s="11"/>
      <c r="C621" s="88">
        <f t="shared" ref="C621:L621" si="118">AVERAGE(C108:C119)</f>
        <v>154.75825</v>
      </c>
      <c r="D621" s="88">
        <f t="shared" si="118"/>
        <v>281.0162499999999</v>
      </c>
      <c r="E621" s="88">
        <f t="shared" si="118"/>
        <v>109.1005</v>
      </c>
      <c r="F621" s="88">
        <f t="shared" si="118"/>
        <v>157.04166666666663</v>
      </c>
      <c r="G621" s="88">
        <f t="shared" si="118"/>
        <v>40</v>
      </c>
      <c r="H621" s="88">
        <f t="shared" si="118"/>
        <v>74.583333333333329</v>
      </c>
      <c r="I621" s="88">
        <f t="shared" si="118"/>
        <v>0</v>
      </c>
      <c r="J621" s="88">
        <f t="shared" si="118"/>
        <v>100</v>
      </c>
      <c r="K621" s="88">
        <f t="shared" si="118"/>
        <v>300</v>
      </c>
      <c r="L621" s="88">
        <f t="shared" si="118"/>
        <v>1216.5</v>
      </c>
      <c r="M621" s="86"/>
      <c r="N621" s="88">
        <f t="shared" ref="N621:T621" si="119">AVERAGE(N108:N119)</f>
        <v>72.5</v>
      </c>
      <c r="O621" s="89">
        <f t="shared" si="119"/>
        <v>240</v>
      </c>
      <c r="P621" s="89">
        <f t="shared" si="119"/>
        <v>110</v>
      </c>
      <c r="Q621" s="89">
        <f t="shared" si="119"/>
        <v>245</v>
      </c>
      <c r="R621" s="89">
        <f t="shared" si="119"/>
        <v>100</v>
      </c>
      <c r="S621" s="88">
        <f t="shared" si="119"/>
        <v>695</v>
      </c>
      <c r="T621" s="88">
        <f t="shared" si="119"/>
        <v>33.333333333333336</v>
      </c>
      <c r="U621" s="83"/>
      <c r="V621" s="83"/>
      <c r="W621" s="83"/>
      <c r="X621" s="83"/>
      <c r="Y621" s="83"/>
      <c r="Z621" s="83"/>
      <c r="AA621" s="83"/>
      <c r="AB621" s="83"/>
      <c r="AC621" s="83"/>
      <c r="AD621" s="83"/>
    </row>
    <row r="622" spans="1:30" ht="15.75" x14ac:dyDescent="0.25">
      <c r="A622" s="11">
        <v>2021</v>
      </c>
      <c r="B622" s="11"/>
      <c r="C622" s="88">
        <f t="shared" ref="C622:L622" si="120">AVERAGE(C120:C131)</f>
        <v>154.75825</v>
      </c>
      <c r="D622" s="88">
        <f t="shared" si="120"/>
        <v>281.0162499999999</v>
      </c>
      <c r="E622" s="88">
        <f t="shared" si="120"/>
        <v>109.1005</v>
      </c>
      <c r="F622" s="88">
        <f t="shared" si="120"/>
        <v>157.04166666666663</v>
      </c>
      <c r="G622" s="88">
        <f t="shared" si="120"/>
        <v>40</v>
      </c>
      <c r="H622" s="88">
        <f t="shared" si="120"/>
        <v>74.583333333333329</v>
      </c>
      <c r="I622" s="88">
        <f t="shared" si="120"/>
        <v>0</v>
      </c>
      <c r="J622" s="88">
        <f t="shared" si="120"/>
        <v>100</v>
      </c>
      <c r="K622" s="88">
        <f t="shared" si="120"/>
        <v>300</v>
      </c>
      <c r="L622" s="88">
        <f t="shared" si="120"/>
        <v>1216.5</v>
      </c>
      <c r="M622" s="86"/>
      <c r="N622" s="88">
        <f t="shared" ref="N622:T622" si="121">AVERAGE(N120:N131)</f>
        <v>72.5</v>
      </c>
      <c r="O622" s="89">
        <f t="shared" si="121"/>
        <v>240</v>
      </c>
      <c r="P622" s="89">
        <f t="shared" si="121"/>
        <v>110</v>
      </c>
      <c r="Q622" s="89">
        <f t="shared" si="121"/>
        <v>245</v>
      </c>
      <c r="R622" s="89">
        <f t="shared" si="121"/>
        <v>100</v>
      </c>
      <c r="S622" s="88">
        <f t="shared" si="121"/>
        <v>695</v>
      </c>
      <c r="T622" s="88">
        <f t="shared" si="121"/>
        <v>33.333333333333336</v>
      </c>
      <c r="U622" s="83"/>
      <c r="V622" s="83"/>
      <c r="W622" s="83"/>
      <c r="X622" s="83"/>
      <c r="Y622" s="83"/>
      <c r="Z622" s="83"/>
      <c r="AA622" s="83"/>
      <c r="AB622" s="83"/>
      <c r="AC622" s="83"/>
      <c r="AD622" s="83"/>
    </row>
    <row r="623" spans="1:30" ht="15.75" x14ac:dyDescent="0.25">
      <c r="A623" s="11">
        <v>2022</v>
      </c>
      <c r="B623" s="11"/>
      <c r="C623" s="88">
        <f t="shared" ref="C623:L623" si="122">AVERAGE(C132:C143)</f>
        <v>154.75825</v>
      </c>
      <c r="D623" s="88">
        <f t="shared" si="122"/>
        <v>281.0162499999999</v>
      </c>
      <c r="E623" s="88">
        <f t="shared" si="122"/>
        <v>109.1005</v>
      </c>
      <c r="F623" s="88">
        <f t="shared" si="122"/>
        <v>157.04166666666663</v>
      </c>
      <c r="G623" s="88">
        <f t="shared" si="122"/>
        <v>40</v>
      </c>
      <c r="H623" s="88">
        <f t="shared" si="122"/>
        <v>74.583333333333329</v>
      </c>
      <c r="I623" s="88">
        <f t="shared" si="122"/>
        <v>0</v>
      </c>
      <c r="J623" s="88">
        <f t="shared" si="122"/>
        <v>100</v>
      </c>
      <c r="K623" s="88">
        <f t="shared" si="122"/>
        <v>300</v>
      </c>
      <c r="L623" s="88">
        <f t="shared" si="122"/>
        <v>1216.5</v>
      </c>
      <c r="M623" s="86"/>
      <c r="N623" s="88">
        <f t="shared" ref="N623:T623" si="123">AVERAGE(N132:N143)</f>
        <v>72.5</v>
      </c>
      <c r="O623" s="89">
        <f t="shared" si="123"/>
        <v>240</v>
      </c>
      <c r="P623" s="89">
        <f t="shared" si="123"/>
        <v>110</v>
      </c>
      <c r="Q623" s="89">
        <f t="shared" si="123"/>
        <v>245</v>
      </c>
      <c r="R623" s="89">
        <f t="shared" si="123"/>
        <v>100</v>
      </c>
      <c r="S623" s="88">
        <f t="shared" si="123"/>
        <v>695</v>
      </c>
      <c r="T623" s="88">
        <f t="shared" si="123"/>
        <v>33.333333333333336</v>
      </c>
      <c r="U623" s="83"/>
      <c r="V623" s="83"/>
      <c r="W623" s="83"/>
      <c r="X623" s="83"/>
      <c r="Y623" s="83"/>
      <c r="Z623" s="83"/>
      <c r="AA623" s="83"/>
      <c r="AB623" s="83"/>
      <c r="AC623" s="83"/>
      <c r="AD623" s="83"/>
    </row>
    <row r="624" spans="1:30" ht="15.75" x14ac:dyDescent="0.25">
      <c r="A624" s="11">
        <v>2023</v>
      </c>
      <c r="B624" s="11"/>
      <c r="C624" s="88">
        <f t="shared" ref="C624:L624" si="124">AVERAGE(C144:C155)</f>
        <v>154.75825</v>
      </c>
      <c r="D624" s="88">
        <f t="shared" si="124"/>
        <v>281.0162499999999</v>
      </c>
      <c r="E624" s="88">
        <f t="shared" si="124"/>
        <v>109.1005</v>
      </c>
      <c r="F624" s="88">
        <f t="shared" si="124"/>
        <v>157.04166666666663</v>
      </c>
      <c r="G624" s="88">
        <f t="shared" si="124"/>
        <v>40</v>
      </c>
      <c r="H624" s="88">
        <f t="shared" si="124"/>
        <v>74.583333333333329</v>
      </c>
      <c r="I624" s="88">
        <f t="shared" si="124"/>
        <v>0</v>
      </c>
      <c r="J624" s="88">
        <f t="shared" si="124"/>
        <v>100</v>
      </c>
      <c r="K624" s="88">
        <f t="shared" si="124"/>
        <v>300</v>
      </c>
      <c r="L624" s="88">
        <f t="shared" si="124"/>
        <v>1216.5</v>
      </c>
      <c r="M624" s="86"/>
      <c r="N624" s="88">
        <f t="shared" ref="N624:T624" si="125">AVERAGE(N144:N155)</f>
        <v>72.5</v>
      </c>
      <c r="O624" s="89">
        <f t="shared" si="125"/>
        <v>240</v>
      </c>
      <c r="P624" s="89">
        <f t="shared" si="125"/>
        <v>110</v>
      </c>
      <c r="Q624" s="89">
        <f t="shared" si="125"/>
        <v>245</v>
      </c>
      <c r="R624" s="89">
        <f t="shared" si="125"/>
        <v>100</v>
      </c>
      <c r="S624" s="88">
        <f t="shared" si="125"/>
        <v>695</v>
      </c>
      <c r="T624" s="88">
        <f t="shared" si="125"/>
        <v>33.333333333333336</v>
      </c>
      <c r="U624" s="83"/>
      <c r="V624" s="83"/>
      <c r="W624" s="83"/>
      <c r="X624" s="83"/>
      <c r="Y624" s="83"/>
      <c r="Z624" s="83"/>
      <c r="AA624" s="83"/>
      <c r="AB624" s="83"/>
      <c r="AC624" s="83"/>
      <c r="AD624" s="83"/>
    </row>
    <row r="625" spans="1:30" ht="15.75" x14ac:dyDescent="0.25">
      <c r="A625" s="11">
        <v>2024</v>
      </c>
      <c r="B625" s="11"/>
      <c r="C625" s="88">
        <f t="shared" ref="C625:L625" si="126">AVERAGE(C156:C167)</f>
        <v>154.75825</v>
      </c>
      <c r="D625" s="88">
        <f t="shared" si="126"/>
        <v>281.0162499999999</v>
      </c>
      <c r="E625" s="88">
        <f t="shared" si="126"/>
        <v>109.1005</v>
      </c>
      <c r="F625" s="88">
        <f t="shared" si="126"/>
        <v>157.04166666666663</v>
      </c>
      <c r="G625" s="88">
        <f t="shared" si="126"/>
        <v>40</v>
      </c>
      <c r="H625" s="88">
        <f t="shared" si="126"/>
        <v>74.583333333333329</v>
      </c>
      <c r="I625" s="88">
        <f t="shared" si="126"/>
        <v>0</v>
      </c>
      <c r="J625" s="88">
        <f t="shared" si="126"/>
        <v>100</v>
      </c>
      <c r="K625" s="88">
        <f t="shared" si="126"/>
        <v>300</v>
      </c>
      <c r="L625" s="88">
        <f t="shared" si="126"/>
        <v>1216.5</v>
      </c>
      <c r="M625" s="86"/>
      <c r="N625" s="88">
        <f t="shared" ref="N625:T625" si="127">AVERAGE(N156:N167)</f>
        <v>72.5</v>
      </c>
      <c r="O625" s="89">
        <f t="shared" si="127"/>
        <v>240</v>
      </c>
      <c r="P625" s="89">
        <f t="shared" si="127"/>
        <v>110</v>
      </c>
      <c r="Q625" s="89">
        <f t="shared" si="127"/>
        <v>245</v>
      </c>
      <c r="R625" s="89">
        <f t="shared" si="127"/>
        <v>100</v>
      </c>
      <c r="S625" s="88">
        <f t="shared" si="127"/>
        <v>695</v>
      </c>
      <c r="T625" s="88">
        <f t="shared" si="127"/>
        <v>33.333333333333336</v>
      </c>
      <c r="U625" s="83"/>
      <c r="V625" s="83"/>
      <c r="W625" s="83"/>
      <c r="X625" s="83"/>
      <c r="Y625" s="83"/>
      <c r="Z625" s="83"/>
      <c r="AA625" s="83"/>
      <c r="AB625" s="83"/>
      <c r="AC625" s="83"/>
      <c r="AD625" s="83"/>
    </row>
    <row r="626" spans="1:30" ht="15.75" x14ac:dyDescent="0.25">
      <c r="A626" s="11">
        <v>2025</v>
      </c>
      <c r="B626" s="11"/>
      <c r="C626" s="88">
        <f t="shared" ref="C626:L626" si="128">AVERAGE(C168:C179)</f>
        <v>154.75825</v>
      </c>
      <c r="D626" s="88">
        <f t="shared" si="128"/>
        <v>281.0162499999999</v>
      </c>
      <c r="E626" s="88">
        <f t="shared" si="128"/>
        <v>109.1005</v>
      </c>
      <c r="F626" s="88">
        <f t="shared" si="128"/>
        <v>157.04166666666663</v>
      </c>
      <c r="G626" s="88">
        <f t="shared" si="128"/>
        <v>40</v>
      </c>
      <c r="H626" s="88">
        <f t="shared" si="128"/>
        <v>74.583333333333329</v>
      </c>
      <c r="I626" s="88">
        <f t="shared" si="128"/>
        <v>0</v>
      </c>
      <c r="J626" s="88">
        <f t="shared" si="128"/>
        <v>100</v>
      </c>
      <c r="K626" s="88">
        <f t="shared" si="128"/>
        <v>300</v>
      </c>
      <c r="L626" s="88">
        <f t="shared" si="128"/>
        <v>1216.5</v>
      </c>
      <c r="M626" s="86"/>
      <c r="N626" s="88">
        <f t="shared" ref="N626:T626" si="129">AVERAGE(N168:N179)</f>
        <v>72.5</v>
      </c>
      <c r="O626" s="89">
        <f t="shared" si="129"/>
        <v>240</v>
      </c>
      <c r="P626" s="89">
        <f t="shared" si="129"/>
        <v>110</v>
      </c>
      <c r="Q626" s="89">
        <f t="shared" si="129"/>
        <v>245</v>
      </c>
      <c r="R626" s="89">
        <f t="shared" si="129"/>
        <v>100</v>
      </c>
      <c r="S626" s="88">
        <f t="shared" si="129"/>
        <v>695</v>
      </c>
      <c r="T626" s="88">
        <f t="shared" si="129"/>
        <v>33.333333333333336</v>
      </c>
      <c r="U626" s="83"/>
      <c r="V626" s="83"/>
      <c r="W626" s="83"/>
      <c r="X626" s="83"/>
      <c r="Y626" s="83"/>
      <c r="Z626" s="83"/>
      <c r="AA626" s="83"/>
      <c r="AB626" s="83"/>
      <c r="AC626" s="83"/>
      <c r="AD626" s="83"/>
    </row>
    <row r="627" spans="1:30" ht="15.75" x14ac:dyDescent="0.25">
      <c r="A627" s="11">
        <v>2026</v>
      </c>
      <c r="B627" s="11"/>
      <c r="C627" s="88">
        <f t="shared" ref="C627:L627" si="130">AVERAGE(C180:C191)</f>
        <v>154.75825</v>
      </c>
      <c r="D627" s="88">
        <f t="shared" si="130"/>
        <v>281.0162499999999</v>
      </c>
      <c r="E627" s="88">
        <f t="shared" si="130"/>
        <v>109.1005</v>
      </c>
      <c r="F627" s="88">
        <f t="shared" si="130"/>
        <v>157.04166666666663</v>
      </c>
      <c r="G627" s="88">
        <f t="shared" si="130"/>
        <v>40</v>
      </c>
      <c r="H627" s="88">
        <f t="shared" si="130"/>
        <v>74.583333333333329</v>
      </c>
      <c r="I627" s="88">
        <f t="shared" si="130"/>
        <v>0</v>
      </c>
      <c r="J627" s="88">
        <f t="shared" si="130"/>
        <v>100</v>
      </c>
      <c r="K627" s="88">
        <f t="shared" si="130"/>
        <v>300</v>
      </c>
      <c r="L627" s="88">
        <f t="shared" si="130"/>
        <v>1216.5</v>
      </c>
      <c r="M627" s="86"/>
      <c r="N627" s="88">
        <f t="shared" ref="N627:T627" si="131">AVERAGE(N180:N191)</f>
        <v>72.5</v>
      </c>
      <c r="O627" s="89">
        <f t="shared" si="131"/>
        <v>240</v>
      </c>
      <c r="P627" s="89">
        <f t="shared" si="131"/>
        <v>110</v>
      </c>
      <c r="Q627" s="89">
        <f t="shared" si="131"/>
        <v>245</v>
      </c>
      <c r="R627" s="89">
        <f t="shared" si="131"/>
        <v>100</v>
      </c>
      <c r="S627" s="88">
        <f t="shared" si="131"/>
        <v>695</v>
      </c>
      <c r="T627" s="88">
        <f t="shared" si="131"/>
        <v>33.333333333333336</v>
      </c>
      <c r="U627" s="83"/>
      <c r="V627" s="83"/>
      <c r="W627" s="83"/>
      <c r="X627" s="83"/>
      <c r="Y627" s="83"/>
      <c r="Z627" s="83"/>
      <c r="AA627" s="83"/>
      <c r="AB627" s="83"/>
      <c r="AC627" s="83"/>
      <c r="AD627" s="83"/>
    </row>
    <row r="628" spans="1:30" ht="15.75" x14ac:dyDescent="0.25">
      <c r="A628" s="11">
        <v>2027</v>
      </c>
      <c r="B628" s="11"/>
      <c r="C628" s="88">
        <f t="shared" ref="C628:L628" si="132">AVERAGE(C192:C203)</f>
        <v>154.75825</v>
      </c>
      <c r="D628" s="88">
        <f t="shared" si="132"/>
        <v>281.0162499999999</v>
      </c>
      <c r="E628" s="88">
        <f t="shared" si="132"/>
        <v>109.1005</v>
      </c>
      <c r="F628" s="88">
        <f t="shared" si="132"/>
        <v>157.04166666666663</v>
      </c>
      <c r="G628" s="88">
        <f t="shared" si="132"/>
        <v>40</v>
      </c>
      <c r="H628" s="88">
        <f t="shared" si="132"/>
        <v>74.583333333333329</v>
      </c>
      <c r="I628" s="88">
        <f t="shared" si="132"/>
        <v>0</v>
      </c>
      <c r="J628" s="88">
        <f t="shared" si="132"/>
        <v>100</v>
      </c>
      <c r="K628" s="88">
        <f t="shared" si="132"/>
        <v>300</v>
      </c>
      <c r="L628" s="88">
        <f t="shared" si="132"/>
        <v>1216.5</v>
      </c>
      <c r="M628" s="86"/>
      <c r="N628" s="88">
        <f t="shared" ref="N628:T628" si="133">AVERAGE(N192:N203)</f>
        <v>72.5</v>
      </c>
      <c r="O628" s="89">
        <f t="shared" si="133"/>
        <v>240</v>
      </c>
      <c r="P628" s="89">
        <f t="shared" si="133"/>
        <v>110</v>
      </c>
      <c r="Q628" s="89">
        <f t="shared" si="133"/>
        <v>245</v>
      </c>
      <c r="R628" s="89">
        <f t="shared" si="133"/>
        <v>100</v>
      </c>
      <c r="S628" s="88">
        <f t="shared" si="133"/>
        <v>695</v>
      </c>
      <c r="T628" s="88">
        <f t="shared" si="133"/>
        <v>33.333333333333336</v>
      </c>
      <c r="U628" s="83"/>
      <c r="V628" s="83"/>
      <c r="W628" s="83"/>
      <c r="X628" s="83"/>
      <c r="Y628" s="83"/>
      <c r="Z628" s="83"/>
      <c r="AA628" s="83"/>
      <c r="AB628" s="83"/>
      <c r="AC628" s="83"/>
      <c r="AD628" s="83"/>
    </row>
    <row r="629" spans="1:30" ht="15.75" x14ac:dyDescent="0.25">
      <c r="A629" s="11">
        <v>2028</v>
      </c>
      <c r="B629" s="11"/>
      <c r="C629" s="88">
        <f t="shared" ref="C629:L629" si="134">AVERAGE(C204:C215)</f>
        <v>154.75825</v>
      </c>
      <c r="D629" s="88">
        <f t="shared" si="134"/>
        <v>281.0162499999999</v>
      </c>
      <c r="E629" s="88">
        <f t="shared" si="134"/>
        <v>109.1005</v>
      </c>
      <c r="F629" s="88">
        <f t="shared" si="134"/>
        <v>157.04166666666663</v>
      </c>
      <c r="G629" s="88">
        <f t="shared" si="134"/>
        <v>40</v>
      </c>
      <c r="H629" s="88">
        <f t="shared" si="134"/>
        <v>74.583333333333329</v>
      </c>
      <c r="I629" s="88">
        <f t="shared" si="134"/>
        <v>0</v>
      </c>
      <c r="J629" s="88">
        <f t="shared" si="134"/>
        <v>100</v>
      </c>
      <c r="K629" s="88">
        <f t="shared" si="134"/>
        <v>300</v>
      </c>
      <c r="L629" s="88">
        <f t="shared" si="134"/>
        <v>1216.5</v>
      </c>
      <c r="M629" s="86"/>
      <c r="N629" s="88">
        <f t="shared" ref="N629:T629" si="135">AVERAGE(N204:N215)</f>
        <v>72.5</v>
      </c>
      <c r="O629" s="89">
        <f t="shared" si="135"/>
        <v>240</v>
      </c>
      <c r="P629" s="89">
        <f t="shared" si="135"/>
        <v>110</v>
      </c>
      <c r="Q629" s="89">
        <f t="shared" si="135"/>
        <v>245</v>
      </c>
      <c r="R629" s="89">
        <f t="shared" si="135"/>
        <v>100</v>
      </c>
      <c r="S629" s="88">
        <f t="shared" si="135"/>
        <v>695</v>
      </c>
      <c r="T629" s="88">
        <f t="shared" si="135"/>
        <v>33.333333333333336</v>
      </c>
      <c r="U629" s="83"/>
      <c r="V629" s="83"/>
      <c r="W629" s="83"/>
      <c r="X629" s="83"/>
      <c r="Y629" s="83"/>
      <c r="Z629" s="83"/>
      <c r="AA629" s="83"/>
      <c r="AB629" s="83"/>
      <c r="AC629" s="83"/>
      <c r="AD629" s="83"/>
    </row>
    <row r="630" spans="1:30" ht="15.75" x14ac:dyDescent="0.25">
      <c r="A630" s="11">
        <v>2029</v>
      </c>
      <c r="B630" s="11"/>
      <c r="C630" s="88">
        <f t="shared" ref="C630:L630" si="136">AVERAGE(C216:C227)</f>
        <v>154.75825</v>
      </c>
      <c r="D630" s="88">
        <f t="shared" si="136"/>
        <v>281.0162499999999</v>
      </c>
      <c r="E630" s="88">
        <f t="shared" si="136"/>
        <v>109.1005</v>
      </c>
      <c r="F630" s="88">
        <f t="shared" si="136"/>
        <v>157.04166666666663</v>
      </c>
      <c r="G630" s="88">
        <f t="shared" si="136"/>
        <v>40</v>
      </c>
      <c r="H630" s="88">
        <f t="shared" si="136"/>
        <v>74.583333333333329</v>
      </c>
      <c r="I630" s="88">
        <f t="shared" si="136"/>
        <v>0</v>
      </c>
      <c r="J630" s="88">
        <f t="shared" si="136"/>
        <v>100</v>
      </c>
      <c r="K630" s="88">
        <f t="shared" si="136"/>
        <v>300</v>
      </c>
      <c r="L630" s="88">
        <f t="shared" si="136"/>
        <v>1216.5</v>
      </c>
      <c r="M630" s="86"/>
      <c r="N630" s="88">
        <f t="shared" ref="N630:T630" si="137">AVERAGE(N216:N227)</f>
        <v>72.5</v>
      </c>
      <c r="O630" s="89">
        <f t="shared" si="137"/>
        <v>240</v>
      </c>
      <c r="P630" s="89">
        <f t="shared" si="137"/>
        <v>110</v>
      </c>
      <c r="Q630" s="89">
        <f t="shared" si="137"/>
        <v>245</v>
      </c>
      <c r="R630" s="89">
        <f t="shared" si="137"/>
        <v>100</v>
      </c>
      <c r="S630" s="88">
        <f t="shared" si="137"/>
        <v>695</v>
      </c>
      <c r="T630" s="88">
        <f t="shared" si="137"/>
        <v>33.333333333333336</v>
      </c>
      <c r="U630" s="83"/>
      <c r="V630" s="83"/>
      <c r="W630" s="83"/>
      <c r="X630" s="83"/>
      <c r="Y630" s="83"/>
      <c r="Z630" s="83"/>
      <c r="AA630" s="83"/>
      <c r="AB630" s="83"/>
      <c r="AC630" s="83"/>
      <c r="AD630" s="83"/>
    </row>
    <row r="631" spans="1:30" ht="15.75" x14ac:dyDescent="0.25">
      <c r="A631" s="11">
        <v>2030</v>
      </c>
      <c r="B631" s="11"/>
      <c r="C631" s="88">
        <f t="shared" ref="C631:L631" si="138">AVERAGE(C228:C239)</f>
        <v>154.75825</v>
      </c>
      <c r="D631" s="88">
        <f t="shared" si="138"/>
        <v>281.0162499999999</v>
      </c>
      <c r="E631" s="88">
        <f t="shared" si="138"/>
        <v>109.1005</v>
      </c>
      <c r="F631" s="88">
        <f t="shared" si="138"/>
        <v>157.04166666666663</v>
      </c>
      <c r="G631" s="88">
        <f t="shared" si="138"/>
        <v>40</v>
      </c>
      <c r="H631" s="88">
        <f t="shared" si="138"/>
        <v>74.583333333333329</v>
      </c>
      <c r="I631" s="88">
        <f t="shared" si="138"/>
        <v>0</v>
      </c>
      <c r="J631" s="88">
        <f t="shared" si="138"/>
        <v>100</v>
      </c>
      <c r="K631" s="88">
        <f t="shared" si="138"/>
        <v>300</v>
      </c>
      <c r="L631" s="88">
        <f t="shared" si="138"/>
        <v>1216.5</v>
      </c>
      <c r="M631" s="86"/>
      <c r="N631" s="88">
        <f t="shared" ref="N631:T631" si="139">AVERAGE(N228:N239)</f>
        <v>72.5</v>
      </c>
      <c r="O631" s="89">
        <f t="shared" si="139"/>
        <v>240</v>
      </c>
      <c r="P631" s="89">
        <f t="shared" si="139"/>
        <v>110</v>
      </c>
      <c r="Q631" s="89">
        <f t="shared" si="139"/>
        <v>245</v>
      </c>
      <c r="R631" s="89">
        <f t="shared" si="139"/>
        <v>100</v>
      </c>
      <c r="S631" s="88">
        <f t="shared" si="139"/>
        <v>695</v>
      </c>
      <c r="T631" s="88">
        <f t="shared" si="139"/>
        <v>33.333333333333336</v>
      </c>
      <c r="U631" s="83"/>
      <c r="V631" s="83"/>
      <c r="W631" s="83"/>
      <c r="X631" s="83"/>
      <c r="Y631" s="83"/>
      <c r="Z631" s="83"/>
      <c r="AA631" s="83"/>
      <c r="AB631" s="83"/>
      <c r="AC631" s="83"/>
      <c r="AD631" s="83"/>
    </row>
    <row r="632" spans="1:30" ht="15.75" x14ac:dyDescent="0.25">
      <c r="A632" s="11">
        <v>2031</v>
      </c>
      <c r="B632" s="11"/>
      <c r="C632" s="88">
        <f t="shared" ref="C632:L632" si="140">AVERAGE(C240:C251)</f>
        <v>154.75825</v>
      </c>
      <c r="D632" s="88">
        <f t="shared" si="140"/>
        <v>281.0162499999999</v>
      </c>
      <c r="E632" s="88">
        <f t="shared" si="140"/>
        <v>109.1005</v>
      </c>
      <c r="F632" s="88">
        <f t="shared" si="140"/>
        <v>157.04166666666663</v>
      </c>
      <c r="G632" s="88">
        <f t="shared" si="140"/>
        <v>40</v>
      </c>
      <c r="H632" s="88">
        <f t="shared" si="140"/>
        <v>74.583333333333329</v>
      </c>
      <c r="I632" s="88">
        <f t="shared" si="140"/>
        <v>0</v>
      </c>
      <c r="J632" s="88">
        <f t="shared" si="140"/>
        <v>100</v>
      </c>
      <c r="K632" s="88">
        <f t="shared" si="140"/>
        <v>300</v>
      </c>
      <c r="L632" s="88">
        <f t="shared" si="140"/>
        <v>1216.5</v>
      </c>
      <c r="M632" s="86"/>
      <c r="N632" s="88">
        <f t="shared" ref="N632:T632" si="141">AVERAGE(N240:N251)</f>
        <v>72.5</v>
      </c>
      <c r="O632" s="89">
        <f t="shared" si="141"/>
        <v>240</v>
      </c>
      <c r="P632" s="89">
        <f t="shared" si="141"/>
        <v>110</v>
      </c>
      <c r="Q632" s="89">
        <f t="shared" si="141"/>
        <v>245</v>
      </c>
      <c r="R632" s="89">
        <f t="shared" si="141"/>
        <v>100</v>
      </c>
      <c r="S632" s="88">
        <f t="shared" si="141"/>
        <v>695</v>
      </c>
      <c r="T632" s="88">
        <f t="shared" si="141"/>
        <v>33.333333333333336</v>
      </c>
      <c r="U632" s="83"/>
      <c r="V632" s="83"/>
      <c r="W632" s="83"/>
      <c r="X632" s="83"/>
      <c r="Y632" s="83"/>
      <c r="Z632" s="83"/>
      <c r="AA632" s="83"/>
      <c r="AB632" s="83"/>
      <c r="AC632" s="83"/>
      <c r="AD632" s="83"/>
    </row>
    <row r="633" spans="1:30" ht="15.75" x14ac:dyDescent="0.25">
      <c r="A633" s="11">
        <v>2032</v>
      </c>
      <c r="B633" s="11"/>
      <c r="C633" s="88">
        <f t="shared" ref="C633:L633" si="142">AVERAGE(C252:C263)</f>
        <v>154.75825</v>
      </c>
      <c r="D633" s="88">
        <f t="shared" si="142"/>
        <v>281.0162499999999</v>
      </c>
      <c r="E633" s="88">
        <f t="shared" si="142"/>
        <v>109.1005</v>
      </c>
      <c r="F633" s="88">
        <f t="shared" si="142"/>
        <v>157.04166666666663</v>
      </c>
      <c r="G633" s="88">
        <f t="shared" si="142"/>
        <v>40</v>
      </c>
      <c r="H633" s="88">
        <f t="shared" si="142"/>
        <v>74.583333333333329</v>
      </c>
      <c r="I633" s="88">
        <f t="shared" si="142"/>
        <v>0</v>
      </c>
      <c r="J633" s="88">
        <f t="shared" si="142"/>
        <v>100</v>
      </c>
      <c r="K633" s="88">
        <f t="shared" si="142"/>
        <v>300</v>
      </c>
      <c r="L633" s="88">
        <f t="shared" si="142"/>
        <v>1216.5</v>
      </c>
      <c r="M633" s="90"/>
      <c r="N633" s="88">
        <f t="shared" ref="N633:T633" si="143">AVERAGE(N252:N263)</f>
        <v>72.5</v>
      </c>
      <c r="O633" s="89">
        <f t="shared" si="143"/>
        <v>240</v>
      </c>
      <c r="P633" s="89">
        <f t="shared" si="143"/>
        <v>110</v>
      </c>
      <c r="Q633" s="89">
        <f t="shared" si="143"/>
        <v>245</v>
      </c>
      <c r="R633" s="89">
        <f t="shared" si="143"/>
        <v>100</v>
      </c>
      <c r="S633" s="88">
        <f t="shared" si="143"/>
        <v>695</v>
      </c>
      <c r="T633" s="88">
        <f t="shared" si="143"/>
        <v>33.333333333333336</v>
      </c>
      <c r="U633" s="83"/>
      <c r="V633" s="83"/>
      <c r="W633" s="83"/>
      <c r="X633" s="83"/>
      <c r="Y633" s="83"/>
      <c r="Z633" s="83"/>
      <c r="AA633" s="83"/>
      <c r="AB633" s="83"/>
      <c r="AC633" s="83"/>
      <c r="AD633" s="83"/>
    </row>
    <row r="634" spans="1:30" ht="15.75" x14ac:dyDescent="0.25">
      <c r="A634" s="11">
        <v>2033</v>
      </c>
      <c r="B634" s="11"/>
      <c r="C634" s="88">
        <f t="shared" ref="C634:L634" si="144">AVERAGE(C264:C275)</f>
        <v>154.75825</v>
      </c>
      <c r="D634" s="88">
        <f t="shared" si="144"/>
        <v>281.0162499999999</v>
      </c>
      <c r="E634" s="88">
        <f t="shared" si="144"/>
        <v>109.1005</v>
      </c>
      <c r="F634" s="88">
        <f t="shared" si="144"/>
        <v>157.04166666666663</v>
      </c>
      <c r="G634" s="88">
        <f t="shared" si="144"/>
        <v>40</v>
      </c>
      <c r="H634" s="88">
        <f t="shared" si="144"/>
        <v>74.583333333333329</v>
      </c>
      <c r="I634" s="88">
        <f t="shared" si="144"/>
        <v>0</v>
      </c>
      <c r="J634" s="88">
        <f t="shared" si="144"/>
        <v>100</v>
      </c>
      <c r="K634" s="88">
        <f t="shared" si="144"/>
        <v>300</v>
      </c>
      <c r="L634" s="88">
        <f t="shared" si="144"/>
        <v>1216.5</v>
      </c>
      <c r="M634" s="86"/>
      <c r="N634" s="88">
        <f t="shared" ref="N634:T634" si="145">AVERAGE(N264:N275)</f>
        <v>72.5</v>
      </c>
      <c r="O634" s="89">
        <f t="shared" si="145"/>
        <v>240</v>
      </c>
      <c r="P634" s="89">
        <f t="shared" si="145"/>
        <v>110</v>
      </c>
      <c r="Q634" s="89">
        <f t="shared" si="145"/>
        <v>245</v>
      </c>
      <c r="R634" s="89">
        <f t="shared" si="145"/>
        <v>100</v>
      </c>
      <c r="S634" s="88">
        <f t="shared" si="145"/>
        <v>695</v>
      </c>
      <c r="T634" s="88">
        <f t="shared" si="145"/>
        <v>33.333333333333336</v>
      </c>
      <c r="U634" s="83"/>
      <c r="V634" s="83"/>
      <c r="W634" s="83"/>
      <c r="X634" s="83"/>
      <c r="Y634" s="83"/>
      <c r="Z634" s="83"/>
      <c r="AA634" s="83"/>
      <c r="AB634" s="83"/>
      <c r="AC634" s="83"/>
      <c r="AD634" s="83"/>
    </row>
    <row r="635" spans="1:30" ht="15.75" x14ac:dyDescent="0.25">
      <c r="A635" s="11">
        <v>2034</v>
      </c>
      <c r="B635" s="11"/>
      <c r="C635" s="88">
        <f t="shared" ref="C635:L635" si="146">AVERAGE(C276:C287)</f>
        <v>154.75825</v>
      </c>
      <c r="D635" s="88">
        <f t="shared" si="146"/>
        <v>281.0162499999999</v>
      </c>
      <c r="E635" s="88">
        <f t="shared" si="146"/>
        <v>109.1005</v>
      </c>
      <c r="F635" s="88">
        <f t="shared" si="146"/>
        <v>157.04166666666663</v>
      </c>
      <c r="G635" s="88">
        <f t="shared" si="146"/>
        <v>40</v>
      </c>
      <c r="H635" s="88">
        <f t="shared" si="146"/>
        <v>74.583333333333329</v>
      </c>
      <c r="I635" s="88">
        <f t="shared" si="146"/>
        <v>0</v>
      </c>
      <c r="J635" s="88">
        <f t="shared" si="146"/>
        <v>100</v>
      </c>
      <c r="K635" s="88">
        <f t="shared" si="146"/>
        <v>300</v>
      </c>
      <c r="L635" s="88">
        <f t="shared" si="146"/>
        <v>1216.5</v>
      </c>
      <c r="M635" s="86"/>
      <c r="N635" s="88">
        <f t="shared" ref="N635:T635" si="147">AVERAGE(N276:N287)</f>
        <v>72.5</v>
      </c>
      <c r="O635" s="89">
        <f t="shared" si="147"/>
        <v>240</v>
      </c>
      <c r="P635" s="89">
        <f t="shared" si="147"/>
        <v>110</v>
      </c>
      <c r="Q635" s="89">
        <f t="shared" si="147"/>
        <v>245</v>
      </c>
      <c r="R635" s="89">
        <f t="shared" si="147"/>
        <v>100</v>
      </c>
      <c r="S635" s="88">
        <f t="shared" si="147"/>
        <v>695</v>
      </c>
      <c r="T635" s="88">
        <f t="shared" si="147"/>
        <v>33.333333333333336</v>
      </c>
      <c r="U635" s="83"/>
      <c r="V635" s="83"/>
      <c r="W635" s="83"/>
      <c r="X635" s="83"/>
      <c r="Y635" s="83"/>
      <c r="Z635" s="83"/>
      <c r="AA635" s="83"/>
      <c r="AB635" s="83"/>
      <c r="AC635" s="83"/>
      <c r="AD635" s="83"/>
    </row>
    <row r="636" spans="1:30" ht="15.75" x14ac:dyDescent="0.25">
      <c r="A636" s="11">
        <v>2035</v>
      </c>
      <c r="B636" s="11"/>
      <c r="C636" s="88">
        <f t="shared" ref="C636:L636" si="148">AVERAGE(C288:C299)</f>
        <v>154.75825</v>
      </c>
      <c r="D636" s="88">
        <f t="shared" si="148"/>
        <v>281.0162499999999</v>
      </c>
      <c r="E636" s="88">
        <f t="shared" si="148"/>
        <v>109.1005</v>
      </c>
      <c r="F636" s="88">
        <f t="shared" si="148"/>
        <v>157.04166666666663</v>
      </c>
      <c r="G636" s="88">
        <f t="shared" si="148"/>
        <v>40</v>
      </c>
      <c r="H636" s="88">
        <f t="shared" si="148"/>
        <v>74.583333333333329</v>
      </c>
      <c r="I636" s="88">
        <f t="shared" si="148"/>
        <v>0</v>
      </c>
      <c r="J636" s="88">
        <f t="shared" si="148"/>
        <v>100</v>
      </c>
      <c r="K636" s="88">
        <f t="shared" si="148"/>
        <v>300</v>
      </c>
      <c r="L636" s="88">
        <f t="shared" si="148"/>
        <v>1216.5</v>
      </c>
      <c r="M636" s="86"/>
      <c r="N636" s="88">
        <f t="shared" ref="N636:T636" si="149">AVERAGE(N288:N299)</f>
        <v>72.5</v>
      </c>
      <c r="O636" s="89">
        <f t="shared" si="149"/>
        <v>240</v>
      </c>
      <c r="P636" s="89">
        <f t="shared" si="149"/>
        <v>110</v>
      </c>
      <c r="Q636" s="89">
        <f t="shared" si="149"/>
        <v>245</v>
      </c>
      <c r="R636" s="89">
        <f t="shared" si="149"/>
        <v>100</v>
      </c>
      <c r="S636" s="88">
        <f t="shared" si="149"/>
        <v>695</v>
      </c>
      <c r="T636" s="88">
        <f t="shared" si="149"/>
        <v>33.333333333333336</v>
      </c>
      <c r="U636" s="83"/>
      <c r="V636" s="83"/>
      <c r="W636" s="83"/>
      <c r="X636" s="83"/>
      <c r="Y636" s="83"/>
      <c r="Z636" s="83"/>
      <c r="AA636" s="83"/>
      <c r="AB636" s="83"/>
      <c r="AC636" s="83"/>
      <c r="AD636" s="83"/>
    </row>
    <row r="637" spans="1:30" ht="15.75" x14ac:dyDescent="0.25">
      <c r="A637" s="11">
        <v>2036</v>
      </c>
      <c r="B637" s="11"/>
      <c r="C637" s="88">
        <f t="shared" ref="C637:L637" si="150">AVERAGE(C300:C311)</f>
        <v>154.75825</v>
      </c>
      <c r="D637" s="88">
        <f t="shared" si="150"/>
        <v>281.0162499999999</v>
      </c>
      <c r="E637" s="88">
        <f t="shared" si="150"/>
        <v>109.1005</v>
      </c>
      <c r="F637" s="88">
        <f t="shared" si="150"/>
        <v>157.04166666666663</v>
      </c>
      <c r="G637" s="88">
        <f t="shared" si="150"/>
        <v>40</v>
      </c>
      <c r="H637" s="88">
        <f t="shared" si="150"/>
        <v>74.583333333333329</v>
      </c>
      <c r="I637" s="88">
        <f t="shared" si="150"/>
        <v>0</v>
      </c>
      <c r="J637" s="88">
        <f t="shared" si="150"/>
        <v>100</v>
      </c>
      <c r="K637" s="88">
        <f t="shared" si="150"/>
        <v>300</v>
      </c>
      <c r="L637" s="88">
        <f t="shared" si="150"/>
        <v>1216.5</v>
      </c>
      <c r="M637" s="86"/>
      <c r="N637" s="88">
        <f t="shared" ref="N637:T637" si="151">AVERAGE(N300:N311)</f>
        <v>72.5</v>
      </c>
      <c r="O637" s="89">
        <f t="shared" si="151"/>
        <v>240</v>
      </c>
      <c r="P637" s="89">
        <f t="shared" si="151"/>
        <v>110</v>
      </c>
      <c r="Q637" s="89">
        <f t="shared" si="151"/>
        <v>245</v>
      </c>
      <c r="R637" s="89">
        <f t="shared" si="151"/>
        <v>100</v>
      </c>
      <c r="S637" s="88">
        <f t="shared" si="151"/>
        <v>695</v>
      </c>
      <c r="T637" s="88">
        <f t="shared" si="151"/>
        <v>33.333333333333336</v>
      </c>
      <c r="U637" s="83"/>
      <c r="V637" s="83"/>
      <c r="W637" s="83"/>
      <c r="X637" s="83"/>
      <c r="Y637" s="83"/>
      <c r="Z637" s="83"/>
      <c r="AA637" s="83"/>
      <c r="AB637" s="83"/>
      <c r="AC637" s="83"/>
      <c r="AD637" s="83"/>
    </row>
    <row r="638" spans="1:30" ht="15.75" x14ac:dyDescent="0.25">
      <c r="A638" s="11">
        <v>2037</v>
      </c>
      <c r="B638" s="11"/>
      <c r="C638" s="88">
        <f t="shared" ref="C638:L638" si="152">AVERAGE(C312:C323)</f>
        <v>154.75825</v>
      </c>
      <c r="D638" s="88">
        <f t="shared" si="152"/>
        <v>281.0162499999999</v>
      </c>
      <c r="E638" s="88">
        <f t="shared" si="152"/>
        <v>109.1005</v>
      </c>
      <c r="F638" s="88">
        <f t="shared" si="152"/>
        <v>157.04166666666663</v>
      </c>
      <c r="G638" s="88">
        <f t="shared" si="152"/>
        <v>40</v>
      </c>
      <c r="H638" s="88">
        <f t="shared" si="152"/>
        <v>74.583333333333329</v>
      </c>
      <c r="I638" s="88">
        <f t="shared" si="152"/>
        <v>0</v>
      </c>
      <c r="J638" s="88">
        <f t="shared" si="152"/>
        <v>100</v>
      </c>
      <c r="K638" s="88">
        <f t="shared" si="152"/>
        <v>300</v>
      </c>
      <c r="L638" s="88">
        <f t="shared" si="152"/>
        <v>1216.5</v>
      </c>
      <c r="M638" s="86"/>
      <c r="N638" s="88">
        <f t="shared" ref="N638:T638" si="153">AVERAGE(N312:N323)</f>
        <v>72.5</v>
      </c>
      <c r="O638" s="89">
        <f t="shared" si="153"/>
        <v>240</v>
      </c>
      <c r="P638" s="89">
        <f t="shared" si="153"/>
        <v>110</v>
      </c>
      <c r="Q638" s="89">
        <f t="shared" si="153"/>
        <v>245</v>
      </c>
      <c r="R638" s="89">
        <f t="shared" si="153"/>
        <v>100</v>
      </c>
      <c r="S638" s="88">
        <f t="shared" si="153"/>
        <v>695</v>
      </c>
      <c r="T638" s="88">
        <f t="shared" si="153"/>
        <v>33.333333333333336</v>
      </c>
      <c r="U638" s="83"/>
      <c r="V638" s="83"/>
      <c r="W638" s="83"/>
      <c r="X638" s="83"/>
      <c r="Y638" s="83"/>
      <c r="Z638" s="83"/>
      <c r="AA638" s="83"/>
      <c r="AB638" s="83"/>
      <c r="AC638" s="83"/>
      <c r="AD638" s="83"/>
    </row>
    <row r="639" spans="1:30" ht="15.75" x14ac:dyDescent="0.25">
      <c r="A639" s="11">
        <f t="shared" ref="A639:A662" si="154">A638+1</f>
        <v>2038</v>
      </c>
      <c r="B639" s="11"/>
      <c r="C639" s="85">
        <f t="shared" ref="C639:L639" si="155">AVERAGE(C324:C335)</f>
        <v>154.75825</v>
      </c>
      <c r="D639" s="85">
        <f t="shared" si="155"/>
        <v>281.0162499999999</v>
      </c>
      <c r="E639" s="85">
        <f t="shared" si="155"/>
        <v>109.1005</v>
      </c>
      <c r="F639" s="85">
        <f t="shared" si="155"/>
        <v>157.04166666666663</v>
      </c>
      <c r="G639" s="85">
        <f t="shared" si="155"/>
        <v>40</v>
      </c>
      <c r="H639" s="85">
        <f t="shared" si="155"/>
        <v>74.583333333333329</v>
      </c>
      <c r="I639" s="85">
        <f t="shared" si="155"/>
        <v>0</v>
      </c>
      <c r="J639" s="85">
        <f t="shared" si="155"/>
        <v>100</v>
      </c>
      <c r="K639" s="85">
        <f t="shared" si="155"/>
        <v>300</v>
      </c>
      <c r="L639" s="85">
        <f t="shared" si="155"/>
        <v>1216.5</v>
      </c>
      <c r="M639" s="86"/>
      <c r="N639" s="85">
        <f t="shared" ref="N639:T639" si="156">AVERAGE(N324:N335)</f>
        <v>72.5</v>
      </c>
      <c r="O639" s="87">
        <f t="shared" si="156"/>
        <v>240</v>
      </c>
      <c r="P639" s="87">
        <f t="shared" si="156"/>
        <v>110</v>
      </c>
      <c r="Q639" s="87">
        <f t="shared" si="156"/>
        <v>245</v>
      </c>
      <c r="R639" s="87">
        <f t="shared" si="156"/>
        <v>100</v>
      </c>
      <c r="S639" s="85">
        <f t="shared" si="156"/>
        <v>695</v>
      </c>
      <c r="T639" s="85">
        <f t="shared" si="156"/>
        <v>33.333333333333336</v>
      </c>
      <c r="U639" s="83"/>
      <c r="V639" s="83"/>
      <c r="W639" s="83"/>
      <c r="X639" s="83"/>
      <c r="Y639" s="83"/>
      <c r="Z639" s="83"/>
      <c r="AA639" s="83"/>
      <c r="AB639" s="83"/>
      <c r="AC639" s="83"/>
      <c r="AD639" s="83"/>
    </row>
    <row r="640" spans="1:30" ht="15.75" x14ac:dyDescent="0.25">
      <c r="A640" s="11">
        <f t="shared" si="154"/>
        <v>2039</v>
      </c>
      <c r="B640" s="11"/>
      <c r="C640" s="85">
        <f t="shared" ref="C640:L640" si="157">AVERAGE(C336:C347)</f>
        <v>154.75825</v>
      </c>
      <c r="D640" s="85">
        <f t="shared" si="157"/>
        <v>281.0162499999999</v>
      </c>
      <c r="E640" s="85">
        <f t="shared" si="157"/>
        <v>109.1005</v>
      </c>
      <c r="F640" s="85">
        <f t="shared" si="157"/>
        <v>157.04166666666663</v>
      </c>
      <c r="G640" s="85">
        <f t="shared" si="157"/>
        <v>40</v>
      </c>
      <c r="H640" s="85">
        <f t="shared" si="157"/>
        <v>74.583333333333329</v>
      </c>
      <c r="I640" s="85">
        <f t="shared" si="157"/>
        <v>0</v>
      </c>
      <c r="J640" s="85">
        <f t="shared" si="157"/>
        <v>100</v>
      </c>
      <c r="K640" s="85">
        <f t="shared" si="157"/>
        <v>300</v>
      </c>
      <c r="L640" s="85">
        <f t="shared" si="157"/>
        <v>1216.5</v>
      </c>
      <c r="M640" s="86"/>
      <c r="N640" s="85">
        <f t="shared" ref="N640:T640" si="158">AVERAGE(N336:N347)</f>
        <v>72.5</v>
      </c>
      <c r="O640" s="87">
        <f t="shared" si="158"/>
        <v>240</v>
      </c>
      <c r="P640" s="87">
        <f t="shared" si="158"/>
        <v>110</v>
      </c>
      <c r="Q640" s="87">
        <f t="shared" si="158"/>
        <v>245</v>
      </c>
      <c r="R640" s="87">
        <f t="shared" si="158"/>
        <v>100</v>
      </c>
      <c r="S640" s="85">
        <f t="shared" si="158"/>
        <v>695</v>
      </c>
      <c r="T640" s="85">
        <f t="shared" si="158"/>
        <v>33.333333333333336</v>
      </c>
      <c r="U640" s="83"/>
      <c r="V640" s="83"/>
      <c r="W640" s="83"/>
      <c r="X640" s="83"/>
      <c r="Y640" s="83"/>
      <c r="Z640" s="83"/>
      <c r="AA640" s="83"/>
      <c r="AB640" s="83"/>
      <c r="AC640" s="83"/>
      <c r="AD640" s="83"/>
    </row>
    <row r="641" spans="1:30" ht="15.75" x14ac:dyDescent="0.25">
      <c r="A641" s="11">
        <f t="shared" si="154"/>
        <v>2040</v>
      </c>
      <c r="B641" s="11"/>
      <c r="C641" s="85">
        <f t="shared" ref="C641:L641" si="159">AVERAGE(C348:C359)</f>
        <v>154.75825</v>
      </c>
      <c r="D641" s="85">
        <f t="shared" si="159"/>
        <v>281.0162499999999</v>
      </c>
      <c r="E641" s="85">
        <f t="shared" si="159"/>
        <v>109.1005</v>
      </c>
      <c r="F641" s="85">
        <f t="shared" si="159"/>
        <v>157.04166666666663</v>
      </c>
      <c r="G641" s="85">
        <f t="shared" si="159"/>
        <v>40</v>
      </c>
      <c r="H641" s="85">
        <f t="shared" si="159"/>
        <v>74.583333333333329</v>
      </c>
      <c r="I641" s="85">
        <f t="shared" si="159"/>
        <v>0</v>
      </c>
      <c r="J641" s="85">
        <f t="shared" si="159"/>
        <v>100</v>
      </c>
      <c r="K641" s="85">
        <f t="shared" si="159"/>
        <v>300</v>
      </c>
      <c r="L641" s="85">
        <f t="shared" si="159"/>
        <v>1216.5</v>
      </c>
      <c r="M641" s="86"/>
      <c r="N641" s="85">
        <f t="shared" ref="N641:T641" si="160">AVERAGE(N348:N359)</f>
        <v>72.5</v>
      </c>
      <c r="O641" s="87">
        <f t="shared" si="160"/>
        <v>240</v>
      </c>
      <c r="P641" s="87">
        <f t="shared" si="160"/>
        <v>110</v>
      </c>
      <c r="Q641" s="87">
        <f t="shared" si="160"/>
        <v>245</v>
      </c>
      <c r="R641" s="87">
        <f t="shared" si="160"/>
        <v>100</v>
      </c>
      <c r="S641" s="85">
        <f t="shared" si="160"/>
        <v>695</v>
      </c>
      <c r="T641" s="85">
        <f t="shared" si="160"/>
        <v>33.333333333333336</v>
      </c>
      <c r="U641" s="83"/>
      <c r="V641" s="83"/>
      <c r="W641" s="83"/>
      <c r="X641" s="83"/>
      <c r="Y641" s="83"/>
      <c r="Z641" s="83"/>
      <c r="AA641" s="83"/>
      <c r="AB641" s="83"/>
      <c r="AC641" s="83"/>
      <c r="AD641" s="83"/>
    </row>
    <row r="642" spans="1:30" ht="15.75" x14ac:dyDescent="0.25">
      <c r="A642" s="11">
        <f t="shared" si="154"/>
        <v>2041</v>
      </c>
      <c r="B642" s="11"/>
      <c r="C642" s="85">
        <f t="shared" ref="C642:L642" si="161">AVERAGE(C360:C371)</f>
        <v>154.75825</v>
      </c>
      <c r="D642" s="85">
        <f t="shared" si="161"/>
        <v>281.0162499999999</v>
      </c>
      <c r="E642" s="85">
        <f t="shared" si="161"/>
        <v>109.1005</v>
      </c>
      <c r="F642" s="85">
        <f t="shared" si="161"/>
        <v>157.04166666666663</v>
      </c>
      <c r="G642" s="85">
        <f t="shared" si="161"/>
        <v>40</v>
      </c>
      <c r="H642" s="85">
        <f t="shared" si="161"/>
        <v>74.583333333333329</v>
      </c>
      <c r="I642" s="85">
        <f t="shared" si="161"/>
        <v>0</v>
      </c>
      <c r="J642" s="85">
        <f t="shared" si="161"/>
        <v>100</v>
      </c>
      <c r="K642" s="85">
        <f t="shared" si="161"/>
        <v>300</v>
      </c>
      <c r="L642" s="85">
        <f t="shared" si="161"/>
        <v>1216.5</v>
      </c>
      <c r="M642" s="86"/>
      <c r="N642" s="85">
        <f t="shared" ref="N642:T642" si="162">AVERAGE(N360:N371)</f>
        <v>72.5</v>
      </c>
      <c r="O642" s="87">
        <f t="shared" si="162"/>
        <v>240</v>
      </c>
      <c r="P642" s="87">
        <f t="shared" si="162"/>
        <v>110</v>
      </c>
      <c r="Q642" s="87">
        <f t="shared" si="162"/>
        <v>245</v>
      </c>
      <c r="R642" s="87">
        <f t="shared" si="162"/>
        <v>100</v>
      </c>
      <c r="S642" s="85">
        <f t="shared" si="162"/>
        <v>695</v>
      </c>
      <c r="T642" s="85">
        <f t="shared" si="162"/>
        <v>33.333333333333336</v>
      </c>
      <c r="U642" s="83"/>
      <c r="V642" s="83"/>
      <c r="W642" s="83"/>
      <c r="X642" s="83"/>
      <c r="Y642" s="83"/>
      <c r="Z642" s="83"/>
      <c r="AA642" s="83"/>
      <c r="AB642" s="83"/>
      <c r="AC642" s="83"/>
      <c r="AD642" s="83"/>
    </row>
    <row r="643" spans="1:30" ht="15.75" x14ac:dyDescent="0.25">
      <c r="A643" s="11">
        <f t="shared" si="154"/>
        <v>2042</v>
      </c>
      <c r="B643" s="11"/>
      <c r="C643" s="85">
        <f t="shared" ref="C643:L643" si="163">AVERAGE(C372:C383)</f>
        <v>154.75825</v>
      </c>
      <c r="D643" s="85">
        <f t="shared" si="163"/>
        <v>281.0162499999999</v>
      </c>
      <c r="E643" s="85">
        <f t="shared" si="163"/>
        <v>109.1005</v>
      </c>
      <c r="F643" s="85">
        <f t="shared" si="163"/>
        <v>157.04166666666663</v>
      </c>
      <c r="G643" s="85">
        <f t="shared" si="163"/>
        <v>40</v>
      </c>
      <c r="H643" s="85">
        <f t="shared" si="163"/>
        <v>74.583333333333329</v>
      </c>
      <c r="I643" s="85">
        <f t="shared" si="163"/>
        <v>0</v>
      </c>
      <c r="J643" s="85">
        <f t="shared" si="163"/>
        <v>100</v>
      </c>
      <c r="K643" s="85">
        <f t="shared" si="163"/>
        <v>300</v>
      </c>
      <c r="L643" s="85">
        <f t="shared" si="163"/>
        <v>1216.5</v>
      </c>
      <c r="M643" s="86"/>
      <c r="N643" s="85">
        <f t="shared" ref="N643:T643" si="164">AVERAGE(N372:N383)</f>
        <v>72.5</v>
      </c>
      <c r="O643" s="87">
        <f t="shared" si="164"/>
        <v>240</v>
      </c>
      <c r="P643" s="87">
        <f t="shared" si="164"/>
        <v>110</v>
      </c>
      <c r="Q643" s="87">
        <f t="shared" si="164"/>
        <v>245</v>
      </c>
      <c r="R643" s="87">
        <f t="shared" si="164"/>
        <v>100</v>
      </c>
      <c r="S643" s="85">
        <f t="shared" si="164"/>
        <v>695</v>
      </c>
      <c r="T643" s="85">
        <f t="shared" si="164"/>
        <v>33.333333333333336</v>
      </c>
      <c r="U643" s="83"/>
      <c r="V643" s="83"/>
      <c r="W643" s="83"/>
      <c r="X643" s="83"/>
      <c r="Y643" s="83"/>
      <c r="Z643" s="83"/>
      <c r="AA643" s="83"/>
      <c r="AB643" s="83"/>
      <c r="AC643" s="83"/>
      <c r="AD643" s="83"/>
    </row>
    <row r="644" spans="1:30" ht="15.75" x14ac:dyDescent="0.25">
      <c r="A644" s="11">
        <f t="shared" si="154"/>
        <v>2043</v>
      </c>
      <c r="B644" s="11"/>
      <c r="C644" s="85">
        <f t="shared" ref="C644:L644" si="165">AVERAGE(C384:C395)</f>
        <v>154.75825</v>
      </c>
      <c r="D644" s="85">
        <f t="shared" si="165"/>
        <v>281.0162499999999</v>
      </c>
      <c r="E644" s="85">
        <f t="shared" si="165"/>
        <v>109.1005</v>
      </c>
      <c r="F644" s="85">
        <f t="shared" si="165"/>
        <v>157.04166666666663</v>
      </c>
      <c r="G644" s="85">
        <f t="shared" si="165"/>
        <v>40</v>
      </c>
      <c r="H644" s="85">
        <f t="shared" si="165"/>
        <v>74.583333333333329</v>
      </c>
      <c r="I644" s="85">
        <f t="shared" si="165"/>
        <v>0</v>
      </c>
      <c r="J644" s="85">
        <f t="shared" si="165"/>
        <v>100</v>
      </c>
      <c r="K644" s="85">
        <f t="shared" si="165"/>
        <v>300</v>
      </c>
      <c r="L644" s="85">
        <f t="shared" si="165"/>
        <v>1216.5</v>
      </c>
      <c r="M644" s="86"/>
      <c r="N644" s="85">
        <f t="shared" ref="N644:T644" si="166">AVERAGE(N384:N395)</f>
        <v>72.5</v>
      </c>
      <c r="O644" s="87">
        <f t="shared" si="166"/>
        <v>240</v>
      </c>
      <c r="P644" s="87">
        <f t="shared" si="166"/>
        <v>110</v>
      </c>
      <c r="Q644" s="87">
        <f t="shared" si="166"/>
        <v>245</v>
      </c>
      <c r="R644" s="87">
        <f t="shared" si="166"/>
        <v>100</v>
      </c>
      <c r="S644" s="85">
        <f t="shared" si="166"/>
        <v>695</v>
      </c>
      <c r="T644" s="85">
        <f t="shared" si="166"/>
        <v>33.333333333333336</v>
      </c>
      <c r="U644" s="83"/>
      <c r="V644" s="83"/>
      <c r="W644" s="83"/>
      <c r="X644" s="83"/>
      <c r="Y644" s="83"/>
      <c r="Z644" s="83"/>
      <c r="AA644" s="83"/>
      <c r="AB644" s="83"/>
      <c r="AC644" s="83"/>
      <c r="AD644" s="83"/>
    </row>
    <row r="645" spans="1:30" ht="15.75" x14ac:dyDescent="0.25">
      <c r="A645" s="11">
        <f t="shared" si="154"/>
        <v>2044</v>
      </c>
      <c r="B645" s="11"/>
      <c r="C645" s="85">
        <f t="shared" ref="C645:L645" si="167">AVERAGE(C396:C407)</f>
        <v>154.75825</v>
      </c>
      <c r="D645" s="85">
        <f t="shared" si="167"/>
        <v>281.0162499999999</v>
      </c>
      <c r="E645" s="85">
        <f t="shared" si="167"/>
        <v>109.1005</v>
      </c>
      <c r="F645" s="85">
        <f t="shared" si="167"/>
        <v>157.04166666666663</v>
      </c>
      <c r="G645" s="85">
        <f t="shared" si="167"/>
        <v>40</v>
      </c>
      <c r="H645" s="85">
        <f t="shared" si="167"/>
        <v>74.583333333333329</v>
      </c>
      <c r="I645" s="85">
        <f t="shared" si="167"/>
        <v>0</v>
      </c>
      <c r="J645" s="85">
        <f t="shared" si="167"/>
        <v>100</v>
      </c>
      <c r="K645" s="85">
        <f t="shared" si="167"/>
        <v>300</v>
      </c>
      <c r="L645" s="85">
        <f t="shared" si="167"/>
        <v>1216.5</v>
      </c>
      <c r="M645" s="86"/>
      <c r="N645" s="85">
        <f t="shared" ref="N645:T645" si="168">AVERAGE(N396:N407)</f>
        <v>72.5</v>
      </c>
      <c r="O645" s="87">
        <f t="shared" si="168"/>
        <v>240</v>
      </c>
      <c r="P645" s="87">
        <f t="shared" si="168"/>
        <v>110</v>
      </c>
      <c r="Q645" s="87">
        <f t="shared" si="168"/>
        <v>245</v>
      </c>
      <c r="R645" s="87">
        <f t="shared" si="168"/>
        <v>100</v>
      </c>
      <c r="S645" s="85">
        <f t="shared" si="168"/>
        <v>695</v>
      </c>
      <c r="T645" s="85">
        <f t="shared" si="168"/>
        <v>33.333333333333336</v>
      </c>
      <c r="U645" s="83"/>
      <c r="V645" s="83"/>
      <c r="W645" s="83"/>
      <c r="X645" s="83"/>
      <c r="Y645" s="83"/>
      <c r="Z645" s="83"/>
      <c r="AA645" s="83"/>
      <c r="AB645" s="83"/>
      <c r="AC645" s="83"/>
      <c r="AD645" s="83"/>
    </row>
    <row r="646" spans="1:30" ht="15.75" x14ac:dyDescent="0.25">
      <c r="A646" s="11">
        <f t="shared" si="154"/>
        <v>2045</v>
      </c>
      <c r="B646" s="11"/>
      <c r="C646" s="85">
        <f t="shared" ref="C646:L646" si="169">AVERAGE(C408:C419)</f>
        <v>154.75825</v>
      </c>
      <c r="D646" s="85">
        <f t="shared" si="169"/>
        <v>281.0162499999999</v>
      </c>
      <c r="E646" s="85">
        <f t="shared" si="169"/>
        <v>109.1005</v>
      </c>
      <c r="F646" s="85">
        <f t="shared" si="169"/>
        <v>157.04166666666663</v>
      </c>
      <c r="G646" s="85">
        <f t="shared" si="169"/>
        <v>40</v>
      </c>
      <c r="H646" s="85">
        <f t="shared" si="169"/>
        <v>74.583333333333329</v>
      </c>
      <c r="I646" s="85">
        <f t="shared" si="169"/>
        <v>0</v>
      </c>
      <c r="J646" s="85">
        <f t="shared" si="169"/>
        <v>100</v>
      </c>
      <c r="K646" s="85">
        <f t="shared" si="169"/>
        <v>300</v>
      </c>
      <c r="L646" s="85">
        <f t="shared" si="169"/>
        <v>1216.5</v>
      </c>
      <c r="M646" s="86"/>
      <c r="N646" s="85">
        <f t="shared" ref="N646:T646" si="170">AVERAGE(N408:N419)</f>
        <v>72.5</v>
      </c>
      <c r="O646" s="87">
        <f t="shared" si="170"/>
        <v>240</v>
      </c>
      <c r="P646" s="87">
        <f t="shared" si="170"/>
        <v>110</v>
      </c>
      <c r="Q646" s="87">
        <f t="shared" si="170"/>
        <v>245</v>
      </c>
      <c r="R646" s="87">
        <f t="shared" si="170"/>
        <v>100</v>
      </c>
      <c r="S646" s="85">
        <f t="shared" si="170"/>
        <v>695</v>
      </c>
      <c r="T646" s="85">
        <f t="shared" si="170"/>
        <v>33.333333333333336</v>
      </c>
      <c r="U646" s="83"/>
      <c r="V646" s="83"/>
      <c r="W646" s="83"/>
      <c r="X646" s="83"/>
      <c r="Y646" s="83"/>
      <c r="Z646" s="83"/>
      <c r="AA646" s="83"/>
      <c r="AB646" s="83"/>
      <c r="AC646" s="83"/>
      <c r="AD646" s="83"/>
    </row>
    <row r="647" spans="1:30" ht="15.75" x14ac:dyDescent="0.25">
      <c r="A647" s="11">
        <f t="shared" si="154"/>
        <v>2046</v>
      </c>
      <c r="B647" s="11"/>
      <c r="C647" s="85">
        <f t="shared" ref="C647:L647" si="171">AVERAGE(C420:C431)</f>
        <v>154.75825</v>
      </c>
      <c r="D647" s="85">
        <f t="shared" si="171"/>
        <v>281.0162499999999</v>
      </c>
      <c r="E647" s="85">
        <f t="shared" si="171"/>
        <v>109.1005</v>
      </c>
      <c r="F647" s="85">
        <f t="shared" si="171"/>
        <v>157.04166666666663</v>
      </c>
      <c r="G647" s="85">
        <f t="shared" si="171"/>
        <v>40</v>
      </c>
      <c r="H647" s="85">
        <f t="shared" si="171"/>
        <v>74.583333333333329</v>
      </c>
      <c r="I647" s="85">
        <f t="shared" si="171"/>
        <v>0</v>
      </c>
      <c r="J647" s="85">
        <f t="shared" si="171"/>
        <v>100</v>
      </c>
      <c r="K647" s="85">
        <f t="shared" si="171"/>
        <v>300</v>
      </c>
      <c r="L647" s="85">
        <f t="shared" si="171"/>
        <v>1216.5</v>
      </c>
      <c r="M647" s="86"/>
      <c r="N647" s="85">
        <f t="shared" ref="N647:T647" si="172">AVERAGE(N420:N431)</f>
        <v>72.5</v>
      </c>
      <c r="O647" s="87">
        <f t="shared" si="172"/>
        <v>240</v>
      </c>
      <c r="P647" s="87">
        <f t="shared" si="172"/>
        <v>110</v>
      </c>
      <c r="Q647" s="87">
        <f t="shared" si="172"/>
        <v>245</v>
      </c>
      <c r="R647" s="87">
        <f t="shared" si="172"/>
        <v>100</v>
      </c>
      <c r="S647" s="85">
        <f t="shared" si="172"/>
        <v>695</v>
      </c>
      <c r="T647" s="85">
        <f t="shared" si="172"/>
        <v>33.333333333333336</v>
      </c>
      <c r="U647" s="83"/>
      <c r="V647" s="83"/>
      <c r="W647" s="83"/>
      <c r="X647" s="83"/>
      <c r="Y647" s="83"/>
      <c r="Z647" s="83"/>
      <c r="AA647" s="83"/>
      <c r="AB647" s="83"/>
      <c r="AC647" s="83"/>
      <c r="AD647" s="83"/>
    </row>
    <row r="648" spans="1:30" ht="15.75" x14ac:dyDescent="0.25">
      <c r="A648" s="11">
        <f t="shared" si="154"/>
        <v>2047</v>
      </c>
      <c r="B648" s="11"/>
      <c r="C648" s="85">
        <f t="shared" ref="C648:L648" si="173">AVERAGE(C432:C443)</f>
        <v>154.75825</v>
      </c>
      <c r="D648" s="85">
        <f t="shared" si="173"/>
        <v>281.0162499999999</v>
      </c>
      <c r="E648" s="85">
        <f t="shared" si="173"/>
        <v>109.1005</v>
      </c>
      <c r="F648" s="85">
        <f t="shared" si="173"/>
        <v>157.04166666666663</v>
      </c>
      <c r="G648" s="85">
        <f t="shared" si="173"/>
        <v>40</v>
      </c>
      <c r="H648" s="85">
        <f t="shared" si="173"/>
        <v>74.583333333333329</v>
      </c>
      <c r="I648" s="85">
        <f t="shared" si="173"/>
        <v>0</v>
      </c>
      <c r="J648" s="85">
        <f t="shared" si="173"/>
        <v>100</v>
      </c>
      <c r="K648" s="85">
        <f t="shared" si="173"/>
        <v>300</v>
      </c>
      <c r="L648" s="85">
        <f t="shared" si="173"/>
        <v>1216.5</v>
      </c>
      <c r="M648" s="86"/>
      <c r="N648" s="85">
        <f t="shared" ref="N648:T648" si="174">AVERAGE(N432:N443)</f>
        <v>72.5</v>
      </c>
      <c r="O648" s="87">
        <f t="shared" si="174"/>
        <v>240</v>
      </c>
      <c r="P648" s="87">
        <f t="shared" si="174"/>
        <v>110</v>
      </c>
      <c r="Q648" s="87">
        <f t="shared" si="174"/>
        <v>245</v>
      </c>
      <c r="R648" s="87">
        <f t="shared" si="174"/>
        <v>100</v>
      </c>
      <c r="S648" s="85">
        <f t="shared" si="174"/>
        <v>695</v>
      </c>
      <c r="T648" s="85">
        <f t="shared" si="174"/>
        <v>33.333333333333336</v>
      </c>
      <c r="U648" s="83"/>
      <c r="V648" s="83"/>
      <c r="W648" s="83"/>
      <c r="X648" s="83"/>
      <c r="Y648" s="83"/>
      <c r="Z648" s="83"/>
      <c r="AA648" s="83"/>
      <c r="AB648" s="83"/>
      <c r="AC648" s="83"/>
      <c r="AD648" s="83"/>
    </row>
    <row r="649" spans="1:30" ht="15.75" x14ac:dyDescent="0.25">
      <c r="A649" s="11">
        <f t="shared" si="154"/>
        <v>2048</v>
      </c>
      <c r="B649" s="11"/>
      <c r="C649" s="85">
        <f t="shared" ref="C649:L649" si="175">AVERAGE(C444:C455)</f>
        <v>154.75825</v>
      </c>
      <c r="D649" s="85">
        <f t="shared" si="175"/>
        <v>281.0162499999999</v>
      </c>
      <c r="E649" s="85">
        <f t="shared" si="175"/>
        <v>109.1005</v>
      </c>
      <c r="F649" s="85">
        <f t="shared" si="175"/>
        <v>157.04166666666663</v>
      </c>
      <c r="G649" s="85">
        <f t="shared" si="175"/>
        <v>40</v>
      </c>
      <c r="H649" s="85">
        <f t="shared" si="175"/>
        <v>74.583333333333329</v>
      </c>
      <c r="I649" s="85">
        <f t="shared" si="175"/>
        <v>0</v>
      </c>
      <c r="J649" s="85">
        <f t="shared" si="175"/>
        <v>100</v>
      </c>
      <c r="K649" s="85">
        <f t="shared" si="175"/>
        <v>300</v>
      </c>
      <c r="L649" s="85">
        <f t="shared" si="175"/>
        <v>1216.5</v>
      </c>
      <c r="M649" s="86"/>
      <c r="N649" s="85">
        <f t="shared" ref="N649:T649" si="176">AVERAGE(N444:N455)</f>
        <v>72.5</v>
      </c>
      <c r="O649" s="87">
        <f t="shared" si="176"/>
        <v>240</v>
      </c>
      <c r="P649" s="87">
        <f t="shared" si="176"/>
        <v>110</v>
      </c>
      <c r="Q649" s="87">
        <f t="shared" si="176"/>
        <v>245</v>
      </c>
      <c r="R649" s="87">
        <f t="shared" si="176"/>
        <v>100</v>
      </c>
      <c r="S649" s="85">
        <f t="shared" si="176"/>
        <v>695</v>
      </c>
      <c r="T649" s="85">
        <f t="shared" si="176"/>
        <v>33.333333333333336</v>
      </c>
      <c r="U649" s="83"/>
      <c r="V649" s="83"/>
      <c r="W649" s="83"/>
      <c r="X649" s="83"/>
      <c r="Y649" s="83"/>
      <c r="Z649" s="83"/>
      <c r="AA649" s="83"/>
      <c r="AB649" s="83"/>
      <c r="AC649" s="83"/>
      <c r="AD649" s="83"/>
    </row>
    <row r="650" spans="1:30" ht="15.75" x14ac:dyDescent="0.25">
      <c r="A650" s="11">
        <f t="shared" si="154"/>
        <v>2049</v>
      </c>
      <c r="B650" s="11"/>
      <c r="C650" s="85">
        <f t="shared" ref="C650:L650" si="177">AVERAGE(C456:C467)</f>
        <v>154.75825</v>
      </c>
      <c r="D650" s="85">
        <f t="shared" si="177"/>
        <v>281.0162499999999</v>
      </c>
      <c r="E650" s="85">
        <f t="shared" si="177"/>
        <v>109.1005</v>
      </c>
      <c r="F650" s="85">
        <f t="shared" si="177"/>
        <v>157.04166666666663</v>
      </c>
      <c r="G650" s="85">
        <f t="shared" si="177"/>
        <v>40</v>
      </c>
      <c r="H650" s="85">
        <f t="shared" si="177"/>
        <v>74.583333333333329</v>
      </c>
      <c r="I650" s="85">
        <f t="shared" si="177"/>
        <v>0</v>
      </c>
      <c r="J650" s="85">
        <f t="shared" si="177"/>
        <v>100</v>
      </c>
      <c r="K650" s="85">
        <f t="shared" si="177"/>
        <v>300</v>
      </c>
      <c r="L650" s="85">
        <f t="shared" si="177"/>
        <v>1216.5</v>
      </c>
      <c r="M650" s="86"/>
      <c r="N650" s="85">
        <f t="shared" ref="N650:T650" si="178">AVERAGE(N456:N467)</f>
        <v>72.5</v>
      </c>
      <c r="O650" s="87">
        <f t="shared" si="178"/>
        <v>240</v>
      </c>
      <c r="P650" s="87">
        <f t="shared" si="178"/>
        <v>110</v>
      </c>
      <c r="Q650" s="87">
        <f t="shared" si="178"/>
        <v>245</v>
      </c>
      <c r="R650" s="87">
        <f t="shared" si="178"/>
        <v>100</v>
      </c>
      <c r="S650" s="85">
        <f t="shared" si="178"/>
        <v>695</v>
      </c>
      <c r="T650" s="85">
        <f t="shared" si="178"/>
        <v>33.333333333333336</v>
      </c>
      <c r="U650" s="83"/>
      <c r="V650" s="83"/>
      <c r="W650" s="83"/>
      <c r="X650" s="83"/>
      <c r="Y650" s="83"/>
      <c r="Z650" s="83"/>
      <c r="AA650" s="83"/>
      <c r="AB650" s="83"/>
      <c r="AC650" s="83"/>
      <c r="AD650" s="83"/>
    </row>
    <row r="651" spans="1:30" ht="15.75" x14ac:dyDescent="0.25">
      <c r="A651" s="11">
        <f t="shared" si="154"/>
        <v>2050</v>
      </c>
      <c r="B651" s="11"/>
      <c r="C651" s="85">
        <f t="shared" ref="C651:L651" si="179">AVERAGE(C468:C479)</f>
        <v>154.75825</v>
      </c>
      <c r="D651" s="85">
        <f t="shared" si="179"/>
        <v>281.0162499999999</v>
      </c>
      <c r="E651" s="85">
        <f t="shared" si="179"/>
        <v>109.1005</v>
      </c>
      <c r="F651" s="85">
        <f t="shared" si="179"/>
        <v>157.04166666666663</v>
      </c>
      <c r="G651" s="85">
        <f t="shared" si="179"/>
        <v>40</v>
      </c>
      <c r="H651" s="85">
        <f t="shared" si="179"/>
        <v>74.583333333333329</v>
      </c>
      <c r="I651" s="85">
        <f t="shared" si="179"/>
        <v>0</v>
      </c>
      <c r="J651" s="85">
        <f t="shared" si="179"/>
        <v>100</v>
      </c>
      <c r="K651" s="85">
        <f t="shared" si="179"/>
        <v>300</v>
      </c>
      <c r="L651" s="85">
        <f t="shared" si="179"/>
        <v>1216.5</v>
      </c>
      <c r="M651" s="86"/>
      <c r="N651" s="85">
        <f t="shared" ref="N651:T651" si="180">AVERAGE(N468:N479)</f>
        <v>72.5</v>
      </c>
      <c r="O651" s="87">
        <f t="shared" si="180"/>
        <v>240</v>
      </c>
      <c r="P651" s="87">
        <f t="shared" si="180"/>
        <v>110</v>
      </c>
      <c r="Q651" s="87">
        <f t="shared" si="180"/>
        <v>245</v>
      </c>
      <c r="R651" s="87">
        <f t="shared" si="180"/>
        <v>100</v>
      </c>
      <c r="S651" s="85">
        <f t="shared" si="180"/>
        <v>695</v>
      </c>
      <c r="T651" s="85">
        <f t="shared" si="180"/>
        <v>33.333333333333336</v>
      </c>
      <c r="U651" s="83"/>
      <c r="V651" s="83"/>
      <c r="W651" s="83"/>
      <c r="X651" s="83"/>
      <c r="Y651" s="83"/>
      <c r="Z651" s="83"/>
      <c r="AA651" s="83"/>
      <c r="AB651" s="83"/>
      <c r="AC651" s="83"/>
      <c r="AD651" s="83"/>
    </row>
    <row r="652" spans="1:30" ht="15.75" x14ac:dyDescent="0.25">
      <c r="A652" s="11">
        <f t="shared" si="154"/>
        <v>2051</v>
      </c>
      <c r="B652" s="11"/>
      <c r="C652" s="85">
        <f t="shared" ref="C652:L652" si="181">AVERAGE(C480:C491)</f>
        <v>154.75825</v>
      </c>
      <c r="D652" s="85">
        <f t="shared" si="181"/>
        <v>281.0162499999999</v>
      </c>
      <c r="E652" s="85">
        <f t="shared" si="181"/>
        <v>109.1005</v>
      </c>
      <c r="F652" s="85">
        <f t="shared" si="181"/>
        <v>157.04166666666663</v>
      </c>
      <c r="G652" s="85">
        <f t="shared" si="181"/>
        <v>40</v>
      </c>
      <c r="H652" s="85">
        <f t="shared" si="181"/>
        <v>74.583333333333329</v>
      </c>
      <c r="I652" s="85">
        <f t="shared" si="181"/>
        <v>0</v>
      </c>
      <c r="J652" s="85">
        <f t="shared" si="181"/>
        <v>100</v>
      </c>
      <c r="K652" s="85">
        <f t="shared" si="181"/>
        <v>300</v>
      </c>
      <c r="L652" s="85">
        <f t="shared" si="181"/>
        <v>1216.5</v>
      </c>
      <c r="M652" s="86"/>
      <c r="N652" s="85">
        <f t="shared" ref="N652:T652" si="182">AVERAGE(N480:N491)</f>
        <v>72.5</v>
      </c>
      <c r="O652" s="87">
        <f t="shared" si="182"/>
        <v>240</v>
      </c>
      <c r="P652" s="87">
        <f t="shared" si="182"/>
        <v>110</v>
      </c>
      <c r="Q652" s="87">
        <f t="shared" si="182"/>
        <v>245</v>
      </c>
      <c r="R652" s="87">
        <f t="shared" si="182"/>
        <v>100</v>
      </c>
      <c r="S652" s="85">
        <f t="shared" si="182"/>
        <v>695</v>
      </c>
      <c r="T652" s="85">
        <f t="shared" si="182"/>
        <v>33.333333333333336</v>
      </c>
      <c r="U652" s="83"/>
      <c r="V652" s="83"/>
      <c r="W652" s="83"/>
      <c r="X652" s="83"/>
      <c r="Y652" s="83"/>
      <c r="Z652" s="83"/>
      <c r="AA652" s="83"/>
      <c r="AB652" s="83"/>
      <c r="AC652" s="83"/>
      <c r="AD652" s="83"/>
    </row>
    <row r="653" spans="1:30" ht="15.75" x14ac:dyDescent="0.25">
      <c r="A653" s="11">
        <f t="shared" si="154"/>
        <v>2052</v>
      </c>
      <c r="B653" s="11"/>
      <c r="C653" s="85">
        <f t="shared" ref="C653:L653" si="183">AVERAGE(C492:C503)</f>
        <v>154.75825</v>
      </c>
      <c r="D653" s="85">
        <f t="shared" si="183"/>
        <v>281.0162499999999</v>
      </c>
      <c r="E653" s="85">
        <f t="shared" si="183"/>
        <v>109.1005</v>
      </c>
      <c r="F653" s="85">
        <f t="shared" si="183"/>
        <v>157.04166666666663</v>
      </c>
      <c r="G653" s="85">
        <f t="shared" si="183"/>
        <v>40</v>
      </c>
      <c r="H653" s="85">
        <f t="shared" si="183"/>
        <v>74.583333333333329</v>
      </c>
      <c r="I653" s="85">
        <f t="shared" si="183"/>
        <v>0</v>
      </c>
      <c r="J653" s="85">
        <f t="shared" si="183"/>
        <v>100</v>
      </c>
      <c r="K653" s="85">
        <f t="shared" si="183"/>
        <v>300</v>
      </c>
      <c r="L653" s="85">
        <f t="shared" si="183"/>
        <v>1216.5</v>
      </c>
      <c r="M653" s="86"/>
      <c r="N653" s="85">
        <f t="shared" ref="N653:T653" si="184">AVERAGE(N492:N503)</f>
        <v>72.5</v>
      </c>
      <c r="O653" s="87">
        <f t="shared" si="184"/>
        <v>240</v>
      </c>
      <c r="P653" s="87">
        <f t="shared" si="184"/>
        <v>110</v>
      </c>
      <c r="Q653" s="87">
        <f t="shared" si="184"/>
        <v>245</v>
      </c>
      <c r="R653" s="87">
        <f t="shared" si="184"/>
        <v>100</v>
      </c>
      <c r="S653" s="85">
        <f t="shared" si="184"/>
        <v>695</v>
      </c>
      <c r="T653" s="85">
        <f t="shared" si="184"/>
        <v>33.333333333333336</v>
      </c>
      <c r="U653" s="83"/>
      <c r="V653" s="83"/>
      <c r="W653" s="83"/>
      <c r="X653" s="83"/>
      <c r="Y653" s="83"/>
      <c r="Z653" s="83"/>
      <c r="AA653" s="83"/>
      <c r="AB653" s="83"/>
      <c r="AC653" s="83"/>
      <c r="AD653" s="83"/>
    </row>
    <row r="654" spans="1:30" ht="15.75" x14ac:dyDescent="0.25">
      <c r="A654" s="11">
        <f t="shared" si="154"/>
        <v>2053</v>
      </c>
      <c r="B654" s="11"/>
      <c r="C654" s="85">
        <f t="shared" ref="C654:L654" si="185">AVERAGE(C504:C515)</f>
        <v>154.75825</v>
      </c>
      <c r="D654" s="85">
        <f t="shared" si="185"/>
        <v>281.0162499999999</v>
      </c>
      <c r="E654" s="85">
        <f t="shared" si="185"/>
        <v>109.1005</v>
      </c>
      <c r="F654" s="85">
        <f t="shared" si="185"/>
        <v>157.04166666666663</v>
      </c>
      <c r="G654" s="85">
        <f t="shared" si="185"/>
        <v>40</v>
      </c>
      <c r="H654" s="85">
        <f t="shared" si="185"/>
        <v>74.583333333333329</v>
      </c>
      <c r="I654" s="85">
        <f t="shared" si="185"/>
        <v>0</v>
      </c>
      <c r="J654" s="85">
        <f t="shared" si="185"/>
        <v>100</v>
      </c>
      <c r="K654" s="85">
        <f t="shared" si="185"/>
        <v>300</v>
      </c>
      <c r="L654" s="85">
        <f t="shared" si="185"/>
        <v>1216.5</v>
      </c>
      <c r="M654" s="86"/>
      <c r="N654" s="85">
        <f t="shared" ref="N654:T654" si="186">AVERAGE(N504:N515)</f>
        <v>72.5</v>
      </c>
      <c r="O654" s="87">
        <f t="shared" si="186"/>
        <v>240</v>
      </c>
      <c r="P654" s="87">
        <f t="shared" si="186"/>
        <v>110</v>
      </c>
      <c r="Q654" s="87">
        <f t="shared" si="186"/>
        <v>245</v>
      </c>
      <c r="R654" s="87">
        <f t="shared" si="186"/>
        <v>100</v>
      </c>
      <c r="S654" s="85">
        <f t="shared" si="186"/>
        <v>695</v>
      </c>
      <c r="T654" s="85">
        <f t="shared" si="186"/>
        <v>33.333333333333336</v>
      </c>
      <c r="U654" s="83"/>
      <c r="V654" s="83"/>
      <c r="W654" s="83"/>
      <c r="X654" s="83"/>
      <c r="Y654" s="83"/>
      <c r="Z654" s="83"/>
      <c r="AA654" s="83"/>
      <c r="AB654" s="83"/>
      <c r="AC654" s="83"/>
      <c r="AD654" s="83"/>
    </row>
    <row r="655" spans="1:30" ht="15.75" x14ac:dyDescent="0.25">
      <c r="A655" s="11">
        <f t="shared" si="154"/>
        <v>2054</v>
      </c>
      <c r="B655" s="11"/>
      <c r="C655" s="85">
        <f t="shared" ref="C655:L655" si="187">AVERAGE(C516:C527)</f>
        <v>154.75825</v>
      </c>
      <c r="D655" s="85">
        <f t="shared" si="187"/>
        <v>281.0162499999999</v>
      </c>
      <c r="E655" s="85">
        <f t="shared" si="187"/>
        <v>109.1005</v>
      </c>
      <c r="F655" s="85">
        <f t="shared" si="187"/>
        <v>157.04166666666663</v>
      </c>
      <c r="G655" s="85">
        <f t="shared" si="187"/>
        <v>40</v>
      </c>
      <c r="H655" s="85">
        <f t="shared" si="187"/>
        <v>74.583333333333329</v>
      </c>
      <c r="I655" s="85">
        <f t="shared" si="187"/>
        <v>0</v>
      </c>
      <c r="J655" s="85">
        <f t="shared" si="187"/>
        <v>100</v>
      </c>
      <c r="K655" s="85">
        <f t="shared" si="187"/>
        <v>300</v>
      </c>
      <c r="L655" s="85">
        <f t="shared" si="187"/>
        <v>1216.5</v>
      </c>
      <c r="M655" s="86"/>
      <c r="N655" s="85">
        <f t="shared" ref="N655:T662" si="188">AVERAGE(N516:N527)</f>
        <v>72.5</v>
      </c>
      <c r="O655" s="85">
        <f t="shared" si="188"/>
        <v>240</v>
      </c>
      <c r="P655" s="85">
        <f t="shared" si="188"/>
        <v>110</v>
      </c>
      <c r="Q655" s="85">
        <f t="shared" si="188"/>
        <v>245</v>
      </c>
      <c r="R655" s="85">
        <f t="shared" si="188"/>
        <v>100</v>
      </c>
      <c r="S655" s="85">
        <f t="shared" si="188"/>
        <v>695</v>
      </c>
      <c r="T655" s="85">
        <f t="shared" si="188"/>
        <v>33.333333333333336</v>
      </c>
      <c r="U655" s="83"/>
      <c r="V655" s="83"/>
      <c r="W655" s="83"/>
      <c r="X655" s="83"/>
      <c r="Y655" s="83"/>
      <c r="Z655" s="83"/>
      <c r="AA655" s="83"/>
      <c r="AB655" s="83"/>
      <c r="AC655" s="83"/>
      <c r="AD655" s="83"/>
    </row>
    <row r="656" spans="1:30" ht="15.75" x14ac:dyDescent="0.25">
      <c r="A656" s="11">
        <f t="shared" si="154"/>
        <v>2055</v>
      </c>
      <c r="B656" s="11"/>
      <c r="C656" s="85">
        <f t="shared" ref="C656:L656" si="189">AVERAGE(C517:C528)</f>
        <v>154.75825</v>
      </c>
      <c r="D656" s="85">
        <f t="shared" si="189"/>
        <v>281.0162499999999</v>
      </c>
      <c r="E656" s="85">
        <f t="shared" si="189"/>
        <v>109.1005</v>
      </c>
      <c r="F656" s="85">
        <f t="shared" si="189"/>
        <v>157.04166666666663</v>
      </c>
      <c r="G656" s="85">
        <f t="shared" si="189"/>
        <v>40</v>
      </c>
      <c r="H656" s="85">
        <f t="shared" si="189"/>
        <v>74.583333333333329</v>
      </c>
      <c r="I656" s="85">
        <f t="shared" si="189"/>
        <v>0</v>
      </c>
      <c r="J656" s="85">
        <f t="shared" si="189"/>
        <v>100</v>
      </c>
      <c r="K656" s="85">
        <f t="shared" si="189"/>
        <v>300</v>
      </c>
      <c r="L656" s="85">
        <f t="shared" si="189"/>
        <v>1216.5</v>
      </c>
      <c r="M656" s="86"/>
      <c r="N656" s="85">
        <f t="shared" si="188"/>
        <v>72.5</v>
      </c>
      <c r="O656" s="85">
        <f t="shared" si="188"/>
        <v>240</v>
      </c>
      <c r="P656" s="85">
        <f t="shared" si="188"/>
        <v>110</v>
      </c>
      <c r="Q656" s="85">
        <f t="shared" si="188"/>
        <v>245</v>
      </c>
      <c r="R656" s="85">
        <f t="shared" si="188"/>
        <v>100</v>
      </c>
      <c r="S656" s="85">
        <f t="shared" si="188"/>
        <v>695</v>
      </c>
      <c r="T656" s="85">
        <f t="shared" si="188"/>
        <v>33.333333333333336</v>
      </c>
      <c r="U656" s="83"/>
      <c r="V656" s="83"/>
      <c r="W656" s="83"/>
      <c r="X656" s="83"/>
      <c r="Y656" s="83"/>
      <c r="Z656" s="83"/>
      <c r="AA656" s="83"/>
      <c r="AB656" s="83"/>
      <c r="AC656" s="83"/>
      <c r="AD656" s="83"/>
    </row>
    <row r="657" spans="1:30" ht="15.75" x14ac:dyDescent="0.25">
      <c r="A657" s="11">
        <f t="shared" si="154"/>
        <v>2056</v>
      </c>
      <c r="B657" s="11"/>
      <c r="C657" s="85">
        <f t="shared" ref="C657:L657" si="190">AVERAGE(C518:C529)</f>
        <v>154.75824999999998</v>
      </c>
      <c r="D657" s="85">
        <f t="shared" si="190"/>
        <v>281.0162499999999</v>
      </c>
      <c r="E657" s="85">
        <f t="shared" si="190"/>
        <v>109.1005</v>
      </c>
      <c r="F657" s="85">
        <f t="shared" si="190"/>
        <v>157.04166666666663</v>
      </c>
      <c r="G657" s="85">
        <f t="shared" si="190"/>
        <v>40</v>
      </c>
      <c r="H657" s="85">
        <f t="shared" si="190"/>
        <v>74.583333333333329</v>
      </c>
      <c r="I657" s="85">
        <f t="shared" si="190"/>
        <v>0</v>
      </c>
      <c r="J657" s="85">
        <f t="shared" si="190"/>
        <v>100</v>
      </c>
      <c r="K657" s="85">
        <f t="shared" si="190"/>
        <v>300</v>
      </c>
      <c r="L657" s="85">
        <f t="shared" si="190"/>
        <v>1216.5</v>
      </c>
      <c r="M657" s="86"/>
      <c r="N657" s="85">
        <f t="shared" si="188"/>
        <v>72.5</v>
      </c>
      <c r="O657" s="85">
        <f t="shared" si="188"/>
        <v>240</v>
      </c>
      <c r="P657" s="85">
        <f t="shared" si="188"/>
        <v>110</v>
      </c>
      <c r="Q657" s="85">
        <f t="shared" si="188"/>
        <v>245</v>
      </c>
      <c r="R657" s="85">
        <f t="shared" si="188"/>
        <v>100</v>
      </c>
      <c r="S657" s="85">
        <f t="shared" si="188"/>
        <v>695</v>
      </c>
      <c r="T657" s="85">
        <f t="shared" si="188"/>
        <v>33.333333333333336</v>
      </c>
      <c r="U657" s="83"/>
      <c r="V657" s="83"/>
      <c r="W657" s="83"/>
      <c r="X657" s="83"/>
      <c r="Y657" s="83"/>
      <c r="Z657" s="83"/>
      <c r="AA657" s="83"/>
      <c r="AB657" s="83"/>
      <c r="AC657" s="83"/>
      <c r="AD657" s="83"/>
    </row>
    <row r="658" spans="1:30" ht="15.75" x14ac:dyDescent="0.25">
      <c r="A658" s="11">
        <f t="shared" si="154"/>
        <v>2057</v>
      </c>
      <c r="B658" s="11"/>
      <c r="C658" s="85">
        <f t="shared" ref="C658:L658" si="191">AVERAGE(C519:C530)</f>
        <v>154.75825</v>
      </c>
      <c r="D658" s="85">
        <f t="shared" si="191"/>
        <v>281.0162499999999</v>
      </c>
      <c r="E658" s="85">
        <f t="shared" si="191"/>
        <v>109.1005</v>
      </c>
      <c r="F658" s="85">
        <f t="shared" si="191"/>
        <v>157.0416666666666</v>
      </c>
      <c r="G658" s="85">
        <f t="shared" si="191"/>
        <v>40</v>
      </c>
      <c r="H658" s="85">
        <f t="shared" si="191"/>
        <v>74.583333333333329</v>
      </c>
      <c r="I658" s="85">
        <f t="shared" si="191"/>
        <v>0</v>
      </c>
      <c r="J658" s="85">
        <f t="shared" si="191"/>
        <v>100</v>
      </c>
      <c r="K658" s="85">
        <f t="shared" si="191"/>
        <v>300</v>
      </c>
      <c r="L658" s="85">
        <f t="shared" si="191"/>
        <v>1216.5</v>
      </c>
      <c r="M658" s="86"/>
      <c r="N658" s="85">
        <f t="shared" si="188"/>
        <v>72.5</v>
      </c>
      <c r="O658" s="85">
        <f t="shared" si="188"/>
        <v>240</v>
      </c>
      <c r="P658" s="85">
        <f t="shared" si="188"/>
        <v>110</v>
      </c>
      <c r="Q658" s="85">
        <f t="shared" si="188"/>
        <v>245</v>
      </c>
      <c r="R658" s="85">
        <f t="shared" si="188"/>
        <v>100</v>
      </c>
      <c r="S658" s="85">
        <f t="shared" si="188"/>
        <v>695</v>
      </c>
      <c r="T658" s="85">
        <f t="shared" si="188"/>
        <v>33.333333333333336</v>
      </c>
      <c r="U658" s="83"/>
      <c r="V658" s="83"/>
      <c r="W658" s="83"/>
      <c r="X658" s="83"/>
      <c r="Y658" s="83"/>
      <c r="Z658" s="83"/>
      <c r="AA658" s="83"/>
      <c r="AB658" s="83"/>
      <c r="AC658" s="83"/>
      <c r="AD658" s="83"/>
    </row>
    <row r="659" spans="1:30" ht="15.75" x14ac:dyDescent="0.25">
      <c r="A659" s="11">
        <f t="shared" si="154"/>
        <v>2058</v>
      </c>
      <c r="B659" s="11"/>
      <c r="C659" s="85">
        <f t="shared" ref="C659:L659" si="192">AVERAGE(C520:C531)</f>
        <v>154.75824999999998</v>
      </c>
      <c r="D659" s="85">
        <f t="shared" si="192"/>
        <v>281.01624999999996</v>
      </c>
      <c r="E659" s="85">
        <f t="shared" si="192"/>
        <v>109.10050000000001</v>
      </c>
      <c r="F659" s="85">
        <f t="shared" si="192"/>
        <v>157.04166666666663</v>
      </c>
      <c r="G659" s="85">
        <f t="shared" si="192"/>
        <v>40</v>
      </c>
      <c r="H659" s="85">
        <f t="shared" si="192"/>
        <v>74.583333333333329</v>
      </c>
      <c r="I659" s="85">
        <f t="shared" si="192"/>
        <v>0</v>
      </c>
      <c r="J659" s="85">
        <f t="shared" si="192"/>
        <v>100</v>
      </c>
      <c r="K659" s="85">
        <f t="shared" si="192"/>
        <v>300</v>
      </c>
      <c r="L659" s="85">
        <f t="shared" si="192"/>
        <v>1216.5</v>
      </c>
      <c r="M659" s="86"/>
      <c r="N659" s="85">
        <f t="shared" si="188"/>
        <v>72.5</v>
      </c>
      <c r="O659" s="85">
        <f t="shared" si="188"/>
        <v>240</v>
      </c>
      <c r="P659" s="85">
        <f t="shared" si="188"/>
        <v>110</v>
      </c>
      <c r="Q659" s="85">
        <f t="shared" si="188"/>
        <v>245</v>
      </c>
      <c r="R659" s="85">
        <f t="shared" si="188"/>
        <v>100</v>
      </c>
      <c r="S659" s="85">
        <f t="shared" si="188"/>
        <v>695</v>
      </c>
      <c r="T659" s="85">
        <f t="shared" si="188"/>
        <v>33.333333333333336</v>
      </c>
      <c r="U659" s="83"/>
      <c r="V659" s="83"/>
      <c r="W659" s="83"/>
      <c r="X659" s="83"/>
      <c r="Y659" s="83"/>
      <c r="Z659" s="83"/>
      <c r="AA659" s="83"/>
      <c r="AB659" s="83"/>
      <c r="AC659" s="83"/>
      <c r="AD659" s="83"/>
    </row>
    <row r="660" spans="1:30" ht="15.75" x14ac:dyDescent="0.25">
      <c r="A660" s="11">
        <f t="shared" si="154"/>
        <v>2059</v>
      </c>
      <c r="B660" s="11"/>
      <c r="C660" s="85">
        <f t="shared" ref="C660:L660" si="193">AVERAGE(C521:C532)</f>
        <v>154.75824999999998</v>
      </c>
      <c r="D660" s="85">
        <f t="shared" si="193"/>
        <v>281.01624999999996</v>
      </c>
      <c r="E660" s="85">
        <f t="shared" si="193"/>
        <v>109.10050000000001</v>
      </c>
      <c r="F660" s="85">
        <f t="shared" si="193"/>
        <v>157.04166666666663</v>
      </c>
      <c r="G660" s="85">
        <f t="shared" si="193"/>
        <v>40</v>
      </c>
      <c r="H660" s="85">
        <f t="shared" si="193"/>
        <v>74.583333333333329</v>
      </c>
      <c r="I660" s="85">
        <f t="shared" si="193"/>
        <v>0</v>
      </c>
      <c r="J660" s="85">
        <f t="shared" si="193"/>
        <v>100</v>
      </c>
      <c r="K660" s="85">
        <f t="shared" si="193"/>
        <v>300</v>
      </c>
      <c r="L660" s="85">
        <f t="shared" si="193"/>
        <v>1216.5</v>
      </c>
      <c r="M660" s="86"/>
      <c r="N660" s="85">
        <f t="shared" si="188"/>
        <v>72.5</v>
      </c>
      <c r="O660" s="85">
        <f t="shared" si="188"/>
        <v>240</v>
      </c>
      <c r="P660" s="85">
        <f t="shared" si="188"/>
        <v>110</v>
      </c>
      <c r="Q660" s="85">
        <f t="shared" si="188"/>
        <v>245</v>
      </c>
      <c r="R660" s="85">
        <f t="shared" si="188"/>
        <v>100</v>
      </c>
      <c r="S660" s="85">
        <f t="shared" si="188"/>
        <v>695</v>
      </c>
      <c r="T660" s="85">
        <f t="shared" si="188"/>
        <v>33.333333333333336</v>
      </c>
      <c r="U660" s="83"/>
      <c r="V660" s="83"/>
      <c r="W660" s="83"/>
      <c r="X660" s="83"/>
      <c r="Y660" s="83"/>
      <c r="Z660" s="83"/>
      <c r="AA660" s="83"/>
      <c r="AB660" s="83"/>
      <c r="AC660" s="83"/>
      <c r="AD660" s="83"/>
    </row>
    <row r="661" spans="1:30" ht="15.75" x14ac:dyDescent="0.25">
      <c r="A661" s="11">
        <f t="shared" si="154"/>
        <v>2060</v>
      </c>
      <c r="B661" s="11"/>
      <c r="C661" s="85">
        <f t="shared" ref="C661:L661" si="194">AVERAGE(C522:C533)</f>
        <v>154.75824999999998</v>
      </c>
      <c r="D661" s="85">
        <f t="shared" si="194"/>
        <v>281.01624999999996</v>
      </c>
      <c r="E661" s="85">
        <f t="shared" si="194"/>
        <v>109.10050000000001</v>
      </c>
      <c r="F661" s="85">
        <f t="shared" si="194"/>
        <v>157.04166666666663</v>
      </c>
      <c r="G661" s="85">
        <f t="shared" si="194"/>
        <v>40</v>
      </c>
      <c r="H661" s="85">
        <f t="shared" si="194"/>
        <v>74.583333333333329</v>
      </c>
      <c r="I661" s="85">
        <f t="shared" si="194"/>
        <v>0</v>
      </c>
      <c r="J661" s="85">
        <f t="shared" si="194"/>
        <v>100</v>
      </c>
      <c r="K661" s="85">
        <f t="shared" si="194"/>
        <v>300</v>
      </c>
      <c r="L661" s="85">
        <f t="shared" si="194"/>
        <v>1216.5</v>
      </c>
      <c r="M661" s="86"/>
      <c r="N661" s="85">
        <f t="shared" si="188"/>
        <v>72.5</v>
      </c>
      <c r="O661" s="85">
        <f t="shared" si="188"/>
        <v>240</v>
      </c>
      <c r="P661" s="85">
        <f t="shared" si="188"/>
        <v>110</v>
      </c>
      <c r="Q661" s="85">
        <f t="shared" si="188"/>
        <v>245</v>
      </c>
      <c r="R661" s="85">
        <f t="shared" si="188"/>
        <v>100</v>
      </c>
      <c r="S661" s="85">
        <f t="shared" si="188"/>
        <v>695</v>
      </c>
      <c r="T661" s="85">
        <f t="shared" si="188"/>
        <v>33.333333333333336</v>
      </c>
      <c r="U661" s="83"/>
      <c r="V661" s="83"/>
      <c r="W661" s="83"/>
      <c r="X661" s="83"/>
      <c r="Y661" s="83"/>
      <c r="Z661" s="83"/>
      <c r="AA661" s="83"/>
      <c r="AB661" s="83"/>
      <c r="AC661" s="83"/>
      <c r="AD661" s="83"/>
    </row>
    <row r="662" spans="1:30" ht="15.75" x14ac:dyDescent="0.25">
      <c r="A662" s="11">
        <f t="shared" si="154"/>
        <v>2061</v>
      </c>
      <c r="B662" s="11"/>
      <c r="C662" s="85">
        <f t="shared" ref="C662:L662" si="195">AVERAGE(C523:C534)</f>
        <v>154.75825</v>
      </c>
      <c r="D662" s="85">
        <f t="shared" si="195"/>
        <v>281.01624999999996</v>
      </c>
      <c r="E662" s="85">
        <f t="shared" si="195"/>
        <v>109.10050000000001</v>
      </c>
      <c r="F662" s="85">
        <f t="shared" si="195"/>
        <v>157.04166666666663</v>
      </c>
      <c r="G662" s="85">
        <f t="shared" si="195"/>
        <v>40</v>
      </c>
      <c r="H662" s="85">
        <f t="shared" si="195"/>
        <v>74.583333333333329</v>
      </c>
      <c r="I662" s="85">
        <f t="shared" si="195"/>
        <v>0</v>
      </c>
      <c r="J662" s="85">
        <f t="shared" si="195"/>
        <v>100</v>
      </c>
      <c r="K662" s="85">
        <f t="shared" si="195"/>
        <v>300</v>
      </c>
      <c r="L662" s="85">
        <f t="shared" si="195"/>
        <v>1216.5</v>
      </c>
      <c r="M662" s="86"/>
      <c r="N662" s="85">
        <f t="shared" si="188"/>
        <v>72.5</v>
      </c>
      <c r="O662" s="85">
        <f t="shared" si="188"/>
        <v>240</v>
      </c>
      <c r="P662" s="85">
        <f t="shared" si="188"/>
        <v>110</v>
      </c>
      <c r="Q662" s="85">
        <f t="shared" si="188"/>
        <v>245</v>
      </c>
      <c r="R662" s="85">
        <f t="shared" si="188"/>
        <v>100</v>
      </c>
      <c r="S662" s="85">
        <f t="shared" si="188"/>
        <v>695</v>
      </c>
      <c r="T662" s="85">
        <f t="shared" si="188"/>
        <v>33.333333333333336</v>
      </c>
      <c r="U662" s="83"/>
      <c r="V662" s="83"/>
      <c r="W662" s="83"/>
      <c r="X662" s="83"/>
      <c r="Y662" s="83"/>
      <c r="Z662" s="83"/>
      <c r="AA662" s="83"/>
      <c r="AB662" s="83"/>
      <c r="AC662" s="83"/>
      <c r="AD662" s="83"/>
    </row>
    <row r="663" spans="1:30" x14ac:dyDescent="0.2">
      <c r="A663" s="8"/>
      <c r="B663" s="8"/>
      <c r="E663" s="84"/>
      <c r="F663" s="84"/>
      <c r="G663" s="84"/>
      <c r="H663" s="84"/>
      <c r="I663" s="84"/>
      <c r="J663" s="84"/>
      <c r="K663" s="84"/>
      <c r="L663" s="84"/>
      <c r="M663" s="84"/>
      <c r="N663" s="84"/>
      <c r="O663" s="84"/>
      <c r="P663" s="84"/>
      <c r="Q663" s="84"/>
      <c r="R663" s="84"/>
      <c r="S663" s="84"/>
      <c r="T663" s="84"/>
      <c r="U663" s="83"/>
      <c r="V663" s="83"/>
      <c r="W663" s="83"/>
      <c r="X663" s="83"/>
      <c r="Y663" s="83"/>
      <c r="Z663" s="83"/>
      <c r="AA663" s="83"/>
      <c r="AB663" s="83"/>
      <c r="AC663" s="83"/>
      <c r="AD663" s="83"/>
    </row>
    <row r="664" spans="1:30" x14ac:dyDescent="0.2">
      <c r="A664" s="8"/>
      <c r="B664" s="8"/>
      <c r="U664" s="83"/>
      <c r="V664" s="83"/>
      <c r="W664" s="83"/>
      <c r="X664" s="83"/>
      <c r="Y664" s="83"/>
      <c r="Z664" s="83"/>
      <c r="AA664" s="83"/>
      <c r="AB664" s="83"/>
      <c r="AC664" s="83"/>
      <c r="AD664" s="83"/>
    </row>
    <row r="665" spans="1:30" x14ac:dyDescent="0.2">
      <c r="A665" s="8"/>
      <c r="B665" s="8"/>
      <c r="U665" s="83"/>
      <c r="V665" s="83"/>
      <c r="W665" s="83"/>
      <c r="X665" s="83"/>
      <c r="Y665" s="83"/>
      <c r="Z665" s="83"/>
      <c r="AA665" s="83"/>
      <c r="AB665" s="83"/>
      <c r="AC665" s="83"/>
      <c r="AD665" s="83"/>
    </row>
    <row r="666" spans="1:30" x14ac:dyDescent="0.2">
      <c r="A666" s="8"/>
      <c r="B666" s="8"/>
      <c r="U666" s="83"/>
      <c r="V666" s="83"/>
      <c r="W666" s="83"/>
      <c r="X666" s="83"/>
      <c r="Y666" s="83"/>
      <c r="Z666" s="83"/>
      <c r="AA666" s="83"/>
      <c r="AB666" s="83"/>
      <c r="AC666" s="83"/>
      <c r="AD666" s="83"/>
    </row>
    <row r="667" spans="1:30" x14ac:dyDescent="0.2">
      <c r="A667" s="8"/>
      <c r="B667" s="8"/>
      <c r="U667" s="83"/>
      <c r="V667" s="83"/>
      <c r="W667" s="83"/>
      <c r="X667" s="83"/>
      <c r="Y667" s="83"/>
      <c r="Z667" s="83"/>
      <c r="AA667" s="83"/>
      <c r="AB667" s="83"/>
      <c r="AC667" s="83"/>
      <c r="AD667" s="83"/>
    </row>
    <row r="668" spans="1:30" x14ac:dyDescent="0.2">
      <c r="A668" s="8"/>
      <c r="B668" s="8"/>
      <c r="U668" s="83"/>
      <c r="V668" s="83"/>
      <c r="W668" s="83"/>
      <c r="X668" s="83"/>
      <c r="Y668" s="83"/>
      <c r="Z668" s="83"/>
      <c r="AA668" s="83"/>
      <c r="AB668" s="83"/>
      <c r="AC668" s="83"/>
      <c r="AD668" s="83"/>
    </row>
    <row r="669" spans="1:30" x14ac:dyDescent="0.2">
      <c r="A669" s="8"/>
      <c r="B669" s="8"/>
      <c r="U669" s="83"/>
      <c r="V669" s="83"/>
      <c r="W669" s="83"/>
      <c r="X669" s="83"/>
      <c r="Y669" s="83"/>
      <c r="Z669" s="83"/>
      <c r="AA669" s="83"/>
      <c r="AB669" s="83"/>
      <c r="AC669" s="83"/>
      <c r="AD669" s="83"/>
    </row>
    <row r="670" spans="1:30" x14ac:dyDescent="0.2">
      <c r="A670" s="8"/>
      <c r="B670" s="8"/>
      <c r="U670" s="83"/>
      <c r="V670" s="83"/>
      <c r="W670" s="83"/>
      <c r="X670" s="83"/>
      <c r="Y670" s="83"/>
      <c r="Z670" s="83"/>
      <c r="AA670" s="83"/>
      <c r="AB670" s="83"/>
      <c r="AC670" s="83"/>
      <c r="AD670" s="83"/>
    </row>
    <row r="671" spans="1:30" x14ac:dyDescent="0.2">
      <c r="A671" s="8"/>
      <c r="B671" s="8"/>
      <c r="U671" s="83"/>
      <c r="V671" s="83"/>
      <c r="W671" s="83"/>
      <c r="X671" s="83"/>
      <c r="Y671" s="83"/>
      <c r="Z671" s="83"/>
      <c r="AA671" s="83"/>
      <c r="AB671" s="83"/>
      <c r="AC671" s="83"/>
      <c r="AD671" s="83"/>
    </row>
    <row r="672" spans="1:30" x14ac:dyDescent="0.2">
      <c r="A672" s="8"/>
      <c r="B672" s="8"/>
      <c r="U672" s="83"/>
      <c r="V672" s="83"/>
      <c r="W672" s="83"/>
      <c r="X672" s="83"/>
      <c r="Y672" s="83"/>
      <c r="Z672" s="83"/>
      <c r="AA672" s="83"/>
      <c r="AB672" s="83"/>
      <c r="AC672" s="83"/>
      <c r="AD672" s="83"/>
    </row>
    <row r="673" spans="1:30" x14ac:dyDescent="0.2">
      <c r="A673" s="8"/>
      <c r="B673" s="8"/>
      <c r="U673" s="83"/>
      <c r="V673" s="83"/>
      <c r="W673" s="83"/>
      <c r="X673" s="83"/>
      <c r="Y673" s="83"/>
      <c r="Z673" s="83"/>
      <c r="AA673" s="83"/>
      <c r="AB673" s="83"/>
      <c r="AC673" s="83"/>
      <c r="AD673" s="83"/>
    </row>
    <row r="674" spans="1:30" x14ac:dyDescent="0.2">
      <c r="A674" s="8"/>
      <c r="B674" s="8"/>
      <c r="U674" s="83"/>
      <c r="V674" s="83"/>
      <c r="W674" s="83"/>
      <c r="X674" s="83"/>
      <c r="Y674" s="83"/>
      <c r="Z674" s="83"/>
      <c r="AA674" s="83"/>
      <c r="AB674" s="83"/>
      <c r="AC674" s="83"/>
      <c r="AD674" s="83"/>
    </row>
    <row r="675" spans="1:30" x14ac:dyDescent="0.2">
      <c r="A675" s="8"/>
      <c r="B675" s="8"/>
      <c r="U675" s="83"/>
      <c r="V675" s="83"/>
      <c r="W675" s="83"/>
      <c r="X675" s="83"/>
      <c r="Y675" s="83"/>
      <c r="Z675" s="83"/>
      <c r="AA675" s="83"/>
      <c r="AB675" s="83"/>
      <c r="AC675" s="83"/>
      <c r="AD675" s="83"/>
    </row>
    <row r="676" spans="1:30" x14ac:dyDescent="0.2">
      <c r="A676" s="8"/>
      <c r="B676" s="8"/>
      <c r="U676" s="83"/>
      <c r="V676" s="83"/>
      <c r="W676" s="83"/>
      <c r="X676" s="83"/>
      <c r="Y676" s="83"/>
      <c r="Z676" s="83"/>
      <c r="AA676" s="83"/>
      <c r="AB676" s="83"/>
      <c r="AC676" s="83"/>
      <c r="AD676" s="83"/>
    </row>
    <row r="677" spans="1:30" x14ac:dyDescent="0.2">
      <c r="A677" s="8"/>
      <c r="B677" s="8"/>
      <c r="U677" s="83"/>
      <c r="V677" s="83"/>
      <c r="W677" s="83"/>
      <c r="X677" s="83"/>
      <c r="Y677" s="83"/>
      <c r="Z677" s="83"/>
      <c r="AA677" s="83"/>
      <c r="AB677" s="83"/>
      <c r="AC677" s="83"/>
      <c r="AD677" s="83"/>
    </row>
    <row r="678" spans="1:30" x14ac:dyDescent="0.2">
      <c r="A678" s="8"/>
      <c r="B678" s="8"/>
      <c r="U678" s="83"/>
      <c r="V678" s="83"/>
      <c r="W678" s="83"/>
      <c r="X678" s="83"/>
      <c r="Y678" s="83"/>
      <c r="Z678" s="83"/>
      <c r="AA678" s="83"/>
      <c r="AB678" s="83"/>
      <c r="AC678" s="83"/>
      <c r="AD678" s="83"/>
    </row>
    <row r="679" spans="1:30" x14ac:dyDescent="0.2">
      <c r="A679" s="8"/>
      <c r="B679" s="8"/>
      <c r="U679" s="83"/>
      <c r="V679" s="83"/>
      <c r="W679" s="83"/>
      <c r="X679" s="83"/>
      <c r="Y679" s="83"/>
      <c r="Z679" s="83"/>
      <c r="AA679" s="83"/>
      <c r="AB679" s="83"/>
      <c r="AC679" s="83"/>
      <c r="AD679" s="83"/>
    </row>
    <row r="680" spans="1:30" x14ac:dyDescent="0.2">
      <c r="A680" s="8"/>
      <c r="B680" s="8"/>
      <c r="U680" s="83"/>
      <c r="V680" s="83"/>
      <c r="W680" s="83"/>
      <c r="X680" s="83"/>
      <c r="Y680" s="83"/>
      <c r="Z680" s="83"/>
      <c r="AA680" s="83"/>
      <c r="AB680" s="83"/>
      <c r="AC680" s="83"/>
      <c r="AD680" s="83"/>
    </row>
    <row r="681" spans="1:30" x14ac:dyDescent="0.2">
      <c r="A681" s="8"/>
      <c r="B681" s="8"/>
      <c r="U681" s="83"/>
      <c r="V681" s="83"/>
      <c r="W681" s="83"/>
      <c r="X681" s="83"/>
      <c r="Y681" s="83"/>
      <c r="Z681" s="83"/>
      <c r="AA681" s="83"/>
      <c r="AB681" s="83"/>
      <c r="AC681" s="83"/>
      <c r="AD681" s="83"/>
    </row>
    <row r="682" spans="1:30" x14ac:dyDescent="0.2">
      <c r="A682" s="8"/>
      <c r="B682" s="8"/>
      <c r="U682" s="83"/>
      <c r="V682" s="83"/>
      <c r="W682" s="83"/>
      <c r="X682" s="83"/>
      <c r="Y682" s="83"/>
      <c r="Z682" s="83"/>
      <c r="AA682" s="83"/>
      <c r="AB682" s="83"/>
      <c r="AC682" s="83"/>
      <c r="AD682" s="83"/>
    </row>
    <row r="683" spans="1:30" x14ac:dyDescent="0.2">
      <c r="A683" s="8"/>
      <c r="B683" s="8"/>
      <c r="U683" s="83"/>
      <c r="V683" s="83"/>
      <c r="W683" s="83"/>
      <c r="X683" s="83"/>
      <c r="Y683" s="83"/>
      <c r="Z683" s="83"/>
      <c r="AA683" s="83"/>
      <c r="AB683" s="83"/>
      <c r="AC683" s="83"/>
      <c r="AD683" s="83"/>
    </row>
    <row r="684" spans="1:30" x14ac:dyDescent="0.2">
      <c r="A684" s="8"/>
      <c r="B684" s="8"/>
      <c r="U684" s="83"/>
      <c r="V684" s="83"/>
      <c r="W684" s="83"/>
      <c r="X684" s="83"/>
      <c r="Y684" s="83"/>
      <c r="Z684" s="83"/>
      <c r="AA684" s="83"/>
      <c r="AB684" s="83"/>
      <c r="AC684" s="83"/>
      <c r="AD684" s="83"/>
    </row>
    <row r="685" spans="1:30" x14ac:dyDescent="0.2">
      <c r="A685" s="8"/>
      <c r="B685" s="8"/>
      <c r="U685" s="83"/>
      <c r="V685" s="83"/>
      <c r="W685" s="83"/>
      <c r="X685" s="83"/>
      <c r="Y685" s="83"/>
      <c r="Z685" s="83"/>
      <c r="AA685" s="83"/>
      <c r="AB685" s="83"/>
      <c r="AC685" s="83"/>
      <c r="AD685" s="83"/>
    </row>
    <row r="686" spans="1:30" x14ac:dyDescent="0.2">
      <c r="A686" s="8"/>
      <c r="B686" s="8"/>
      <c r="U686" s="83"/>
      <c r="V686" s="83"/>
      <c r="W686" s="83"/>
      <c r="X686" s="83"/>
      <c r="Y686" s="83"/>
      <c r="Z686" s="83"/>
      <c r="AA686" s="83"/>
      <c r="AB686" s="83"/>
      <c r="AC686" s="83"/>
      <c r="AD686" s="83"/>
    </row>
    <row r="687" spans="1:30" x14ac:dyDescent="0.2">
      <c r="A687" s="8"/>
      <c r="B687" s="8"/>
      <c r="U687" s="83"/>
      <c r="V687" s="83"/>
      <c r="W687" s="83"/>
      <c r="X687" s="83"/>
      <c r="Y687" s="83"/>
      <c r="Z687" s="83"/>
      <c r="AA687" s="83"/>
      <c r="AB687" s="83"/>
      <c r="AC687" s="83"/>
      <c r="AD687" s="83"/>
    </row>
    <row r="688" spans="1:30" x14ac:dyDescent="0.2">
      <c r="A688" s="8"/>
      <c r="B688" s="8"/>
      <c r="U688" s="83"/>
      <c r="V688" s="83"/>
      <c r="W688" s="83"/>
      <c r="X688" s="83"/>
      <c r="Y688" s="83"/>
      <c r="Z688" s="83"/>
      <c r="AA688" s="83"/>
      <c r="AB688" s="83"/>
      <c r="AC688" s="83"/>
      <c r="AD688" s="83"/>
    </row>
    <row r="689" spans="1:30" x14ac:dyDescent="0.2">
      <c r="A689" s="8"/>
      <c r="B689" s="8"/>
      <c r="U689" s="83"/>
      <c r="V689" s="83"/>
      <c r="W689" s="83"/>
      <c r="X689" s="83"/>
      <c r="Y689" s="83"/>
      <c r="Z689" s="83"/>
      <c r="AA689" s="83"/>
      <c r="AB689" s="83"/>
      <c r="AC689" s="83"/>
      <c r="AD689" s="83"/>
    </row>
    <row r="690" spans="1:30" x14ac:dyDescent="0.2">
      <c r="A690" s="8"/>
      <c r="B690" s="8"/>
      <c r="U690" s="83"/>
      <c r="V690" s="83"/>
      <c r="W690" s="83"/>
      <c r="X690" s="83"/>
      <c r="Y690" s="83"/>
      <c r="Z690" s="83"/>
      <c r="AA690" s="83"/>
      <c r="AB690" s="83"/>
      <c r="AC690" s="83"/>
      <c r="AD690" s="83"/>
    </row>
    <row r="691" spans="1:30" x14ac:dyDescent="0.2">
      <c r="A691" s="8"/>
      <c r="B691" s="8"/>
      <c r="U691" s="83"/>
      <c r="V691" s="83"/>
      <c r="W691" s="83"/>
      <c r="X691" s="83"/>
      <c r="Y691" s="83"/>
      <c r="Z691" s="83"/>
      <c r="AA691" s="83"/>
      <c r="AB691" s="83"/>
      <c r="AC691" s="83"/>
      <c r="AD691" s="83"/>
    </row>
    <row r="692" spans="1:30" x14ac:dyDescent="0.2">
      <c r="A692" s="8"/>
      <c r="B692" s="8"/>
    </row>
    <row r="693" spans="1:30" x14ac:dyDescent="0.2">
      <c r="A693" s="8"/>
      <c r="B693" s="8"/>
    </row>
    <row r="694" spans="1:30" x14ac:dyDescent="0.2">
      <c r="A694" s="8"/>
      <c r="B694" s="8"/>
    </row>
    <row r="695" spans="1:30" x14ac:dyDescent="0.2">
      <c r="A695" s="8"/>
      <c r="B695" s="8"/>
    </row>
    <row r="696" spans="1:30" x14ac:dyDescent="0.2">
      <c r="A696" s="8"/>
      <c r="B696" s="8"/>
    </row>
    <row r="697" spans="1:30" x14ac:dyDescent="0.2">
      <c r="A697" s="8"/>
      <c r="B697" s="8"/>
    </row>
    <row r="698" spans="1:30" x14ac:dyDescent="0.2">
      <c r="A698" s="8"/>
      <c r="B698" s="8"/>
    </row>
    <row r="699" spans="1:30" x14ac:dyDescent="0.2">
      <c r="A699" s="8"/>
      <c r="B699" s="8"/>
    </row>
    <row r="700" spans="1:30" x14ac:dyDescent="0.2">
      <c r="A700" s="8"/>
      <c r="B700" s="8"/>
    </row>
    <row r="701" spans="1:30" x14ac:dyDescent="0.2">
      <c r="A701" s="8"/>
      <c r="B701" s="8"/>
    </row>
    <row r="702" spans="1:30" x14ac:dyDescent="0.2">
      <c r="A702" s="8"/>
      <c r="B702" s="8"/>
    </row>
    <row r="703" spans="1:30" x14ac:dyDescent="0.2">
      <c r="A703" s="8"/>
      <c r="B703" s="8"/>
    </row>
    <row r="704" spans="1:30" x14ac:dyDescent="0.2">
      <c r="A704" s="8"/>
      <c r="B704" s="8"/>
    </row>
    <row r="705" spans="1:2" x14ac:dyDescent="0.2">
      <c r="A705" s="8"/>
      <c r="B705" s="8"/>
    </row>
    <row r="706" spans="1:2" x14ac:dyDescent="0.2">
      <c r="A706" s="8"/>
      <c r="B706" s="8"/>
    </row>
    <row r="707" spans="1:2" x14ac:dyDescent="0.2">
      <c r="A707" s="8"/>
      <c r="B707" s="8"/>
    </row>
    <row r="708" spans="1:2" x14ac:dyDescent="0.2">
      <c r="A708" s="8"/>
      <c r="B708" s="8"/>
    </row>
    <row r="709" spans="1:2" x14ac:dyDescent="0.2">
      <c r="A709" s="8"/>
      <c r="B709" s="8"/>
    </row>
    <row r="710" spans="1:2" x14ac:dyDescent="0.2">
      <c r="A710" s="8"/>
      <c r="B710" s="8"/>
    </row>
    <row r="711" spans="1:2" x14ac:dyDescent="0.2">
      <c r="A711" s="8"/>
      <c r="B711" s="8"/>
    </row>
    <row r="712" spans="1:2" x14ac:dyDescent="0.2">
      <c r="A712" s="8"/>
      <c r="B712" s="8"/>
    </row>
    <row r="713" spans="1:2" x14ac:dyDescent="0.2">
      <c r="A713" s="8"/>
      <c r="B713" s="8"/>
    </row>
    <row r="714" spans="1:2" x14ac:dyDescent="0.2">
      <c r="A714" s="8"/>
      <c r="B714" s="8"/>
    </row>
    <row r="715" spans="1:2" x14ac:dyDescent="0.2">
      <c r="A715" s="8"/>
      <c r="B715" s="8"/>
    </row>
    <row r="716" spans="1:2" x14ac:dyDescent="0.2">
      <c r="A716" s="8"/>
      <c r="B716" s="8"/>
    </row>
    <row r="717" spans="1:2" x14ac:dyDescent="0.2">
      <c r="A717" s="8"/>
      <c r="B717" s="8"/>
    </row>
    <row r="718" spans="1:2" x14ac:dyDescent="0.2">
      <c r="A718" s="8"/>
      <c r="B718" s="8"/>
    </row>
    <row r="719" spans="1:2" x14ac:dyDescent="0.2">
      <c r="A719" s="8"/>
      <c r="B719" s="8"/>
    </row>
    <row r="720" spans="1:2" x14ac:dyDescent="0.2">
      <c r="A720" s="8"/>
      <c r="B720" s="8"/>
    </row>
    <row r="721" spans="1:2" x14ac:dyDescent="0.2">
      <c r="A721" s="8"/>
      <c r="B721" s="8"/>
    </row>
  </sheetData>
  <mergeCells count="3">
    <mergeCell ref="C9:F9"/>
    <mergeCell ref="O9:Q9"/>
    <mergeCell ref="I9:K9"/>
  </mergeCells>
  <pageMargins left="0.5" right="0.25" top="0.5" bottom="0.5" header="0.25" footer="0.25"/>
  <pageSetup paperSize="17" scale="50" orientation="landscape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CONTROL</vt:lpstr>
      <vt:lpstr>RAP-SOLID FUEL PRICES</vt:lpstr>
      <vt:lpstr>RAP-LIGHT OIL</vt:lpstr>
      <vt:lpstr>RAP-HEAVY OIL&amp;WTI</vt:lpstr>
      <vt:lpstr>RAP-NATURAL GAS PRICES</vt:lpstr>
      <vt:lpstr>RAP TEMPLATE-GAS AVAILABILITY</vt:lpstr>
      <vt:lpstr>'RAP TEMPLATE-GAS AVAILABILITY'!Print_Area</vt:lpstr>
      <vt:lpstr>'RAP-HEAVY OIL&amp;WTI'!Print_Area</vt:lpstr>
      <vt:lpstr>'RAP-LIGHT OIL'!Print_Area</vt:lpstr>
      <vt:lpstr>'RAP-NATURAL GAS PRICES'!Print_Area</vt:lpstr>
      <vt:lpstr>'RAP-SOLID FUEL PRICES'!Print_Area</vt:lpstr>
      <vt:lpstr>'RAP TEMPLATE-GAS AVAILABILITY'!Print_Titles</vt:lpstr>
      <vt:lpstr>'RAP-HEAVY OIL&amp;WTI'!Print_Titles</vt:lpstr>
      <vt:lpstr>'RAP-LIGHT OIL'!Print_Titles</vt:lpstr>
      <vt:lpstr>'RAP-NATURAL GAS PRICES'!Print_Titles</vt:lpstr>
      <vt:lpstr>'RAP-SOLID FUEL PRICES'!Print_Titles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2016-07-29T16:36:36Z</dcterms:created>
  <dcterms:modified xsi:type="dcterms:W3CDTF">2016-07-29T16:36:40Z</dcterms:modified>
</cp:coreProperties>
</file>